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Historical Financials" sheetId="3" state="visible" r:id="rId5"/>
    <sheet name="Operating Model" sheetId="4" state="visible" r:id="rId6"/>
    <sheet name="Debt Schedule" sheetId="5" state="visible" r:id="rId7"/>
    <sheet name="Cash Flow" sheetId="6" state="visible" r:id="rId8"/>
    <sheet name="Credit Metrics" sheetId="7" state="visible" r:id="rId9"/>
    <sheet name="Scenarios" sheetId="8" state="visible" r:id="rId10"/>
    <sheet name="Capital Structure" sheetId="9" state="visible" r:id="rId11"/>
    <sheet name="Recovery" sheetId="10" state="visible" r:id="rId12"/>
    <sheet name="Returns" sheetId="11" state="visible" r:id="rId13"/>
    <sheet name="Sensitivities" sheetId="12" state="visible" r:id="rId14"/>
    <sheet name="Investment Summary" sheetId="13" state="visible" r:id="rId15"/>
    <sheet name="Sources" sheetId="14" state="visible" r:id="rId16"/>
    <sheet name="Calc Engine" sheetId="15" state="visible" r:id="rId17"/>
  </sheets>
  <definedNames>
    <definedName function="false" hidden="false" name="ActiveScenario" vbProcedure="false">Assumptions!$C$10</definedName>
    <definedName function="false" hidden="false" name="FaceValue" vbProcedure="false">Assumptions!$C$31</definedName>
    <definedName function="false" hidden="false" name="HoldPeriods" vbProcedure="false">Assumptions!$C$34</definedName>
    <definedName function="false" hidden="false" name="HurdleIRR" vbProcedure="false">Assumptions!$C$37</definedName>
    <definedName function="false" hidden="false" name="MinOperatingCash" vbProcedure="false">Assumptions!$C$12</definedName>
    <definedName function="false" hidden="false" name="PurchasePrice" vbProcedure="false">Assumptions!$C$32</definedName>
    <definedName function="false" hidden="false" name="RecoveryOverride" vbProcedure="false">Assumptions!$C$14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<sst xmlns="http://schemas.openxmlformats.org/spreadsheetml/2006/main" count="22442" uniqueCount="689">
  <si>
    <t xml:space="preserve">CreditIQ — Brightwater Retail Holdings credit underwriting model</t>
  </si>
  <si>
    <t xml:space="preserve">DEMO DATA  ·  DEMO INVESTMENT TERMS  ·  $ in millions  ·  as of 2026-03-31</t>
  </si>
  <si>
    <t xml:space="preserve">Model status</t>
  </si>
  <si>
    <t xml:space="preserve">Active scenario</t>
  </si>
  <si>
    <t xml:space="preserve">Recommendation (rule-based; see Investment Summary)</t>
  </si>
  <si>
    <t xml:space="preserve">Colour conventions</t>
  </si>
  <si>
    <t xml:space="preserve">Blue on pale yellow</t>
  </si>
  <si>
    <t xml:space="preserve">Hardcoded input: sourced historical data, explicit assumption, scenario / transaction / macro input, covenant threshold, sensitivity axis, structural block parameter.</t>
  </si>
  <si>
    <t xml:space="preserve">Black</t>
  </si>
  <si>
    <t xml:space="preserve">Formula or calculation. No outputs, subtotals or metrics are hardcoded anywhere in this workbook.</t>
  </si>
  <si>
    <t xml:space="preserve">Green</t>
  </si>
  <si>
    <t xml:space="preserve">Direct link to a cell on another worksheet.</t>
  </si>
  <si>
    <t xml:space="preserve">Grey fill</t>
  </si>
  <si>
    <t xml:space="preserve">Labels and headers.</t>
  </si>
  <si>
    <t xml:space="preserve">Flow of logic</t>
  </si>
  <si>
    <t xml:space="preserve">Assumptions + Historical → Operating Model → Debt Schedule ↔ Cash Flow → Credit Metrics &amp; Covenants → Recovery → Returns → Sensitivities → Investment Summary</t>
  </si>
  <si>
    <t xml:space="preserve">Data classes</t>
  </si>
  <si>
    <t xml:space="preserve">PUBLIC FILING = reported inputs · ANALYST PROJECTION = scenario drivers · UNDERWRITING ASSUMPTION = hypothetical purchase price / terms · DEMO = fictional</t>
  </si>
  <si>
    <t xml:space="preserve">Tabs</t>
  </si>
  <si>
    <t xml:space="preserve">Assumptions</t>
  </si>
  <si>
    <t xml:space="preserve">All inputs, scenario drivers, covenants, selector</t>
  </si>
  <si>
    <t xml:space="preserve">Historical Financials</t>
  </si>
  <si>
    <t xml:space="preserve">Sourced statements; derived lines and LTM calculated</t>
  </si>
  <si>
    <t xml:space="preserve">Operating Model</t>
  </si>
  <si>
    <t xml:space="preserve">Income statement and FCF, history + projection</t>
  </si>
  <si>
    <t xml:space="preserve">Debt Schedule</t>
  </si>
  <si>
    <t xml:space="preserve">Per-tranche roll-forward, floors, PIK, refinancing test, sweep</t>
  </si>
  <si>
    <t xml:space="preserve">Cash Flow</t>
  </si>
  <si>
    <t xml:space="preserve">Cash waterfall, funding gap, default test</t>
  </si>
  <si>
    <t xml:space="preserve">Credit Metrics</t>
  </si>
  <si>
    <t xml:space="preserve">Ratios, covenant compliance, transparent credit score</t>
  </si>
  <si>
    <t xml:space="preserve">Scenarios</t>
  </si>
  <si>
    <t xml:space="preserve">Base / Downside / Severe side by side + reconciliation</t>
  </si>
  <si>
    <t xml:space="preserve">Capital Structure</t>
  </si>
  <si>
    <t xml:space="preserve">Tranches, leverage through the stack, maturity wall &amp; refinancing requirement</t>
  </si>
  <si>
    <t xml:space="preserve">Recovery</t>
  </si>
  <si>
    <t xml:space="preserve">Seniority waterfall with collateral pools and deficiency claims</t>
  </si>
  <si>
    <t xml:space="preserve">Returns</t>
  </si>
  <si>
    <t xml:space="preserve">Face, price, coupon, yield, recovery; IRR, XIRR, MOIC</t>
  </si>
  <si>
    <t xml:space="preserve">Sensitivities</t>
  </si>
  <si>
    <t xml:space="preserve">Seven formula-driven tables</t>
  </si>
  <si>
    <t xml:space="preserve">Investment Summary</t>
  </si>
  <si>
    <t xml:space="preserve">Live outputs, recommendation evidence, integrity checks</t>
  </si>
  <si>
    <t xml:space="preserve">Sources</t>
  </si>
  <si>
    <t xml:space="preserve">Datapoint register: filing, page, URL, model cell</t>
  </si>
  <si>
    <t xml:space="preserve">Calc Engine</t>
  </si>
  <si>
    <t xml:space="preserve">Supporting: 63 simultaneous model runs</t>
  </si>
  <si>
    <t xml:space="preserve">Validation: docs/MODEL_VALIDATION.md · Audit: scripts/audit_model.py · Change-impact harness: scripts/model_harness.py</t>
  </si>
  <si>
    <t xml:space="preserve">Assumptions — Brightwater Retail Holdings: all explicit inputs live on this tab</t>
  </si>
  <si>
    <t xml:space="preserve">DEMO DATA · DEMO INVESTMENT TERMS · Blue on pale yellow = hardcoded input · Black = formula · Green = link to another sheet · $ in millions</t>
  </si>
  <si>
    <t xml:space="preserve">1. General &amp; model settings</t>
  </si>
  <si>
    <t xml:space="preserve">Company</t>
  </si>
  <si>
    <t xml:space="preserve">Brightwater Retail Holdings</t>
  </si>
  <si>
    <t xml:space="preserve">Base period label (year in which the base / LTM period ends)</t>
  </si>
  <si>
    <t xml:space="preserve">Fiscal-period end month (12 = calendar FY; 6 = LTM June periods)</t>
  </si>
  <si>
    <t xml:space="preserve">As-of / entry date</t>
  </si>
  <si>
    <t xml:space="preserve">Cash tax rate on positive EBT</t>
  </si>
  <si>
    <t xml:space="preserve">% of EBT</t>
  </si>
  <si>
    <t xml:space="preserve">ACTIVE SCENARIO selector (1=Base, 2=Downside, 3=Severe)</t>
  </si>
  <si>
    <t xml:space="preserve">select 1 / 2 / 3</t>
  </si>
  <si>
    <t xml:space="preserve">Cash &amp; equivalents at base date (balance sheet)</t>
  </si>
  <si>
    <t xml:space="preserve">$M</t>
  </si>
  <si>
    <t xml:space="preserve">Minimum operating cash</t>
  </si>
  <si>
    <t xml:space="preserve">Cash sweep (% of excess cash applied to prepayable debt)</t>
  </si>
  <si>
    <t xml:space="preserve">%</t>
  </si>
  <si>
    <t xml:space="preserve">Recovery value override (leave blank = model-derived)</t>
  </si>
  <si>
    <t xml:space="preserve">$M, optional</t>
  </si>
  <si>
    <t xml:space="preserve">Administrative / DIP costs</t>
  </si>
  <si>
    <t xml:space="preserve">% of recovery value</t>
  </si>
  <si>
    <t xml:space="preserve">Accrued unpaid interest included in claims</t>
  </si>
  <si>
    <t xml:space="preserve">months</t>
  </si>
  <si>
    <t xml:space="preserve">Rank at which secured deficiency claims join general creditors</t>
  </si>
  <si>
    <t xml:space="preserve">Maturity alert window</t>
  </si>
  <si>
    <t xml:space="preserve">periods from base</t>
  </si>
  <si>
    <t xml:space="preserve">Materiality threshold for maturity alert</t>
  </si>
  <si>
    <t xml:space="preserve">% of total debt</t>
  </si>
  <si>
    <t xml:space="preserve">Concentration threshold (single-period maturities)</t>
  </si>
  <si>
    <t xml:space="preserve">Market-implied EV / EBITDA (analyst assumption)</t>
  </si>
  <si>
    <t xml:space="preserve">x</t>
  </si>
  <si>
    <t xml:space="preserve">Credit score: maturity-risk window</t>
  </si>
  <si>
    <t xml:space="preserve">periods</t>
  </si>
  <si>
    <t xml:space="preserve">2. Collateral / asset base (recovery &amp; LTV)</t>
  </si>
  <si>
    <t xml:space="preserve">Illustrative appraised / collateral value (DEMO)</t>
  </si>
  <si>
    <t xml:space="preserve">Appraised / collateral asset base</t>
  </si>
  <si>
    <t xml:space="preserve">Total asset base</t>
  </si>
  <si>
    <t xml:space="preserve">3. Transaction / position being underwritten  —  DEMO INVESTMENT TERMS</t>
  </si>
  <si>
    <t xml:space="preserve">Target tranche # (row in the debt table below)</t>
  </si>
  <si>
    <t xml:space="preserve">Face value held (legal claim)</t>
  </si>
  <si>
    <t xml:space="preserve">Purchase price / OID (UNDERWRITING ASSUMPTION)</t>
  </si>
  <si>
    <t xml:space="preserve">% of face</t>
  </si>
  <si>
    <t xml:space="preserve">Transaction fees</t>
  </si>
  <si>
    <t xml:space="preserve">% of cost</t>
  </si>
  <si>
    <t xml:space="preserve">Hold period (whole years, 1-5)</t>
  </si>
  <si>
    <t xml:space="preserve">Coupon payments per year on target tranche (contractual-timing cross-check only)</t>
  </si>
  <si>
    <t xml:space="preserve">per year</t>
  </si>
  <si>
    <t xml:space="preserve">Default → recovery cash receipt lag</t>
  </si>
  <si>
    <t xml:space="preserve">Required IRR (hurdle)</t>
  </si>
  <si>
    <t xml:space="preserve">Minimum acceptable downside IRR</t>
  </si>
  <si>
    <t xml:space="preserve">Minimum yield to maturity</t>
  </si>
  <si>
    <t xml:space="preserve">Maximum net leverage (net debt / EBITDA)</t>
  </si>
  <si>
    <t xml:space="preserve">Minimum downside recovery</t>
  </si>
  <si>
    <t xml:space="preserve">Minimum covenant headroom (base case)</t>
  </si>
  <si>
    <t xml:space="preserve">Decision rule: secondary test failures tolerated for PROCEED</t>
  </si>
  <si>
    <t xml:space="preserve">count</t>
  </si>
  <si>
    <t xml:space="preserve">Decision rule: core test failures that force PASS</t>
  </si>
  <si>
    <t xml:space="preserve">Unresolved high-priority diligence items (from the CreditIQ diligence tracker)</t>
  </si>
  <si>
    <t xml:space="preserve">4. Macro assumptions</t>
  </si>
  <si>
    <t xml:space="preserve">Model period</t>
  </si>
  <si>
    <t xml:space="preserve">Base rate (SOFR) curve — DEMO assumption</t>
  </si>
  <si>
    <t xml:space="preserve">% p.a.</t>
  </si>
  <si>
    <t xml:space="preserve">5. Debt tranches (list in order of cash-repayment priority; rank 1 = most senior, equal rank = pari passu)</t>
  </si>
  <si>
    <t xml:space="preserve">Facility</t>
  </si>
  <si>
    <t xml:space="preserve">Type</t>
  </si>
  <si>
    <t xml:space="preserve">Face / principal $M</t>
  </si>
  <si>
    <t xml:space="preserve">Commit. $M</t>
  </si>
  <si>
    <t xml:space="preserve">Fixed coupon</t>
  </si>
  <si>
    <t xml:space="preserve">Spread (floating)</t>
  </si>
  <si>
    <t xml:space="preserve">SOFR floor</t>
  </si>
  <si>
    <t xml:space="preserve">PIK rate</t>
  </si>
  <si>
    <t xml:space="preserve">Floating (1/0)</t>
  </si>
  <si>
    <t xml:space="preserve">Maturity date</t>
  </si>
  <si>
    <t xml:space="preserve">Maturity period</t>
  </si>
  <si>
    <t xml:space="preserve">Amort. % orig</t>
  </si>
  <si>
    <t xml:space="preserve">Rank</t>
  </si>
  <si>
    <t xml:space="preserve">Prepay (1/0)</t>
  </si>
  <si>
    <t xml:space="preserve">Secured (1/0)</t>
  </si>
  <si>
    <t xml:space="preserve">Revolver (1/0)</t>
  </si>
  <si>
    <t xml:space="preserve">Collateral share</t>
  </si>
  <si>
    <t xml:space="preserve">Mark / price</t>
  </si>
  <si>
    <t xml:space="preserve">Call protection / collateral</t>
  </si>
  <si>
    <t xml:space="preserve">ABL Revolver</t>
  </si>
  <si>
    <t xml:space="preserve">revolver</t>
  </si>
  <si>
    <t xml:space="preserve">First-Lien Term Loan</t>
  </si>
  <si>
    <t xml:space="preserve">term_loan</t>
  </si>
  <si>
    <t xml:space="preserve">Second-Lien Notes 11.0%</t>
  </si>
  <si>
    <t xml:space="preserve">second_lien</t>
  </si>
  <si>
    <t xml:space="preserve">Senior Unsecured Notes 7.5%</t>
  </si>
  <si>
    <t xml:space="preserve">unsecured_notes</t>
  </si>
  <si>
    <t xml:space="preserve">Floating tranches: all-in rate = MAX(SOFR, floor) + spread + scenario shock. Fixed: coupon. Interest accrues on beginning balances (no circularity). Maturity period = YEAR(date) + 1 if month &gt; period-end month.</t>
  </si>
  <si>
    <t xml:space="preserve">6. Covenants (thresholds per model period). Disclosed = in issuer documents; Hypothetical = UNDERWRITING ASSUMPTION; inactive covenants are shown for reference only</t>
  </si>
  <si>
    <t xml:space="preserve">Covenant</t>
  </si>
  <si>
    <t xml:space="preserve">Basis</t>
  </si>
  <si>
    <t xml:space="preserve">Active (1/0)</t>
  </si>
  <si>
    <t xml:space="preserve">Reported ratio</t>
  </si>
  <si>
    <t xml:space="preserve">Maximum net leverage</t>
  </si>
  <si>
    <t xml:space="preserve">maxNetLeverage</t>
  </si>
  <si>
    <t xml:space="preserve">hypothetical</t>
  </si>
  <si>
    <t xml:space="preserve">7. Scenario assumptions (selected via ACTIVE SCENARIO; all three run simultaneously on Calc Engine)</t>
  </si>
  <si>
    <t xml:space="preserve">Base Case</t>
  </si>
  <si>
    <t xml:space="preserve">Revenue growth</t>
  </si>
  <si>
    <t xml:space="preserve">Gross margin</t>
  </si>
  <si>
    <t xml:space="preserve">EBITDA margin</t>
  </si>
  <si>
    <t xml:space="preserve">Net asset-sale proceeds ($M)</t>
  </si>
  <si>
    <t xml:space="preserve">Capex</t>
  </si>
  <si>
    <t xml:space="preserve">% of revenue</t>
  </si>
  <si>
    <t xml:space="preserve">Working-capital investment</t>
  </si>
  <si>
    <t xml:space="preserve">% of Δ revenue</t>
  </si>
  <si>
    <t xml:space="preserve">Other cash items (+ outflow; incl. distributions, programming timing)</t>
  </si>
  <si>
    <t xml:space="preserve">Floating-rate shock</t>
  </si>
  <si>
    <t xml:space="preserve">% added to floating rates</t>
  </si>
  <si>
    <t xml:space="preserve">Refinancing rate (post-maturity)</t>
  </si>
  <si>
    <t xml:space="preserve">Market access: max net leverage to refinance</t>
  </si>
  <si>
    <t xml:space="preserve">Market access: min EBITDA / pro-forma interest</t>
  </si>
  <si>
    <t xml:space="preserve">Exit EV / EBITDA multiple</t>
  </si>
  <si>
    <t xml:space="preserve">Exit price if no default (cap, % of face)</t>
  </si>
  <si>
    <t xml:space="preserve">Distressed EV / EBITDA multiple (going concern)</t>
  </si>
  <si>
    <t xml:space="preserve">Asset value decline</t>
  </si>
  <si>
    <t xml:space="preserve">Liquidation recovery on asset base</t>
  </si>
  <si>
    <t xml:space="preserve">Scenario probability</t>
  </si>
  <si>
    <t xml:space="preserve">Downside</t>
  </si>
  <si>
    <t xml:space="preserve">Severe Downside</t>
  </si>
  <si>
    <t xml:space="preserve">Probabilities sum to</t>
  </si>
  <si>
    <t xml:space="preserve">8. Credit score methodology (transparent, linear between thresholds)</t>
  </si>
  <si>
    <t xml:space="preserve">Factor</t>
  </si>
  <si>
    <t xml:space="preserve">Unit</t>
  </si>
  <si>
    <t xml:space="preserve">Weight</t>
  </si>
  <si>
    <t xml:space="preserve">Best (full pts)</t>
  </si>
  <si>
    <t xml:space="preserve">Worst (0 pts)</t>
  </si>
  <si>
    <t xml:space="preserve">Net leverage</t>
  </si>
  <si>
    <t xml:space="preserve">Interest coverage</t>
  </si>
  <si>
    <t xml:space="preserve">x EBITDA/int</t>
  </si>
  <si>
    <t xml:space="preserve">Liquidity / next-period obligations</t>
  </si>
  <si>
    <t xml:space="preserve">FCF / debt</t>
  </si>
  <si>
    <t xml:space="preserve">Debt maturing within window</t>
  </si>
  <si>
    <t xml:space="preserve">% of debt</t>
  </si>
  <si>
    <t xml:space="preserve">Margin stability (σ)</t>
  </si>
  <si>
    <t xml:space="preserve">pts</t>
  </si>
  <si>
    <t xml:space="preserve">Revenue stability (σ)</t>
  </si>
  <si>
    <t xml:space="preserve">Asset coverage</t>
  </si>
  <si>
    <t xml:space="preserve">x debt</t>
  </si>
  <si>
    <t xml:space="preserve">Industry risk factor (0-1; analyst input)</t>
  </si>
  <si>
    <t xml:space="preserve">0-1</t>
  </si>
  <si>
    <t xml:space="preserve">Industry risk factor for this company (analyst input)</t>
  </si>
  <si>
    <t xml:space="preserve">Weights sum to</t>
  </si>
  <si>
    <t xml:space="preserve">9. Risk bands</t>
  </si>
  <si>
    <t xml:space="preserve">Low risk if score ≥</t>
  </si>
  <si>
    <t xml:space="preserve">Moderate if ≥</t>
  </si>
  <si>
    <t xml:space="preserve">Elevated if ≥ (else High)</t>
  </si>
  <si>
    <t xml:space="preserve">Historical Financials — Brightwater Retail Holdings</t>
  </si>
  <si>
    <t xml:space="preserve">DEMO data (fictional, illustrative). All subtotals, EBITDA, EBIT, net income, FCF and LTM columns are formulas.</t>
  </si>
  <si>
    <t xml:space="preserve">US$ millions</t>
  </si>
  <si>
    <t xml:space="preserve">FY2022A</t>
  </si>
  <si>
    <t xml:space="preserve">FY2023A</t>
  </si>
  <si>
    <t xml:space="preserve">FY2024A</t>
  </si>
  <si>
    <t xml:space="preserve">FY2025A</t>
  </si>
  <si>
    <t xml:space="preserve">Source datapoint IDs (see Sources tab)</t>
  </si>
  <si>
    <t xml:space="preserve">A. Reported inputs</t>
  </si>
  <si>
    <t xml:space="preserve">Revenue</t>
  </si>
  <si>
    <t xml:space="preserve">DEMO input</t>
  </si>
  <si>
    <t xml:space="preserve">COGS</t>
  </si>
  <si>
    <t xml:space="preserve">Operating expenses (cash, ex-D&amp;A)</t>
  </si>
  <si>
    <t xml:space="preserve">Depreciation &amp; amortization</t>
  </si>
  <si>
    <t xml:space="preserve">Interest expense</t>
  </si>
  <si>
    <t xml:space="preserve">Taxes</t>
  </si>
  <si>
    <t xml:space="preserve">Increase in working capital</t>
  </si>
  <si>
    <t xml:space="preserve">Share-based compensation add-back (none applied for this company)</t>
  </si>
  <si>
    <t xml:space="preserve">B. Standardized statements (calculated)</t>
  </si>
  <si>
    <t xml:space="preserve">Direct costs / COGS</t>
  </si>
  <si>
    <t xml:space="preserve">Gross profit (NOI for real estate)</t>
  </si>
  <si>
    <t xml:space="preserve">Operating expenses, cash &amp; adjusted (excl. D&amp;A and non-cash add-backs)</t>
  </si>
  <si>
    <t xml:space="preserve">EBITDA (company-adjusted basis)</t>
  </si>
  <si>
    <t xml:space="preserve">Share-based compensation (non-cash add-back)</t>
  </si>
  <si>
    <t xml:space="preserve">EBIT (EBITDA − D&amp;A − SBC)</t>
  </si>
  <si>
    <t xml:space="preserve">EBT</t>
  </si>
  <si>
    <t xml:space="preserve">Income taxes</t>
  </si>
  <si>
    <t xml:space="preserve">Net income (model basis; excludes impairments and one-offs)</t>
  </si>
  <si>
    <t xml:space="preserve">Capex (incl. leasing costs where applicable)</t>
  </si>
  <si>
    <t xml:space="preserve">Free cash flow (NI + D&amp;A + SBC − capex − ΔNWC)</t>
  </si>
  <si>
    <t xml:space="preserve">C. Ratios &amp; checks (calculated)</t>
  </si>
  <si>
    <t xml:space="preserve">Revenue growth (YoY)</t>
  </si>
  <si>
    <t xml:space="preserve">EBITDA growth (YoY)</t>
  </si>
  <si>
    <t xml:space="preserve">Operating Model — selected scenario (assumptions → statements)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</si>
  <si>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</si>
  <si>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</si>
  <si>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</si>
  <si>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</si>
  <si>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</si>
  <si>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Operating drivers (selected scenario → Assumptions)</t>
  </si>
  <si>
    <t xml:space="preserve">Model period (year in which the period ends)</t>
  </si>
  <si>
    <t xml:space="preserve">Projection period #</t>
  </si>
  <si>
    <t xml:space="preserve">Income statement ($M)</t>
  </si>
  <si>
    <t xml:space="preserve">Operating expenses (implied: gross profit − EBITDA)</t>
  </si>
  <si>
    <t xml:space="preserve">EBITDA</t>
  </si>
  <si>
    <t xml:space="preserve">D&amp;A</t>
  </si>
  <si>
    <t xml:space="preserve">Share-based compensation (non-cash)</t>
  </si>
  <si>
    <t xml:space="preserve">EBIT</t>
  </si>
  <si>
    <t xml:space="preserve">  Cash interest expense (Debt Schedule)</t>
  </si>
  <si>
    <t xml:space="preserve">  PIK interest (non-cash)</t>
  </si>
  <si>
    <t xml:space="preserve">Net income (model basis)</t>
  </si>
  <si>
    <t xml:space="preserve">Free cash flow build ($M)</t>
  </si>
  <si>
    <t xml:space="preserve">Working capital &amp; other cash items (+ = outflow)</t>
  </si>
  <si>
    <t xml:space="preserve">Free cash flow (NI + D&amp;A + SBC + PIK − capex − ΔNWC/other)</t>
  </si>
  <si>
    <t xml:space="preserve">Debt Schedule — tranche roll-forward, rates, PIK, refinancing test, cash sweep</t>
  </si>
  <si>
    <t xml:space="preserve">Rates &amp; market-access (refinancing) test</t>
  </si>
  <si>
    <t xml:space="preserve">Base rate (SOFR)</t>
  </si>
  <si>
    <t xml:space="preserve">Floating-rate shock (selected scenario)</t>
  </si>
  <si>
    <t xml:space="preserve">Refinancing rate (selected scenario)</t>
  </si>
  <si>
    <t xml:space="preserve">Max net leverage to refinance</t>
  </si>
  <si>
    <t xml:space="preserve">Min pro-forma coverage to refinance</t>
  </si>
  <si>
    <t xml:space="preserve">Beginning total debt</t>
  </si>
  <si>
    <t xml:space="preserve">Beginning cash</t>
  </si>
  <si>
    <t xml:space="preserve">Pro-forma interest for refinancing test</t>
  </si>
  <si>
    <t xml:space="preserve">Market access to refinance? (1 = yes)</t>
  </si>
  <si>
    <t xml:space="preserve">Tranche 1: ABL Revolver</t>
  </si>
  <si>
    <t xml:space="preserve">  Beginning balance</t>
  </si>
  <si>
    <t xml:space="preserve">  Maturing this period? (1 = yes)</t>
  </si>
  <si>
    <t xml:space="preserve">  All-in interest rate applied</t>
  </si>
  <si>
    <t xml:space="preserve">  Cash interest expense</t>
  </si>
  <si>
    <t xml:space="preserve">  PIK interest</t>
  </si>
  <si>
    <t xml:space="preserve">  Mandatory amortization</t>
  </si>
  <si>
    <t xml:space="preserve">  New borrowing (revolver draw)</t>
  </si>
  <si>
    <t xml:space="preserve">  Repayment at maturity (from available cash)</t>
  </si>
  <si>
    <t xml:space="preserve">  Optional repayment (cash sweep)</t>
  </si>
  <si>
    <t xml:space="preserve">  Unpaid at maturity (no refinancing, insufficient cash)</t>
  </si>
  <si>
    <t xml:space="preserve">  Ending balance</t>
  </si>
  <si>
    <t xml:space="preserve">Tranche 2: First-Lien Term Loan</t>
  </si>
  <si>
    <t xml:space="preserve">Tranche 3: Second-Lien Notes 11.0%</t>
  </si>
  <si>
    <t xml:space="preserve">Tranche 4: Senior Unsecured Notes 7.5%</t>
  </si>
  <si>
    <t xml:space="preserve">Totals</t>
  </si>
  <si>
    <t xml:space="preserve">Total debt — ending</t>
  </si>
  <si>
    <t xml:space="preserve">Contractual maturities by period (from maturity flags)</t>
  </si>
  <si>
    <t xml:space="preserve">Refinancing risk engine — result per maturing tranche</t>
  </si>
  <si>
    <t xml:space="preserve">  Tranche 1: balance at maturity</t>
  </si>
  <si>
    <t xml:space="preserve">  Tranche 1: repaid from cash at maturity</t>
  </si>
  <si>
    <t xml:space="preserve">  Tranche 1: refinancing test</t>
  </si>
  <si>
    <t xml:space="preserve">  Tranche 1: resolution</t>
  </si>
  <si>
    <t xml:space="preserve">  Tranche 2: balance at maturity</t>
  </si>
  <si>
    <t xml:space="preserve">  Tranche 2: repaid from cash at maturity</t>
  </si>
  <si>
    <t xml:space="preserve">  Tranche 2: refinancing test</t>
  </si>
  <si>
    <t xml:space="preserve">  Tranche 2: resolution</t>
  </si>
  <si>
    <t xml:space="preserve">  Tranche 3: balance at maturity</t>
  </si>
  <si>
    <t xml:space="preserve">  Tranche 3: repaid from cash at maturity</t>
  </si>
  <si>
    <t xml:space="preserve">  Tranche 3: refinancing test</t>
  </si>
  <si>
    <t xml:space="preserve">  Tranche 3: resolution</t>
  </si>
  <si>
    <t xml:space="preserve">  Tranche 4: balance at maturity</t>
  </si>
  <si>
    <t xml:space="preserve">  Tranche 4: repaid from cash at maturity</t>
  </si>
  <si>
    <t xml:space="preserve">  Tranche 4: refinancing test</t>
  </si>
  <si>
    <t xml:space="preserve">  Tranche 4: resolution</t>
  </si>
  <si>
    <t xml:space="preserve">Refinancing failures (count of maturing tranches)</t>
  </si>
  <si>
    <t xml:space="preserve">Cash Flow &amp; Liquidity — cash waterfall and default test</t>
  </si>
  <si>
    <t xml:space="preserve">Cash flow &amp; liquidity waterfall ($M)</t>
  </si>
  <si>
    <t xml:space="preserve">Free cash flow (from Operating Model)</t>
  </si>
  <si>
    <t xml:space="preserve">Plus: net asset-sale proceeds</t>
  </si>
  <si>
    <t xml:space="preserve">Less: mandatory amortization</t>
  </si>
  <si>
    <t xml:space="preserve">Cash after mandatory debt service</t>
  </si>
  <si>
    <t xml:space="preserve">Plus: revolver draw</t>
  </si>
  <si>
    <t xml:space="preserve">Cash available for maturities</t>
  </si>
  <si>
    <t xml:space="preserve">Less: repayment of maturing debt</t>
  </si>
  <si>
    <t xml:space="preserve">Cash before sweep</t>
  </si>
  <si>
    <t xml:space="preserve">Funding gap (shortfall after cash &amp; revolver)</t>
  </si>
  <si>
    <t xml:space="preserve">Excess cash available for sweep</t>
  </si>
  <si>
    <t xml:space="preserve">Less: optional repayment (cash sweep)</t>
  </si>
  <si>
    <t xml:space="preserve">Ending cash</t>
  </si>
  <si>
    <t xml:space="preserve">Unpaid maturities (balance left outstanding)</t>
  </si>
  <si>
    <t xml:space="preserve">Payment default? (1 = yes)</t>
  </si>
  <si>
    <t xml:space="preserve">First default period flag</t>
  </si>
  <si>
    <t xml:space="preserve">Check: Δ debt = draws + PIK − repayments</t>
  </si>
  <si>
    <t xml:space="preserve">Credit Metrics, Covenants &amp; Credit Score</t>
  </si>
  <si>
    <t xml:space="preserve">Credit metrics (selected scenario)</t>
  </si>
  <si>
    <t xml:space="preserve">Total debt (face value)</t>
  </si>
  <si>
    <t xml:space="preserve">Secured debt</t>
  </si>
  <si>
    <t xml:space="preserve">Net debt</t>
  </si>
  <si>
    <t xml:space="preserve">Gross debt / EBITDA</t>
  </si>
  <si>
    <t xml:space="preserve">Net debt / EBITDA</t>
  </si>
  <si>
    <t xml:space="preserve">Interest coverage (EBITDA / cash interest)</t>
  </si>
  <si>
    <t xml:space="preserve">EBIT / interest</t>
  </si>
  <si>
    <t xml:space="preserve">Debt service coverage ((EBITDA − capex − tax) / (cash interest + amortization))</t>
  </si>
  <si>
    <t xml:space="preserve">Liquidity (cash + undrawn revolver)</t>
  </si>
  <si>
    <t xml:space="preserve">Debt / capital (debt + implied equity)</t>
  </si>
  <si>
    <t xml:space="preserve">Cash / debt</t>
  </si>
  <si>
    <t xml:space="preserve">Asset value after scenario decline</t>
  </si>
  <si>
    <t xml:space="preserve">Covenant compliance (active covenants; tests use model-basis metrics)</t>
  </si>
  <si>
    <t xml:space="preserve">  Maximum net leverage  [HYPOTHETICAL]</t>
  </si>
  <si>
    <t xml:space="preserve">    Metric</t>
  </si>
  <si>
    <t xml:space="preserve">    Covenant threshold</t>
  </si>
  <si>
    <t xml:space="preserve">    Headroom</t>
  </si>
  <si>
    <t xml:space="preserve">    Headroom % of threshold</t>
  </si>
  <si>
    <t xml:space="preserve">    BREACH? (1 = yes)</t>
  </si>
  <si>
    <t xml:space="preserve">    First breach period (0 = none)</t>
  </si>
  <si>
    <t xml:space="preserve">    Minimum headroom %</t>
  </si>
  <si>
    <t xml:space="preserve">Covenant breaches (count, all active covenants)</t>
  </si>
  <si>
    <t xml:space="preserve">Total breaches across projection</t>
  </si>
  <si>
    <t xml:space="preserve">Minimum covenant headroom % (all active covenants)</t>
  </si>
  <si>
    <t xml:space="preserve">Credit score — transparent, formula-driven (base period; weights &amp; thresholds on Assumptions §8)</t>
  </si>
  <si>
    <t xml:space="preserve">Value</t>
  </si>
  <si>
    <t xml:space="preserve">Best</t>
  </si>
  <si>
    <t xml:space="preserve">Worst</t>
  </si>
  <si>
    <t xml:space="preserve">Points</t>
  </si>
  <si>
    <t xml:space="preserve">Score %</t>
  </si>
  <si>
    <t xml:space="preserve">Projected value (period 1, selected scenario)</t>
  </si>
  <si>
    <t xml:space="preserve">Projected points</t>
  </si>
  <si>
    <t xml:space="preserve">Net leverage (net debt / EBITDA)</t>
  </si>
  <si>
    <t xml:space="preserve">Interest coverage (EBITDA / interest)</t>
  </si>
  <si>
    <t xml:space="preserve">Liquidity ratio (liquidity / next-period obligations)</t>
  </si>
  <si>
    <t xml:space="preserve">FCF / total debt</t>
  </si>
  <si>
    <t xml:space="preserve">Share of debt maturing within window</t>
  </si>
  <si>
    <t xml:space="preserve">Margin stability (σ of annual EBITDA margin)</t>
  </si>
  <si>
    <t xml:space="preserve">Revenue stability (σ of annual growth)</t>
  </si>
  <si>
    <t xml:space="preserve">Asset coverage (asset base / debt)</t>
  </si>
  <si>
    <t xml:space="preserve">Industry risk factor (analyst input, 0-1)</t>
  </si>
  <si>
    <t xml:space="preserve">Credit score (0-100)</t>
  </si>
  <si>
    <t xml:space="preserve">Risk band</t>
  </si>
  <si>
    <t xml:space="preserve">Each factor earns its weight linearly between the 'worst' threshold (0 pts) and the 'best' threshold (full pts).</t>
  </si>
  <si>
    <t xml:space="preserve">Scenarios — side-by-side (all three run simultaneously on Calc Engine)</t>
  </si>
  <si>
    <t xml:space="preserve">Assumptions (links to Assumptions tab)</t>
  </si>
  <si>
    <t xml:space="preserve">Selected</t>
  </si>
  <si>
    <t xml:space="preserve">Average revenue growth (5 periods)</t>
  </si>
  <si>
    <t xml:space="preserve">Average EBITDA margin (5 periods)</t>
  </si>
  <si>
    <t xml:space="preserve">Refinancing rate</t>
  </si>
  <si>
    <t xml:space="preserve">Market access: max net leverage / min coverage</t>
  </si>
  <si>
    <t xml:space="preserve">Exit multiple / distressed multiple</t>
  </si>
  <si>
    <t xml:space="preserve">Outputs (from Calc Engine)</t>
  </si>
  <si>
    <t xml:space="preserve">FY2030E revenue ($M)</t>
  </si>
  <si>
    <t xml:space="preserve">Trough EBITDA ($M)</t>
  </si>
  <si>
    <t xml:space="preserve">Cumulative FCF, 5 periods ($M)</t>
  </si>
  <si>
    <t xml:space="preserve">Peak net debt / EBITDA</t>
  </si>
  <si>
    <t xml:space="preserve">Minimum EBITDA / cash interest</t>
  </si>
  <si>
    <t xml:space="preserve">Covenant breaches (count of tests failed)</t>
  </si>
  <si>
    <t xml:space="preserve">Refinancing failures (maturing tranches)</t>
  </si>
  <si>
    <t xml:space="preserve">Payment default modelled? (1 = yes)</t>
  </si>
  <si>
    <t xml:space="preserve">Valuation period (default or trough)</t>
  </si>
  <si>
    <t xml:space="preserve">Recovery value used ($M)</t>
  </si>
  <si>
    <t xml:space="preserve">Target-tranche recovery % (valuation waterfall)</t>
  </si>
  <si>
    <t xml:space="preserve">Exit price used (% of face)</t>
  </si>
  <si>
    <t xml:space="preserve">IRR</t>
  </si>
  <si>
    <t xml:space="preserve">MOIC</t>
  </si>
  <si>
    <t xml:space="preserve">Absolute profit ($M)</t>
  </si>
  <si>
    <t xml:space="preserve">Probability-weighted IRR (IRR of expected cash flows)</t>
  </si>
  <si>
    <t xml:space="preserve">Memo: probability-weighted AVERAGE of scenario IRRs (IRR is non-linear, so this is not an IRR)</t>
  </si>
  <si>
    <t xml:space="preserve">Probability-weighted MOIC</t>
  </si>
  <si>
    <t xml:space="preserve">Probability of payment default</t>
  </si>
  <si>
    <t xml:space="preserve">Expected (probability-weighted) position cash flows by period — basis of the probability-weighted IRR</t>
  </si>
  <si>
    <t xml:space="preserve">t=0</t>
  </si>
  <si>
    <t xml:space="preserve">t=1</t>
  </si>
  <si>
    <t xml:space="preserve">t=2</t>
  </si>
  <si>
    <t xml:space="preserve">t=3</t>
  </si>
  <si>
    <t xml:space="preserve">t=4</t>
  </si>
  <si>
    <t xml:space="preserve">t=5</t>
  </si>
  <si>
    <t xml:space="preserve">t=6</t>
  </si>
  <si>
    <t xml:space="preserve">Expected net cash flow ($M)</t>
  </si>
  <si>
    <t xml:space="preserve">Reconciliation: detailed tabs vs Calc Engine (selected scenario)</t>
  </si>
  <si>
    <t xml:space="preserve">Detailed</t>
  </si>
  <si>
    <t xml:space="preserve">Difference</t>
  </si>
  <si>
    <t xml:space="preserve">FY2030E EBITDA</t>
  </si>
  <si>
    <t xml:space="preserve">FY2030E total debt</t>
  </si>
  <si>
    <t xml:space="preserve">FY2030E ending cash</t>
  </si>
  <si>
    <t xml:space="preserve">Cumulative FCF</t>
  </si>
  <si>
    <t xml:space="preserve">Recovery value used</t>
  </si>
  <si>
    <t xml:space="preserve">Covenant breaches</t>
  </si>
  <si>
    <t xml:space="preserve">Capital Structure — tranches, leverage through the stack, maturity wall and refinancing requirement</t>
  </si>
  <si>
    <t xml:space="preserve">Secured?</t>
  </si>
  <si>
    <t xml:space="preserve">Face value</t>
  </si>
  <si>
    <t xml:space="preserve">All-in rate</t>
  </si>
  <si>
    <t xml:space="preserve">Annual interest</t>
  </si>
  <si>
    <t xml:space="preserve">Cum. leverage</t>
  </si>
  <si>
    <t xml:space="preserve">% of capitalization</t>
  </si>
  <si>
    <t xml:space="preserve">Mkt value</t>
  </si>
  <si>
    <t xml:space="preserve">Total debt</t>
  </si>
  <si>
    <t xml:space="preserve">Less: cash</t>
  </si>
  <si>
    <t xml:space="preserve">Enterprise value (base EBITDA × market-implied multiple — analyst assumption)</t>
  </si>
  <si>
    <t xml:space="preserve">Equity (residual: max(0, EV − net debt))</t>
  </si>
  <si>
    <t xml:space="preserve">Asset base (collateral / recovery basis)</t>
  </si>
  <si>
    <t xml:space="preserve">Loan-to-value through target tranche (cumulative debt ÷ asset base)</t>
  </si>
  <si>
    <t xml:space="preserve">Maturity wall (from Debt Schedule maturity flags) — selected scenario liquidity</t>
  </si>
  <si>
    <t xml:space="preserve">Period</t>
  </si>
  <si>
    <t xml:space="preserve">Debt due</t>
  </si>
  <si>
    <t xml:space="preserve">Cumulative %</t>
  </si>
  <si>
    <t xml:space="preserve">Projected liquidity</t>
  </si>
  <si>
    <t xml:space="preserve">Refinancing requirement</t>
  </si>
  <si>
    <t xml:space="preserve">Liquidity ÷ maturity</t>
  </si>
  <si>
    <t xml:space="preserve">Risk</t>
  </si>
  <si>
    <t xml:space="preserve">Flag</t>
  </si>
  <si>
    <t xml:space="preserve">Maturing within horizon / thereafter</t>
  </si>
  <si>
    <t xml:space="preserve">Thereafter (beyond the 5-period horizon)</t>
  </si>
  <si>
    <t xml:space="preserve">Maturity concentration</t>
  </si>
  <si>
    <t xml:space="preserve">Debt due within alert window</t>
  </si>
  <si>
    <t xml:space="preserve">Maturity alert</t>
  </si>
  <si>
    <t xml:space="preserve">Refinancing risk engine — per tranche, selected scenario (see Debt Schedule for the period-by-period test)</t>
  </si>
  <si>
    <t xml:space="preserve">Tranche</t>
  </si>
  <si>
    <t xml:space="preserve">Balance at maturity</t>
  </si>
  <si>
    <t xml:space="preserve">Repaid from cash</t>
  </si>
  <si>
    <t xml:space="preserve">Test</t>
  </si>
  <si>
    <t xml:space="preserve">Resolution</t>
  </si>
  <si>
    <t xml:space="preserve">Recovery — waterfall by seniority (collateral pools, deficiency claims) at the valuation event</t>
  </si>
  <si>
    <t xml:space="preserve">Valuation event (default period, or trough-EBITDA period if no default is modelled)</t>
  </si>
  <si>
    <t xml:space="preserve">Valuation event period flag</t>
  </si>
  <si>
    <t xml:space="preserve">Default modelled? (1 = yes)</t>
  </si>
  <si>
    <t xml:space="preserve">Valuation period</t>
  </si>
  <si>
    <t xml:space="preserve">EBITDA at valuation event</t>
  </si>
  <si>
    <t xml:space="preserve">Cash at valuation event</t>
  </si>
  <si>
    <t xml:space="preserve">Going-concern value (distressed multiple × EBITDA)</t>
  </si>
  <si>
    <t xml:space="preserve">Liquidation value (asset base × (1 − decline) × recovery)</t>
  </si>
  <si>
    <t xml:space="preserve">Model recovery value (greater of the two + cash)</t>
  </si>
  <si>
    <t xml:space="preserve">Recovery value used (override if provided)</t>
  </si>
  <si>
    <t xml:space="preserve">Less: administrative / DIP costs</t>
  </si>
  <si>
    <t xml:space="preserve">Net value distributable to creditors</t>
  </si>
  <si>
    <t xml:space="preserve">Claim at valuation event (balance + accrued interest)</t>
  </si>
  <si>
    <t xml:space="preserve">  Tranche 1: ABL Revolver</t>
  </si>
  <si>
    <t xml:space="preserve">  Tranche 2: First-Lien Term Loan</t>
  </si>
  <si>
    <t xml:space="preserve">  Tranche 3: Second-Lien Notes 11.0%</t>
  </si>
  <si>
    <t xml:space="preserve">  Tranche 4: Senior Unsecured Notes 7.5%</t>
  </si>
  <si>
    <t xml:space="preserve">Seniority rank</t>
  </si>
  <si>
    <t xml:space="preserve">Collateral share (specific lien; 0 = all-asset / pari)</t>
  </si>
  <si>
    <t xml:space="preserve">Paid from own collateral pool</t>
  </si>
  <si>
    <t xml:space="preserve">Deficiency claim (joins general creditors)</t>
  </si>
  <si>
    <t xml:space="preserve">General claim</t>
  </si>
  <si>
    <t xml:space="preserve">General rank</t>
  </si>
  <si>
    <t xml:space="preserve">General claims ahead</t>
  </si>
  <si>
    <t xml:space="preserve">General claims of same rank (pari passu)</t>
  </si>
  <si>
    <t xml:space="preserve">Recovery from general pool</t>
  </si>
  <si>
    <t xml:space="preserve">TOTAL RECOVERY</t>
  </si>
  <si>
    <t xml:space="preserve">Recovery %</t>
  </si>
  <si>
    <t xml:space="preserve">Loss amount</t>
  </si>
  <si>
    <t xml:space="preserve">Loss %</t>
  </si>
  <si>
    <t xml:space="preserve">Equity (residual after all claims)</t>
  </si>
  <si>
    <t xml:space="preserve">Check: recoveries + equity + costs − value (should be 0)</t>
  </si>
  <si>
    <t xml:space="preserve">Returns — face, purchase price, coupon, yield, recovery, IRR and MOIC (selected scenario)</t>
  </si>
  <si>
    <t xml:space="preserve">Value / t=0</t>
  </si>
  <si>
    <t xml:space="preserve">Position &amp; valuation inputs (links) — face value, purchase price, coupon, yield and recovery are distinct</t>
  </si>
  <si>
    <t xml:space="preserve">Target tranche #</t>
  </si>
  <si>
    <t xml:space="preserve">Face value (legal claim)</t>
  </si>
  <si>
    <t xml:space="preserve">Purchase price / OID (% of face)</t>
  </si>
  <si>
    <t xml:space="preserve">Cash investment (face × price × (1 + fees))</t>
  </si>
  <si>
    <t xml:space="preserve">Hold period (periods)</t>
  </si>
  <si>
    <t xml:space="preserve">Default period # (0 = no default)</t>
  </si>
  <si>
    <t xml:space="preserve">Our share of the tranche at the valuation event</t>
  </si>
  <si>
    <t xml:space="preserve">Recovery proceeds to our position if default</t>
  </si>
  <si>
    <t xml:space="preserve">Tranche recovery % at valuation event (waterfall)</t>
  </si>
  <si>
    <t xml:space="preserve">Last coupon period #</t>
  </si>
  <si>
    <t xml:space="preserve">Exit price assumption (no default)</t>
  </si>
  <si>
    <t xml:space="preserve">Exit EV (exit multiple × EBITDA + cash at hold period)</t>
  </si>
  <si>
    <t xml:space="preserve">Claim at exit (balance at hold period)</t>
  </si>
  <si>
    <t xml:space="preserve">Exit price used (lesser of assumption and valuation coverage)</t>
  </si>
  <si>
    <t xml:space="preserve">Principal proceeds received in period #</t>
  </si>
  <si>
    <t xml:space="preserve">Cash flows to the position ($M) — period # 0 … 6</t>
  </si>
  <si>
    <t xml:space="preserve">Period #</t>
  </si>
  <si>
    <t xml:space="preserve">Cash coupon rate on target tranche</t>
  </si>
  <si>
    <t xml:space="preserve">Cash interest received</t>
  </si>
  <si>
    <t xml:space="preserve">Exit proceeds / recovery</t>
  </si>
  <si>
    <t xml:space="preserve">Net cash flow</t>
  </si>
  <si>
    <t xml:space="preserve">Cash interest received (total)</t>
  </si>
  <si>
    <t xml:space="preserve">Exit / recovery proceeds (total)</t>
  </si>
  <si>
    <t xml:space="preserve">Total cash received</t>
  </si>
  <si>
    <t xml:space="preserve">Capital gain / (loss) vs purchase price (proceeds − face × price)</t>
  </si>
  <si>
    <t xml:space="preserve">Absolute profit</t>
  </si>
  <si>
    <t xml:space="preserve">Peak net leverage (projection)</t>
  </si>
  <si>
    <t xml:space="preserve">Minimum interest coverage (projection)</t>
  </si>
  <si>
    <t xml:space="preserve">Cumulative FCF (projection)</t>
  </si>
  <si>
    <t xml:space="preserve">Yield &amp; cross-checks (selected scenario)</t>
  </si>
  <si>
    <t xml:space="preserve">Current yield (year-1 cash coupon ÷ purchase price)</t>
  </si>
  <si>
    <t xml:space="preserve">Yield to maturity (annual coupons to final maturity at par; Excel RATE)</t>
  </si>
  <si>
    <t xml:space="preserve">Dates for XIRR (entry date, then each model-period end)</t>
  </si>
  <si>
    <t xml:space="preserve">XIRR (date-weighted cross-check; Excel XIRR)</t>
  </si>
  <si>
    <t xml:space="preserve">Summary by scenario (from Calc Engine)</t>
  </si>
  <si>
    <t xml:space="preserve">Default modelled?</t>
  </si>
  <si>
    <t xml:space="preserve">Cash investment</t>
  </si>
  <si>
    <t xml:space="preserve">Exit / recovery proceeds</t>
  </si>
  <si>
    <t xml:space="preserve">Capital gain / (loss) vs purchase price</t>
  </si>
  <si>
    <t xml:space="preserve">Recovery % of target tranche (valuation waterfall)</t>
  </si>
  <si>
    <t xml:space="preserve">Contractual-timing cross-check — coupons re-timed to the payment frequency (annual model flows otherwise unchanged)</t>
  </si>
  <si>
    <t xml:space="preserve">Convention: settlement on a coupon date (no accrued interest); coupon = annual coupon cash ÷ payments per year, paid at the end of each sub-period; exit / recovery proceeds on the annual dates. With 1 payment per year this reproduces the annual IRR exactly.</t>
  </si>
  <si>
    <t xml:space="preserve">Sub-periods per annual period (grid columns ÷ annual columns)</t>
  </si>
  <si>
    <t xml:space="preserve">Last sub-period carrying a coupon (5 coupon periods)</t>
  </si>
  <si>
    <t xml:space="preserve">Sub-period #</t>
  </si>
  <si>
    <t xml:space="preserve">Base Case · flows on contractual dates</t>
  </si>
  <si>
    <t xml:space="preserve">Downside · flows on contractual dates</t>
  </si>
  <si>
    <t xml:space="preserve">Severe Downside · flows on contractual dates</t>
  </si>
  <si>
    <t xml:space="preserve">Contractual-timing IRR (annualised effective)</t>
  </si>
  <si>
    <t xml:space="preserve">Expected (probability-weighted) flows on contractual dates</t>
  </si>
  <si>
    <t xml:space="preserve">Probability-weighted IRR on contractual timing (IRR of expected flows)</t>
  </si>
  <si>
    <t xml:space="preserve">(columns C, D, E = Base, Downside, Severe)</t>
  </si>
  <si>
    <t xml:space="preserve">Sensitivities — position IRR / MOIC under Base, Downside and Severe</t>
  </si>
  <si>
    <t xml:space="preserve">Axis values (blue) are inputs. Every cell is a formula: IRR over a cash-flow row, or an IRR / recovery from a full Calc Engine case. No data tables → recalculates in Excel and LibreOffice.</t>
  </si>
  <si>
    <t xml:space="preserve">Table 1 — Purchase price vs IRR</t>
  </si>
  <si>
    <t xml:space="preserve">Purchase price (% of face)</t>
  </si>
  <si>
    <t xml:space="preserve">Offset</t>
  </si>
  <si>
    <t xml:space="preserve">Table 2 — Exit / recovery value (% of face, received at exit or after default) vs IRR</t>
  </si>
  <si>
    <t xml:space="preserve">Proceeds (% of face)</t>
  </si>
  <si>
    <t xml:space="preserve">Table 3 — EBITDA margin shift (all periods) vs IRR — full model re-run</t>
  </si>
  <si>
    <t xml:space="preserve">EBITDA margin shift (pts)</t>
  </si>
  <si>
    <t xml:space="preserve">Table 4 — Revenue growth shift (all periods) vs IRR — full model re-run</t>
  </si>
  <si>
    <t xml:space="preserve">Revenue growth shift (pts)</t>
  </si>
  <si>
    <t xml:space="preserve">Table 5 — Interest rate (SOFR) shift vs IRR — full model re-run (floating coupons and interest burden both move)</t>
  </si>
  <si>
    <t xml:space="preserve">SOFR shift (pts)</t>
  </si>
  <si>
    <t xml:space="preserve">Table 6 — Distressed valuation multiple shift (x) vs target-tranche recovery % (valuation waterfall)</t>
  </si>
  <si>
    <t xml:space="preserve">Multiple shift (x EBITDA)</t>
  </si>
  <si>
    <t xml:space="preserve">Table 7 — Recovery / exit value (% of face) vs MOIC</t>
  </si>
  <si>
    <t xml:space="preserve">Tables 3-6 re-run the operating model, debt schedule, default test and recovery waterfall for every point (Calc Engine cases 4-63).</t>
  </si>
  <si>
    <t xml:space="preserve">Supporting cash flows for Tables 1-2 (period 0 → 6) and resulting IRR</t>
  </si>
  <si>
    <t xml:space="preserve">Case</t>
  </si>
  <si>
    <t xml:space="preserve">Investment Summary — every figure is a live link to the model</t>
  </si>
  <si>
    <t xml:space="preserve">Investment recommendation</t>
  </si>
  <si>
    <t xml:space="preserve">Instrument</t>
  </si>
  <si>
    <t xml:space="preserve">Face value / purchase price / cash investment ($M)</t>
  </si>
  <si>
    <t xml:space="preserve">Base-case IRR</t>
  </si>
  <si>
    <t xml:space="preserve">Downside IRR</t>
  </si>
  <si>
    <t xml:space="preserve">Severe downside IRR</t>
  </si>
  <si>
    <t xml:space="preserve">Base / Downside / Severe MOIC</t>
  </si>
  <si>
    <t xml:space="preserve">Probability-weighted IRR</t>
  </si>
  <si>
    <t xml:space="preserve">Target-tranche recovery — Downside (valuation waterfall)</t>
  </si>
  <si>
    <t xml:space="preserve">Target-tranche recovery — Severe (valuation waterfall)</t>
  </si>
  <si>
    <t xml:space="preserve">Recovery (selected scenario, from Recovery tab)</t>
  </si>
  <si>
    <t xml:space="preserve">Net leverage — base period (FY2025A)</t>
  </si>
  <si>
    <t xml:space="preserve">Interest coverage — base period</t>
  </si>
  <si>
    <t xml:space="preserve">Net leverage — FY2026E (selected scenario)</t>
  </si>
  <si>
    <t xml:space="preserve">Interest coverage — FY2026E (selected scenario)</t>
  </si>
  <si>
    <t xml:space="preserve">Liquidity — FY2026E (selected scenario, $M)</t>
  </si>
  <si>
    <t xml:space="preserve">Covenant breaches (selected scenario, count of failed tests)</t>
  </si>
  <si>
    <t xml:space="preserve">Recommendation evidence (thresholds on Assumptions §3)</t>
  </si>
  <si>
    <t xml:space="preserve">Actual</t>
  </si>
  <si>
    <t xml:space="preserve">Required</t>
  </si>
  <si>
    <t xml:space="preserve">Result</t>
  </si>
  <si>
    <t xml:space="preserve">Core?</t>
  </si>
  <si>
    <t xml:space="preserve">Base-case IRR clears hurdle</t>
  </si>
  <si>
    <t xml:space="preserve">core</t>
  </si>
  <si>
    <t xml:space="preserve">Probability-weighted IRR clears hurdle</t>
  </si>
  <si>
    <t xml:space="preserve">Downside IRR stays above floor</t>
  </si>
  <si>
    <t xml:space="preserve">Downside recovery meets minimum (valuation waterfall)</t>
  </si>
  <si>
    <t xml:space="preserve">Base-case refinancing succeeds (failures = 0)</t>
  </si>
  <si>
    <t xml:space="preserve">Yield to maturity meets minimum</t>
  </si>
  <si>
    <t xml:space="preserve">Net leverage within maximum</t>
  </si>
  <si>
    <t xml:space="preserve">Covenant headroom (base case, minimum)</t>
  </si>
  <si>
    <t xml:space="preserve">Principal protected in severe case (recovery % × 100 ≥ price)</t>
  </si>
  <si>
    <t xml:space="preserve">No unresolved high-priority diligence</t>
  </si>
  <si>
    <t xml:space="preserve">Core test failures</t>
  </si>
  <si>
    <t xml:space="preserve">Secondary test failures</t>
  </si>
  <si>
    <t xml:space="preserve">DECISION (PROCEED / HOLD / PASS)</t>
  </si>
  <si>
    <t xml:space="preserve">Model integrity checks</t>
  </si>
  <si>
    <t xml:space="preserve">Check</t>
  </si>
  <si>
    <t xml:space="preserve">Status</t>
  </si>
  <si>
    <t xml:space="preserve">Scenario probabilities sum to 100%</t>
  </si>
  <si>
    <t xml:space="preserve">Credit score weights sum to 100</t>
  </si>
  <si>
    <t xml:space="preserve">Debt roll-forward bridge (sum of abs. differences)</t>
  </si>
  <si>
    <t xml:space="preserve">Recovery waterfall: recoveries + equity + costs = value</t>
  </si>
  <si>
    <t xml:space="preserve">Detailed tabs reconcile to Calc Engine (sum of abs. diffs)</t>
  </si>
  <si>
    <t xml:space="preserve">Formula errors across model tabs (count)</t>
  </si>
  <si>
    <t xml:space="preserve">OVERALL MODEL STATUS</t>
  </si>
  <si>
    <t xml:space="preserve">Sources — which model input came from which source</t>
  </si>
  <si>
    <t xml:space="preserve">DEMO data: fictional and illustrative; there are no filings behind these inputs. Derived values are formulas, never hardcodes.</t>
  </si>
  <si>
    <t xml:space="preserve">Source document</t>
  </si>
  <si>
    <t xml:space="preserve">Form</t>
  </si>
  <si>
    <t xml:space="preserve">Accession</t>
  </si>
  <si>
    <t xml:space="preserve">Filed</t>
  </si>
  <si>
    <t xml:space="preserve">URL</t>
  </si>
  <si>
    <t xml:space="preserve">Retrieved</t>
  </si>
  <si>
    <t xml:space="preserve">Data type</t>
  </si>
  <si>
    <t xml:space="preserve">Brightwater Retail Holdings — illustrative financial statements FY2022–FY2025</t>
  </si>
  <si>
    <t xml:space="preserve">Income statement / cash flow</t>
  </si>
  <si>
    <t xml:space="preserve">FY2022–FY2025</t>
  </si>
  <si>
    <t xml:space="preserve">2026-03-31</t>
  </si>
  <si>
    <t xml:space="preserve">DEMO</t>
  </si>
  <si>
    <t xml:space="preserve">Brightwater Retail Holdings — illustrative capital structure &amp; covenants</t>
  </si>
  <si>
    <t xml:space="preserve">Debt schedule</t>
  </si>
  <si>
    <t xml:space="preserve">As of 2026-03-31</t>
  </si>
  <si>
    <t xml:space="preserve">Illustrative indicative bid marks (% of par)</t>
  </si>
  <si>
    <t xml:space="preserve">Market price</t>
  </si>
  <si>
    <t xml:space="preserve">Analyst notes, derivations and data-quality caveats</t>
  </si>
  <si>
    <t xml:space="preserve">• All figures are fictional and illustrative.</t>
  </si>
  <si>
    <t xml:space="preserve">Macro: base rate (SOFR) path is an analyst assumption anchored on FRED SOFR; scenario drivers are ANALYST PROJECTIONS; purchase price, fees, hold and covenant thresholds marked hypothetical are UNDERWRITING ASSUMPTIONS.</t>
  </si>
  <si>
    <t xml:space="preserve">Calc Engine — supporting tab: identical model logic run for all scenarios and sensitivity cases</t>
  </si>
  <si>
    <t xml:space="preserve">Cases 1-3 run Base / Downside / Severe simultaneously. Cases 4-63 flex EBITDA margin, revenue growth, SOFR and the distressed multiple (axes on Sensitivities). Same row logic as the detailed tabs; Scenarios › Reconciliation proves the engine ties to them.</t>
  </si>
  <si>
    <t xml:space="preserve">CASE 1: Base Case</t>
  </si>
  <si>
    <t xml:space="preserve">Scenario index (structural input)</t>
  </si>
  <si>
    <t xml:space="preserve">Revenue growth adjustment</t>
  </si>
  <si>
    <t xml:space="preserve">EBITDA margin adjustment</t>
  </si>
  <si>
    <t xml:space="preserve">SOFR shift</t>
  </si>
  <si>
    <t xml:space="preserve">Distressed-multiple shift (x)</t>
  </si>
  <si>
    <t xml:space="preserve">CASE 2: Downside</t>
  </si>
  <si>
    <t xml:space="preserve">CASE 3: Severe Downside</t>
  </si>
  <si>
    <t xml:space="preserve">CASE 4: Base Case · EBITDA margin shift point 1</t>
  </si>
  <si>
    <t xml:space="preserve">CASE 5: Base Case · EBITDA margin shift point 2</t>
  </si>
  <si>
    <t xml:space="preserve">CASE 6: Base Case · EBITDA margin shift point 3</t>
  </si>
  <si>
    <t xml:space="preserve">CASE 7: Base Case · EBITDA margin shift point 4</t>
  </si>
  <si>
    <t xml:space="preserve">CASE 8: Base Case · EBITDA margin shift point 5</t>
  </si>
  <si>
    <t xml:space="preserve">CASE 9: Downside · EBITDA margin shift point 1</t>
  </si>
  <si>
    <t xml:space="preserve">CASE 10: Downside · EBITDA margin shift point 2</t>
  </si>
  <si>
    <t xml:space="preserve">CASE 11: Downside · EBITDA margin shift point 3</t>
  </si>
  <si>
    <t xml:space="preserve">CASE 12: Downside · EBITDA margin shift point 4</t>
  </si>
  <si>
    <t xml:space="preserve">CASE 13: Downside · EBITDA margin shift point 5</t>
  </si>
  <si>
    <t xml:space="preserve">CASE 14: Severe Downside · EBITDA margin shift point 1</t>
  </si>
  <si>
    <t xml:space="preserve">CASE 15: Severe Downside · EBITDA margin shift point 2</t>
  </si>
  <si>
    <t xml:space="preserve">CASE 16: Severe Downside · EBITDA margin shift point 3</t>
  </si>
  <si>
    <t xml:space="preserve">CASE 17: Severe Downside · EBITDA margin shift point 4</t>
  </si>
  <si>
    <t xml:space="preserve">CASE 18: Severe Downside · EBITDA margin shift point 5</t>
  </si>
  <si>
    <t xml:space="preserve">CASE 19: Base Case · revenue growth shift point 1</t>
  </si>
  <si>
    <t xml:space="preserve">CASE 20: Base Case · revenue growth shift point 2</t>
  </si>
  <si>
    <t xml:space="preserve">CASE 21: Base Case · revenue growth shift point 3</t>
  </si>
  <si>
    <t xml:space="preserve">CASE 22: Base Case · revenue growth shift point 4</t>
  </si>
  <si>
    <t xml:space="preserve">CASE 23: Base Case · revenue growth shift point 5</t>
  </si>
  <si>
    <t xml:space="preserve">CASE 24: Downside · revenue growth shift point 1</t>
  </si>
  <si>
    <t xml:space="preserve">CASE 25: Downside · revenue growth shift point 2</t>
  </si>
  <si>
    <t xml:space="preserve">CASE 26: Downside · revenue growth shift point 3</t>
  </si>
  <si>
    <t xml:space="preserve">CASE 27: Downside · revenue growth shift point 4</t>
  </si>
  <si>
    <t xml:space="preserve">CASE 28: Downside · revenue growth shift point 5</t>
  </si>
  <si>
    <t xml:space="preserve">CASE 29: Severe Downside · revenue growth shift point 1</t>
  </si>
  <si>
    <t xml:space="preserve">CASE 30: Severe Downside · revenue growth shift point 2</t>
  </si>
  <si>
    <t xml:space="preserve">CASE 31: Severe Downside · revenue growth shift point 3</t>
  </si>
  <si>
    <t xml:space="preserve">CASE 32: Severe Downside · revenue growth shift point 4</t>
  </si>
  <si>
    <t xml:space="preserve">CASE 33: Severe Downside · revenue growth shift point 5</t>
  </si>
  <si>
    <t xml:space="preserve">CASE 34: Base Case · SOFR shift point 1</t>
  </si>
  <si>
    <t xml:space="preserve">CASE 35: Base Case · SOFR shift point 2</t>
  </si>
  <si>
    <t xml:space="preserve">CASE 36: Base Case · SOFR shift point 3</t>
  </si>
  <si>
    <t xml:space="preserve">CASE 37: Base Case · SOFR shift point 4</t>
  </si>
  <si>
    <t xml:space="preserve">CASE 38: Base Case · SOFR shift point 5</t>
  </si>
  <si>
    <t xml:space="preserve">CASE 39: Downside · SOFR shift point 1</t>
  </si>
  <si>
    <t xml:space="preserve">CASE 40: Downside · SOFR shift point 2</t>
  </si>
  <si>
    <t xml:space="preserve">CASE 41: Downside · SOFR shift point 3</t>
  </si>
  <si>
    <t xml:space="preserve">CASE 42: Downside · SOFR shift point 4</t>
  </si>
  <si>
    <t xml:space="preserve">CASE 43: Downside · SOFR shift point 5</t>
  </si>
  <si>
    <t xml:space="preserve">CASE 44: Severe Downside · SOFR shift point 1</t>
  </si>
  <si>
    <t xml:space="preserve">CASE 45: Severe Downside · SOFR shift point 2</t>
  </si>
  <si>
    <t xml:space="preserve">CASE 46: Severe Downside · SOFR shift point 3</t>
  </si>
  <si>
    <t xml:space="preserve">CASE 47: Severe Downside · SOFR shift point 4</t>
  </si>
  <si>
    <t xml:space="preserve">CASE 48: Severe Downside · SOFR shift point 5</t>
  </si>
  <si>
    <t xml:space="preserve">CASE 49: Base Case · distressed-multiple shift point 1</t>
  </si>
  <si>
    <t xml:space="preserve">CASE 50: Base Case · distressed-multiple shift point 2</t>
  </si>
  <si>
    <t xml:space="preserve">CASE 51: Base Case · distressed-multiple shift point 3</t>
  </si>
  <si>
    <t xml:space="preserve">CASE 52: Base Case · distressed-multiple shift point 4</t>
  </si>
  <si>
    <t xml:space="preserve">CASE 53: Base Case · distressed-multiple shift point 5</t>
  </si>
  <si>
    <t xml:space="preserve">CASE 54: Downside · distressed-multiple shift point 1</t>
  </si>
  <si>
    <t xml:space="preserve">CASE 55: Downside · distressed-multiple shift point 2</t>
  </si>
  <si>
    <t xml:space="preserve">CASE 56: Downside · distressed-multiple shift point 3</t>
  </si>
  <si>
    <t xml:space="preserve">CASE 57: Downside · distressed-multiple shift point 4</t>
  </si>
  <si>
    <t xml:space="preserve">CASE 58: Downside · distressed-multiple shift point 5</t>
  </si>
  <si>
    <t xml:space="preserve">CASE 59: Severe Downside · distressed-multiple shift point 1</t>
  </si>
  <si>
    <t xml:space="preserve">CASE 60: Severe Downside · distressed-multiple shift point 2</t>
  </si>
  <si>
    <t xml:space="preserve">CASE 61: Severe Downside · distressed-multiple shift point 3</t>
  </si>
  <si>
    <t xml:space="preserve">CASE 62: Severe Downside · distressed-multiple shift point 4</t>
  </si>
  <si>
    <t xml:space="preserve">CASE 63: Severe Downside · distressed-multiple shift point 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</si>
</sst>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yyyy\-mm\-dd"/>
    <numFmt numFmtId="167" formatCode="0.0%;\(0.0%\);\–"/>
    <numFmt numFmtId="168" formatCode="#,##0.0;\(#,##0.0\);\–"/>
    <numFmt numFmtId="169" formatCode="0.00\x"/>
    <numFmt numFmtId="170" formatCode="0.0"/>
    <numFmt numFmtId="171" formatCode="0.00%"/>
    <numFmt numFmtId="172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7A33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7A33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D9D9D9"/>
        <bgColor rgb="FFC0C0C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8D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cripts/../models/_raw_brightwater.xlsx" TargetMode="External"/><Relationship Id="rId2" Type="http://schemas.openxmlformats.org/officeDocument/2006/relationships/hyperlink" Target="../../scripts/../models/_raw_brightwater.xlsx" TargetMode="External"/><Relationship Id="rId3" Type="http://schemas.openxmlformats.org/officeDocument/2006/relationships/hyperlink" Target="../../scripts/../models/_raw_brightwater.xlsx" TargetMode="External"/><Relationship Id="rId4" Type="http://schemas.openxmlformats.org/officeDocument/2006/relationships/hyperlink" Target="../../scripts/../models/_raw_brightwater.xlsx" TargetMode="External"/><Relationship Id="rId5" Type="http://schemas.openxmlformats.org/officeDocument/2006/relationships/hyperlink" Target="../../scripts/../models/_raw_brightwater.xlsx" TargetMode="External"/><Relationship Id="rId6" Type="http://schemas.openxmlformats.org/officeDocument/2006/relationships/hyperlink" Target="../../scripts/../models/_raw_brightwater.xlsx" TargetMode="External"/><Relationship Id="rId7" Type="http://schemas.openxmlformats.org/officeDocument/2006/relationships/hyperlink" Target="../../scripts/../models/_raw_brightwater.xlsx" TargetMode="External"/><Relationship Id="rId8" Type="http://schemas.openxmlformats.org/officeDocument/2006/relationships/hyperlink" Target="../../scripts/../models/_raw_brightwater.xlsx" TargetMode="External"/><Relationship Id="rId9" Type="http://schemas.openxmlformats.org/officeDocument/2006/relationships/hyperlink" Target="../../scripts/../models/_raw_brightwater.xlsx" TargetMode="External"/><Relationship Id="rId10" Type="http://schemas.openxmlformats.org/officeDocument/2006/relationships/hyperlink" Target="../../scripts/../models/_raw_brightwater.xlsx" TargetMode="External"/><Relationship Id="rId11" Type="http://schemas.openxmlformats.org/officeDocument/2006/relationships/hyperlink" Target="../../scripts/../models/_raw_brightwater.xlsx" TargetMode="External"/><Relationship Id="rId12" Type="http://schemas.openxmlformats.org/officeDocument/2006/relationships/hyperlink" Target="../../scripts/../models/_raw_brightwater.xlsx" TargetMode="External"/><Relationship Id="rId13" Type="http://schemas.openxmlformats.org/officeDocument/2006/relationships/hyperlink" Target="../../scripts/../models/_raw_brightwater.xlsx" TargetMode="External"/><Relationship Id="rId14" Type="http://schemas.openxmlformats.org/officeDocument/2006/relationships/hyperlink" Target="../../scripts/../models/_raw_brightwater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3" t="str">
        <f aca="false">'Investment Summary'!$D$52</f>
        <v>ALL CHECKS PASS</v>
      </c>
    </row>
    <row r="5" customFormat="false" ht="15" hidden="false" customHeight="false" outlineLevel="0" collapsed="false">
      <c r="A5" s="2" t="s">
        <v>3</v>
      </c>
      <c r="B5" s="3" t="str">
        <f aca="false">Assumptions!$D$10</f>
        <v>Downside</v>
      </c>
    </row>
    <row r="6" customFormat="false" ht="15" hidden="false" customHeight="false" outlineLevel="0" collapsed="false">
      <c r="A6" s="2" t="s">
        <v>4</v>
      </c>
      <c r="B6" s="3" t="str">
        <f aca="false">'Investment Summary'!$C$4</f>
        <v>HOLD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4" t="s">
        <v>6</v>
      </c>
      <c r="B9" s="5" t="s">
        <v>7</v>
      </c>
    </row>
    <row r="10" customFormat="false" ht="15" hidden="false" customHeight="false" outlineLevel="0" collapsed="false">
      <c r="A10" s="5" t="s">
        <v>8</v>
      </c>
      <c r="B10" s="5" t="s">
        <v>9</v>
      </c>
    </row>
    <row r="11" customFormat="false" ht="15" hidden="false" customHeight="false" outlineLevel="0" collapsed="false">
      <c r="A11" s="6" t="s">
        <v>10</v>
      </c>
      <c r="B11" s="5" t="s">
        <v>11</v>
      </c>
    </row>
    <row r="12" customFormat="false" ht="15" hidden="false" customHeight="false" outlineLevel="0" collapsed="false">
      <c r="A12" s="7" t="s">
        <v>12</v>
      </c>
      <c r="B12" s="5" t="s">
        <v>13</v>
      </c>
    </row>
    <row r="14" customFormat="false" ht="15" hidden="false" customHeight="false" outlineLevel="0" collapsed="false">
      <c r="A14" s="2" t="s">
        <v>14</v>
      </c>
      <c r="B14" s="5" t="s">
        <v>15</v>
      </c>
    </row>
    <row r="15" customFormat="false" ht="15" hidden="false" customHeight="false" outlineLevel="0" collapsed="false">
      <c r="A15" s="2" t="s">
        <v>16</v>
      </c>
      <c r="B15" s="5" t="s">
        <v>17</v>
      </c>
    </row>
    <row r="17" customFormat="false" ht="15" hidden="false" customHeight="false" outlineLevel="0" collapsed="false">
      <c r="A17" s="2" t="s">
        <v>18</v>
      </c>
    </row>
    <row r="18" customFormat="false" ht="15" hidden="false" customHeight="false" outlineLevel="0" collapsed="false">
      <c r="A18" s="8" t="s">
        <v>19</v>
      </c>
      <c r="B18" s="5" t="s">
        <v>20</v>
      </c>
    </row>
    <row r="19" customFormat="false" ht="15" hidden="false" customHeight="false" outlineLevel="0" collapsed="false">
      <c r="A19" s="8" t="s">
        <v>21</v>
      </c>
      <c r="B19" s="5" t="s">
        <v>22</v>
      </c>
    </row>
    <row r="20" customFormat="false" ht="15" hidden="false" customHeight="false" outlineLevel="0" collapsed="false">
      <c r="A20" s="8" t="s">
        <v>23</v>
      </c>
      <c r="B20" s="5" t="s">
        <v>24</v>
      </c>
    </row>
    <row r="21" customFormat="false" ht="15" hidden="false" customHeight="false" outlineLevel="0" collapsed="false">
      <c r="A21" s="8" t="s">
        <v>25</v>
      </c>
      <c r="B21" s="5" t="s">
        <v>26</v>
      </c>
    </row>
    <row r="22" customFormat="false" ht="15" hidden="false" customHeight="false" outlineLevel="0" collapsed="false">
      <c r="A22" s="8" t="s">
        <v>27</v>
      </c>
      <c r="B22" s="5" t="s">
        <v>28</v>
      </c>
    </row>
    <row r="23" customFormat="false" ht="15" hidden="false" customHeight="false" outlineLevel="0" collapsed="false">
      <c r="A23" s="8" t="s">
        <v>29</v>
      </c>
      <c r="B23" s="5" t="s">
        <v>30</v>
      </c>
    </row>
    <row r="24" customFormat="false" ht="15" hidden="false" customHeight="false" outlineLevel="0" collapsed="false">
      <c r="A24" s="8" t="s">
        <v>31</v>
      </c>
      <c r="B24" s="5" t="s">
        <v>32</v>
      </c>
    </row>
    <row r="25" customFormat="false" ht="15" hidden="false" customHeight="false" outlineLevel="0" collapsed="false">
      <c r="A25" s="8" t="s">
        <v>33</v>
      </c>
      <c r="B25" s="5" t="s">
        <v>34</v>
      </c>
    </row>
    <row r="26" customFormat="false" ht="15" hidden="false" customHeight="false" outlineLevel="0" collapsed="false">
      <c r="A26" s="8" t="s">
        <v>35</v>
      </c>
      <c r="B26" s="5" t="s">
        <v>36</v>
      </c>
    </row>
    <row r="27" customFormat="false" ht="15" hidden="false" customHeight="false" outlineLevel="0" collapsed="false">
      <c r="A27" s="8" t="s">
        <v>37</v>
      </c>
      <c r="B27" s="5" t="s">
        <v>38</v>
      </c>
    </row>
    <row r="28" customFormat="false" ht="15" hidden="false" customHeight="false" outlineLevel="0" collapsed="false">
      <c r="A28" s="8" t="s">
        <v>39</v>
      </c>
      <c r="B28" s="5" t="s">
        <v>40</v>
      </c>
    </row>
    <row r="29" customFormat="false" ht="15" hidden="false" customHeight="false" outlineLevel="0" collapsed="false">
      <c r="A29" s="8" t="s">
        <v>41</v>
      </c>
      <c r="B29" s="5" t="s">
        <v>42</v>
      </c>
    </row>
    <row r="30" customFormat="false" ht="15" hidden="false" customHeight="false" outlineLevel="0" collapsed="false">
      <c r="A30" s="8" t="s">
        <v>43</v>
      </c>
      <c r="B30" s="5" t="s">
        <v>44</v>
      </c>
    </row>
    <row r="31" customFormat="false" ht="15" hidden="false" customHeight="false" outlineLevel="0" collapsed="false">
      <c r="A31" s="8" t="s">
        <v>45</v>
      </c>
      <c r="B31" s="5" t="s">
        <v>46</v>
      </c>
    </row>
    <row r="33" customFormat="false" ht="15" hidden="false" customHeight="false" outlineLevel="0" collapsed="false">
      <c r="A33" s="5" t="s">
        <v>47</v>
      </c>
    </row>
  </sheetData>
  <hyperlinks>
    <hyperlink ref="A18" r:id="rId1" location="'Assumptions'!A1" display="Assumptions"/>
    <hyperlink ref="A19" r:id="rId2" location="'Historical%20Financials'!A1" display="Historical Financials"/>
    <hyperlink ref="A20" r:id="rId3" location="'Operating%20Model'!A1" display="Operating Model"/>
    <hyperlink ref="A21" r:id="rId4" location="'Debt%20Schedule'!A1" display="Debt Schedule"/>
    <hyperlink ref="A22" r:id="rId5" location="'Cash%20Flow'!A1" display="Cash Flow"/>
    <hyperlink ref="A23" r:id="rId6" location="'Credit%20Metrics'!A1" display="Credit Metrics"/>
    <hyperlink ref="A24" r:id="rId7" location="'Scenarios'!A1" display="Scenarios"/>
    <hyperlink ref="A25" r:id="rId8" location="'Capital%20Structure'!A1" display="Capital Structure"/>
    <hyperlink ref="A26" r:id="rId9" location="'Recovery'!A1" display="Recovery"/>
    <hyperlink ref="A27" r:id="rId10" location="'Returns'!A1" display="Returns"/>
    <hyperlink ref="A28" r:id="rId11" location="'Sensitivities'!A1" display="Sensitivities"/>
    <hyperlink ref="A29" r:id="rId12" location="'Investment%20Summary'!A1" display="Investment Summary"/>
    <hyperlink ref="A30" r:id="rId13" location="'Sources'!A1" display="Sources"/>
    <hyperlink ref="A31" r:id="rId14" location="'Calc%20Engine'!A1" display="Calc Eng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T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18" min="3" style="0" width="12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5" t="s">
        <v>49</v>
      </c>
    </row>
    <row r="4" customFormat="false" ht="15" hidden="false" customHeight="false" outlineLevel="0" collapsed="false">
      <c r="A4" s="9" t="s">
        <v>50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customFormat="false" ht="15" hidden="false" customHeight="false" outlineLevel="0" collapsed="false">
      <c r="A5" s="5" t="s">
        <v>51</v>
      </c>
      <c r="B5" s="5"/>
      <c r="C5" s="4" t="s">
        <v>52</v>
      </c>
    </row>
    <row r="6" customFormat="false" ht="15" hidden="false" customHeight="false" outlineLevel="0" collapsed="false">
      <c r="A6" s="5" t="s">
        <v>53</v>
      </c>
      <c r="B6" s="5"/>
      <c r="C6" s="11" t="n">
        <v>2025</v>
      </c>
    </row>
    <row r="7" customFormat="false" ht="15" hidden="false" customHeight="false" outlineLevel="0" collapsed="false">
      <c r="A7" s="5" t="s">
        <v>54</v>
      </c>
      <c r="B7" s="5"/>
      <c r="C7" s="11" t="n">
        <v>12</v>
      </c>
    </row>
    <row r="8" customFormat="false" ht="15" hidden="false" customHeight="false" outlineLevel="0" collapsed="false">
      <c r="A8" s="5" t="s">
        <v>55</v>
      </c>
      <c r="B8" s="5"/>
      <c r="C8" s="12" t="n">
        <v>46112</v>
      </c>
    </row>
    <row r="9" customFormat="false" ht="15" hidden="false" customHeight="false" outlineLevel="0" collapsed="false">
      <c r="A9" s="5" t="s">
        <v>56</v>
      </c>
      <c r="B9" s="5" t="s">
        <v>57</v>
      </c>
      <c r="C9" s="13" t="n">
        <v>0.25</v>
      </c>
    </row>
    <row r="10" customFormat="false" ht="15" hidden="false" customHeight="false" outlineLevel="0" collapsed="false">
      <c r="A10" s="5" t="s">
        <v>58</v>
      </c>
      <c r="B10" s="5" t="s">
        <v>59</v>
      </c>
      <c r="C10" s="11" t="n">
        <v>2</v>
      </c>
      <c r="D10" s="5" t="str">
        <f aca="false">CHOOSE(C10,"Base Case","Downside","Severe Downside")</f>
        <v>Downside</v>
      </c>
    </row>
    <row r="11" customFormat="false" ht="15" hidden="false" customHeight="false" outlineLevel="0" collapsed="false">
      <c r="A11" s="5" t="s">
        <v>60</v>
      </c>
      <c r="B11" s="5" t="s">
        <v>61</v>
      </c>
      <c r="C11" s="14" t="n">
        <v>45</v>
      </c>
    </row>
    <row r="12" customFormat="false" ht="15" hidden="false" customHeight="false" outlineLevel="0" collapsed="false">
      <c r="A12" s="5" t="s">
        <v>62</v>
      </c>
      <c r="B12" s="5" t="s">
        <v>61</v>
      </c>
      <c r="C12" s="14" t="n">
        <v>0</v>
      </c>
    </row>
    <row r="13" customFormat="false" ht="15" hidden="false" customHeight="false" outlineLevel="0" collapsed="false">
      <c r="A13" s="5" t="s">
        <v>63</v>
      </c>
      <c r="B13" s="5" t="s">
        <v>64</v>
      </c>
      <c r="C13" s="13" t="n">
        <v>1</v>
      </c>
    </row>
    <row r="14" customFormat="false" ht="15" hidden="false" customHeight="false" outlineLevel="0" collapsed="false">
      <c r="A14" s="5" t="s">
        <v>65</v>
      </c>
      <c r="B14" s="5" t="s">
        <v>66</v>
      </c>
      <c r="C14" s="14"/>
    </row>
    <row r="15" customFormat="false" ht="15" hidden="false" customHeight="false" outlineLevel="0" collapsed="false">
      <c r="A15" s="5" t="s">
        <v>67</v>
      </c>
      <c r="B15" s="5" t="s">
        <v>68</v>
      </c>
      <c r="C15" s="13" t="n">
        <v>0.04</v>
      </c>
    </row>
    <row r="16" customFormat="false" ht="15" hidden="false" customHeight="false" outlineLevel="0" collapsed="false">
      <c r="A16" s="5" t="s">
        <v>69</v>
      </c>
      <c r="B16" s="5" t="s">
        <v>70</v>
      </c>
      <c r="C16" s="11" t="n">
        <v>3</v>
      </c>
    </row>
    <row r="17" customFormat="false" ht="15" hidden="false" customHeight="false" outlineLevel="0" collapsed="false">
      <c r="A17" s="5" t="s">
        <v>71</v>
      </c>
      <c r="B17" s="5"/>
      <c r="C17" s="11" t="n">
        <v>99</v>
      </c>
    </row>
    <row r="18" customFormat="false" ht="15" hidden="false" customHeight="false" outlineLevel="0" collapsed="false">
      <c r="A18" s="5" t="s">
        <v>72</v>
      </c>
      <c r="B18" s="5" t="s">
        <v>73</v>
      </c>
      <c r="C18" s="11" t="n">
        <v>2</v>
      </c>
    </row>
    <row r="19" customFormat="false" ht="15" hidden="false" customHeight="false" outlineLevel="0" collapsed="false">
      <c r="A19" s="5" t="s">
        <v>74</v>
      </c>
      <c r="B19" s="5" t="s">
        <v>75</v>
      </c>
      <c r="C19" s="13" t="n">
        <v>0.25</v>
      </c>
    </row>
    <row r="20" customFormat="false" ht="15" hidden="false" customHeight="false" outlineLevel="0" collapsed="false">
      <c r="A20" s="5" t="s">
        <v>76</v>
      </c>
      <c r="B20" s="5" t="s">
        <v>75</v>
      </c>
      <c r="C20" s="13" t="n">
        <v>0.3</v>
      </c>
    </row>
    <row r="21" customFormat="false" ht="15" hidden="false" customHeight="false" outlineLevel="0" collapsed="false">
      <c r="A21" s="5" t="s">
        <v>77</v>
      </c>
      <c r="B21" s="5" t="s">
        <v>78</v>
      </c>
      <c r="C21" s="15" t="n">
        <v>6.5</v>
      </c>
    </row>
    <row r="22" customFormat="false" ht="15" hidden="false" customHeight="false" outlineLevel="0" collapsed="false">
      <c r="A22" s="5" t="s">
        <v>79</v>
      </c>
      <c r="B22" s="5" t="s">
        <v>80</v>
      </c>
      <c r="C22" s="11" t="n">
        <v>3</v>
      </c>
    </row>
    <row r="24" customFormat="false" ht="15" hidden="false" customHeight="false" outlineLevel="0" collapsed="false">
      <c r="A24" s="9" t="s">
        <v>81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customFormat="false" ht="15" hidden="false" customHeight="false" outlineLevel="0" collapsed="false">
      <c r="A25" s="5" t="s">
        <v>82</v>
      </c>
    </row>
    <row r="26" customFormat="false" ht="15" hidden="false" customHeight="false" outlineLevel="0" collapsed="false">
      <c r="A26" s="5" t="s">
        <v>83</v>
      </c>
      <c r="C26" s="14" t="n">
        <v>1040</v>
      </c>
    </row>
    <row r="27" customFormat="false" ht="15" hidden="false" customHeight="false" outlineLevel="0" collapsed="false">
      <c r="A27" s="2" t="s">
        <v>84</v>
      </c>
      <c r="C27" s="16" t="n">
        <f aca="false">SUM(C26)</f>
        <v>1040</v>
      </c>
    </row>
    <row r="29" customFormat="false" ht="15" hidden="false" customHeight="false" outlineLevel="0" collapsed="false">
      <c r="A29" s="9" t="s">
        <v>85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customFormat="false" ht="15" hidden="false" customHeight="false" outlineLevel="0" collapsed="false">
      <c r="A30" s="5" t="s">
        <v>86</v>
      </c>
      <c r="B30" s="5"/>
      <c r="C30" s="11" t="n">
        <v>2</v>
      </c>
    </row>
    <row r="31" customFormat="false" ht="15" hidden="false" customHeight="false" outlineLevel="0" collapsed="false">
      <c r="A31" s="5" t="s">
        <v>87</v>
      </c>
      <c r="B31" s="5" t="s">
        <v>61</v>
      </c>
      <c r="C31" s="14" t="n">
        <v>100</v>
      </c>
    </row>
    <row r="32" customFormat="false" ht="15" hidden="false" customHeight="false" outlineLevel="0" collapsed="false">
      <c r="A32" s="5" t="s">
        <v>88</v>
      </c>
      <c r="B32" s="5" t="s">
        <v>89</v>
      </c>
      <c r="C32" s="17" t="n">
        <v>78</v>
      </c>
    </row>
    <row r="33" customFormat="false" ht="15" hidden="false" customHeight="false" outlineLevel="0" collapsed="false">
      <c r="A33" s="5" t="s">
        <v>90</v>
      </c>
      <c r="B33" s="5" t="s">
        <v>91</v>
      </c>
      <c r="C33" s="18" t="n">
        <v>0.005</v>
      </c>
    </row>
    <row r="34" customFormat="false" ht="15" hidden="false" customHeight="false" outlineLevel="0" collapsed="false">
      <c r="A34" s="5" t="s">
        <v>92</v>
      </c>
      <c r="B34" s="5" t="s">
        <v>80</v>
      </c>
      <c r="C34" s="11" t="n">
        <v>2</v>
      </c>
    </row>
    <row r="35" customFormat="false" ht="15" hidden="false" customHeight="false" outlineLevel="0" collapsed="false">
      <c r="A35" s="5" t="s">
        <v>93</v>
      </c>
      <c r="B35" s="5" t="s">
        <v>94</v>
      </c>
      <c r="C35" s="11" t="n">
        <v>1</v>
      </c>
    </row>
    <row r="36" customFormat="false" ht="15" hidden="false" customHeight="false" outlineLevel="0" collapsed="false">
      <c r="A36" s="5" t="s">
        <v>95</v>
      </c>
      <c r="B36" s="5" t="s">
        <v>80</v>
      </c>
      <c r="C36" s="11" t="n">
        <v>1</v>
      </c>
    </row>
    <row r="37" customFormat="false" ht="15" hidden="false" customHeight="false" outlineLevel="0" collapsed="false">
      <c r="A37" s="5" t="s">
        <v>96</v>
      </c>
      <c r="B37" s="5"/>
      <c r="C37" s="13" t="n">
        <v>0.12</v>
      </c>
    </row>
    <row r="38" customFormat="false" ht="15" hidden="false" customHeight="false" outlineLevel="0" collapsed="false">
      <c r="A38" s="5" t="s">
        <v>97</v>
      </c>
      <c r="B38" s="5"/>
      <c r="C38" s="13" t="n">
        <v>0</v>
      </c>
    </row>
    <row r="39" customFormat="false" ht="15" hidden="false" customHeight="false" outlineLevel="0" collapsed="false">
      <c r="A39" s="5" t="s">
        <v>98</v>
      </c>
      <c r="B39" s="5"/>
      <c r="C39" s="13" t="n">
        <v>0.09</v>
      </c>
    </row>
    <row r="40" customFormat="false" ht="15" hidden="false" customHeight="false" outlineLevel="0" collapsed="false">
      <c r="A40" s="5" t="s">
        <v>99</v>
      </c>
      <c r="B40" s="5"/>
      <c r="C40" s="15" t="n">
        <v>6</v>
      </c>
    </row>
    <row r="41" customFormat="false" ht="15" hidden="false" customHeight="false" outlineLevel="0" collapsed="false">
      <c r="A41" s="5" t="s">
        <v>100</v>
      </c>
      <c r="B41" s="5"/>
      <c r="C41" s="13" t="n">
        <v>0.6</v>
      </c>
    </row>
    <row r="42" customFormat="false" ht="15" hidden="false" customHeight="false" outlineLevel="0" collapsed="false">
      <c r="A42" s="5" t="s">
        <v>101</v>
      </c>
      <c r="B42" s="5"/>
      <c r="C42" s="13" t="n">
        <v>0.15</v>
      </c>
    </row>
    <row r="43" customFormat="false" ht="15" hidden="false" customHeight="false" outlineLevel="0" collapsed="false">
      <c r="A43" s="5" t="s">
        <v>102</v>
      </c>
      <c r="B43" s="5" t="s">
        <v>103</v>
      </c>
      <c r="C43" s="11" t="n">
        <v>2</v>
      </c>
    </row>
    <row r="44" customFormat="false" ht="15" hidden="false" customHeight="false" outlineLevel="0" collapsed="false">
      <c r="A44" s="5" t="s">
        <v>104</v>
      </c>
      <c r="B44" s="5" t="s">
        <v>103</v>
      </c>
      <c r="C44" s="11" t="n">
        <v>3</v>
      </c>
    </row>
    <row r="45" customFormat="false" ht="15" hidden="false" customHeight="false" outlineLevel="0" collapsed="false">
      <c r="A45" s="5" t="s">
        <v>105</v>
      </c>
      <c r="B45" s="5" t="s">
        <v>103</v>
      </c>
      <c r="C45" s="11" t="n">
        <v>4</v>
      </c>
    </row>
    <row r="47" customFormat="false" ht="15" hidden="false" customHeight="false" outlineLevel="0" collapsed="false">
      <c r="A47" s="9" t="s">
        <v>106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customFormat="false" ht="15" hidden="false" customHeight="false" outlineLevel="0" collapsed="false">
      <c r="A48" s="7" t="s">
        <v>107</v>
      </c>
      <c r="G48" s="19" t="n">
        <f aca="false">Assumptions!$C$6+1</f>
        <v>2026</v>
      </c>
      <c r="H48" s="19" t="n">
        <f aca="false">G48+1</f>
        <v>2027</v>
      </c>
      <c r="I48" s="19" t="n">
        <f aca="false">H48+1</f>
        <v>2028</v>
      </c>
      <c r="J48" s="19" t="n">
        <f aca="false">I48+1</f>
        <v>2029</v>
      </c>
      <c r="K48" s="19" t="n">
        <f aca="false">J48+1</f>
        <v>2030</v>
      </c>
    </row>
    <row r="49" customFormat="false" ht="15" hidden="false" customHeight="false" outlineLevel="0" collapsed="false">
      <c r="A49" s="5" t="s">
        <v>108</v>
      </c>
      <c r="B49" s="5" t="s">
        <v>109</v>
      </c>
      <c r="G49" s="18" t="n">
        <v>0.0425</v>
      </c>
      <c r="H49" s="18" t="n">
        <v>0.04</v>
      </c>
      <c r="I49" s="18" t="n">
        <v>0.0375</v>
      </c>
      <c r="J49" s="18" t="n">
        <v>0.0375</v>
      </c>
      <c r="K49" s="18" t="n">
        <v>0.0375</v>
      </c>
    </row>
    <row r="51" customFormat="false" ht="15" hidden="false" customHeight="false" outlineLevel="0" collapsed="false">
      <c r="A51" s="9" t="s">
        <v>110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customFormat="false" ht="15" hidden="false" customHeight="false" outlineLevel="0" collapsed="false">
      <c r="A52" s="7" t="s">
        <v>111</v>
      </c>
      <c r="B52" s="7" t="s">
        <v>112</v>
      </c>
      <c r="C52" s="7" t="s">
        <v>113</v>
      </c>
      <c r="D52" s="7" t="s">
        <v>114</v>
      </c>
      <c r="E52" s="7" t="s">
        <v>115</v>
      </c>
      <c r="F52" s="7" t="s">
        <v>116</v>
      </c>
      <c r="G52" s="7" t="s">
        <v>117</v>
      </c>
      <c r="H52" s="7" t="s">
        <v>118</v>
      </c>
      <c r="I52" s="7" t="s">
        <v>119</v>
      </c>
      <c r="J52" s="7" t="s">
        <v>120</v>
      </c>
      <c r="K52" s="7" t="s">
        <v>121</v>
      </c>
      <c r="L52" s="7" t="s">
        <v>122</v>
      </c>
      <c r="M52" s="7" t="s">
        <v>123</v>
      </c>
      <c r="N52" s="7" t="s">
        <v>124</v>
      </c>
      <c r="O52" s="7" t="s">
        <v>125</v>
      </c>
      <c r="P52" s="7" t="s">
        <v>126</v>
      </c>
      <c r="Q52" s="7" t="s">
        <v>127</v>
      </c>
      <c r="R52" s="7" t="s">
        <v>128</v>
      </c>
      <c r="S52" s="7" t="s">
        <v>129</v>
      </c>
    </row>
    <row r="53" customFormat="false" ht="15" hidden="false" customHeight="false" outlineLevel="0" collapsed="false">
      <c r="A53" s="4" t="s">
        <v>130</v>
      </c>
      <c r="B53" s="4" t="s">
        <v>131</v>
      </c>
      <c r="C53" s="14" t="n">
        <v>180</v>
      </c>
      <c r="D53" s="14" t="n">
        <v>300</v>
      </c>
      <c r="E53" s="18" t="n">
        <v>0.086</v>
      </c>
      <c r="F53" s="18" t="n">
        <v>0.0435</v>
      </c>
      <c r="G53" s="18" t="n">
        <v>0</v>
      </c>
      <c r="H53" s="18" t="n">
        <v>0</v>
      </c>
      <c r="I53" s="11" t="n">
        <v>1</v>
      </c>
      <c r="J53" s="12" t="n">
        <v>46691</v>
      </c>
      <c r="K53" s="20" t="n">
        <f aca="false">YEAR(J53)+IF(MONTH(J53)&gt;Assumptions!$C$7,1,0)</f>
        <v>2027</v>
      </c>
      <c r="L53" s="13" t="n">
        <v>0</v>
      </c>
      <c r="M53" s="11" t="n">
        <v>1</v>
      </c>
      <c r="N53" s="11" t="n">
        <v>1</v>
      </c>
      <c r="O53" s="11" t="n">
        <v>1</v>
      </c>
      <c r="P53" s="11" t="n">
        <v>1</v>
      </c>
      <c r="Q53" s="13" t="n">
        <v>0</v>
      </c>
      <c r="R53" s="17" t="n">
        <v>100</v>
      </c>
      <c r="S53" s="5"/>
    </row>
    <row r="54" customFormat="false" ht="15" hidden="false" customHeight="false" outlineLevel="0" collapsed="false">
      <c r="A54" s="4" t="s">
        <v>132</v>
      </c>
      <c r="B54" s="4" t="s">
        <v>133</v>
      </c>
      <c r="C54" s="14" t="n">
        <v>520</v>
      </c>
      <c r="D54" s="14" t="n">
        <v>0</v>
      </c>
      <c r="E54" s="18" t="n">
        <v>0.103</v>
      </c>
      <c r="F54" s="18" t="n">
        <v>0.0605</v>
      </c>
      <c r="G54" s="18" t="n">
        <v>0</v>
      </c>
      <c r="H54" s="18" t="n">
        <v>0</v>
      </c>
      <c r="I54" s="11" t="n">
        <v>1</v>
      </c>
      <c r="J54" s="12" t="n">
        <v>46843</v>
      </c>
      <c r="K54" s="20" t="n">
        <f aca="false">YEAR(J54)+IF(MONTH(J54)&gt;Assumptions!$C$7,1,0)</f>
        <v>2028</v>
      </c>
      <c r="L54" s="13" t="n">
        <v>0.01</v>
      </c>
      <c r="M54" s="11" t="n">
        <v>2</v>
      </c>
      <c r="N54" s="11" t="n">
        <v>0</v>
      </c>
      <c r="O54" s="11" t="n">
        <v>1</v>
      </c>
      <c r="P54" s="11" t="n">
        <v>0</v>
      </c>
      <c r="Q54" s="13" t="n">
        <v>0</v>
      </c>
      <c r="R54" s="17" t="n">
        <v>78</v>
      </c>
      <c r="S54" s="5"/>
    </row>
    <row r="55" customFormat="false" ht="15" hidden="false" customHeight="false" outlineLevel="0" collapsed="false">
      <c r="A55" s="4" t="s">
        <v>134</v>
      </c>
      <c r="B55" s="4" t="s">
        <v>135</v>
      </c>
      <c r="C55" s="14" t="n">
        <v>250</v>
      </c>
      <c r="D55" s="14" t="n">
        <v>0</v>
      </c>
      <c r="E55" s="18" t="n">
        <v>0.11</v>
      </c>
      <c r="F55" s="18" t="n">
        <v>0</v>
      </c>
      <c r="G55" s="18" t="n">
        <v>0</v>
      </c>
      <c r="H55" s="18" t="n">
        <v>0</v>
      </c>
      <c r="I55" s="11" t="n">
        <v>0</v>
      </c>
      <c r="J55" s="12" t="n">
        <v>47299</v>
      </c>
      <c r="K55" s="20" t="n">
        <f aca="false">YEAR(J55)+IF(MONTH(J55)&gt;Assumptions!$C$7,1,0)</f>
        <v>2029</v>
      </c>
      <c r="L55" s="13" t="n">
        <v>0</v>
      </c>
      <c r="M55" s="11" t="n">
        <v>3</v>
      </c>
      <c r="N55" s="11" t="n">
        <v>0</v>
      </c>
      <c r="O55" s="11" t="n">
        <v>1</v>
      </c>
      <c r="P55" s="11" t="n">
        <v>0</v>
      </c>
      <c r="Q55" s="13" t="n">
        <v>0</v>
      </c>
      <c r="R55" s="17" t="n">
        <v>52</v>
      </c>
      <c r="S55" s="5"/>
    </row>
    <row r="56" customFormat="false" ht="15" hidden="false" customHeight="false" outlineLevel="0" collapsed="false">
      <c r="A56" s="4" t="s">
        <v>136</v>
      </c>
      <c r="B56" s="4" t="s">
        <v>137</v>
      </c>
      <c r="C56" s="14" t="n">
        <v>300</v>
      </c>
      <c r="D56" s="14" t="n">
        <v>0</v>
      </c>
      <c r="E56" s="18" t="n">
        <v>0.075</v>
      </c>
      <c r="F56" s="18" t="n">
        <v>0</v>
      </c>
      <c r="G56" s="18" t="n">
        <v>0</v>
      </c>
      <c r="H56" s="18" t="n">
        <v>0</v>
      </c>
      <c r="I56" s="11" t="n">
        <v>0</v>
      </c>
      <c r="J56" s="12" t="n">
        <v>46522</v>
      </c>
      <c r="K56" s="20" t="n">
        <f aca="false">YEAR(J56)+IF(MONTH(J56)&gt;Assumptions!$C$7,1,0)</f>
        <v>2027</v>
      </c>
      <c r="L56" s="13" t="n">
        <v>0</v>
      </c>
      <c r="M56" s="11" t="n">
        <v>4</v>
      </c>
      <c r="N56" s="11" t="n">
        <v>0</v>
      </c>
      <c r="O56" s="11" t="n">
        <v>0</v>
      </c>
      <c r="P56" s="11" t="n">
        <v>0</v>
      </c>
      <c r="Q56" s="13" t="n">
        <v>0</v>
      </c>
      <c r="R56" s="17" t="n">
        <v>33</v>
      </c>
      <c r="S56" s="5"/>
    </row>
    <row r="57" customFormat="false" ht="15" hidden="false" customHeight="false" outlineLevel="0" collapsed="false">
      <c r="A57" s="5" t="s">
        <v>138</v>
      </c>
    </row>
    <row r="59" customFormat="false" ht="15" hidden="false" customHeight="false" outlineLevel="0" collapsed="false">
      <c r="A59" s="9" t="s">
        <v>139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customFormat="false" ht="15" hidden="false" customHeight="false" outlineLevel="0" collapsed="false">
      <c r="A60" s="7" t="s">
        <v>140</v>
      </c>
      <c r="B60" s="7" t="s">
        <v>112</v>
      </c>
      <c r="C60" s="7" t="s">
        <v>141</v>
      </c>
      <c r="D60" s="7" t="s">
        <v>142</v>
      </c>
      <c r="E60" s="7" t="s">
        <v>143</v>
      </c>
      <c r="G60" s="19" t="n">
        <f aca="false">Assumptions!$C$6+1</f>
        <v>2026</v>
      </c>
      <c r="H60" s="19" t="n">
        <f aca="false">G60+1</f>
        <v>2027</v>
      </c>
      <c r="I60" s="19" t="n">
        <f aca="false">H60+1</f>
        <v>2028</v>
      </c>
      <c r="J60" s="19" t="n">
        <f aca="false">I60+1</f>
        <v>2029</v>
      </c>
      <c r="K60" s="19" t="n">
        <f aca="false">J60+1</f>
        <v>2030</v>
      </c>
    </row>
    <row r="61" customFormat="false" ht="15" hidden="false" customHeight="false" outlineLevel="0" collapsed="false">
      <c r="A61" s="5" t="s">
        <v>144</v>
      </c>
      <c r="B61" s="5" t="s">
        <v>145</v>
      </c>
      <c r="C61" s="5" t="s">
        <v>146</v>
      </c>
      <c r="D61" s="11" t="n">
        <v>1</v>
      </c>
      <c r="G61" s="15" t="n">
        <v>8.5</v>
      </c>
      <c r="H61" s="15" t="n">
        <v>8.5</v>
      </c>
      <c r="I61" s="15" t="n">
        <v>8.5</v>
      </c>
      <c r="J61" s="15" t="n">
        <v>8.5</v>
      </c>
      <c r="K61" s="15" t="n">
        <v>8.5</v>
      </c>
    </row>
    <row r="63" customFormat="false" ht="15" hidden="false" customHeight="false" outlineLevel="0" collapsed="false">
      <c r="A63" s="9" t="s">
        <v>147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customFormat="false" ht="15" hidden="false" customHeight="false" outlineLevel="0" collapsed="false">
      <c r="A64" s="7" t="s">
        <v>148</v>
      </c>
      <c r="B64" s="7"/>
      <c r="C64" s="7"/>
      <c r="D64" s="7"/>
      <c r="E64" s="7"/>
      <c r="F64" s="7"/>
      <c r="G64" s="19" t="n">
        <f aca="false">Assumptions!$C$6+1</f>
        <v>2026</v>
      </c>
      <c r="H64" s="19" t="n">
        <f aca="false">G64+1</f>
        <v>2027</v>
      </c>
      <c r="I64" s="19" t="n">
        <f aca="false">H64+1</f>
        <v>2028</v>
      </c>
      <c r="J64" s="19" t="n">
        <f aca="false">I64+1</f>
        <v>2029</v>
      </c>
      <c r="K64" s="19" t="n">
        <f aca="false">J64+1</f>
        <v>2030</v>
      </c>
    </row>
    <row r="65" customFormat="false" ht="15" hidden="false" customHeight="false" outlineLevel="0" collapsed="false">
      <c r="A65" s="5" t="s">
        <v>149</v>
      </c>
      <c r="G65" s="13" t="n">
        <v>-0.01</v>
      </c>
      <c r="H65" s="13" t="n">
        <v>-0.01</v>
      </c>
      <c r="I65" s="13" t="n">
        <v>-0.01</v>
      </c>
      <c r="J65" s="13" t="n">
        <v>-0.01</v>
      </c>
      <c r="K65" s="13" t="n">
        <v>-0.01</v>
      </c>
    </row>
    <row r="66" customFormat="false" ht="15" hidden="false" customHeight="false" outlineLevel="0" collapsed="false">
      <c r="A66" s="5" t="s">
        <v>150</v>
      </c>
      <c r="G66" s="13" t="n">
        <v>0.36</v>
      </c>
      <c r="H66" s="13" t="n">
        <v>0.362</v>
      </c>
      <c r="I66" s="13" t="n">
        <v>0.364</v>
      </c>
      <c r="J66" s="13" t="n">
        <v>0.366</v>
      </c>
      <c r="K66" s="13" t="n">
        <v>0.368</v>
      </c>
    </row>
    <row r="67" customFormat="false" ht="15" hidden="false" customHeight="false" outlineLevel="0" collapsed="false">
      <c r="A67" s="5" t="s">
        <v>151</v>
      </c>
      <c r="G67" s="13" t="n">
        <v>0.065</v>
      </c>
      <c r="H67" s="13" t="n">
        <v>0.067</v>
      </c>
      <c r="I67" s="13" t="n">
        <v>0.069</v>
      </c>
      <c r="J67" s="13" t="n">
        <v>0.071</v>
      </c>
      <c r="K67" s="13" t="n">
        <v>0.073</v>
      </c>
    </row>
    <row r="68" customFormat="false" ht="15" hidden="false" customHeight="false" outlineLevel="0" collapsed="false">
      <c r="A68" s="5" t="s">
        <v>152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</row>
    <row r="69" customFormat="false" ht="15" hidden="false" customHeight="false" outlineLevel="0" collapsed="false">
      <c r="A69" s="5" t="s">
        <v>153</v>
      </c>
      <c r="B69" s="5" t="s">
        <v>154</v>
      </c>
      <c r="C69" s="13" t="n">
        <v>0.02</v>
      </c>
    </row>
    <row r="70" customFormat="false" ht="15" hidden="false" customHeight="false" outlineLevel="0" collapsed="false">
      <c r="A70" s="5" t="s">
        <v>155</v>
      </c>
      <c r="B70" s="5" t="s">
        <v>156</v>
      </c>
      <c r="C70" s="13" t="n">
        <v>0.12</v>
      </c>
    </row>
    <row r="71" customFormat="false" ht="15" hidden="false" customHeight="false" outlineLevel="0" collapsed="false">
      <c r="A71" s="5" t="s">
        <v>157</v>
      </c>
      <c r="B71" s="5" t="s">
        <v>154</v>
      </c>
      <c r="C71" s="13" t="n">
        <v>0</v>
      </c>
    </row>
    <row r="72" customFormat="false" ht="15" hidden="false" customHeight="false" outlineLevel="0" collapsed="false">
      <c r="A72" s="5" t="s">
        <v>158</v>
      </c>
      <c r="B72" s="5" t="s">
        <v>159</v>
      </c>
      <c r="C72" s="18" t="n">
        <v>0</v>
      </c>
    </row>
    <row r="73" customFormat="false" ht="15" hidden="false" customHeight="false" outlineLevel="0" collapsed="false">
      <c r="A73" s="5" t="s">
        <v>160</v>
      </c>
      <c r="B73" s="5" t="s">
        <v>64</v>
      </c>
      <c r="C73" s="18" t="n">
        <v>0.11</v>
      </c>
    </row>
    <row r="74" customFormat="false" ht="15" hidden="false" customHeight="false" outlineLevel="0" collapsed="false">
      <c r="A74" s="5" t="s">
        <v>161</v>
      </c>
      <c r="B74" s="5" t="s">
        <v>78</v>
      </c>
      <c r="C74" s="15" t="n">
        <v>8.5</v>
      </c>
    </row>
    <row r="75" customFormat="false" ht="15" hidden="false" customHeight="false" outlineLevel="0" collapsed="false">
      <c r="A75" s="5" t="s">
        <v>162</v>
      </c>
      <c r="B75" s="5" t="s">
        <v>78</v>
      </c>
      <c r="C75" s="15" t="n">
        <v>1.2</v>
      </c>
    </row>
    <row r="76" customFormat="false" ht="15" hidden="false" customHeight="false" outlineLevel="0" collapsed="false">
      <c r="A76" s="5" t="s">
        <v>163</v>
      </c>
      <c r="B76" s="5" t="s">
        <v>78</v>
      </c>
      <c r="C76" s="15" t="n">
        <v>6.5</v>
      </c>
    </row>
    <row r="77" customFormat="false" ht="15" hidden="false" customHeight="false" outlineLevel="0" collapsed="false">
      <c r="A77" s="5" t="s">
        <v>164</v>
      </c>
      <c r="B77" s="5" t="s">
        <v>89</v>
      </c>
      <c r="C77" s="17" t="n">
        <v>100</v>
      </c>
    </row>
    <row r="78" customFormat="false" ht="15" hidden="false" customHeight="false" outlineLevel="0" collapsed="false">
      <c r="A78" s="5" t="s">
        <v>165</v>
      </c>
      <c r="B78" s="5" t="s">
        <v>78</v>
      </c>
      <c r="C78" s="15" t="n">
        <v>4</v>
      </c>
    </row>
    <row r="79" customFormat="false" ht="15" hidden="false" customHeight="false" outlineLevel="0" collapsed="false">
      <c r="A79" s="5" t="s">
        <v>166</v>
      </c>
      <c r="B79" s="5" t="s">
        <v>64</v>
      </c>
      <c r="C79" s="13" t="n">
        <v>0</v>
      </c>
    </row>
    <row r="80" customFormat="false" ht="15" hidden="false" customHeight="false" outlineLevel="0" collapsed="false">
      <c r="A80" s="5" t="s">
        <v>167</v>
      </c>
      <c r="B80" s="5" t="s">
        <v>64</v>
      </c>
      <c r="C80" s="13" t="n">
        <v>0.6</v>
      </c>
    </row>
    <row r="81" customFormat="false" ht="15" hidden="false" customHeight="false" outlineLevel="0" collapsed="false">
      <c r="A81" s="5" t="s">
        <v>168</v>
      </c>
      <c r="C81" s="13" t="n">
        <v>0.55</v>
      </c>
    </row>
    <row r="83" customFormat="false" ht="15" hidden="false" customHeight="false" outlineLevel="0" collapsed="false">
      <c r="A83" s="7" t="s">
        <v>169</v>
      </c>
      <c r="B83" s="7"/>
      <c r="C83" s="7"/>
      <c r="D83" s="7"/>
      <c r="E83" s="7"/>
      <c r="F83" s="7"/>
      <c r="G83" s="19" t="n">
        <f aca="false">Assumptions!$C$6+1</f>
        <v>2026</v>
      </c>
      <c r="H83" s="19" t="n">
        <f aca="false">G83+1</f>
        <v>2027</v>
      </c>
      <c r="I83" s="19" t="n">
        <f aca="false">H83+1</f>
        <v>2028</v>
      </c>
      <c r="J83" s="19" t="n">
        <f aca="false">I83+1</f>
        <v>2029</v>
      </c>
      <c r="K83" s="19" t="n">
        <f aca="false">J83+1</f>
        <v>2030</v>
      </c>
    </row>
    <row r="84" customFormat="false" ht="15" hidden="false" customHeight="false" outlineLevel="0" collapsed="false">
      <c r="A84" s="5" t="s">
        <v>149</v>
      </c>
      <c r="G84" s="13" t="n">
        <v>-0.078</v>
      </c>
      <c r="H84" s="13" t="n">
        <v>-0.039</v>
      </c>
      <c r="I84" s="13" t="n">
        <v>-0.005</v>
      </c>
      <c r="J84" s="13" t="n">
        <v>-0.01</v>
      </c>
      <c r="K84" s="13" t="n">
        <v>-0.01</v>
      </c>
    </row>
    <row r="85" customFormat="false" ht="15" hidden="false" customHeight="false" outlineLevel="0" collapsed="false">
      <c r="A85" s="5" t="s">
        <v>150</v>
      </c>
      <c r="G85" s="13" t="n">
        <v>0.33</v>
      </c>
      <c r="H85" s="13" t="n">
        <v>0.318</v>
      </c>
      <c r="I85" s="13" t="n">
        <v>0.324</v>
      </c>
      <c r="J85" s="13" t="n">
        <v>0.33</v>
      </c>
      <c r="K85" s="13" t="n">
        <v>0.336</v>
      </c>
    </row>
    <row r="86" customFormat="false" ht="15" hidden="false" customHeight="false" outlineLevel="0" collapsed="false">
      <c r="A86" s="5" t="s">
        <v>151</v>
      </c>
      <c r="G86" s="13" t="n">
        <v>0.035</v>
      </c>
      <c r="H86" s="13" t="n">
        <v>0.023</v>
      </c>
      <c r="I86" s="13" t="n">
        <v>0.029</v>
      </c>
      <c r="J86" s="13" t="n">
        <v>0.035</v>
      </c>
      <c r="K86" s="13" t="n">
        <v>0.041</v>
      </c>
    </row>
    <row r="87" customFormat="false" ht="15" hidden="false" customHeight="false" outlineLevel="0" collapsed="false">
      <c r="A87" s="5" t="s">
        <v>152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</row>
    <row r="88" customFormat="false" ht="15" hidden="false" customHeight="false" outlineLevel="0" collapsed="false">
      <c r="A88" s="5" t="s">
        <v>153</v>
      </c>
      <c r="B88" s="5" t="s">
        <v>154</v>
      </c>
      <c r="C88" s="13" t="n">
        <v>0.019</v>
      </c>
    </row>
    <row r="89" customFormat="false" ht="15" hidden="false" customHeight="false" outlineLevel="0" collapsed="false">
      <c r="A89" s="5" t="s">
        <v>155</v>
      </c>
      <c r="B89" s="5" t="s">
        <v>156</v>
      </c>
      <c r="C89" s="13" t="n">
        <v>0.12</v>
      </c>
    </row>
    <row r="90" customFormat="false" ht="15" hidden="false" customHeight="false" outlineLevel="0" collapsed="false">
      <c r="A90" s="5" t="s">
        <v>157</v>
      </c>
      <c r="B90" s="5" t="s">
        <v>154</v>
      </c>
      <c r="C90" s="13" t="n">
        <v>0.002</v>
      </c>
    </row>
    <row r="91" customFormat="false" ht="15" hidden="false" customHeight="false" outlineLevel="0" collapsed="false">
      <c r="A91" s="5" t="s">
        <v>158</v>
      </c>
      <c r="B91" s="5" t="s">
        <v>159</v>
      </c>
      <c r="C91" s="18" t="n">
        <v>0.015</v>
      </c>
    </row>
    <row r="92" customFormat="false" ht="15" hidden="false" customHeight="false" outlineLevel="0" collapsed="false">
      <c r="A92" s="5" t="s">
        <v>160</v>
      </c>
      <c r="B92" s="5" t="s">
        <v>64</v>
      </c>
      <c r="C92" s="18" t="n">
        <v>0.135</v>
      </c>
    </row>
    <row r="93" customFormat="false" ht="15" hidden="false" customHeight="false" outlineLevel="0" collapsed="false">
      <c r="A93" s="5" t="s">
        <v>161</v>
      </c>
      <c r="B93" s="5" t="s">
        <v>78</v>
      </c>
      <c r="C93" s="15" t="n">
        <v>5.5</v>
      </c>
    </row>
    <row r="94" customFormat="false" ht="15" hidden="false" customHeight="false" outlineLevel="0" collapsed="false">
      <c r="A94" s="5" t="s">
        <v>162</v>
      </c>
      <c r="B94" s="5" t="s">
        <v>78</v>
      </c>
      <c r="C94" s="15" t="n">
        <v>1.8</v>
      </c>
    </row>
    <row r="95" customFormat="false" ht="15" hidden="false" customHeight="false" outlineLevel="0" collapsed="false">
      <c r="A95" s="5" t="s">
        <v>163</v>
      </c>
      <c r="B95" s="5" t="s">
        <v>78</v>
      </c>
      <c r="C95" s="15" t="n">
        <v>5</v>
      </c>
    </row>
    <row r="96" customFormat="false" ht="15" hidden="false" customHeight="false" outlineLevel="0" collapsed="false">
      <c r="A96" s="5" t="s">
        <v>164</v>
      </c>
      <c r="B96" s="5" t="s">
        <v>89</v>
      </c>
      <c r="C96" s="17" t="n">
        <v>90</v>
      </c>
    </row>
    <row r="97" customFormat="false" ht="15" hidden="false" customHeight="false" outlineLevel="0" collapsed="false">
      <c r="A97" s="5" t="s">
        <v>165</v>
      </c>
      <c r="B97" s="5" t="s">
        <v>78</v>
      </c>
      <c r="C97" s="15" t="n">
        <v>4</v>
      </c>
    </row>
    <row r="98" customFormat="false" ht="15" hidden="false" customHeight="false" outlineLevel="0" collapsed="false">
      <c r="A98" s="5" t="s">
        <v>166</v>
      </c>
      <c r="B98" s="5" t="s">
        <v>64</v>
      </c>
      <c r="C98" s="13" t="n">
        <v>0.15</v>
      </c>
    </row>
    <row r="99" customFormat="false" ht="15" hidden="false" customHeight="false" outlineLevel="0" collapsed="false">
      <c r="A99" s="5" t="s">
        <v>167</v>
      </c>
      <c r="B99" s="5" t="s">
        <v>64</v>
      </c>
      <c r="C99" s="13" t="n">
        <v>0.6</v>
      </c>
    </row>
    <row r="100" customFormat="false" ht="15" hidden="false" customHeight="false" outlineLevel="0" collapsed="false">
      <c r="A100" s="5" t="s">
        <v>168</v>
      </c>
      <c r="C100" s="13" t="n">
        <v>0.3</v>
      </c>
    </row>
    <row r="102" customFormat="false" ht="15" hidden="false" customHeight="false" outlineLevel="0" collapsed="false">
      <c r="A102" s="7" t="s">
        <v>170</v>
      </c>
      <c r="B102" s="7"/>
      <c r="C102" s="7"/>
      <c r="D102" s="7"/>
      <c r="E102" s="7"/>
      <c r="F102" s="7"/>
      <c r="G102" s="19" t="n">
        <f aca="false">Assumptions!$C$6+1</f>
        <v>2026</v>
      </c>
      <c r="H102" s="19" t="n">
        <f aca="false">G102+1</f>
        <v>2027</v>
      </c>
      <c r="I102" s="19" t="n">
        <f aca="false">H102+1</f>
        <v>2028</v>
      </c>
      <c r="J102" s="19" t="n">
        <f aca="false">I102+1</f>
        <v>2029</v>
      </c>
      <c r="K102" s="19" t="n">
        <f aca="false">J102+1</f>
        <v>2030</v>
      </c>
    </row>
    <row r="103" customFormat="false" ht="15" hidden="false" customHeight="false" outlineLevel="0" collapsed="false">
      <c r="A103" s="5" t="s">
        <v>149</v>
      </c>
      <c r="G103" s="13" t="n">
        <v>-0.234</v>
      </c>
      <c r="H103" s="13" t="n">
        <v>-0.13</v>
      </c>
      <c r="I103" s="13" t="n">
        <v>-0.026</v>
      </c>
      <c r="J103" s="13" t="n">
        <v>-0.01</v>
      </c>
      <c r="K103" s="13" t="n">
        <v>-0.01</v>
      </c>
    </row>
    <row r="104" customFormat="false" ht="15" hidden="false" customHeight="false" outlineLevel="0" collapsed="false">
      <c r="A104" s="5" t="s">
        <v>150</v>
      </c>
      <c r="G104" s="13" t="n">
        <v>0.305</v>
      </c>
      <c r="H104" s="13" t="n">
        <v>0.305</v>
      </c>
      <c r="I104" s="13" t="n">
        <v>0.305</v>
      </c>
      <c r="J104" s="13" t="n">
        <v>0.305</v>
      </c>
      <c r="K104" s="13" t="n">
        <v>0.305</v>
      </c>
    </row>
    <row r="105" customFormat="false" ht="15" hidden="false" customHeight="false" outlineLevel="0" collapsed="false">
      <c r="A105" s="5" t="s">
        <v>151</v>
      </c>
      <c r="G105" s="13" t="n">
        <v>0.01</v>
      </c>
      <c r="H105" s="13" t="n">
        <v>0.01</v>
      </c>
      <c r="I105" s="13" t="n">
        <v>0.01</v>
      </c>
      <c r="J105" s="13" t="n">
        <v>0.01</v>
      </c>
      <c r="K105" s="13" t="n">
        <v>0.01</v>
      </c>
    </row>
    <row r="106" customFormat="false" ht="15" hidden="false" customHeight="false" outlineLevel="0" collapsed="false">
      <c r="A106" s="5" t="s">
        <v>152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</row>
    <row r="107" customFormat="false" ht="15" hidden="false" customHeight="false" outlineLevel="0" collapsed="false">
      <c r="A107" s="5" t="s">
        <v>153</v>
      </c>
      <c r="B107" s="5" t="s">
        <v>154</v>
      </c>
      <c r="C107" s="13" t="n">
        <v>0.016</v>
      </c>
    </row>
    <row r="108" customFormat="false" ht="15" hidden="false" customHeight="false" outlineLevel="0" collapsed="false">
      <c r="A108" s="5" t="s">
        <v>155</v>
      </c>
      <c r="B108" s="5" t="s">
        <v>156</v>
      </c>
      <c r="C108" s="13" t="n">
        <v>0.12</v>
      </c>
    </row>
    <row r="109" customFormat="false" ht="15" hidden="false" customHeight="false" outlineLevel="0" collapsed="false">
      <c r="A109" s="5" t="s">
        <v>157</v>
      </c>
      <c r="B109" s="5" t="s">
        <v>154</v>
      </c>
      <c r="C109" s="13" t="n">
        <v>0.006</v>
      </c>
    </row>
    <row r="110" customFormat="false" ht="15" hidden="false" customHeight="false" outlineLevel="0" collapsed="false">
      <c r="A110" s="5" t="s">
        <v>158</v>
      </c>
      <c r="B110" s="5" t="s">
        <v>159</v>
      </c>
      <c r="C110" s="18" t="n">
        <v>0.03</v>
      </c>
    </row>
    <row r="111" customFormat="false" ht="15" hidden="false" customHeight="false" outlineLevel="0" collapsed="false">
      <c r="A111" s="5" t="s">
        <v>160</v>
      </c>
      <c r="B111" s="5" t="s">
        <v>64</v>
      </c>
      <c r="C111" s="18" t="n">
        <v>0.16</v>
      </c>
    </row>
    <row r="112" customFormat="false" ht="15" hidden="false" customHeight="false" outlineLevel="0" collapsed="false">
      <c r="A112" s="5" t="s">
        <v>161</v>
      </c>
      <c r="B112" s="5" t="s">
        <v>78</v>
      </c>
      <c r="C112" s="15" t="n">
        <v>5</v>
      </c>
    </row>
    <row r="113" customFormat="false" ht="15" hidden="false" customHeight="false" outlineLevel="0" collapsed="false">
      <c r="A113" s="5" t="s">
        <v>162</v>
      </c>
      <c r="B113" s="5" t="s">
        <v>78</v>
      </c>
      <c r="C113" s="15" t="n">
        <v>2</v>
      </c>
    </row>
    <row r="114" customFormat="false" ht="15" hidden="false" customHeight="false" outlineLevel="0" collapsed="false">
      <c r="A114" s="5" t="s">
        <v>163</v>
      </c>
      <c r="B114" s="5" t="s">
        <v>78</v>
      </c>
      <c r="C114" s="15" t="n">
        <v>3.5</v>
      </c>
    </row>
    <row r="115" customFormat="false" ht="15" hidden="false" customHeight="false" outlineLevel="0" collapsed="false">
      <c r="A115" s="5" t="s">
        <v>164</v>
      </c>
      <c r="B115" s="5" t="s">
        <v>89</v>
      </c>
      <c r="C115" s="17" t="n">
        <v>70</v>
      </c>
    </row>
    <row r="116" customFormat="false" ht="15" hidden="false" customHeight="false" outlineLevel="0" collapsed="false">
      <c r="A116" s="5" t="s">
        <v>165</v>
      </c>
      <c r="B116" s="5" t="s">
        <v>78</v>
      </c>
      <c r="C116" s="15" t="n">
        <v>4</v>
      </c>
    </row>
    <row r="117" customFormat="false" ht="15" hidden="false" customHeight="false" outlineLevel="0" collapsed="false">
      <c r="A117" s="5" t="s">
        <v>166</v>
      </c>
      <c r="B117" s="5" t="s">
        <v>64</v>
      </c>
      <c r="C117" s="13" t="n">
        <v>0.35</v>
      </c>
    </row>
    <row r="118" customFormat="false" ht="15" hidden="false" customHeight="false" outlineLevel="0" collapsed="false">
      <c r="A118" s="5" t="s">
        <v>167</v>
      </c>
      <c r="B118" s="5" t="s">
        <v>64</v>
      </c>
      <c r="C118" s="13" t="n">
        <v>0.6</v>
      </c>
    </row>
    <row r="119" customFormat="false" ht="15" hidden="false" customHeight="false" outlineLevel="0" collapsed="false">
      <c r="A119" s="5" t="s">
        <v>168</v>
      </c>
      <c r="C119" s="13" t="n">
        <v>0.15</v>
      </c>
    </row>
    <row r="121" customFormat="false" ht="15" hidden="false" customHeight="false" outlineLevel="0" collapsed="false">
      <c r="A121" s="5" t="s">
        <v>171</v>
      </c>
      <c r="C121" s="21" t="n">
        <f aca="false">Assumptions!$C$81+Assumptions!$C$100+Assumptions!$C$119</f>
        <v>1</v>
      </c>
    </row>
    <row r="123" customFormat="false" ht="15" hidden="false" customHeight="false" outlineLevel="0" collapsed="false">
      <c r="A123" s="9" t="s">
        <v>172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customFormat="false" ht="15" hidden="false" customHeight="false" outlineLevel="0" collapsed="false">
      <c r="A124" s="7" t="s">
        <v>173</v>
      </c>
      <c r="B124" s="7" t="s">
        <v>174</v>
      </c>
      <c r="C124" s="7" t="s">
        <v>175</v>
      </c>
      <c r="D124" s="7" t="s">
        <v>176</v>
      </c>
      <c r="E124" s="7" t="s">
        <v>177</v>
      </c>
    </row>
    <row r="125" customFormat="false" ht="15" hidden="false" customHeight="false" outlineLevel="0" collapsed="false">
      <c r="A125" s="5" t="s">
        <v>178</v>
      </c>
      <c r="B125" s="5" t="s">
        <v>78</v>
      </c>
      <c r="C125" s="11" t="n">
        <v>15</v>
      </c>
      <c r="D125" s="4" t="n">
        <v>2</v>
      </c>
      <c r="E125" s="4" t="n">
        <v>7</v>
      </c>
    </row>
    <row r="126" customFormat="false" ht="15" hidden="false" customHeight="false" outlineLevel="0" collapsed="false">
      <c r="A126" s="5" t="s">
        <v>179</v>
      </c>
      <c r="B126" s="5" t="s">
        <v>180</v>
      </c>
      <c r="C126" s="11" t="n">
        <v>15</v>
      </c>
      <c r="D126" s="4" t="n">
        <v>5</v>
      </c>
      <c r="E126" s="4" t="n">
        <v>1</v>
      </c>
    </row>
    <row r="127" customFormat="false" ht="15" hidden="false" customHeight="false" outlineLevel="0" collapsed="false">
      <c r="A127" s="5" t="s">
        <v>181</v>
      </c>
      <c r="B127" s="5" t="s">
        <v>78</v>
      </c>
      <c r="C127" s="11" t="n">
        <v>10</v>
      </c>
      <c r="D127" s="4" t="n">
        <v>2</v>
      </c>
      <c r="E127" s="4" t="n">
        <v>0.5</v>
      </c>
    </row>
    <row r="128" customFormat="false" ht="15" hidden="false" customHeight="false" outlineLevel="0" collapsed="false">
      <c r="A128" s="5" t="s">
        <v>182</v>
      </c>
      <c r="B128" s="5" t="s">
        <v>64</v>
      </c>
      <c r="C128" s="11" t="n">
        <v>10</v>
      </c>
      <c r="D128" s="4" t="n">
        <v>0.12</v>
      </c>
      <c r="E128" s="4" t="n">
        <v>-0.02</v>
      </c>
    </row>
    <row r="129" customFormat="false" ht="15" hidden="false" customHeight="false" outlineLevel="0" collapsed="false">
      <c r="A129" s="5" t="s">
        <v>183</v>
      </c>
      <c r="B129" s="5" t="s">
        <v>184</v>
      </c>
      <c r="C129" s="11" t="n">
        <v>10</v>
      </c>
      <c r="D129" s="4" t="n">
        <v>0</v>
      </c>
      <c r="E129" s="4" t="n">
        <v>0.5</v>
      </c>
    </row>
    <row r="130" customFormat="false" ht="15" hidden="false" customHeight="false" outlineLevel="0" collapsed="false">
      <c r="A130" s="5" t="s">
        <v>185</v>
      </c>
      <c r="B130" s="5" t="s">
        <v>186</v>
      </c>
      <c r="C130" s="11" t="n">
        <v>10</v>
      </c>
      <c r="D130" s="4" t="n">
        <v>0.01</v>
      </c>
      <c r="E130" s="4" t="n">
        <v>0.05</v>
      </c>
    </row>
    <row r="131" customFormat="false" ht="15" hidden="false" customHeight="false" outlineLevel="0" collapsed="false">
      <c r="A131" s="5" t="s">
        <v>187</v>
      </c>
      <c r="B131" s="5" t="s">
        <v>186</v>
      </c>
      <c r="C131" s="11" t="n">
        <v>8</v>
      </c>
      <c r="D131" s="4" t="n">
        <v>0.03</v>
      </c>
      <c r="E131" s="4" t="n">
        <v>0.15</v>
      </c>
    </row>
    <row r="132" customFormat="false" ht="15" hidden="false" customHeight="false" outlineLevel="0" collapsed="false">
      <c r="A132" s="5" t="s">
        <v>188</v>
      </c>
      <c r="B132" s="5" t="s">
        <v>189</v>
      </c>
      <c r="C132" s="11" t="n">
        <v>12</v>
      </c>
      <c r="D132" s="4" t="n">
        <v>2</v>
      </c>
      <c r="E132" s="4" t="n">
        <v>0.6</v>
      </c>
    </row>
    <row r="133" customFormat="false" ht="15" hidden="false" customHeight="false" outlineLevel="0" collapsed="false">
      <c r="A133" s="5" t="s">
        <v>190</v>
      </c>
      <c r="B133" s="5" t="s">
        <v>191</v>
      </c>
      <c r="C133" s="11" t="n">
        <v>10</v>
      </c>
      <c r="D133" s="4" t="n">
        <v>1</v>
      </c>
      <c r="E133" s="4" t="n">
        <v>0</v>
      </c>
    </row>
    <row r="134" customFormat="false" ht="15" hidden="false" customHeight="false" outlineLevel="0" collapsed="false">
      <c r="A134" s="5" t="s">
        <v>192</v>
      </c>
      <c r="B134" s="5" t="s">
        <v>191</v>
      </c>
      <c r="C134" s="22" t="n">
        <v>0.25</v>
      </c>
    </row>
    <row r="135" customFormat="false" ht="15" hidden="false" customHeight="false" outlineLevel="0" collapsed="false">
      <c r="A135" s="5" t="s">
        <v>193</v>
      </c>
      <c r="C135" s="20" t="n">
        <f aca="false">SUM(C125:C133)</f>
        <v>100</v>
      </c>
    </row>
    <row r="137" customFormat="false" ht="15" hidden="false" customHeight="false" outlineLevel="0" collapsed="false">
      <c r="A137" s="9" t="s">
        <v>194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customFormat="false" ht="15" hidden="false" customHeight="false" outlineLevel="0" collapsed="false">
      <c r="A138" s="5" t="s">
        <v>195</v>
      </c>
      <c r="B138" s="5"/>
      <c r="C138" s="11" t="n">
        <v>75</v>
      </c>
    </row>
    <row r="139" customFormat="false" ht="15" hidden="false" customHeight="false" outlineLevel="0" collapsed="false">
      <c r="A139" s="5" t="s">
        <v>196</v>
      </c>
      <c r="B139" s="5"/>
      <c r="C139" s="11" t="n">
        <v>60</v>
      </c>
    </row>
    <row r="140" customFormat="false" ht="15" hidden="false" customHeight="false" outlineLevel="0" collapsed="false">
      <c r="A140" s="5" t="s">
        <v>197</v>
      </c>
      <c r="B140" s="5"/>
      <c r="C140" s="11" t="n">
        <v>45</v>
      </c>
    </row>
  </sheetData>
  <dataValidations count="1">
    <dataValidation allowBlank="false" errorStyle="stop" operator="between" showDropDown="false" showErrorMessage="false" showInputMessage="false" sqref="C1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3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5" t="s">
        <v>199</v>
      </c>
    </row>
    <row r="4" customFormat="false" ht="15" hidden="false" customHeight="false" outlineLevel="0" collapsed="false">
      <c r="A4" s="7" t="s">
        <v>200</v>
      </c>
      <c r="B4" s="7" t="s">
        <v>201</v>
      </c>
      <c r="C4" s="7" t="s">
        <v>202</v>
      </c>
      <c r="D4" s="7" t="s">
        <v>203</v>
      </c>
      <c r="E4" s="7" t="s">
        <v>204</v>
      </c>
      <c r="F4" s="7" t="s">
        <v>205</v>
      </c>
    </row>
    <row r="5" customFormat="false" ht="15" hidden="false" customHeight="false" outlineLevel="0" collapsed="false">
      <c r="A5" s="23" t="s">
        <v>206</v>
      </c>
      <c r="B5" s="24"/>
      <c r="C5" s="24"/>
      <c r="D5" s="24"/>
      <c r="E5" s="24"/>
      <c r="F5" s="24"/>
    </row>
    <row r="6" customFormat="false" ht="15" hidden="false" customHeight="false" outlineLevel="0" collapsed="false">
      <c r="A6" s="5" t="s">
        <v>207</v>
      </c>
      <c r="B6" s="14" t="n">
        <v>2650</v>
      </c>
      <c r="C6" s="14" t="n">
        <v>2560</v>
      </c>
      <c r="D6" s="14" t="n">
        <v>2470</v>
      </c>
      <c r="E6" s="14" t="n">
        <v>2400</v>
      </c>
      <c r="F6" s="5" t="s">
        <v>208</v>
      </c>
    </row>
    <row r="7" customFormat="false" ht="15" hidden="false" customHeight="false" outlineLevel="0" collapsed="false">
      <c r="A7" s="5" t="s">
        <v>209</v>
      </c>
      <c r="B7" s="14" t="n">
        <v>1643</v>
      </c>
      <c r="C7" s="14" t="n">
        <v>1605.12</v>
      </c>
      <c r="D7" s="14" t="n">
        <v>1568.45</v>
      </c>
      <c r="E7" s="14" t="n">
        <v>1536</v>
      </c>
      <c r="F7" s="5" t="s">
        <v>208</v>
      </c>
    </row>
    <row r="8" customFormat="false" ht="15" hidden="false" customHeight="false" outlineLevel="0" collapsed="false">
      <c r="A8" s="5" t="s">
        <v>210</v>
      </c>
      <c r="B8" s="14" t="n">
        <v>781.75</v>
      </c>
      <c r="C8" s="14" t="n">
        <v>755.2</v>
      </c>
      <c r="D8" s="14" t="n">
        <v>728.65</v>
      </c>
      <c r="E8" s="14" t="n">
        <v>708</v>
      </c>
      <c r="F8" s="5" t="s">
        <v>208</v>
      </c>
    </row>
    <row r="9" customFormat="false" ht="15" hidden="false" customHeight="false" outlineLevel="0" collapsed="false">
      <c r="A9" s="5" t="s">
        <v>211</v>
      </c>
      <c r="B9" s="14" t="n">
        <v>58.3</v>
      </c>
      <c r="C9" s="14" t="n">
        <v>56.32</v>
      </c>
      <c r="D9" s="14" t="n">
        <v>54.34</v>
      </c>
      <c r="E9" s="14" t="n">
        <v>52.8</v>
      </c>
      <c r="F9" s="5" t="s">
        <v>208</v>
      </c>
    </row>
    <row r="10" customFormat="false" ht="15" hidden="false" customHeight="false" outlineLevel="0" collapsed="false">
      <c r="A10" s="5" t="s">
        <v>212</v>
      </c>
      <c r="B10" s="14" t="n">
        <v>101.184</v>
      </c>
      <c r="C10" s="14" t="n">
        <v>107.136</v>
      </c>
      <c r="D10" s="14" t="n">
        <v>113.088</v>
      </c>
      <c r="E10" s="14" t="n">
        <v>119.04</v>
      </c>
      <c r="F10" s="5" t="s">
        <v>208</v>
      </c>
    </row>
    <row r="11" customFormat="false" ht="15" hidden="false" customHeight="false" outlineLevel="0" collapsed="false">
      <c r="A11" s="5" t="s">
        <v>213</v>
      </c>
      <c r="B11" s="14" t="n">
        <v>16.4415</v>
      </c>
      <c r="C11" s="14" t="n">
        <v>9.056</v>
      </c>
      <c r="D11" s="14" t="n">
        <v>1.368</v>
      </c>
      <c r="E11" s="14" t="n">
        <v>0</v>
      </c>
      <c r="F11" s="5" t="s">
        <v>208</v>
      </c>
    </row>
    <row r="12" customFormat="false" ht="15" hidden="false" customHeight="false" outlineLevel="0" collapsed="false">
      <c r="A12" s="5" t="s">
        <v>153</v>
      </c>
      <c r="B12" s="14" t="n">
        <v>53</v>
      </c>
      <c r="C12" s="14" t="n">
        <v>51.2</v>
      </c>
      <c r="D12" s="14" t="n">
        <v>49.4</v>
      </c>
      <c r="E12" s="14" t="n">
        <v>48</v>
      </c>
      <c r="F12" s="5" t="s">
        <v>208</v>
      </c>
    </row>
    <row r="13" customFormat="false" ht="15" hidden="false" customHeight="false" outlineLevel="0" collapsed="false">
      <c r="A13" s="5" t="s">
        <v>214</v>
      </c>
      <c r="B13" s="14" t="n">
        <v>-3.2121212121212</v>
      </c>
      <c r="C13" s="14" t="n">
        <v>-10.8</v>
      </c>
      <c r="D13" s="14" t="n">
        <v>-10.8</v>
      </c>
      <c r="E13" s="14" t="n">
        <v>-8.4</v>
      </c>
      <c r="F13" s="5" t="s">
        <v>208</v>
      </c>
    </row>
    <row r="14" customFormat="false" ht="15" hidden="false" customHeight="false" outlineLevel="0" collapsed="false">
      <c r="A14" s="5" t="s">
        <v>215</v>
      </c>
      <c r="B14" s="14" t="n">
        <v>0</v>
      </c>
      <c r="C14" s="14" t="n">
        <v>0</v>
      </c>
      <c r="D14" s="14" t="n">
        <v>0</v>
      </c>
      <c r="E14" s="14" t="n">
        <v>0</v>
      </c>
      <c r="F14" s="5" t="s">
        <v>208</v>
      </c>
    </row>
    <row r="16" customFormat="false" ht="15" hidden="false" customHeight="false" outlineLevel="0" collapsed="false">
      <c r="A16" s="23" t="s">
        <v>216</v>
      </c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2" t="s">
        <v>207</v>
      </c>
      <c r="B17" s="16" t="n">
        <f aca="false">B6</f>
        <v>2650</v>
      </c>
      <c r="C17" s="16" t="n">
        <f aca="false">C6</f>
        <v>2560</v>
      </c>
      <c r="D17" s="16" t="n">
        <f aca="false">D6</f>
        <v>2470</v>
      </c>
      <c r="E17" s="16" t="n">
        <f aca="false">E6</f>
        <v>2400</v>
      </c>
    </row>
    <row r="18" customFormat="false" ht="15" hidden="false" customHeight="false" outlineLevel="0" collapsed="false">
      <c r="A18" s="5" t="s">
        <v>217</v>
      </c>
      <c r="B18" s="25" t="n">
        <f aca="false">B7</f>
        <v>1643</v>
      </c>
      <c r="C18" s="25" t="n">
        <f aca="false">C7</f>
        <v>1605.12</v>
      </c>
      <c r="D18" s="25" t="n">
        <f aca="false">D7</f>
        <v>1568.45</v>
      </c>
      <c r="E18" s="25" t="n">
        <f aca="false">E7</f>
        <v>1536</v>
      </c>
    </row>
    <row r="19" customFormat="false" ht="15" hidden="false" customHeight="false" outlineLevel="0" collapsed="false">
      <c r="A19" s="2" t="s">
        <v>218</v>
      </c>
      <c r="B19" s="16" t="n">
        <f aca="false">B17-B18</f>
        <v>1007</v>
      </c>
      <c r="C19" s="16" t="n">
        <f aca="false">C17-C18</f>
        <v>954.88</v>
      </c>
      <c r="D19" s="16" t="n">
        <f aca="false">D17-D18</f>
        <v>901.55</v>
      </c>
      <c r="E19" s="16" t="n">
        <f aca="false">E17-E18</f>
        <v>864</v>
      </c>
    </row>
    <row r="20" customFormat="false" ht="15" hidden="false" customHeight="false" outlineLevel="0" collapsed="false">
      <c r="A20" s="5" t="s">
        <v>219</v>
      </c>
      <c r="B20" s="25" t="n">
        <f aca="false">B8</f>
        <v>781.75</v>
      </c>
      <c r="C20" s="25" t="n">
        <f aca="false">C8</f>
        <v>755.2</v>
      </c>
      <c r="D20" s="25" t="n">
        <f aca="false">D8</f>
        <v>728.65</v>
      </c>
      <c r="E20" s="25" t="n">
        <f aca="false">E8</f>
        <v>708</v>
      </c>
    </row>
    <row r="21" customFormat="false" ht="15" hidden="false" customHeight="false" outlineLevel="0" collapsed="false">
      <c r="A21" s="2" t="s">
        <v>220</v>
      </c>
      <c r="B21" s="16" t="n">
        <f aca="false">B19-B20</f>
        <v>225.25</v>
      </c>
      <c r="C21" s="16" t="n">
        <f aca="false">C19-C20</f>
        <v>199.68</v>
      </c>
      <c r="D21" s="16" t="n">
        <f aca="false">D19-D20</f>
        <v>172.9</v>
      </c>
      <c r="E21" s="16" t="n">
        <f aca="false">E19-E20</f>
        <v>156</v>
      </c>
    </row>
    <row r="22" customFormat="false" ht="15" hidden="false" customHeight="false" outlineLevel="0" collapsed="false">
      <c r="A22" s="5" t="s">
        <v>211</v>
      </c>
      <c r="B22" s="25" t="n">
        <f aca="false">B9</f>
        <v>58.3</v>
      </c>
      <c r="C22" s="25" t="n">
        <f aca="false">C9</f>
        <v>56.32</v>
      </c>
      <c r="D22" s="25" t="n">
        <f aca="false">D9</f>
        <v>54.34</v>
      </c>
      <c r="E22" s="25" t="n">
        <f aca="false">E9</f>
        <v>52.8</v>
      </c>
    </row>
    <row r="23" customFormat="false" ht="15" hidden="false" customHeight="false" outlineLevel="0" collapsed="false">
      <c r="A23" s="5" t="s">
        <v>221</v>
      </c>
      <c r="B23" s="25" t="n">
        <f aca="false">B14</f>
        <v>0</v>
      </c>
      <c r="C23" s="25" t="n">
        <f aca="false">C14</f>
        <v>0</v>
      </c>
      <c r="D23" s="25" t="n">
        <f aca="false">D14</f>
        <v>0</v>
      </c>
      <c r="E23" s="25" t="n">
        <f aca="false">E14</f>
        <v>0</v>
      </c>
    </row>
    <row r="24" customFormat="false" ht="15" hidden="false" customHeight="false" outlineLevel="0" collapsed="false">
      <c r="A24" s="2" t="s">
        <v>222</v>
      </c>
      <c r="B24" s="16" t="n">
        <f aca="false">B21-B22-B23</f>
        <v>166.95</v>
      </c>
      <c r="C24" s="16" t="n">
        <f aca="false">C21-C22-C23</f>
        <v>143.36</v>
      </c>
      <c r="D24" s="16" t="n">
        <f aca="false">D21-D22-D23</f>
        <v>118.56</v>
      </c>
      <c r="E24" s="16" t="n">
        <f aca="false">E21-E22-E23</f>
        <v>103.2</v>
      </c>
    </row>
    <row r="25" customFormat="false" ht="15" hidden="false" customHeight="false" outlineLevel="0" collapsed="false">
      <c r="A25" s="5" t="s">
        <v>212</v>
      </c>
      <c r="B25" s="25" t="n">
        <f aca="false">B10</f>
        <v>101.184</v>
      </c>
      <c r="C25" s="25" t="n">
        <f aca="false">C10</f>
        <v>107.136</v>
      </c>
      <c r="D25" s="25" t="n">
        <f aca="false">D10</f>
        <v>113.088</v>
      </c>
      <c r="E25" s="25" t="n">
        <f aca="false">E10</f>
        <v>119.04</v>
      </c>
    </row>
    <row r="26" customFormat="false" ht="15" hidden="false" customHeight="false" outlineLevel="0" collapsed="false">
      <c r="A26" s="2" t="s">
        <v>223</v>
      </c>
      <c r="B26" s="16" t="n">
        <f aca="false">B24-B25</f>
        <v>65.766</v>
      </c>
      <c r="C26" s="16" t="n">
        <f aca="false">C24-C25</f>
        <v>36.2240000000001</v>
      </c>
      <c r="D26" s="16" t="n">
        <f aca="false">D24-D25</f>
        <v>5.47199999999998</v>
      </c>
      <c r="E26" s="16" t="n">
        <f aca="false">E24-E25</f>
        <v>-15.84</v>
      </c>
    </row>
    <row r="27" customFormat="false" ht="15" hidden="false" customHeight="false" outlineLevel="0" collapsed="false">
      <c r="A27" s="5" t="s">
        <v>224</v>
      </c>
      <c r="B27" s="25" t="n">
        <f aca="false">B11</f>
        <v>16.4415</v>
      </c>
      <c r="C27" s="25" t="n">
        <f aca="false">C11</f>
        <v>9.056</v>
      </c>
      <c r="D27" s="25" t="n">
        <f aca="false">D11</f>
        <v>1.368</v>
      </c>
      <c r="E27" s="25" t="n">
        <f aca="false">E11</f>
        <v>0</v>
      </c>
    </row>
    <row r="28" customFormat="false" ht="15" hidden="false" customHeight="false" outlineLevel="0" collapsed="false">
      <c r="A28" s="2" t="s">
        <v>225</v>
      </c>
      <c r="B28" s="16" t="n">
        <f aca="false">B26-B27</f>
        <v>49.3245</v>
      </c>
      <c r="C28" s="16" t="n">
        <f aca="false">C26-C27</f>
        <v>27.1680000000001</v>
      </c>
      <c r="D28" s="16" t="n">
        <f aca="false">D26-D27</f>
        <v>4.10399999999998</v>
      </c>
      <c r="E28" s="16" t="n">
        <f aca="false">E26-E27</f>
        <v>-15.84</v>
      </c>
    </row>
    <row r="29" customFormat="false" ht="15" hidden="false" customHeight="false" outlineLevel="0" collapsed="false">
      <c r="A29" s="5" t="s">
        <v>226</v>
      </c>
      <c r="B29" s="25" t="n">
        <f aca="false">B12</f>
        <v>53</v>
      </c>
      <c r="C29" s="25" t="n">
        <f aca="false">C12</f>
        <v>51.2</v>
      </c>
      <c r="D29" s="25" t="n">
        <f aca="false">D12</f>
        <v>49.4</v>
      </c>
      <c r="E29" s="25" t="n">
        <f aca="false">E12</f>
        <v>48</v>
      </c>
    </row>
    <row r="30" customFormat="false" ht="15" hidden="false" customHeight="false" outlineLevel="0" collapsed="false">
      <c r="A30" s="5" t="s">
        <v>214</v>
      </c>
      <c r="B30" s="25" t="n">
        <f aca="false">B13</f>
        <v>-3.2121212121212</v>
      </c>
      <c r="C30" s="25" t="n">
        <f aca="false">C13</f>
        <v>-10.8</v>
      </c>
      <c r="D30" s="25" t="n">
        <f aca="false">D13</f>
        <v>-10.8</v>
      </c>
      <c r="E30" s="25" t="n">
        <f aca="false">E13</f>
        <v>-8.4</v>
      </c>
    </row>
    <row r="31" customFormat="false" ht="15" hidden="false" customHeight="false" outlineLevel="0" collapsed="false">
      <c r="A31" s="2" t="s">
        <v>227</v>
      </c>
      <c r="B31" s="16" t="n">
        <f aca="false">B28+B22+B23-B29-B30</f>
        <v>57.8366212121212</v>
      </c>
      <c r="C31" s="16" t="n">
        <f aca="false">C28+C22+C23-C29-C30</f>
        <v>43.0880000000001</v>
      </c>
      <c r="D31" s="16" t="n">
        <f aca="false">D28+D22+D23-D29-D30</f>
        <v>19.844</v>
      </c>
      <c r="E31" s="16" t="n">
        <f aca="false">E28+E22+E23-E29-E30</f>
        <v>-2.64000000000001</v>
      </c>
    </row>
    <row r="33" customFormat="false" ht="15" hidden="false" customHeight="false" outlineLevel="0" collapsed="false">
      <c r="A33" s="23" t="s">
        <v>228</v>
      </c>
      <c r="B33" s="24"/>
      <c r="C33" s="24"/>
      <c r="D33" s="24"/>
      <c r="E33" s="24"/>
      <c r="F33" s="24"/>
    </row>
    <row r="34" customFormat="false" ht="15" hidden="false" customHeight="false" outlineLevel="0" collapsed="false">
      <c r="A34" s="5" t="s">
        <v>150</v>
      </c>
      <c r="B34" s="21" t="n">
        <f aca="false">B19/B17</f>
        <v>0.38</v>
      </c>
      <c r="C34" s="21" t="n">
        <f aca="false">C19/C17</f>
        <v>0.373</v>
      </c>
      <c r="D34" s="21" t="n">
        <f aca="false">D19/D17</f>
        <v>0.365</v>
      </c>
      <c r="E34" s="21" t="n">
        <f aca="false">E19/E17</f>
        <v>0.36</v>
      </c>
    </row>
    <row r="35" customFormat="false" ht="15" hidden="false" customHeight="false" outlineLevel="0" collapsed="false">
      <c r="A35" s="5" t="s">
        <v>151</v>
      </c>
      <c r="B35" s="21" t="n">
        <f aca="false">B21/B17</f>
        <v>0.085</v>
      </c>
      <c r="C35" s="21" t="n">
        <f aca="false">C21/C17</f>
        <v>0.078</v>
      </c>
      <c r="D35" s="21" t="n">
        <f aca="false">D21/D17</f>
        <v>0.07</v>
      </c>
      <c r="E35" s="21" t="n">
        <f aca="false">E21/E17</f>
        <v>0.065</v>
      </c>
    </row>
    <row r="36" customFormat="false" ht="15" hidden="false" customHeight="false" outlineLevel="0" collapsed="false">
      <c r="A36" s="5" t="s">
        <v>229</v>
      </c>
      <c r="C36" s="21" t="n">
        <f aca="false">C17/B17-1</f>
        <v>-0.0339622641509434</v>
      </c>
      <c r="D36" s="21" t="n">
        <f aca="false">D17/C17-1</f>
        <v>-0.03515625</v>
      </c>
      <c r="E36" s="21" t="n">
        <f aca="false">E17/D17-1</f>
        <v>-0.02834008097166</v>
      </c>
    </row>
    <row r="37" customFormat="false" ht="15" hidden="false" customHeight="false" outlineLevel="0" collapsed="false">
      <c r="A37" s="5" t="s">
        <v>230</v>
      </c>
      <c r="C37" s="21" t="n">
        <f aca="false">C21/B21-1</f>
        <v>-0.113518312985571</v>
      </c>
      <c r="D37" s="21" t="n">
        <f aca="false">D21/C21-1</f>
        <v>-0.134114583333334</v>
      </c>
      <c r="E37" s="21" t="n">
        <f aca="false">E21/D21-1</f>
        <v>-0.0977443609022555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232</v>
      </c>
      <c r="H4" s="7" t="s">
        <v>233</v>
      </c>
      <c r="I4" s="7" t="s">
        <v>234</v>
      </c>
      <c r="J4" s="7" t="s">
        <v>235</v>
      </c>
      <c r="K4" s="7" t="s">
        <v>236</v>
      </c>
    </row>
    <row r="6" customFormat="false" ht="15" hidden="false" customHeight="false" outlineLevel="0" collapsed="false">
      <c r="A6" s="23" t="s">
        <v>237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238</v>
      </c>
      <c r="C7" s="20" t="n">
        <f aca="false">D7-1</f>
        <v>2022</v>
      </c>
      <c r="D7" s="20" t="n">
        <f aca="false">E7-1</f>
        <v>2023</v>
      </c>
      <c r="E7" s="20" t="n">
        <f aca="false">F7-1</f>
        <v>2024</v>
      </c>
      <c r="F7" s="26" t="n">
        <f aca="false">Assumptions!$C$6</f>
        <v>2025</v>
      </c>
      <c r="G7" s="20" t="n">
        <f aca="false">F7+1</f>
        <v>2026</v>
      </c>
      <c r="H7" s="20" t="n">
        <f aca="false">G7+1</f>
        <v>2027</v>
      </c>
      <c r="I7" s="20" t="n">
        <f aca="false">H7+1</f>
        <v>2028</v>
      </c>
      <c r="J7" s="20" t="n">
        <f aca="false">I7+1</f>
        <v>2029</v>
      </c>
      <c r="K7" s="20" t="n">
        <f aca="false">J7+1</f>
        <v>2030</v>
      </c>
    </row>
    <row r="8" customFormat="false" ht="15" hidden="false" customHeight="false" outlineLevel="0" collapsed="false">
      <c r="A8" s="5" t="s">
        <v>239</v>
      </c>
      <c r="G8" s="20" t="n">
        <f aca="false">G7-Assumptions!$C$6</f>
        <v>1</v>
      </c>
      <c r="H8" s="20" t="n">
        <f aca="false">H7-Assumptions!$C$6</f>
        <v>2</v>
      </c>
      <c r="I8" s="20" t="n">
        <f aca="false">I7-Assumptions!$C$6</f>
        <v>3</v>
      </c>
      <c r="J8" s="20" t="n">
        <f aca="false">J7-Assumptions!$C$6</f>
        <v>4</v>
      </c>
      <c r="K8" s="20" t="n">
        <f aca="false">K7-Assumptions!$C$6</f>
        <v>5</v>
      </c>
    </row>
    <row r="9" customFormat="false" ht="15" hidden="false" customHeight="false" outlineLevel="0" collapsed="false">
      <c r="A9" s="5" t="s">
        <v>149</v>
      </c>
      <c r="G9" s="21" t="n">
        <f aca="false">CHOOSE(Assumptions!$C$10,Assumptions!$G$65,Assumptions!$G$84,Assumptions!$G$103)</f>
        <v>-0.078</v>
      </c>
      <c r="H9" s="21" t="n">
        <f aca="false">CHOOSE(Assumptions!$C$10,Assumptions!$H$65,Assumptions!$H$84,Assumptions!$H$103)</f>
        <v>-0.039</v>
      </c>
      <c r="I9" s="21" t="n">
        <f aca="false">CHOOSE(Assumptions!$C$10,Assumptions!$I$65,Assumptions!$I$84,Assumptions!$I$103)</f>
        <v>-0.005</v>
      </c>
      <c r="J9" s="21" t="n">
        <f aca="false">CHOOSE(Assumptions!$C$10,Assumptions!$J$65,Assumptions!$J$84,Assumptions!$J$103)</f>
        <v>-0.01</v>
      </c>
      <c r="K9" s="21" t="n">
        <f aca="false">CHOOSE(Assumptions!$C$10,Assumptions!$K$65,Assumptions!$K$84,Assumptions!$K$103)</f>
        <v>-0.01</v>
      </c>
    </row>
    <row r="10" customFormat="false" ht="15" hidden="false" customHeight="false" outlineLevel="0" collapsed="false">
      <c r="A10" s="5" t="s">
        <v>150</v>
      </c>
      <c r="G10" s="21" t="n">
        <f aca="false">CHOOSE(Assumptions!$C$10,Assumptions!$G$66,Assumptions!$G$85,Assumptions!$G$104)</f>
        <v>0.33</v>
      </c>
      <c r="H10" s="21" t="n">
        <f aca="false">CHOOSE(Assumptions!$C$10,Assumptions!$H$66,Assumptions!$H$85,Assumptions!$H$104)</f>
        <v>0.318</v>
      </c>
      <c r="I10" s="21" t="n">
        <f aca="false">CHOOSE(Assumptions!$C$10,Assumptions!$I$66,Assumptions!$I$85,Assumptions!$I$104)</f>
        <v>0.324</v>
      </c>
      <c r="J10" s="21" t="n">
        <f aca="false">CHOOSE(Assumptions!$C$10,Assumptions!$J$66,Assumptions!$J$85,Assumptions!$J$104)</f>
        <v>0.33</v>
      </c>
      <c r="K10" s="21" t="n">
        <f aca="false">CHOOSE(Assumptions!$C$10,Assumptions!$K$66,Assumptions!$K$85,Assumptions!$K$104)</f>
        <v>0.336</v>
      </c>
    </row>
    <row r="11" customFormat="false" ht="15" hidden="false" customHeight="false" outlineLevel="0" collapsed="false">
      <c r="A11" s="5" t="s">
        <v>151</v>
      </c>
      <c r="G11" s="21" t="n">
        <f aca="false">CHOOSE(Assumptions!$C$10,Assumptions!$G$67,Assumptions!$G$86,Assumptions!$G$105)</f>
        <v>0.035</v>
      </c>
      <c r="H11" s="21" t="n">
        <f aca="false">CHOOSE(Assumptions!$C$10,Assumptions!$H$67,Assumptions!$H$86,Assumptions!$H$105)</f>
        <v>0.023</v>
      </c>
      <c r="I11" s="21" t="n">
        <f aca="false">CHOOSE(Assumptions!$C$10,Assumptions!$I$67,Assumptions!$I$86,Assumptions!$I$105)</f>
        <v>0.029</v>
      </c>
      <c r="J11" s="21" t="n">
        <f aca="false">CHOOSE(Assumptions!$C$10,Assumptions!$J$67,Assumptions!$J$86,Assumptions!$J$105)</f>
        <v>0.035</v>
      </c>
      <c r="K11" s="21" t="n">
        <f aca="false">CHOOSE(Assumptions!$C$10,Assumptions!$K$67,Assumptions!$K$86,Assumptions!$K$105)</f>
        <v>0.041</v>
      </c>
    </row>
    <row r="12" customFormat="false" ht="15" hidden="false" customHeight="false" outlineLevel="0" collapsed="false">
      <c r="A12" s="23" t="s">
        <v>240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2" t="s">
        <v>207</v>
      </c>
      <c r="C13" s="27" t="n">
        <f aca="false">'Historical Financials'!B17</f>
        <v>2650</v>
      </c>
      <c r="D13" s="27" t="n">
        <f aca="false">'Historical Financials'!C17</f>
        <v>2560</v>
      </c>
      <c r="E13" s="27" t="n">
        <f aca="false">'Historical Financials'!D17</f>
        <v>2470</v>
      </c>
      <c r="F13" s="27" t="n">
        <f aca="false">'Historical Financials'!E17</f>
        <v>2400</v>
      </c>
      <c r="G13" s="16" t="n">
        <f aca="false">F13*(1+G9)</f>
        <v>2212.8</v>
      </c>
      <c r="H13" s="16" t="n">
        <f aca="false">G13*(1+H9)</f>
        <v>2126.5008</v>
      </c>
      <c r="I13" s="16" t="n">
        <f aca="false">H13*(1+I9)</f>
        <v>2115.868296</v>
      </c>
      <c r="J13" s="16" t="n">
        <f aca="false">I13*(1+J9)</f>
        <v>2094.70961304</v>
      </c>
      <c r="K13" s="16" t="n">
        <f aca="false">J13*(1+K9)</f>
        <v>2073.7625169096</v>
      </c>
    </row>
    <row r="14" customFormat="false" ht="15" hidden="false" customHeight="false" outlineLevel="0" collapsed="false">
      <c r="A14" s="5" t="s">
        <v>217</v>
      </c>
      <c r="C14" s="28" t="n">
        <f aca="false">'Historical Financials'!B18</f>
        <v>1643</v>
      </c>
      <c r="D14" s="28" t="n">
        <f aca="false">'Historical Financials'!C18</f>
        <v>1605.12</v>
      </c>
      <c r="E14" s="28" t="n">
        <f aca="false">'Historical Financials'!D18</f>
        <v>1568.45</v>
      </c>
      <c r="F14" s="28" t="n">
        <f aca="false">'Historical Financials'!E18</f>
        <v>1536</v>
      </c>
      <c r="G14" s="25" t="n">
        <f aca="false">G13*(1-G10)</f>
        <v>1482.576</v>
      </c>
      <c r="H14" s="25" t="n">
        <f aca="false">H13*(1-H10)</f>
        <v>1450.2735456</v>
      </c>
      <c r="I14" s="25" t="n">
        <f aca="false">I13*(1-I10)</f>
        <v>1430.326968096</v>
      </c>
      <c r="J14" s="25" t="n">
        <f aca="false">J13*(1-J10)</f>
        <v>1403.4554407368</v>
      </c>
      <c r="K14" s="25" t="n">
        <f aca="false">K13*(1-K10)</f>
        <v>1376.97831122797</v>
      </c>
    </row>
    <row r="15" customFormat="false" ht="15" hidden="false" customHeight="false" outlineLevel="0" collapsed="false">
      <c r="A15" s="2" t="s">
        <v>218</v>
      </c>
      <c r="C15" s="16" t="n">
        <f aca="false">C13-C14</f>
        <v>1007</v>
      </c>
      <c r="D15" s="16" t="n">
        <f aca="false">D13-D14</f>
        <v>954.88</v>
      </c>
      <c r="E15" s="16" t="n">
        <f aca="false">E13-E14</f>
        <v>901.55</v>
      </c>
      <c r="F15" s="16" t="n">
        <f aca="false">F13-F14</f>
        <v>864</v>
      </c>
      <c r="G15" s="16" t="n">
        <f aca="false">G13-G14</f>
        <v>730.224</v>
      </c>
      <c r="H15" s="16" t="n">
        <f aca="false">H13-H14</f>
        <v>676.2272544</v>
      </c>
      <c r="I15" s="16" t="n">
        <f aca="false">I13-I14</f>
        <v>685.541327904</v>
      </c>
      <c r="J15" s="16" t="n">
        <f aca="false">J13-J14</f>
        <v>691.2541723032</v>
      </c>
      <c r="K15" s="16" t="n">
        <f aca="false">K13-K14</f>
        <v>696.784205681626</v>
      </c>
    </row>
    <row r="16" customFormat="false" ht="15" hidden="false" customHeight="false" outlineLevel="0" collapsed="false">
      <c r="A16" s="5" t="s">
        <v>241</v>
      </c>
      <c r="C16" s="28" t="n">
        <f aca="false">'Historical Financials'!B20</f>
        <v>781.75</v>
      </c>
      <c r="D16" s="28" t="n">
        <f aca="false">'Historical Financials'!C20</f>
        <v>755.2</v>
      </c>
      <c r="E16" s="28" t="n">
        <f aca="false">'Historical Financials'!D20</f>
        <v>728.65</v>
      </c>
      <c r="F16" s="28" t="n">
        <f aca="false">'Historical Financials'!E20</f>
        <v>708</v>
      </c>
      <c r="G16" s="25" t="n">
        <f aca="false">G15-G17</f>
        <v>652.776</v>
      </c>
      <c r="H16" s="25" t="n">
        <f aca="false">H15-H17</f>
        <v>627.317736</v>
      </c>
      <c r="I16" s="25" t="n">
        <f aca="false">I15-I17</f>
        <v>624.18114732</v>
      </c>
      <c r="J16" s="25" t="n">
        <f aca="false">J15-J17</f>
        <v>617.9393358468</v>
      </c>
      <c r="K16" s="25" t="n">
        <f aca="false">K15-K17</f>
        <v>611.759942488332</v>
      </c>
    </row>
    <row r="17" customFormat="false" ht="15" hidden="false" customHeight="false" outlineLevel="0" collapsed="false">
      <c r="A17" s="2" t="s">
        <v>242</v>
      </c>
      <c r="C17" s="16" t="n">
        <f aca="false">C15-C16</f>
        <v>225.25</v>
      </c>
      <c r="D17" s="16" t="n">
        <f aca="false">D15-D16</f>
        <v>199.68</v>
      </c>
      <c r="E17" s="16" t="n">
        <f aca="false">E15-E16</f>
        <v>172.9</v>
      </c>
      <c r="F17" s="16" t="n">
        <f aca="false">F15-F16</f>
        <v>156</v>
      </c>
      <c r="G17" s="16" t="n">
        <f aca="false">G13*G11</f>
        <v>77.448</v>
      </c>
      <c r="H17" s="16" t="n">
        <f aca="false">H13*H11</f>
        <v>48.9095184</v>
      </c>
      <c r="I17" s="16" t="n">
        <f aca="false">I13*I11</f>
        <v>61.360180584</v>
      </c>
      <c r="J17" s="16" t="n">
        <f aca="false">J13*J11</f>
        <v>73.3148364564</v>
      </c>
      <c r="K17" s="16" t="n">
        <f aca="false">K13*K11</f>
        <v>85.0242631932936</v>
      </c>
    </row>
    <row r="18" customFormat="false" ht="15" hidden="false" customHeight="false" outlineLevel="0" collapsed="false">
      <c r="A18" s="5" t="s">
        <v>243</v>
      </c>
      <c r="C18" s="28" t="n">
        <f aca="false">'Historical Financials'!B22</f>
        <v>58.3</v>
      </c>
      <c r="D18" s="28" t="n">
        <f aca="false">'Historical Financials'!C22</f>
        <v>56.32</v>
      </c>
      <c r="E18" s="28" t="n">
        <f aca="false">'Historical Financials'!D22</f>
        <v>54.34</v>
      </c>
      <c r="F18" s="28" t="n">
        <f aca="false">'Historical Financials'!E22</f>
        <v>52.8</v>
      </c>
      <c r="G18" s="25" t="n">
        <f aca="false">G13*'Historical Financials'!E22/'Historical Financials'!E17</f>
        <v>48.6816</v>
      </c>
      <c r="H18" s="25" t="n">
        <f aca="false">H13*'Historical Financials'!E22/'Historical Financials'!E17</f>
        <v>46.7830176</v>
      </c>
      <c r="I18" s="25" t="n">
        <f aca="false">I13*'Historical Financials'!E22/'Historical Financials'!E17</f>
        <v>46.549102512</v>
      </c>
      <c r="J18" s="25" t="n">
        <f aca="false">J13*'Historical Financials'!E22/'Historical Financials'!E17</f>
        <v>46.08361148688</v>
      </c>
      <c r="K18" s="25" t="n">
        <f aca="false">K13*'Historical Financials'!E22/'Historical Financials'!E17</f>
        <v>45.6227753720112</v>
      </c>
    </row>
    <row r="19" customFormat="false" ht="15" hidden="false" customHeight="false" outlineLevel="0" collapsed="false">
      <c r="A19" s="5" t="s">
        <v>244</v>
      </c>
      <c r="C19" s="28" t="n">
        <f aca="false">'Historical Financials'!B23</f>
        <v>0</v>
      </c>
      <c r="D19" s="28" t="n">
        <f aca="false">'Historical Financials'!C23</f>
        <v>0</v>
      </c>
      <c r="E19" s="28" t="n">
        <f aca="false">'Historical Financials'!D23</f>
        <v>0</v>
      </c>
      <c r="F19" s="28" t="n">
        <f aca="false">'Historical Financials'!E23</f>
        <v>0</v>
      </c>
      <c r="G19" s="25" t="n">
        <f aca="false">G13*'Historical Financials'!E23/'Historical Financials'!E17</f>
        <v>0</v>
      </c>
      <c r="H19" s="25" t="n">
        <f aca="false">H13*'Historical Financials'!E23/'Historical Financials'!E17</f>
        <v>0</v>
      </c>
      <c r="I19" s="25" t="n">
        <f aca="false">I13*'Historical Financials'!E23/'Historical Financials'!E17</f>
        <v>0</v>
      </c>
      <c r="J19" s="25" t="n">
        <f aca="false">J13*'Historical Financials'!E23/'Historical Financials'!E17</f>
        <v>0</v>
      </c>
      <c r="K19" s="25" t="n">
        <f aca="false">K13*'Historical Financials'!E23/'Historical Financials'!E17</f>
        <v>0</v>
      </c>
    </row>
    <row r="20" customFormat="false" ht="15" hidden="false" customHeight="false" outlineLevel="0" collapsed="false">
      <c r="A20" s="2" t="s">
        <v>245</v>
      </c>
      <c r="C20" s="16" t="n">
        <f aca="false">C17-C18-C19</f>
        <v>166.95</v>
      </c>
      <c r="D20" s="16" t="n">
        <f aca="false">D17-D18-D19</f>
        <v>143.36</v>
      </c>
      <c r="E20" s="16" t="n">
        <f aca="false">E17-E18-E19</f>
        <v>118.56</v>
      </c>
      <c r="F20" s="16" t="n">
        <f aca="false">F17-F18-F19</f>
        <v>103.2</v>
      </c>
      <c r="G20" s="16" t="n">
        <f aca="false">G17-G18-G19</f>
        <v>28.7664</v>
      </c>
      <c r="H20" s="16" t="n">
        <f aca="false">H17-H18-H19</f>
        <v>2.12650079999998</v>
      </c>
      <c r="I20" s="16" t="n">
        <f aca="false">I17-I18-I19</f>
        <v>14.811078072</v>
      </c>
      <c r="J20" s="16" t="n">
        <f aca="false">J17-J18-J19</f>
        <v>27.23122496952</v>
      </c>
      <c r="K20" s="16" t="n">
        <f aca="false">K17-K18-K19</f>
        <v>39.4014878212824</v>
      </c>
    </row>
    <row r="21" customFormat="false" ht="15" hidden="false" customHeight="false" outlineLevel="0" collapsed="false">
      <c r="A21" s="5" t="s">
        <v>246</v>
      </c>
      <c r="G21" s="25" t="n">
        <f aca="false">'Debt Schedule'!G21+'Debt Schedule'!G34+'Debt Schedule'!G47+'Debt Schedule'!G60</f>
        <v>129.54</v>
      </c>
      <c r="H21" s="25" t="n">
        <f aca="false">'Debt Schedule'!H21+'Debt Schedule'!H34+'Debt Schedule'!H47+'Debt Schedule'!H60</f>
        <v>130.7646348</v>
      </c>
      <c r="I21" s="25" t="n">
        <f aca="false">'Debt Schedule'!I21+'Debt Schedule'!I34+'Debt Schedule'!I47+'Debt Schedule'!I60</f>
        <v>128.3492928</v>
      </c>
      <c r="J21" s="25" t="n">
        <f aca="false">'Debt Schedule'!J21+'Debt Schedule'!J34+'Debt Schedule'!J47+'Debt Schedule'!J60</f>
        <v>127.7616928</v>
      </c>
      <c r="K21" s="25" t="n">
        <f aca="false">'Debt Schedule'!K21+'Debt Schedule'!K34+'Debt Schedule'!K47+'Debt Schedule'!K60</f>
        <v>127.1740928</v>
      </c>
    </row>
    <row r="22" customFormat="false" ht="15" hidden="false" customHeight="false" outlineLevel="0" collapsed="false">
      <c r="A22" s="5" t="s">
        <v>247</v>
      </c>
      <c r="G22" s="25" t="n">
        <f aca="false">'Debt Schedule'!G22+'Debt Schedule'!G35+'Debt Schedule'!G48+'Debt Schedule'!G61</f>
        <v>0</v>
      </c>
      <c r="H22" s="25" t="n">
        <f aca="false">'Debt Schedule'!H22+'Debt Schedule'!H35+'Debt Schedule'!H48+'Debt Schedule'!H61</f>
        <v>0</v>
      </c>
      <c r="I22" s="25" t="n">
        <f aca="false">'Debt Schedule'!I22+'Debt Schedule'!I35+'Debt Schedule'!I48+'Debt Schedule'!I61</f>
        <v>0</v>
      </c>
      <c r="J22" s="25" t="n">
        <f aca="false">'Debt Schedule'!J22+'Debt Schedule'!J35+'Debt Schedule'!J48+'Debt Schedule'!J61</f>
        <v>0</v>
      </c>
      <c r="K22" s="25" t="n">
        <f aca="false">'Debt Schedule'!K22+'Debt Schedule'!K35+'Debt Schedule'!K48+'Debt Schedule'!K61</f>
        <v>0</v>
      </c>
    </row>
    <row r="23" customFormat="false" ht="15" hidden="false" customHeight="false" outlineLevel="0" collapsed="false">
      <c r="A23" s="5" t="s">
        <v>212</v>
      </c>
      <c r="C23" s="28" t="n">
        <f aca="false">'Historical Financials'!B25</f>
        <v>101.184</v>
      </c>
      <c r="D23" s="28" t="n">
        <f aca="false">'Historical Financials'!C25</f>
        <v>107.136</v>
      </c>
      <c r="E23" s="28" t="n">
        <f aca="false">'Historical Financials'!D25</f>
        <v>113.088</v>
      </c>
      <c r="F23" s="28" t="n">
        <f aca="false">'Historical Financials'!E25</f>
        <v>119.04</v>
      </c>
      <c r="G23" s="25" t="n">
        <f aca="false">G21+G22</f>
        <v>129.54</v>
      </c>
      <c r="H23" s="25" t="n">
        <f aca="false">H21+H22</f>
        <v>130.7646348</v>
      </c>
      <c r="I23" s="25" t="n">
        <f aca="false">I21+I22</f>
        <v>128.3492928</v>
      </c>
      <c r="J23" s="25" t="n">
        <f aca="false">J21+J22</f>
        <v>127.7616928</v>
      </c>
      <c r="K23" s="25" t="n">
        <f aca="false">K21+K22</f>
        <v>127.1740928</v>
      </c>
    </row>
    <row r="24" customFormat="false" ht="15" hidden="false" customHeight="false" outlineLevel="0" collapsed="false">
      <c r="A24" s="2" t="s">
        <v>223</v>
      </c>
      <c r="C24" s="16" t="n">
        <f aca="false">C20-C23</f>
        <v>65.766</v>
      </c>
      <c r="D24" s="16" t="n">
        <f aca="false">D20-D23</f>
        <v>36.2240000000001</v>
      </c>
      <c r="E24" s="16" t="n">
        <f aca="false">E20-E23</f>
        <v>5.47199999999998</v>
      </c>
      <c r="F24" s="16" t="n">
        <f aca="false">F20-F23</f>
        <v>-15.84</v>
      </c>
      <c r="G24" s="16" t="n">
        <f aca="false">G20-G23</f>
        <v>-100.7736</v>
      </c>
      <c r="H24" s="16" t="n">
        <f aca="false">H20-H23</f>
        <v>-128.638134</v>
      </c>
      <c r="I24" s="16" t="n">
        <f aca="false">I20-I23</f>
        <v>-113.538214728</v>
      </c>
      <c r="J24" s="16" t="n">
        <f aca="false">J20-J23</f>
        <v>-100.53046783048</v>
      </c>
      <c r="K24" s="16" t="n">
        <f aca="false">K20-K23</f>
        <v>-87.7726049787176</v>
      </c>
    </row>
    <row r="25" customFormat="false" ht="15" hidden="false" customHeight="false" outlineLevel="0" collapsed="false">
      <c r="A25" s="5" t="s">
        <v>213</v>
      </c>
      <c r="C25" s="28" t="n">
        <f aca="false">'Historical Financials'!B27</f>
        <v>16.4415</v>
      </c>
      <c r="D25" s="28" t="n">
        <f aca="false">'Historical Financials'!C27</f>
        <v>9.056</v>
      </c>
      <c r="E25" s="28" t="n">
        <f aca="false">'Historical Financials'!D27</f>
        <v>1.368</v>
      </c>
      <c r="F25" s="28" t="n">
        <f aca="false">'Historical Financials'!E27</f>
        <v>0</v>
      </c>
      <c r="G25" s="25" t="n">
        <f aca="false">MAX(0,G24)*Assumptions!$C$9</f>
        <v>0</v>
      </c>
      <c r="H25" s="25" t="n">
        <f aca="false">MAX(0,H24)*Assumptions!$C$9</f>
        <v>0</v>
      </c>
      <c r="I25" s="25" t="n">
        <f aca="false">MAX(0,I24)*Assumptions!$C$9</f>
        <v>0</v>
      </c>
      <c r="J25" s="25" t="n">
        <f aca="false">MAX(0,J24)*Assumptions!$C$9</f>
        <v>0</v>
      </c>
      <c r="K25" s="25" t="n">
        <f aca="false">MAX(0,K24)*Assumptions!$C$9</f>
        <v>0</v>
      </c>
    </row>
    <row r="26" customFormat="false" ht="15" hidden="false" customHeight="false" outlineLevel="0" collapsed="false">
      <c r="A26" s="2" t="s">
        <v>248</v>
      </c>
      <c r="C26" s="16" t="n">
        <f aca="false">C24-C25</f>
        <v>49.3245</v>
      </c>
      <c r="D26" s="16" t="n">
        <f aca="false">D24-D25</f>
        <v>27.1680000000001</v>
      </c>
      <c r="E26" s="16" t="n">
        <f aca="false">E24-E25</f>
        <v>4.10399999999998</v>
      </c>
      <c r="F26" s="16" t="n">
        <f aca="false">F24-F25</f>
        <v>-15.84</v>
      </c>
      <c r="G26" s="16" t="n">
        <f aca="false">G24-G25</f>
        <v>-100.7736</v>
      </c>
      <c r="H26" s="16" t="n">
        <f aca="false">H24-H25</f>
        <v>-128.638134</v>
      </c>
      <c r="I26" s="16" t="n">
        <f aca="false">I24-I25</f>
        <v>-113.538214728</v>
      </c>
      <c r="J26" s="16" t="n">
        <f aca="false">J24-J25</f>
        <v>-100.53046783048</v>
      </c>
      <c r="K26" s="16" t="n">
        <f aca="false">K24-K25</f>
        <v>-87.7726049787176</v>
      </c>
    </row>
    <row r="27" customFormat="false" ht="15" hidden="false" customHeight="false" outlineLevel="0" collapsed="false">
      <c r="A27" s="23" t="s">
        <v>249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customFormat="false" ht="15" hidden="false" customHeight="false" outlineLevel="0" collapsed="false">
      <c r="A28" s="5" t="s">
        <v>153</v>
      </c>
      <c r="C28" s="28" t="n">
        <f aca="false">'Historical Financials'!B29</f>
        <v>53</v>
      </c>
      <c r="D28" s="28" t="n">
        <f aca="false">'Historical Financials'!C29</f>
        <v>51.2</v>
      </c>
      <c r="E28" s="28" t="n">
        <f aca="false">'Historical Financials'!D29</f>
        <v>49.4</v>
      </c>
      <c r="F28" s="28" t="n">
        <f aca="false">'Historical Financials'!E29</f>
        <v>48</v>
      </c>
      <c r="G28" s="25" t="n">
        <f aca="false">G13*CHOOSE(Assumptions!$C$10,Assumptions!$C$69,Assumptions!$C$88,Assumptions!$C$107)</f>
        <v>42.0432</v>
      </c>
      <c r="H28" s="25" t="n">
        <f aca="false">H13*CHOOSE(Assumptions!$C$10,Assumptions!$C$69,Assumptions!$C$88,Assumptions!$C$107)</f>
        <v>40.4035152</v>
      </c>
      <c r="I28" s="25" t="n">
        <f aca="false">I13*CHOOSE(Assumptions!$C$10,Assumptions!$C$69,Assumptions!$C$88,Assumptions!$C$107)</f>
        <v>40.201497624</v>
      </c>
      <c r="J28" s="25" t="n">
        <f aca="false">J13*CHOOSE(Assumptions!$C$10,Assumptions!$C$69,Assumptions!$C$88,Assumptions!$C$107)</f>
        <v>39.79948264776</v>
      </c>
      <c r="K28" s="25" t="n">
        <f aca="false">K13*CHOOSE(Assumptions!$C$10,Assumptions!$C$69,Assumptions!$C$88,Assumptions!$C$107)</f>
        <v>39.4014878212824</v>
      </c>
    </row>
    <row r="29" customFormat="false" ht="15" hidden="false" customHeight="false" outlineLevel="0" collapsed="false">
      <c r="A29" s="5" t="s">
        <v>250</v>
      </c>
      <c r="C29" s="28" t="n">
        <f aca="false">'Historical Financials'!B30</f>
        <v>-3.2121212121212</v>
      </c>
      <c r="D29" s="28" t="n">
        <f aca="false">'Historical Financials'!C30</f>
        <v>-10.8</v>
      </c>
      <c r="E29" s="28" t="n">
        <f aca="false">'Historical Financials'!D30</f>
        <v>-10.8</v>
      </c>
      <c r="F29" s="28" t="n">
        <f aca="false">'Historical Financials'!E30</f>
        <v>-8.4</v>
      </c>
      <c r="G29" s="25" t="n">
        <f aca="false">CHOOSE(Assumptions!$C$10,Assumptions!$C$70,Assumptions!$C$89,Assumptions!$C$108)*(G13-F13)+CHOOSE(Assumptions!$C$10,Assumptions!$C$71,Assumptions!$C$90,Assumptions!$C$109)*G13</f>
        <v>-18.0384</v>
      </c>
      <c r="H29" s="25" t="n">
        <f aca="false">CHOOSE(Assumptions!$C$10,Assumptions!$C$70,Assumptions!$C$89,Assumptions!$C$108)*(H13-G13)+CHOOSE(Assumptions!$C$10,Assumptions!$C$71,Assumptions!$C$90,Assumptions!$C$109)*H13</f>
        <v>-6.10290239999999</v>
      </c>
      <c r="I29" s="25" t="n">
        <f aca="false">CHOOSE(Assumptions!$C$10,Assumptions!$C$70,Assumptions!$C$89,Assumptions!$C$108)*(I13-H13)+CHOOSE(Assumptions!$C$10,Assumptions!$C$71,Assumptions!$C$90,Assumptions!$C$109)*I13</f>
        <v>2.95583611199998</v>
      </c>
      <c r="J29" s="25" t="n">
        <f aca="false">CHOOSE(Assumptions!$C$10,Assumptions!$C$70,Assumptions!$C$89,Assumptions!$C$108)*(J13-I13)+CHOOSE(Assumptions!$C$10,Assumptions!$C$71,Assumptions!$C$90,Assumptions!$C$109)*J13</f>
        <v>1.65037727087999</v>
      </c>
      <c r="K29" s="25" t="n">
        <f aca="false">CHOOSE(Assumptions!$C$10,Assumptions!$C$70,Assumptions!$C$89,Assumptions!$C$108)*(K13-J13)+CHOOSE(Assumptions!$C$10,Assumptions!$C$71,Assumptions!$C$90,Assumptions!$C$109)*K13</f>
        <v>1.63387349817119</v>
      </c>
    </row>
    <row r="30" customFormat="false" ht="15" hidden="false" customHeight="false" outlineLevel="0" collapsed="false">
      <c r="A30" s="2" t="s">
        <v>251</v>
      </c>
      <c r="C30" s="27" t="n">
        <f aca="false">'Historical Financials'!B31</f>
        <v>57.8366212121212</v>
      </c>
      <c r="D30" s="27" t="n">
        <f aca="false">'Historical Financials'!C31</f>
        <v>43.0880000000001</v>
      </c>
      <c r="E30" s="27" t="n">
        <f aca="false">'Historical Financials'!D31</f>
        <v>19.844</v>
      </c>
      <c r="F30" s="27" t="n">
        <f aca="false">'Historical Financials'!E31</f>
        <v>-2.64000000000001</v>
      </c>
      <c r="G30" s="16" t="n">
        <f aca="false">G26+G18+G19+G22-G28-G29</f>
        <v>-76.0968</v>
      </c>
      <c r="H30" s="16" t="n">
        <f aca="false">H26+H18+H19+H22-H28-H29</f>
        <v>-116.1557292</v>
      </c>
      <c r="I30" s="16" t="n">
        <f aca="false">I26+I18+I19+I22-I28-I29</f>
        <v>-110.146445952</v>
      </c>
      <c r="J30" s="16" t="n">
        <f aca="false">J26+J18+J19+J22-J28-J29</f>
        <v>-95.89671626224</v>
      </c>
      <c r="K30" s="16" t="n">
        <f aca="false">K26+K18+K19+K22-K28-K29</f>
        <v>-83.18519092616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232</v>
      </c>
      <c r="H4" s="7" t="s">
        <v>233</v>
      </c>
      <c r="I4" s="7" t="s">
        <v>234</v>
      </c>
      <c r="J4" s="7" t="s">
        <v>235</v>
      </c>
      <c r="K4" s="7" t="s">
        <v>236</v>
      </c>
    </row>
    <row r="6" customFormat="false" ht="15" hidden="false" customHeight="false" outlineLevel="0" collapsed="false">
      <c r="A6" s="23" t="s">
        <v>253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254</v>
      </c>
      <c r="G7" s="29" t="n">
        <f aca="false">Assumptions!$G$49</f>
        <v>0.0425</v>
      </c>
      <c r="H7" s="29" t="n">
        <f aca="false">Assumptions!$H$49</f>
        <v>0.04</v>
      </c>
      <c r="I7" s="29" t="n">
        <f aca="false">Assumptions!$I$49</f>
        <v>0.0375</v>
      </c>
      <c r="J7" s="29" t="n">
        <f aca="false">Assumptions!$J$49</f>
        <v>0.0375</v>
      </c>
      <c r="K7" s="29" t="n">
        <f aca="false">Assumptions!$K$49</f>
        <v>0.0375</v>
      </c>
    </row>
    <row r="8" customFormat="false" ht="15" hidden="false" customHeight="false" outlineLevel="0" collapsed="false">
      <c r="A8" s="5" t="s">
        <v>255</v>
      </c>
      <c r="C8" s="30" t="n">
        <f aca="false">CHOOSE(Assumptions!$C$10,Assumptions!$C$72,Assumptions!$C$91,Assumptions!$C$110)</f>
        <v>0.015</v>
      </c>
    </row>
    <row r="9" customFormat="false" ht="15" hidden="false" customHeight="false" outlineLevel="0" collapsed="false">
      <c r="A9" s="5" t="s">
        <v>256</v>
      </c>
      <c r="C9" s="30" t="n">
        <f aca="false">CHOOSE(Assumptions!$C$10,Assumptions!$C$73,Assumptions!$C$92,Assumptions!$C$111)</f>
        <v>0.135</v>
      </c>
    </row>
    <row r="10" customFormat="false" ht="15" hidden="false" customHeight="false" outlineLevel="0" collapsed="false">
      <c r="A10" s="5" t="s">
        <v>257</v>
      </c>
      <c r="C10" s="31" t="n">
        <f aca="false">CHOOSE(Assumptions!$C$10,Assumptions!$C$74,Assumptions!$C$93,Assumptions!$C$112)</f>
        <v>5.5</v>
      </c>
    </row>
    <row r="11" customFormat="false" ht="15" hidden="false" customHeight="false" outlineLevel="0" collapsed="false">
      <c r="A11" s="5" t="s">
        <v>258</v>
      </c>
      <c r="C11" s="31" t="n">
        <f aca="false">CHOOSE(Assumptions!$C$10,Assumptions!$C$75,Assumptions!$C$94,Assumptions!$C$113)</f>
        <v>1.8</v>
      </c>
    </row>
    <row r="12" customFormat="false" ht="15" hidden="false" customHeight="false" outlineLevel="0" collapsed="false">
      <c r="A12" s="5" t="s">
        <v>259</v>
      </c>
      <c r="G12" s="25" t="n">
        <f aca="false">G17+G30+G43+G56</f>
        <v>1250</v>
      </c>
      <c r="H12" s="25" t="n">
        <f aca="false">H17+H30+H43+H56</f>
        <v>1281.0968</v>
      </c>
      <c r="I12" s="25" t="n">
        <f aca="false">I17+I30+I43+I56</f>
        <v>1275.8968</v>
      </c>
      <c r="J12" s="25" t="n">
        <f aca="false">J17+J30+J43+J56</f>
        <v>1270.6968</v>
      </c>
      <c r="K12" s="25" t="n">
        <f aca="false">K17+K30+K43+K56</f>
        <v>1265.4968</v>
      </c>
    </row>
    <row r="13" customFormat="false" ht="15" hidden="false" customHeight="false" outlineLevel="0" collapsed="false">
      <c r="A13" s="5" t="s">
        <v>260</v>
      </c>
      <c r="G13" s="28" t="n">
        <f aca="false">'Cash Flow'!F19</f>
        <v>45</v>
      </c>
      <c r="H13" s="28" t="n">
        <f aca="false">'Cash Flow'!G19</f>
        <v>0</v>
      </c>
      <c r="I13" s="28" t="n">
        <f aca="false">'Cash Flow'!H19</f>
        <v>-121.3557292</v>
      </c>
      <c r="J13" s="28" t="n">
        <f aca="false">'Cash Flow'!I19</f>
        <v>-236.702175152</v>
      </c>
      <c r="K13" s="28" t="n">
        <f aca="false">'Cash Flow'!J19</f>
        <v>-337.79889141424</v>
      </c>
    </row>
    <row r="14" customFormat="false" ht="15" hidden="false" customHeight="false" outlineLevel="0" collapsed="false">
      <c r="A14" s="5" t="s">
        <v>261</v>
      </c>
      <c r="G14" s="25" t="n">
        <f aca="false">G17*IF(G18=1,$C$9,IF(Assumptions!$I$53=1,MAX(G7,Assumptions!$G$53)+Assumptions!$F$53+$C$8,Assumptions!$E$53))+G30*IF(G31=1,$C$9,IF(Assumptions!$I$54=1,MAX(G7,Assumptions!$G$54)+Assumptions!$F$54+$C$8,Assumptions!$E$54))+G43*IF(G44=1,$C$9,IF(Assumptions!$I$55=1,MAX(G7,Assumptions!$G$55)+Assumptions!$F$55+$C$8,Assumptions!$E$55))+G56*IF(G57=1,$C$9,IF(Assumptions!$I$56=1,MAX(G7,Assumptions!$G$56)+Assumptions!$F$56+$C$8,Assumptions!$E$56))</f>
        <v>129.54</v>
      </c>
      <c r="H14" s="25" t="n">
        <f aca="false">H17*IF(OR(H18=1,Recovery!G39=1),$C$9,IF(Assumptions!$I$53=1,MAX(H7,Assumptions!$G$53)+Assumptions!$F$53+$C$8,Assumptions!$E$53))+H30*IF(OR(H31=1,Recovery!G40=1),$C$9,IF(Assumptions!$I$54=1,MAX(H7,Assumptions!$G$54)+Assumptions!$F$54+$C$8,Assumptions!$E$54))+H43*IF(OR(H44=1,Recovery!G41=1),$C$9,IF(Assumptions!$I$55=1,MAX(H7,Assumptions!$G$55)+Assumptions!$F$55+$C$8,Assumptions!$E$55))+H56*IF(OR(H57=1,Recovery!G42=1),$C$9,IF(Assumptions!$I$56=1,MAX(H7,Assumptions!$G$56)+Assumptions!$F$56+$C$8,Assumptions!$E$56))</f>
        <v>156.659468</v>
      </c>
      <c r="I14" s="25" t="n">
        <f aca="false">I17*IF(OR(I18=1,Recovery!H39=1),$C$9,IF(Assumptions!$I$53=1,MAX(I7,Assumptions!$G$53)+Assumptions!$F$53+$C$8,Assumptions!$E$53))+I30*IF(OR(I31=1,Recovery!H40=1),$C$9,IF(Assumptions!$I$54=1,MAX(I7,Assumptions!$G$54)+Assumptions!$F$54+$C$8,Assumptions!$E$54))+I43*IF(OR(I44=1,Recovery!H41=1),$C$9,IF(Assumptions!$I$55=1,MAX(I7,Assumptions!$G$55)+Assumptions!$F$55+$C$8,Assumptions!$E$55))+I56*IF(OR(I57=1,Recovery!H42=1),$C$9,IF(Assumptions!$I$56=1,MAX(I7,Assumptions!$G$56)+Assumptions!$F$56+$C$8,Assumptions!$E$56))</f>
        <v>139.5604928</v>
      </c>
      <c r="J14" s="25" t="n">
        <f aca="false">J17*IF(OR(J18=1,Recovery!I39=1),$C$9,IF(Assumptions!$I$53=1,MAX(J7,Assumptions!$G$53)+Assumptions!$F$53+$C$8,Assumptions!$E$53))+J30*IF(OR(J31=1,Recovery!I40=1),$C$9,IF(Assumptions!$I$54=1,MAX(J7,Assumptions!$G$54)+Assumptions!$F$54+$C$8,Assumptions!$E$54))+J43*IF(OR(J44=1,Recovery!I41=1),$C$9,IF(Assumptions!$I$55=1,MAX(J7,Assumptions!$G$55)+Assumptions!$F$55+$C$8,Assumptions!$E$55))+J56*IF(OR(J57=1,Recovery!I42=1),$C$9,IF(Assumptions!$I$56=1,MAX(J7,Assumptions!$G$56)+Assumptions!$F$56+$C$8,Assumptions!$E$56))</f>
        <v>134.0116928</v>
      </c>
      <c r="K14" s="25" t="n">
        <f aca="false">K17*IF(OR(K18=1,Recovery!J39=1),$C$9,IF(Assumptions!$I$53=1,MAX(K7,Assumptions!$G$53)+Assumptions!$F$53+$C$8,Assumptions!$E$53))+K30*IF(OR(K31=1,Recovery!J40=1),$C$9,IF(Assumptions!$I$54=1,MAX(K7,Assumptions!$G$54)+Assumptions!$F$54+$C$8,Assumptions!$E$54))+K43*IF(OR(K44=1,Recovery!J41=1),$C$9,IF(Assumptions!$I$55=1,MAX(K7,Assumptions!$G$55)+Assumptions!$F$55+$C$8,Assumptions!$E$55))+K56*IF(OR(K57=1,Recovery!J42=1),$C$9,IF(Assumptions!$I$56=1,MAX(K7,Assumptions!$G$56)+Assumptions!$F$56+$C$8,Assumptions!$E$56))</f>
        <v>127.1740928</v>
      </c>
    </row>
    <row r="15" customFormat="false" ht="15" hidden="false" customHeight="false" outlineLevel="0" collapsed="false">
      <c r="A15" s="5" t="s">
        <v>262</v>
      </c>
      <c r="G15" s="20" t="n">
        <f aca="false">IF('Operating Model'!G17&lt;=0,0,IF(AND((G12-G13)/'Operating Model'!G17&lt;=$C$10,'Operating Model'!G17/G14&gt;=$C$11),1,0))</f>
        <v>0</v>
      </c>
      <c r="H15" s="20" t="n">
        <f aca="false">IF('Operating Model'!H17&lt;=0,0,IF(AND((H12-H13)/'Operating Model'!H17&lt;=$C$10,'Operating Model'!H17/H14&gt;=$C$11),1,0))</f>
        <v>0</v>
      </c>
      <c r="I15" s="20" t="n">
        <f aca="false">IF('Operating Model'!I17&lt;=0,0,IF(AND((I12-I13)/'Operating Model'!I17&lt;=$C$10,'Operating Model'!I17/I14&gt;=$C$11),1,0))</f>
        <v>0</v>
      </c>
      <c r="J15" s="20" t="n">
        <f aca="false">IF('Operating Model'!J17&lt;=0,0,IF(AND((J12-J13)/'Operating Model'!J17&lt;=$C$10,'Operating Model'!J17/J14&gt;=$C$11),1,0))</f>
        <v>0</v>
      </c>
      <c r="K15" s="20" t="n">
        <f aca="false">IF('Operating Model'!K17&lt;=0,0,IF(AND((K12-K13)/'Operating Model'!K17&lt;=$C$10,'Operating Model'!K17/K14&gt;=$C$11),1,0))</f>
        <v>0</v>
      </c>
    </row>
    <row r="16" customFormat="false" ht="15" hidden="false" customHeight="false" outlineLevel="0" collapsed="false">
      <c r="A16" s="23" t="s">
        <v>263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5" hidden="false" customHeight="false" outlineLevel="0" collapsed="false">
      <c r="A17" s="5" t="s">
        <v>264</v>
      </c>
      <c r="G17" s="25" t="n">
        <f aca="false">F28</f>
        <v>180</v>
      </c>
      <c r="H17" s="25" t="n">
        <f aca="false">G28</f>
        <v>216.2968</v>
      </c>
      <c r="I17" s="25" t="n">
        <f aca="false">H28</f>
        <v>216.2968</v>
      </c>
      <c r="J17" s="25" t="n">
        <f aca="false">I28</f>
        <v>216.2968</v>
      </c>
      <c r="K17" s="25" t="n">
        <f aca="false">J28</f>
        <v>216.2968</v>
      </c>
    </row>
    <row r="18" customFormat="false" ht="15" hidden="false" customHeight="false" outlineLevel="0" collapsed="false">
      <c r="A18" s="5" t="s">
        <v>265</v>
      </c>
      <c r="G18" s="20" t="n">
        <f aca="false">IF('Operating Model'!G7=Assumptions!$K$53,1,0)</f>
        <v>0</v>
      </c>
      <c r="H18" s="20" t="n">
        <f aca="false">IF('Operating Model'!H7=Assumptions!$K$53,1,0)</f>
        <v>1</v>
      </c>
      <c r="I18" s="20" t="n">
        <f aca="false">IF('Operating Model'!I7=Assumptions!$K$53,1,0)</f>
        <v>0</v>
      </c>
      <c r="J18" s="20" t="n">
        <f aca="false">IF('Operating Model'!J7=Assumptions!$K$53,1,0)</f>
        <v>0</v>
      </c>
      <c r="K18" s="20" t="n">
        <f aca="false">IF('Operating Model'!K7=Assumptions!$K$53,1,0)</f>
        <v>0</v>
      </c>
    </row>
    <row r="20" customFormat="false" ht="15" hidden="false" customHeight="false" outlineLevel="0" collapsed="false">
      <c r="A20" s="5" t="s">
        <v>266</v>
      </c>
      <c r="G20" s="30" t="n">
        <f aca="false">IF(Assumptions!$I$53=1,MAX(G7,Assumptions!$G$53)+Assumptions!$F$53+$C$8,Assumptions!$E$53)</f>
        <v>0.101</v>
      </c>
      <c r="H20" s="30" t="n">
        <f aca="false">IF(Recovery!G39=1,$C$9,IF(Assumptions!$I$53=1,MAX(H7,Assumptions!$G$53)+Assumptions!$F$53+$C$8,Assumptions!$E$53))</f>
        <v>0.0985</v>
      </c>
      <c r="I20" s="30" t="n">
        <f aca="false">IF(Recovery!H39=1,$C$9,IF(Assumptions!$I$53=1,MAX(I7,Assumptions!$G$53)+Assumptions!$F$53+$C$8,Assumptions!$E$53))</f>
        <v>0.096</v>
      </c>
      <c r="J20" s="30" t="n">
        <f aca="false">IF(Recovery!I39=1,$C$9,IF(Assumptions!$I$53=1,MAX(J7,Assumptions!$G$53)+Assumptions!$F$53+$C$8,Assumptions!$E$53))</f>
        <v>0.096</v>
      </c>
      <c r="K20" s="30" t="n">
        <f aca="false">IF(Recovery!J39=1,$C$9,IF(Assumptions!$I$53=1,MAX(K7,Assumptions!$G$53)+Assumptions!$F$53+$C$8,Assumptions!$E$53))</f>
        <v>0.096</v>
      </c>
    </row>
    <row r="21" customFormat="false" ht="15" hidden="false" customHeight="false" outlineLevel="0" collapsed="false">
      <c r="A21" s="5" t="s">
        <v>267</v>
      </c>
      <c r="G21" s="25" t="n">
        <f aca="false">G17*G20</f>
        <v>18.18</v>
      </c>
      <c r="H21" s="25" t="n">
        <f aca="false">H17*H20</f>
        <v>21.3052348</v>
      </c>
      <c r="I21" s="25" t="n">
        <f aca="false">I17*I20</f>
        <v>20.7644928</v>
      </c>
      <c r="J21" s="25" t="n">
        <f aca="false">J17*J20</f>
        <v>20.7644928</v>
      </c>
      <c r="K21" s="25" t="n">
        <f aca="false">K17*K20</f>
        <v>20.7644928</v>
      </c>
    </row>
    <row r="22" customFormat="false" ht="15" hidden="false" customHeight="false" outlineLevel="0" collapsed="false">
      <c r="A22" s="5" t="s">
        <v>268</v>
      </c>
      <c r="G22" s="25" t="n">
        <f aca="false">G17*Assumptions!$H$53</f>
        <v>0</v>
      </c>
      <c r="H22" s="25" t="n">
        <f aca="false">H17*Assumptions!$H$53</f>
        <v>0</v>
      </c>
      <c r="I22" s="25" t="n">
        <f aca="false">I17*Assumptions!$H$53</f>
        <v>0</v>
      </c>
      <c r="J22" s="25" t="n">
        <f aca="false">J17*Assumptions!$H$53</f>
        <v>0</v>
      </c>
      <c r="K22" s="25" t="n">
        <f aca="false">K17*Assumptions!$H$53</f>
        <v>0</v>
      </c>
    </row>
    <row r="23" customFormat="false" ht="15" hidden="false" customHeight="false" outlineLevel="0" collapsed="false">
      <c r="A23" s="5" t="s">
        <v>269</v>
      </c>
      <c r="G23" s="25" t="n">
        <f aca="false">MIN(G17,Assumptions!$L$53*Assumptions!$C$53)</f>
        <v>0</v>
      </c>
      <c r="H23" s="25" t="n">
        <f aca="false">MIN(H17,Assumptions!$L$53*Assumptions!$C$53)</f>
        <v>0</v>
      </c>
      <c r="I23" s="25" t="n">
        <f aca="false">MIN(I17,Assumptions!$L$53*Assumptions!$C$53)</f>
        <v>0</v>
      </c>
      <c r="J23" s="25" t="n">
        <f aca="false">MIN(J17,Assumptions!$L$53*Assumptions!$C$53)</f>
        <v>0</v>
      </c>
      <c r="K23" s="25" t="n">
        <f aca="false">MIN(K17,Assumptions!$L$53*Assumptions!$C$53)</f>
        <v>0</v>
      </c>
    </row>
    <row r="24" customFormat="false" ht="15" hidden="false" customHeight="false" outlineLevel="0" collapsed="false">
      <c r="A24" s="5" t="s">
        <v>270</v>
      </c>
      <c r="G24" s="25" t="n">
        <f aca="false">IF(AND(Assumptions!$P$53=1,'Operating Model'!G7&lt;Assumptions!$K$53),MIN(MAX(0,-'Cash Flow'!G11),MAX(0,Assumptions!$D$53-G17)),0)</f>
        <v>36.2968000000001</v>
      </c>
      <c r="H24" s="25" t="n">
        <f aca="false">IF(AND(Assumptions!$P$53=1,OR('Operating Model'!H7&lt;Assumptions!$K$53,Recovery!G39=1)),MIN(MAX(0,-'Cash Flow'!H11),MAX(0,Assumptions!$D$53-H17)),0)</f>
        <v>0</v>
      </c>
      <c r="I24" s="25" t="n">
        <f aca="false">IF(AND(Assumptions!$P$53=1,OR('Operating Model'!I7&lt;Assumptions!$K$53,Recovery!H39=1)),MIN(MAX(0,-'Cash Flow'!I11),MAX(0,Assumptions!$D$53-I17)),0)</f>
        <v>0</v>
      </c>
      <c r="J24" s="25" t="n">
        <f aca="false">IF(AND(Assumptions!$P$53=1,OR('Operating Model'!J7&lt;Assumptions!$K$53,Recovery!I39=1)),MIN(MAX(0,-'Cash Flow'!J11),MAX(0,Assumptions!$D$53-J17)),0)</f>
        <v>0</v>
      </c>
      <c r="K24" s="25" t="n">
        <f aca="false">IF(AND(Assumptions!$P$53=1,OR('Operating Model'!K7&lt;Assumptions!$K$53,Recovery!J39=1)),MIN(MAX(0,-'Cash Flow'!K11),MAX(0,Assumptions!$D$53-K17)),0)</f>
        <v>0</v>
      </c>
    </row>
    <row r="25" customFormat="false" ht="15" hidden="false" customHeight="false" outlineLevel="0" collapsed="false">
      <c r="A25" s="5" t="s">
        <v>271</v>
      </c>
      <c r="G25" s="25" t="n">
        <f aca="false">G18*MIN(G17-G23+G22,MAX(0,'Cash Flow'!G13-Assumptions!$C$12*G15))</f>
        <v>0</v>
      </c>
      <c r="H25" s="25" t="n">
        <f aca="false">H18*MIN(H17-H23+H22,MAX(0,'Cash Flow'!H13-Assumptions!$C$12*H15))</f>
        <v>0</v>
      </c>
      <c r="I25" s="25" t="n">
        <f aca="false">I18*MIN(I17-I23+I22,MAX(0,'Cash Flow'!I13-Assumptions!$C$12*I15))</f>
        <v>0</v>
      </c>
      <c r="J25" s="25" t="n">
        <f aca="false">J18*MIN(J17-J23+J22,MAX(0,'Cash Flow'!J13-Assumptions!$C$12*J15))</f>
        <v>0</v>
      </c>
      <c r="K25" s="25" t="n">
        <f aca="false">K18*MIN(K17-K23+K22,MAX(0,'Cash Flow'!K13-Assumptions!$C$12*K15))</f>
        <v>0</v>
      </c>
    </row>
    <row r="26" customFormat="false" ht="15" hidden="false" customHeight="false" outlineLevel="0" collapsed="false">
      <c r="A26" s="5" t="s">
        <v>272</v>
      </c>
      <c r="G26" s="25" t="n">
        <f aca="false">Assumptions!$N$53*MIN(G17+G24+G22-G23-G25,MAX(0,'Cash Flow'!G17))</f>
        <v>0</v>
      </c>
      <c r="H26" s="25" t="n">
        <f aca="false">Assumptions!$N$53*MIN(H17+H24+H22-H23-H25,MAX(0,'Cash Flow'!H17))</f>
        <v>0</v>
      </c>
      <c r="I26" s="25" t="n">
        <f aca="false">Assumptions!$N$53*MIN(I17+I24+I22-I23-I25,MAX(0,'Cash Flow'!I17))</f>
        <v>0</v>
      </c>
      <c r="J26" s="25" t="n">
        <f aca="false">Assumptions!$N$53*MIN(J17+J24+J22-J23-J25,MAX(0,'Cash Flow'!J17))</f>
        <v>0</v>
      </c>
      <c r="K26" s="25" t="n">
        <f aca="false">Assumptions!$N$53*MIN(K17+K24+K22-K23-K25,MAX(0,'Cash Flow'!K17))</f>
        <v>0</v>
      </c>
    </row>
    <row r="27" customFormat="false" ht="15" hidden="false" customHeight="false" outlineLevel="0" collapsed="false">
      <c r="A27" s="5" t="s">
        <v>273</v>
      </c>
      <c r="G27" s="25" t="n">
        <f aca="false">G18*(1-G15)*(G17-G23+G22-G25)</f>
        <v>0</v>
      </c>
      <c r="H27" s="25" t="n">
        <f aca="false">H18*(1-H15)*(H17-H23+H22-H25)</f>
        <v>216.2968</v>
      </c>
      <c r="I27" s="25" t="n">
        <f aca="false">I18*(1-I15)*(I17-I23+I22-I25)</f>
        <v>0</v>
      </c>
      <c r="J27" s="25" t="n">
        <f aca="false">J18*(1-J15)*(J17-J23+J22-J25)</f>
        <v>0</v>
      </c>
      <c r="K27" s="25" t="n">
        <f aca="false">K18*(1-K15)*(K17-K23+K22-K25)</f>
        <v>0</v>
      </c>
    </row>
    <row r="28" customFormat="false" ht="15" hidden="false" customHeight="false" outlineLevel="0" collapsed="false">
      <c r="A28" s="2" t="s">
        <v>274</v>
      </c>
      <c r="F28" s="27" t="n">
        <f aca="false">Assumptions!$C$53</f>
        <v>180</v>
      </c>
      <c r="G28" s="16" t="n">
        <f aca="false">G17+G24+G22-G23-G25-G26</f>
        <v>216.2968</v>
      </c>
      <c r="H28" s="16" t="n">
        <f aca="false">H17+H24+H22-H23-H25-H26</f>
        <v>216.2968</v>
      </c>
      <c r="I28" s="16" t="n">
        <f aca="false">I17+I24+I22-I23-I25-I26</f>
        <v>216.2968</v>
      </c>
      <c r="J28" s="16" t="n">
        <f aca="false">J17+J24+J22-J23-J25-J26</f>
        <v>216.2968</v>
      </c>
      <c r="K28" s="16" t="n">
        <f aca="false">K17+K24+K22-K23-K25-K26</f>
        <v>216.2968</v>
      </c>
    </row>
    <row r="29" customFormat="false" ht="15" hidden="false" customHeight="false" outlineLevel="0" collapsed="false">
      <c r="A29" s="23" t="s">
        <v>275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customFormat="false" ht="15" hidden="false" customHeight="false" outlineLevel="0" collapsed="false">
      <c r="A30" s="5" t="s">
        <v>264</v>
      </c>
      <c r="G30" s="25" t="n">
        <f aca="false">F41</f>
        <v>520</v>
      </c>
      <c r="H30" s="25" t="n">
        <f aca="false">G41</f>
        <v>514.8</v>
      </c>
      <c r="I30" s="25" t="n">
        <f aca="false">H41</f>
        <v>509.6</v>
      </c>
      <c r="J30" s="25" t="n">
        <f aca="false">I41</f>
        <v>504.4</v>
      </c>
      <c r="K30" s="25" t="n">
        <f aca="false">J41</f>
        <v>499.2</v>
      </c>
    </row>
    <row r="31" customFormat="false" ht="15" hidden="false" customHeight="false" outlineLevel="0" collapsed="false">
      <c r="A31" s="5" t="s">
        <v>265</v>
      </c>
      <c r="G31" s="20" t="n">
        <f aca="false">IF('Operating Model'!G7=Assumptions!$K$54,1,0)</f>
        <v>0</v>
      </c>
      <c r="H31" s="20" t="n">
        <f aca="false">IF('Operating Model'!H7=Assumptions!$K$54,1,0)</f>
        <v>0</v>
      </c>
      <c r="I31" s="20" t="n">
        <f aca="false">IF('Operating Model'!I7=Assumptions!$K$54,1,0)</f>
        <v>1</v>
      </c>
      <c r="J31" s="20" t="n">
        <f aca="false">IF('Operating Model'!J7=Assumptions!$K$54,1,0)</f>
        <v>0</v>
      </c>
      <c r="K31" s="20" t="n">
        <f aca="false">IF('Operating Model'!K7=Assumptions!$K$54,1,0)</f>
        <v>0</v>
      </c>
    </row>
    <row r="33" customFormat="false" ht="15" hidden="false" customHeight="false" outlineLevel="0" collapsed="false">
      <c r="A33" s="5" t="s">
        <v>266</v>
      </c>
      <c r="G33" s="30" t="n">
        <f aca="false">IF(Assumptions!$I$54=1,MAX(G7,Assumptions!$G$54)+Assumptions!$F$54+$C$8,Assumptions!$E$54)</f>
        <v>0.118</v>
      </c>
      <c r="H33" s="30" t="n">
        <f aca="false">IF(Recovery!G40=1,$C$9,IF(Assumptions!$I$54=1,MAX(H7,Assumptions!$G$54)+Assumptions!$F$54+$C$8,Assumptions!$E$54))</f>
        <v>0.1155</v>
      </c>
      <c r="I33" s="30" t="n">
        <f aca="false">IF(Recovery!H40=1,$C$9,IF(Assumptions!$I$54=1,MAX(I7,Assumptions!$G$54)+Assumptions!$F$54+$C$8,Assumptions!$E$54))</f>
        <v>0.113</v>
      </c>
      <c r="J33" s="30" t="n">
        <f aca="false">IF(Recovery!I40=1,$C$9,IF(Assumptions!$I$54=1,MAX(J7,Assumptions!$G$54)+Assumptions!$F$54+$C$8,Assumptions!$E$54))</f>
        <v>0.113</v>
      </c>
      <c r="K33" s="30" t="n">
        <f aca="false">IF(Recovery!J40=1,$C$9,IF(Assumptions!$I$54=1,MAX(K7,Assumptions!$G$54)+Assumptions!$F$54+$C$8,Assumptions!$E$54))</f>
        <v>0.113</v>
      </c>
    </row>
    <row r="34" customFormat="false" ht="15" hidden="false" customHeight="false" outlineLevel="0" collapsed="false">
      <c r="A34" s="5" t="s">
        <v>267</v>
      </c>
      <c r="G34" s="25" t="n">
        <f aca="false">G30*G33</f>
        <v>61.36</v>
      </c>
      <c r="H34" s="25" t="n">
        <f aca="false">H30*H33</f>
        <v>59.4594</v>
      </c>
      <c r="I34" s="25" t="n">
        <f aca="false">I30*I33</f>
        <v>57.5848</v>
      </c>
      <c r="J34" s="25" t="n">
        <f aca="false">J30*J33</f>
        <v>56.9972</v>
      </c>
      <c r="K34" s="25" t="n">
        <f aca="false">K30*K33</f>
        <v>56.4096</v>
      </c>
    </row>
    <row r="35" customFormat="false" ht="15" hidden="false" customHeight="false" outlineLevel="0" collapsed="false">
      <c r="A35" s="5" t="s">
        <v>268</v>
      </c>
      <c r="G35" s="25" t="n">
        <f aca="false">G30*Assumptions!$H$54</f>
        <v>0</v>
      </c>
      <c r="H35" s="25" t="n">
        <f aca="false">H30*Assumptions!$H$54</f>
        <v>0</v>
      </c>
      <c r="I35" s="25" t="n">
        <f aca="false">I30*Assumptions!$H$54</f>
        <v>0</v>
      </c>
      <c r="J35" s="25" t="n">
        <f aca="false">J30*Assumptions!$H$54</f>
        <v>0</v>
      </c>
      <c r="K35" s="25" t="n">
        <f aca="false">K30*Assumptions!$H$54</f>
        <v>0</v>
      </c>
    </row>
    <row r="36" customFormat="false" ht="15" hidden="false" customHeight="false" outlineLevel="0" collapsed="false">
      <c r="A36" s="5" t="s">
        <v>269</v>
      </c>
      <c r="G36" s="25" t="n">
        <f aca="false">MIN(G30,Assumptions!$L$54*Assumptions!$C$54)</f>
        <v>5.2</v>
      </c>
      <c r="H36" s="25" t="n">
        <f aca="false">MIN(H30,Assumptions!$L$54*Assumptions!$C$54)</f>
        <v>5.2</v>
      </c>
      <c r="I36" s="25" t="n">
        <f aca="false">MIN(I30,Assumptions!$L$54*Assumptions!$C$54)</f>
        <v>5.2</v>
      </c>
      <c r="J36" s="25" t="n">
        <f aca="false">MIN(J30,Assumptions!$L$54*Assumptions!$C$54)</f>
        <v>5.2</v>
      </c>
      <c r="K36" s="25" t="n">
        <f aca="false">MIN(K30,Assumptions!$L$54*Assumptions!$C$54)</f>
        <v>5.2</v>
      </c>
    </row>
    <row r="37" customFormat="false" ht="15" hidden="false" customHeight="false" outlineLevel="0" collapsed="false">
      <c r="A37" s="5" t="s">
        <v>270</v>
      </c>
      <c r="G37" s="25" t="n">
        <f aca="false">IF(AND(Assumptions!$P$54=1,'Operating Model'!G7&lt;Assumptions!$K$54),MIN(MAX(0,-'Cash Flow'!G11),MAX(0,Assumptions!$D$54-G30)),0)</f>
        <v>0</v>
      </c>
      <c r="H37" s="25" t="n">
        <f aca="false">IF(AND(Assumptions!$P$54=1,OR('Operating Model'!H7&lt;Assumptions!$K$54,Recovery!G40=1)),MIN(MAX(0,-'Cash Flow'!H11),MAX(0,Assumptions!$D$54-H30)),0)</f>
        <v>0</v>
      </c>
      <c r="I37" s="25" t="n">
        <f aca="false">IF(AND(Assumptions!$P$54=1,OR('Operating Model'!I7&lt;Assumptions!$K$54,Recovery!H40=1)),MIN(MAX(0,-'Cash Flow'!I11),MAX(0,Assumptions!$D$54-I30)),0)</f>
        <v>0</v>
      </c>
      <c r="J37" s="25" t="n">
        <f aca="false">IF(AND(Assumptions!$P$54=1,OR('Operating Model'!J7&lt;Assumptions!$K$54,Recovery!I40=1)),MIN(MAX(0,-'Cash Flow'!J11),MAX(0,Assumptions!$D$54-J30)),0)</f>
        <v>0</v>
      </c>
      <c r="K37" s="25" t="n">
        <f aca="false">IF(AND(Assumptions!$P$54=1,OR('Operating Model'!K7&lt;Assumptions!$K$54,Recovery!J40=1)),MIN(MAX(0,-'Cash Flow'!K11),MAX(0,Assumptions!$D$54-K30)),0)</f>
        <v>0</v>
      </c>
    </row>
    <row r="38" customFormat="false" ht="15" hidden="false" customHeight="false" outlineLevel="0" collapsed="false">
      <c r="A38" s="5" t="s">
        <v>271</v>
      </c>
      <c r="G38" s="25" t="n">
        <f aca="false">G31*MIN(G30-G36+G35,MAX(0,'Cash Flow'!G13-Assumptions!$C$12*G15-G25))</f>
        <v>0</v>
      </c>
      <c r="H38" s="25" t="n">
        <f aca="false">H31*MIN(H30-H36+H35,MAX(0,'Cash Flow'!H13-Assumptions!$C$12*H15-H25))</f>
        <v>0</v>
      </c>
      <c r="I38" s="25" t="n">
        <f aca="false">I31*MIN(I30-I36+I35,MAX(0,'Cash Flow'!I13-Assumptions!$C$12*I15-I25))</f>
        <v>0</v>
      </c>
      <c r="J38" s="25" t="n">
        <f aca="false">J31*MIN(J30-J36+J35,MAX(0,'Cash Flow'!J13-Assumptions!$C$12*J15-J25))</f>
        <v>0</v>
      </c>
      <c r="K38" s="25" t="n">
        <f aca="false">K31*MIN(K30-K36+K35,MAX(0,'Cash Flow'!K13-Assumptions!$C$12*K15-K25))</f>
        <v>0</v>
      </c>
    </row>
    <row r="39" customFormat="false" ht="15" hidden="false" customHeight="false" outlineLevel="0" collapsed="false">
      <c r="A39" s="5" t="s">
        <v>272</v>
      </c>
      <c r="G39" s="25" t="n">
        <f aca="false">Assumptions!$N$54*MIN(G30+G37+G35-G36-G38,MAX(0,'Cash Flow'!G17-G26))</f>
        <v>0</v>
      </c>
      <c r="H39" s="25" t="n">
        <f aca="false">Assumptions!$N$54*MIN(H30+H37+H35-H36-H38,MAX(0,'Cash Flow'!H17-H26))</f>
        <v>0</v>
      </c>
      <c r="I39" s="25" t="n">
        <f aca="false">Assumptions!$N$54*MIN(I30+I37+I35-I36-I38,MAX(0,'Cash Flow'!I17-I26))</f>
        <v>0</v>
      </c>
      <c r="J39" s="25" t="n">
        <f aca="false">Assumptions!$N$54*MIN(J30+J37+J35-J36-J38,MAX(0,'Cash Flow'!J17-J26))</f>
        <v>0</v>
      </c>
      <c r="K39" s="25" t="n">
        <f aca="false">Assumptions!$N$54*MIN(K30+K37+K35-K36-K38,MAX(0,'Cash Flow'!K17-K26))</f>
        <v>0</v>
      </c>
    </row>
    <row r="40" customFormat="false" ht="15" hidden="false" customHeight="false" outlineLevel="0" collapsed="false">
      <c r="A40" s="5" t="s">
        <v>273</v>
      </c>
      <c r="G40" s="25" t="n">
        <f aca="false">G31*(1-G15)*(G30-G36+G35-G38)</f>
        <v>0</v>
      </c>
      <c r="H40" s="25" t="n">
        <f aca="false">H31*(1-H15)*(H30-H36+H35-H38)</f>
        <v>0</v>
      </c>
      <c r="I40" s="25" t="n">
        <f aca="false">I31*(1-I15)*(I30-I36+I35-I38)</f>
        <v>504.4</v>
      </c>
      <c r="J40" s="25" t="n">
        <f aca="false">J31*(1-J15)*(J30-J36+J35-J38)</f>
        <v>0</v>
      </c>
      <c r="K40" s="25" t="n">
        <f aca="false">K31*(1-K15)*(K30-K36+K35-K38)</f>
        <v>0</v>
      </c>
    </row>
    <row r="41" customFormat="false" ht="15" hidden="false" customHeight="false" outlineLevel="0" collapsed="false">
      <c r="A41" s="2" t="s">
        <v>274</v>
      </c>
      <c r="F41" s="27" t="n">
        <f aca="false">Assumptions!$C$54</f>
        <v>520</v>
      </c>
      <c r="G41" s="16" t="n">
        <f aca="false">G30+G37+G35-G36-G38-G39</f>
        <v>514.8</v>
      </c>
      <c r="H41" s="16" t="n">
        <f aca="false">H30+H37+H35-H36-H38-H39</f>
        <v>509.6</v>
      </c>
      <c r="I41" s="16" t="n">
        <f aca="false">I30+I37+I35-I36-I38-I39</f>
        <v>504.4</v>
      </c>
      <c r="J41" s="16" t="n">
        <f aca="false">J30+J37+J35-J36-J38-J39</f>
        <v>499.2</v>
      </c>
      <c r="K41" s="16" t="n">
        <f aca="false">K30+K37+K35-K36-K38-K39</f>
        <v>494</v>
      </c>
    </row>
    <row r="42" customFormat="false" ht="15" hidden="false" customHeight="false" outlineLevel="0" collapsed="false">
      <c r="A42" s="23" t="s">
        <v>276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customFormat="false" ht="15" hidden="false" customHeight="false" outlineLevel="0" collapsed="false">
      <c r="A43" s="5" t="s">
        <v>264</v>
      </c>
      <c r="G43" s="25" t="n">
        <f aca="false">F54</f>
        <v>250</v>
      </c>
      <c r="H43" s="25" t="n">
        <f aca="false">G54</f>
        <v>250</v>
      </c>
      <c r="I43" s="25" t="n">
        <f aca="false">H54</f>
        <v>250</v>
      </c>
      <c r="J43" s="25" t="n">
        <f aca="false">I54</f>
        <v>250</v>
      </c>
      <c r="K43" s="25" t="n">
        <f aca="false">J54</f>
        <v>250</v>
      </c>
    </row>
    <row r="44" customFormat="false" ht="15" hidden="false" customHeight="false" outlineLevel="0" collapsed="false">
      <c r="A44" s="5" t="s">
        <v>265</v>
      </c>
      <c r="G44" s="20" t="n">
        <f aca="false">IF('Operating Model'!G7=Assumptions!$K$55,1,0)</f>
        <v>0</v>
      </c>
      <c r="H44" s="20" t="n">
        <f aca="false">IF('Operating Model'!H7=Assumptions!$K$55,1,0)</f>
        <v>0</v>
      </c>
      <c r="I44" s="20" t="n">
        <f aca="false">IF('Operating Model'!I7=Assumptions!$K$55,1,0)</f>
        <v>0</v>
      </c>
      <c r="J44" s="20" t="n">
        <f aca="false">IF('Operating Model'!J7=Assumptions!$K$55,1,0)</f>
        <v>1</v>
      </c>
      <c r="K44" s="20" t="n">
        <f aca="false">IF('Operating Model'!K7=Assumptions!$K$55,1,0)</f>
        <v>0</v>
      </c>
    </row>
    <row r="46" customFormat="false" ht="15" hidden="false" customHeight="false" outlineLevel="0" collapsed="false">
      <c r="A46" s="5" t="s">
        <v>266</v>
      </c>
      <c r="G46" s="30" t="n">
        <f aca="false">IF(Assumptions!$I$55=1,MAX(G7,Assumptions!$G$55)+Assumptions!$F$55+$C$8,Assumptions!$E$55)</f>
        <v>0.11</v>
      </c>
      <c r="H46" s="30" t="n">
        <f aca="false">IF(Recovery!G41=1,$C$9,IF(Assumptions!$I$55=1,MAX(H7,Assumptions!$G$55)+Assumptions!$F$55+$C$8,Assumptions!$E$55))</f>
        <v>0.11</v>
      </c>
      <c r="I46" s="30" t="n">
        <f aca="false">IF(Recovery!H41=1,$C$9,IF(Assumptions!$I$55=1,MAX(I7,Assumptions!$G$55)+Assumptions!$F$55+$C$8,Assumptions!$E$55))</f>
        <v>0.11</v>
      </c>
      <c r="J46" s="30" t="n">
        <f aca="false">IF(Recovery!I41=1,$C$9,IF(Assumptions!$I$55=1,MAX(J7,Assumptions!$G$55)+Assumptions!$F$55+$C$8,Assumptions!$E$55))</f>
        <v>0.11</v>
      </c>
      <c r="K46" s="30" t="n">
        <f aca="false">IF(Recovery!J41=1,$C$9,IF(Assumptions!$I$55=1,MAX(K7,Assumptions!$G$55)+Assumptions!$F$55+$C$8,Assumptions!$E$55))</f>
        <v>0.11</v>
      </c>
    </row>
    <row r="47" customFormat="false" ht="15" hidden="false" customHeight="false" outlineLevel="0" collapsed="false">
      <c r="A47" s="5" t="s">
        <v>267</v>
      </c>
      <c r="G47" s="25" t="n">
        <f aca="false">G43*G46</f>
        <v>27.5</v>
      </c>
      <c r="H47" s="25" t="n">
        <f aca="false">H43*H46</f>
        <v>27.5</v>
      </c>
      <c r="I47" s="25" t="n">
        <f aca="false">I43*I46</f>
        <v>27.5</v>
      </c>
      <c r="J47" s="25" t="n">
        <f aca="false">J43*J46</f>
        <v>27.5</v>
      </c>
      <c r="K47" s="25" t="n">
        <f aca="false">K43*K46</f>
        <v>27.5</v>
      </c>
    </row>
    <row r="48" customFormat="false" ht="15" hidden="false" customHeight="false" outlineLevel="0" collapsed="false">
      <c r="A48" s="5" t="s">
        <v>268</v>
      </c>
      <c r="G48" s="25" t="n">
        <f aca="false">G43*Assumptions!$H$55</f>
        <v>0</v>
      </c>
      <c r="H48" s="25" t="n">
        <f aca="false">H43*Assumptions!$H$55</f>
        <v>0</v>
      </c>
      <c r="I48" s="25" t="n">
        <f aca="false">I43*Assumptions!$H$55</f>
        <v>0</v>
      </c>
      <c r="J48" s="25" t="n">
        <f aca="false">J43*Assumptions!$H$55</f>
        <v>0</v>
      </c>
      <c r="K48" s="25" t="n">
        <f aca="false">K43*Assumptions!$H$55</f>
        <v>0</v>
      </c>
    </row>
    <row r="49" customFormat="false" ht="15" hidden="false" customHeight="false" outlineLevel="0" collapsed="false">
      <c r="A49" s="5" t="s">
        <v>269</v>
      </c>
      <c r="G49" s="25" t="n">
        <f aca="false">MIN(G43,Assumptions!$L$55*Assumptions!$C$55)</f>
        <v>0</v>
      </c>
      <c r="H49" s="25" t="n">
        <f aca="false">MIN(H43,Assumptions!$L$55*Assumptions!$C$55)</f>
        <v>0</v>
      </c>
      <c r="I49" s="25" t="n">
        <f aca="false">MIN(I43,Assumptions!$L$55*Assumptions!$C$55)</f>
        <v>0</v>
      </c>
      <c r="J49" s="25" t="n">
        <f aca="false">MIN(J43,Assumptions!$L$55*Assumptions!$C$55)</f>
        <v>0</v>
      </c>
      <c r="K49" s="25" t="n">
        <f aca="false">MIN(K43,Assumptions!$L$55*Assumptions!$C$55)</f>
        <v>0</v>
      </c>
    </row>
    <row r="50" customFormat="false" ht="15" hidden="false" customHeight="false" outlineLevel="0" collapsed="false">
      <c r="A50" s="5" t="s">
        <v>270</v>
      </c>
      <c r="G50" s="25" t="n">
        <f aca="false">IF(AND(Assumptions!$P$55=1,'Operating Model'!G7&lt;Assumptions!$K$55),MIN(MAX(0,-'Cash Flow'!G11),MAX(0,Assumptions!$D$55-G43)),0)</f>
        <v>0</v>
      </c>
      <c r="H50" s="25" t="n">
        <f aca="false">IF(AND(Assumptions!$P$55=1,OR('Operating Model'!H7&lt;Assumptions!$K$55,Recovery!G41=1)),MIN(MAX(0,-'Cash Flow'!H11),MAX(0,Assumptions!$D$55-H43)),0)</f>
        <v>0</v>
      </c>
      <c r="I50" s="25" t="n">
        <f aca="false">IF(AND(Assumptions!$P$55=1,OR('Operating Model'!I7&lt;Assumptions!$K$55,Recovery!H41=1)),MIN(MAX(0,-'Cash Flow'!I11),MAX(0,Assumptions!$D$55-I43)),0)</f>
        <v>0</v>
      </c>
      <c r="J50" s="25" t="n">
        <f aca="false">IF(AND(Assumptions!$P$55=1,OR('Operating Model'!J7&lt;Assumptions!$K$55,Recovery!I41=1)),MIN(MAX(0,-'Cash Flow'!J11),MAX(0,Assumptions!$D$55-J43)),0)</f>
        <v>0</v>
      </c>
      <c r="K50" s="25" t="n">
        <f aca="false">IF(AND(Assumptions!$P$55=1,OR('Operating Model'!K7&lt;Assumptions!$K$55,Recovery!J41=1)),MIN(MAX(0,-'Cash Flow'!K11),MAX(0,Assumptions!$D$55-K43)),0)</f>
        <v>0</v>
      </c>
    </row>
    <row r="51" customFormat="false" ht="15" hidden="false" customHeight="false" outlineLevel="0" collapsed="false">
      <c r="A51" s="5" t="s">
        <v>271</v>
      </c>
      <c r="G51" s="25" t="n">
        <f aca="false">G44*MIN(G43-G49+G48,MAX(0,'Cash Flow'!G13-Assumptions!$C$12*G15-G25-G38))</f>
        <v>0</v>
      </c>
      <c r="H51" s="25" t="n">
        <f aca="false">H44*MIN(H43-H49+H48,MAX(0,'Cash Flow'!H13-Assumptions!$C$12*H15-H25-H38))</f>
        <v>0</v>
      </c>
      <c r="I51" s="25" t="n">
        <f aca="false">I44*MIN(I43-I49+I48,MAX(0,'Cash Flow'!I13-Assumptions!$C$12*I15-I25-I38))</f>
        <v>0</v>
      </c>
      <c r="J51" s="25" t="n">
        <f aca="false">J44*MIN(J43-J49+J48,MAX(0,'Cash Flow'!J13-Assumptions!$C$12*J15-J25-J38))</f>
        <v>0</v>
      </c>
      <c r="K51" s="25" t="n">
        <f aca="false">K44*MIN(K43-K49+K48,MAX(0,'Cash Flow'!K13-Assumptions!$C$12*K15-K25-K38))</f>
        <v>0</v>
      </c>
    </row>
    <row r="52" customFormat="false" ht="15" hidden="false" customHeight="false" outlineLevel="0" collapsed="false">
      <c r="A52" s="5" t="s">
        <v>272</v>
      </c>
      <c r="G52" s="25" t="n">
        <f aca="false">Assumptions!$N$55*MIN(G43+G50+G48-G49-G51,MAX(0,'Cash Flow'!G17-G26-G39))</f>
        <v>0</v>
      </c>
      <c r="H52" s="25" t="n">
        <f aca="false">Assumptions!$N$55*MIN(H43+H50+H48-H49-H51,MAX(0,'Cash Flow'!H17-H26-H39))</f>
        <v>0</v>
      </c>
      <c r="I52" s="25" t="n">
        <f aca="false">Assumptions!$N$55*MIN(I43+I50+I48-I49-I51,MAX(0,'Cash Flow'!I17-I26-I39))</f>
        <v>0</v>
      </c>
      <c r="J52" s="25" t="n">
        <f aca="false">Assumptions!$N$55*MIN(J43+J50+J48-J49-J51,MAX(0,'Cash Flow'!J17-J26-J39))</f>
        <v>0</v>
      </c>
      <c r="K52" s="25" t="n">
        <f aca="false">Assumptions!$N$55*MIN(K43+K50+K48-K49-K51,MAX(0,'Cash Flow'!K17-K26-K39))</f>
        <v>0</v>
      </c>
    </row>
    <row r="53" customFormat="false" ht="15" hidden="false" customHeight="false" outlineLevel="0" collapsed="false">
      <c r="A53" s="5" t="s">
        <v>273</v>
      </c>
      <c r="G53" s="25" t="n">
        <f aca="false">G44*(1-G15)*(G43-G49+G48-G51)</f>
        <v>0</v>
      </c>
      <c r="H53" s="25" t="n">
        <f aca="false">H44*(1-H15)*(H43-H49+H48-H51)</f>
        <v>0</v>
      </c>
      <c r="I53" s="25" t="n">
        <f aca="false">I44*(1-I15)*(I43-I49+I48-I51)</f>
        <v>0</v>
      </c>
      <c r="J53" s="25" t="n">
        <f aca="false">J44*(1-J15)*(J43-J49+J48-J51)</f>
        <v>250</v>
      </c>
      <c r="K53" s="25" t="n">
        <f aca="false">K44*(1-K15)*(K43-K49+K48-K51)</f>
        <v>0</v>
      </c>
    </row>
    <row r="54" customFormat="false" ht="15" hidden="false" customHeight="false" outlineLevel="0" collapsed="false">
      <c r="A54" s="2" t="s">
        <v>274</v>
      </c>
      <c r="F54" s="27" t="n">
        <f aca="false">Assumptions!$C$55</f>
        <v>250</v>
      </c>
      <c r="G54" s="16" t="n">
        <f aca="false">G43+G50+G48-G49-G51-G52</f>
        <v>250</v>
      </c>
      <c r="H54" s="16" t="n">
        <f aca="false">H43+H50+H48-H49-H51-H52</f>
        <v>250</v>
      </c>
      <c r="I54" s="16" t="n">
        <f aca="false">I43+I50+I48-I49-I51-I52</f>
        <v>250</v>
      </c>
      <c r="J54" s="16" t="n">
        <f aca="false">J43+J50+J48-J49-J51-J52</f>
        <v>250</v>
      </c>
      <c r="K54" s="16" t="n">
        <f aca="false">K43+K50+K48-K49-K51-K52</f>
        <v>250</v>
      </c>
    </row>
    <row r="55" customFormat="false" ht="15" hidden="false" customHeight="false" outlineLevel="0" collapsed="false">
      <c r="A55" s="23" t="s">
        <v>277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customFormat="false" ht="15" hidden="false" customHeight="false" outlineLevel="0" collapsed="false">
      <c r="A56" s="5" t="s">
        <v>264</v>
      </c>
      <c r="G56" s="25" t="n">
        <f aca="false">F67</f>
        <v>300</v>
      </c>
      <c r="H56" s="25" t="n">
        <f aca="false">G67</f>
        <v>300</v>
      </c>
      <c r="I56" s="25" t="n">
        <f aca="false">H67</f>
        <v>300</v>
      </c>
      <c r="J56" s="25" t="n">
        <f aca="false">I67</f>
        <v>300</v>
      </c>
      <c r="K56" s="25" t="n">
        <f aca="false">J67</f>
        <v>300</v>
      </c>
    </row>
    <row r="57" customFormat="false" ht="15" hidden="false" customHeight="false" outlineLevel="0" collapsed="false">
      <c r="A57" s="5" t="s">
        <v>265</v>
      </c>
      <c r="G57" s="20" t="n">
        <f aca="false">IF('Operating Model'!G7=Assumptions!$K$56,1,0)</f>
        <v>0</v>
      </c>
      <c r="H57" s="20" t="n">
        <f aca="false">IF('Operating Model'!H7=Assumptions!$K$56,1,0)</f>
        <v>1</v>
      </c>
      <c r="I57" s="20" t="n">
        <f aca="false">IF('Operating Model'!I7=Assumptions!$K$56,1,0)</f>
        <v>0</v>
      </c>
      <c r="J57" s="20" t="n">
        <f aca="false">IF('Operating Model'!J7=Assumptions!$K$56,1,0)</f>
        <v>0</v>
      </c>
      <c r="K57" s="20" t="n">
        <f aca="false">IF('Operating Model'!K7=Assumptions!$K$56,1,0)</f>
        <v>0</v>
      </c>
    </row>
    <row r="59" customFormat="false" ht="15" hidden="false" customHeight="false" outlineLevel="0" collapsed="false">
      <c r="A59" s="5" t="s">
        <v>266</v>
      </c>
      <c r="G59" s="30" t="n">
        <f aca="false">IF(Assumptions!$I$56=1,MAX(G7,Assumptions!$G$56)+Assumptions!$F$56+$C$8,Assumptions!$E$56)</f>
        <v>0.075</v>
      </c>
      <c r="H59" s="30" t="n">
        <f aca="false">IF(Recovery!G42=1,$C$9,IF(Assumptions!$I$56=1,MAX(H7,Assumptions!$G$56)+Assumptions!$F$56+$C$8,Assumptions!$E$56))</f>
        <v>0.075</v>
      </c>
      <c r="I59" s="30" t="n">
        <f aca="false">IF(Recovery!H42=1,$C$9,IF(Assumptions!$I$56=1,MAX(I7,Assumptions!$G$56)+Assumptions!$F$56+$C$8,Assumptions!$E$56))</f>
        <v>0.075</v>
      </c>
      <c r="J59" s="30" t="n">
        <f aca="false">IF(Recovery!I42=1,$C$9,IF(Assumptions!$I$56=1,MAX(J7,Assumptions!$G$56)+Assumptions!$F$56+$C$8,Assumptions!$E$56))</f>
        <v>0.075</v>
      </c>
      <c r="K59" s="30" t="n">
        <f aca="false">IF(Recovery!J42=1,$C$9,IF(Assumptions!$I$56=1,MAX(K7,Assumptions!$G$56)+Assumptions!$F$56+$C$8,Assumptions!$E$56))</f>
        <v>0.075</v>
      </c>
    </row>
    <row r="60" customFormat="false" ht="15" hidden="false" customHeight="false" outlineLevel="0" collapsed="false">
      <c r="A60" s="5" t="s">
        <v>267</v>
      </c>
      <c r="G60" s="25" t="n">
        <f aca="false">G56*G59</f>
        <v>22.5</v>
      </c>
      <c r="H60" s="25" t="n">
        <f aca="false">H56*H59</f>
        <v>22.5</v>
      </c>
      <c r="I60" s="25" t="n">
        <f aca="false">I56*I59</f>
        <v>22.5</v>
      </c>
      <c r="J60" s="25" t="n">
        <f aca="false">J56*J59</f>
        <v>22.5</v>
      </c>
      <c r="K60" s="25" t="n">
        <f aca="false">K56*K59</f>
        <v>22.5</v>
      </c>
    </row>
    <row r="61" customFormat="false" ht="15" hidden="false" customHeight="false" outlineLevel="0" collapsed="false">
      <c r="A61" s="5" t="s">
        <v>268</v>
      </c>
      <c r="G61" s="25" t="n">
        <f aca="false">G56*Assumptions!$H$56</f>
        <v>0</v>
      </c>
      <c r="H61" s="25" t="n">
        <f aca="false">H56*Assumptions!$H$56</f>
        <v>0</v>
      </c>
      <c r="I61" s="25" t="n">
        <f aca="false">I56*Assumptions!$H$56</f>
        <v>0</v>
      </c>
      <c r="J61" s="25" t="n">
        <f aca="false">J56*Assumptions!$H$56</f>
        <v>0</v>
      </c>
      <c r="K61" s="25" t="n">
        <f aca="false">K56*Assumptions!$H$56</f>
        <v>0</v>
      </c>
    </row>
    <row r="62" customFormat="false" ht="15" hidden="false" customHeight="false" outlineLevel="0" collapsed="false">
      <c r="A62" s="5" t="s">
        <v>269</v>
      </c>
      <c r="G62" s="25" t="n">
        <f aca="false">MIN(G56,Assumptions!$L$56*Assumptions!$C$56)</f>
        <v>0</v>
      </c>
      <c r="H62" s="25" t="n">
        <f aca="false">MIN(H56,Assumptions!$L$56*Assumptions!$C$56)</f>
        <v>0</v>
      </c>
      <c r="I62" s="25" t="n">
        <f aca="false">MIN(I56,Assumptions!$L$56*Assumptions!$C$56)</f>
        <v>0</v>
      </c>
      <c r="J62" s="25" t="n">
        <f aca="false">MIN(J56,Assumptions!$L$56*Assumptions!$C$56)</f>
        <v>0</v>
      </c>
      <c r="K62" s="25" t="n">
        <f aca="false">MIN(K56,Assumptions!$L$56*Assumptions!$C$56)</f>
        <v>0</v>
      </c>
    </row>
    <row r="63" customFormat="false" ht="15" hidden="false" customHeight="false" outlineLevel="0" collapsed="false">
      <c r="A63" s="5" t="s">
        <v>270</v>
      </c>
      <c r="G63" s="25" t="n">
        <f aca="false">IF(AND(Assumptions!$P$56=1,'Operating Model'!G7&lt;Assumptions!$K$56),MIN(MAX(0,-'Cash Flow'!G11),MAX(0,Assumptions!$D$56-G56)),0)</f>
        <v>0</v>
      </c>
      <c r="H63" s="25" t="n">
        <f aca="false">IF(AND(Assumptions!$P$56=1,OR('Operating Model'!H7&lt;Assumptions!$K$56,Recovery!G42=1)),MIN(MAX(0,-'Cash Flow'!H11),MAX(0,Assumptions!$D$56-H56)),0)</f>
        <v>0</v>
      </c>
      <c r="I63" s="25" t="n">
        <f aca="false">IF(AND(Assumptions!$P$56=1,OR('Operating Model'!I7&lt;Assumptions!$K$56,Recovery!H42=1)),MIN(MAX(0,-'Cash Flow'!I11),MAX(0,Assumptions!$D$56-I56)),0)</f>
        <v>0</v>
      </c>
      <c r="J63" s="25" t="n">
        <f aca="false">IF(AND(Assumptions!$P$56=1,OR('Operating Model'!J7&lt;Assumptions!$K$56,Recovery!I42=1)),MIN(MAX(0,-'Cash Flow'!J11),MAX(0,Assumptions!$D$56-J56)),0)</f>
        <v>0</v>
      </c>
      <c r="K63" s="25" t="n">
        <f aca="false">IF(AND(Assumptions!$P$56=1,OR('Operating Model'!K7&lt;Assumptions!$K$56,Recovery!J42=1)),MIN(MAX(0,-'Cash Flow'!K11),MAX(0,Assumptions!$D$56-K56)),0)</f>
        <v>0</v>
      </c>
    </row>
    <row r="64" customFormat="false" ht="15" hidden="false" customHeight="false" outlineLevel="0" collapsed="false">
      <c r="A64" s="5" t="s">
        <v>271</v>
      </c>
      <c r="G64" s="25" t="n">
        <f aca="false">G57*MIN(G56-G62+G61,MAX(0,'Cash Flow'!G13-Assumptions!$C$12*G15-G25-G38-G51))</f>
        <v>0</v>
      </c>
      <c r="H64" s="25" t="n">
        <f aca="false">H57*MIN(H56-H62+H61,MAX(0,'Cash Flow'!H13-Assumptions!$C$12*H15-H25-H38-H51))</f>
        <v>0</v>
      </c>
      <c r="I64" s="25" t="n">
        <f aca="false">I57*MIN(I56-I62+I61,MAX(0,'Cash Flow'!I13-Assumptions!$C$12*I15-I25-I38-I51))</f>
        <v>0</v>
      </c>
      <c r="J64" s="25" t="n">
        <f aca="false">J57*MIN(J56-J62+J61,MAX(0,'Cash Flow'!J13-Assumptions!$C$12*J15-J25-J38-J51))</f>
        <v>0</v>
      </c>
      <c r="K64" s="25" t="n">
        <f aca="false">K57*MIN(K56-K62+K61,MAX(0,'Cash Flow'!K13-Assumptions!$C$12*K15-K25-K38-K51))</f>
        <v>0</v>
      </c>
    </row>
    <row r="65" customFormat="false" ht="15" hidden="false" customHeight="false" outlineLevel="0" collapsed="false">
      <c r="A65" s="5" t="s">
        <v>272</v>
      </c>
      <c r="G65" s="25" t="n">
        <f aca="false">Assumptions!$N$56*MIN(G56+G63+G61-G62-G64,MAX(0,'Cash Flow'!G17-G26-G39-G52))</f>
        <v>0</v>
      </c>
      <c r="H65" s="25" t="n">
        <f aca="false">Assumptions!$N$56*MIN(H56+H63+H61-H62-H64,MAX(0,'Cash Flow'!H17-H26-H39-H52))</f>
        <v>0</v>
      </c>
      <c r="I65" s="25" t="n">
        <f aca="false">Assumptions!$N$56*MIN(I56+I63+I61-I62-I64,MAX(0,'Cash Flow'!I17-I26-I39-I52))</f>
        <v>0</v>
      </c>
      <c r="J65" s="25" t="n">
        <f aca="false">Assumptions!$N$56*MIN(J56+J63+J61-J62-J64,MAX(0,'Cash Flow'!J17-J26-J39-J52))</f>
        <v>0</v>
      </c>
      <c r="K65" s="25" t="n">
        <f aca="false">Assumptions!$N$56*MIN(K56+K63+K61-K62-K64,MAX(0,'Cash Flow'!K17-K26-K39-K52))</f>
        <v>0</v>
      </c>
    </row>
    <row r="66" customFormat="false" ht="15" hidden="false" customHeight="false" outlineLevel="0" collapsed="false">
      <c r="A66" s="5" t="s">
        <v>273</v>
      </c>
      <c r="G66" s="25" t="n">
        <f aca="false">G57*(1-G15)*(G56-G62+G61-G64)</f>
        <v>0</v>
      </c>
      <c r="H66" s="25" t="n">
        <f aca="false">H57*(1-H15)*(H56-H62+H61-H64)</f>
        <v>300</v>
      </c>
      <c r="I66" s="25" t="n">
        <f aca="false">I57*(1-I15)*(I56-I62+I61-I64)</f>
        <v>0</v>
      </c>
      <c r="J66" s="25" t="n">
        <f aca="false">J57*(1-J15)*(J56-J62+J61-J64)</f>
        <v>0</v>
      </c>
      <c r="K66" s="25" t="n">
        <f aca="false">K57*(1-K15)*(K56-K62+K61-K64)</f>
        <v>0</v>
      </c>
    </row>
    <row r="67" customFormat="false" ht="15" hidden="false" customHeight="false" outlineLevel="0" collapsed="false">
      <c r="A67" s="2" t="s">
        <v>274</v>
      </c>
      <c r="F67" s="27" t="n">
        <f aca="false">Assumptions!$C$56</f>
        <v>300</v>
      </c>
      <c r="G67" s="16" t="n">
        <f aca="false">G56+G63+G61-G62-G64-G65</f>
        <v>300</v>
      </c>
      <c r="H67" s="16" t="n">
        <f aca="false">H56+H63+H61-H62-H64-H65</f>
        <v>300</v>
      </c>
      <c r="I67" s="16" t="n">
        <f aca="false">I56+I63+I61-I62-I64-I65</f>
        <v>300</v>
      </c>
      <c r="J67" s="16" t="n">
        <f aca="false">J56+J63+J61-J62-J64-J65</f>
        <v>300</v>
      </c>
      <c r="K67" s="16" t="n">
        <f aca="false">K56+K63+K61-K62-K64-K65</f>
        <v>300</v>
      </c>
    </row>
    <row r="68" customFormat="false" ht="15" hidden="false" customHeight="false" outlineLevel="0" collapsed="false">
      <c r="A68" s="23" t="s">
        <v>278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customFormat="false" ht="15" hidden="false" customHeight="false" outlineLevel="0" collapsed="false">
      <c r="A69" s="2" t="s">
        <v>279</v>
      </c>
      <c r="F69" s="16" t="n">
        <f aca="false">F28+F41+F54+F67</f>
        <v>1250</v>
      </c>
      <c r="G69" s="16" t="n">
        <f aca="false">G28+G41+G54+G67</f>
        <v>1281.0968</v>
      </c>
      <c r="H69" s="16" t="n">
        <f aca="false">H28+H41+H54+H67</f>
        <v>1275.8968</v>
      </c>
      <c r="I69" s="16" t="n">
        <f aca="false">I28+I41+I54+I67</f>
        <v>1270.6968</v>
      </c>
      <c r="J69" s="16" t="n">
        <f aca="false">J28+J41+J54+J67</f>
        <v>1265.4968</v>
      </c>
      <c r="K69" s="16" t="n">
        <f aca="false">K28+K41+K54+K67</f>
        <v>1260.2968</v>
      </c>
    </row>
    <row r="70" customFormat="false" ht="15" hidden="false" customHeight="false" outlineLevel="0" collapsed="false">
      <c r="A70" s="5" t="s">
        <v>280</v>
      </c>
      <c r="G70" s="25" t="n">
        <f aca="false">G18*Assumptions!$C$53+G31*Assumptions!$C$54+G44*Assumptions!$C$55+G57*Assumptions!$C$56</f>
        <v>0</v>
      </c>
      <c r="H70" s="25" t="n">
        <f aca="false">H18*Assumptions!$C$53+H31*Assumptions!$C$54+H44*Assumptions!$C$55+H57*Assumptions!$C$56</f>
        <v>480</v>
      </c>
      <c r="I70" s="25" t="n">
        <f aca="false">I18*Assumptions!$C$53+I31*Assumptions!$C$54+I44*Assumptions!$C$55+I57*Assumptions!$C$56</f>
        <v>520</v>
      </c>
      <c r="J70" s="25" t="n">
        <f aca="false">J18*Assumptions!$C$53+J31*Assumptions!$C$54+J44*Assumptions!$C$55+J57*Assumptions!$C$56</f>
        <v>250</v>
      </c>
      <c r="K70" s="25" t="n">
        <f aca="false">K18*Assumptions!$C$53+K31*Assumptions!$C$54+K44*Assumptions!$C$55+K57*Assumptions!$C$56</f>
        <v>0</v>
      </c>
    </row>
    <row r="71" customFormat="false" ht="15" hidden="false" customHeight="false" outlineLevel="0" collapsed="false">
      <c r="A71" s="23" t="s">
        <v>281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customFormat="false" ht="15" hidden="false" customHeight="false" outlineLevel="0" collapsed="false">
      <c r="A72" s="5" t="s">
        <v>282</v>
      </c>
      <c r="C72" s="25" t="n">
        <f aca="false">SUMPRODUCT($G$18:$K$18,$G$17:$K$17-$G$23:$K$23+$G$22:$K$22)</f>
        <v>216.2968</v>
      </c>
    </row>
    <row r="73" customFormat="false" ht="15" hidden="false" customHeight="false" outlineLevel="0" collapsed="false">
      <c r="A73" s="5" t="s">
        <v>283</v>
      </c>
      <c r="C73" s="25" t="n">
        <f aca="false">SUMPRODUCT($G$18:$K$18,$G$25:$K$25)</f>
        <v>0</v>
      </c>
    </row>
    <row r="74" customFormat="false" ht="15" hidden="false" customHeight="false" outlineLevel="0" collapsed="false">
      <c r="A74" s="5" t="s">
        <v>284</v>
      </c>
      <c r="C74" s="5" t="str">
        <f aca="false">IF(SUM($G$18:$K$18)=0,"n/a (beyond horizon)",IF(SUMPRODUCT($G$18:$K$18,$G$15:$K$15)&gt;0,"REFINANCING PASS","REFINANCING FAILURE"))</f>
        <v>REFINANCING FAILURE</v>
      </c>
    </row>
    <row r="75" customFormat="false" ht="15" hidden="false" customHeight="false" outlineLevel="0" collapsed="false">
      <c r="A75" s="5" t="s">
        <v>285</v>
      </c>
      <c r="C75" s="5" t="str">
        <f aca="false">IF(SUM($G$18:$K$18)=0,"n/a",IF(C73&gt;=C72-0.001,"Repaid from cash",IF(SUMPRODUCT($G$18:$K$18,$G$15:$K$15)&gt;0,IF(C73&gt;0,"Partly repaid; remainder refinanced","Refinanced"),IF(SUM($G$27:$K$27)&gt;0.001,IF(C73&gt;0,"Partial repayment; PAYMENT DEFAULT","PAYMENT DEFAULT"),"Repaid from cash"))))</f>
        <v>PAYMENT DEFAULT</v>
      </c>
    </row>
    <row r="76" customFormat="false" ht="15" hidden="false" customHeight="false" outlineLevel="0" collapsed="false">
      <c r="A76" s="5" t="s">
        <v>286</v>
      </c>
      <c r="C76" s="25" t="n">
        <f aca="false">SUMPRODUCT($G$31:$K$31,$G$30:$K$30-$G$36:$K$36+$G$35:$K$35)</f>
        <v>504.4</v>
      </c>
    </row>
    <row r="77" customFormat="false" ht="15" hidden="false" customHeight="false" outlineLevel="0" collapsed="false">
      <c r="A77" s="5" t="s">
        <v>287</v>
      </c>
      <c r="C77" s="25" t="n">
        <f aca="false">SUMPRODUCT($G$31:$K$31,$G$38:$K$38)</f>
        <v>0</v>
      </c>
    </row>
    <row r="78" customFormat="false" ht="15" hidden="false" customHeight="false" outlineLevel="0" collapsed="false">
      <c r="A78" s="5" t="s">
        <v>288</v>
      </c>
      <c r="C78" s="5" t="str">
        <f aca="false">IF(SUM($G$31:$K$31)=0,"n/a (beyond horizon)",IF(SUMPRODUCT($G$31:$K$31,$G$15:$K$15)&gt;0,"REFINANCING PASS","REFINANCING FAILURE"))</f>
        <v>REFINANCING FAILURE</v>
      </c>
    </row>
    <row r="79" customFormat="false" ht="15" hidden="false" customHeight="false" outlineLevel="0" collapsed="false">
      <c r="A79" s="5" t="s">
        <v>289</v>
      </c>
      <c r="C79" s="5" t="str">
        <f aca="false">IF(SUM($G$31:$K$31)=0,"n/a",IF(C77&gt;=C76-0.001,"Repaid from cash",IF(SUMPRODUCT($G$31:$K$31,$G$15:$K$15)&gt;0,IF(C77&gt;0,"Partly repaid; remainder refinanced","Refinanced"),IF(SUM($G$40:$K$40)&gt;0.001,IF(C77&gt;0,"Partial repayment; PAYMENT DEFAULT","PAYMENT DEFAULT"),"Repaid from cash"))))</f>
        <v>PAYMENT DEFAULT</v>
      </c>
    </row>
    <row r="80" customFormat="false" ht="15" hidden="false" customHeight="false" outlineLevel="0" collapsed="false">
      <c r="A80" s="5" t="s">
        <v>290</v>
      </c>
      <c r="C80" s="25" t="n">
        <f aca="false">SUMPRODUCT($G$44:$K$44,$G$43:$K$43-$G$49:$K$49+$G$48:$K$48)</f>
        <v>250</v>
      </c>
    </row>
    <row r="81" customFormat="false" ht="15" hidden="false" customHeight="false" outlineLevel="0" collapsed="false">
      <c r="A81" s="5" t="s">
        <v>291</v>
      </c>
      <c r="C81" s="25" t="n">
        <f aca="false">SUMPRODUCT($G$44:$K$44,$G$51:$K$51)</f>
        <v>0</v>
      </c>
    </row>
    <row r="82" customFormat="false" ht="15" hidden="false" customHeight="false" outlineLevel="0" collapsed="false">
      <c r="A82" s="5" t="s">
        <v>292</v>
      </c>
      <c r="C82" s="5" t="str">
        <f aca="false">IF(SUM($G$44:$K$44)=0,"n/a (beyond horizon)",IF(SUMPRODUCT($G$44:$K$44,$G$15:$K$15)&gt;0,"REFINANCING PASS","REFINANCING FAILURE"))</f>
        <v>REFINANCING FAILURE</v>
      </c>
    </row>
    <row r="83" customFormat="false" ht="15" hidden="false" customHeight="false" outlineLevel="0" collapsed="false">
      <c r="A83" s="5" t="s">
        <v>293</v>
      </c>
      <c r="C83" s="5" t="str">
        <f aca="false">IF(SUM($G$44:$K$44)=0,"n/a",IF(C81&gt;=C80-0.001,"Repaid from cash",IF(SUMPRODUCT($G$44:$K$44,$G$15:$K$15)&gt;0,IF(C81&gt;0,"Partly repaid; remainder refinanced","Refinanced"),IF(SUM($G$53:$K$53)&gt;0.001,IF(C81&gt;0,"Partial repayment; PAYMENT DEFAULT","PAYMENT DEFAULT"),"Repaid from cash"))))</f>
        <v>PAYMENT DEFAULT</v>
      </c>
    </row>
    <row r="84" customFormat="false" ht="15" hidden="false" customHeight="false" outlineLevel="0" collapsed="false">
      <c r="A84" s="5" t="s">
        <v>294</v>
      </c>
      <c r="C84" s="25" t="n">
        <f aca="false">SUMPRODUCT($G$57:$K$57,$G$56:$K$56-$G$62:$K$62+$G$61:$K$61)</f>
        <v>300</v>
      </c>
    </row>
    <row r="85" customFormat="false" ht="15" hidden="false" customHeight="false" outlineLevel="0" collapsed="false">
      <c r="A85" s="5" t="s">
        <v>295</v>
      </c>
      <c r="C85" s="25" t="n">
        <f aca="false">SUMPRODUCT($G$57:$K$57,$G$64:$K$64)</f>
        <v>0</v>
      </c>
    </row>
    <row r="86" customFormat="false" ht="15" hidden="false" customHeight="false" outlineLevel="0" collapsed="false">
      <c r="A86" s="5" t="s">
        <v>296</v>
      </c>
      <c r="C86" s="5" t="str">
        <f aca="false">IF(SUM($G$57:$K$57)=0,"n/a (beyond horizon)",IF(SUMPRODUCT($G$57:$K$57,$G$15:$K$15)&gt;0,"REFINANCING PASS","REFINANCING FAILURE"))</f>
        <v>REFINANCING FAILURE</v>
      </c>
    </row>
    <row r="87" customFormat="false" ht="15" hidden="false" customHeight="false" outlineLevel="0" collapsed="false">
      <c r="A87" s="5" t="s">
        <v>297</v>
      </c>
      <c r="C87" s="5" t="str">
        <f aca="false">IF(SUM($G$57:$K$57)=0,"n/a",IF(C85&gt;=C84-0.001,"Repaid from cash",IF(SUMPRODUCT($G$57:$K$57,$G$15:$K$15)&gt;0,IF(C85&gt;0,"Partly repaid; remainder refinanced","Refinanced"),IF(SUM($G$66:$K$66)&gt;0.001,IF(C85&gt;0,"Partial repayment; PAYMENT DEFAULT","PAYMENT DEFAULT"),"Repaid from cash"))))</f>
        <v>PAYMENT DEFAULT</v>
      </c>
    </row>
    <row r="88" customFormat="false" ht="15" hidden="false" customHeight="false" outlineLevel="0" collapsed="false">
      <c r="A88" s="5" t="s">
        <v>298</v>
      </c>
      <c r="C88" s="20" t="n">
        <f aca="false">IF(C74="REFINANCING FAILURE",1,0)+IF(C78="REFINANCING FAILURE",1,0)+IF(C82="REFINANCING FAILURE",1,0)+IF(C86="REFINANCING FAILURE",1,0)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232</v>
      </c>
      <c r="H4" s="7" t="s">
        <v>233</v>
      </c>
      <c r="I4" s="7" t="s">
        <v>234</v>
      </c>
      <c r="J4" s="7" t="s">
        <v>235</v>
      </c>
      <c r="K4" s="7" t="s">
        <v>236</v>
      </c>
    </row>
    <row r="6" customFormat="false" ht="15" hidden="false" customHeight="false" outlineLevel="0" collapsed="false">
      <c r="A6" s="23" t="s">
        <v>300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260</v>
      </c>
      <c r="G7" s="25" t="n">
        <f aca="false">F19</f>
        <v>45</v>
      </c>
      <c r="H7" s="25" t="n">
        <f aca="false">G19</f>
        <v>0</v>
      </c>
      <c r="I7" s="25" t="n">
        <f aca="false">H19</f>
        <v>-121.3557292</v>
      </c>
      <c r="J7" s="25" t="n">
        <f aca="false">I19</f>
        <v>-236.702175152</v>
      </c>
      <c r="K7" s="25" t="n">
        <f aca="false">J19</f>
        <v>-337.79889141424</v>
      </c>
    </row>
    <row r="8" customFormat="false" ht="15" hidden="false" customHeight="false" outlineLevel="0" collapsed="false">
      <c r="A8" s="5" t="s">
        <v>301</v>
      </c>
      <c r="G8" s="28" t="n">
        <f aca="false">'Operating Model'!G30</f>
        <v>-76.0968</v>
      </c>
      <c r="H8" s="28" t="n">
        <f aca="false">'Operating Model'!H30</f>
        <v>-116.1557292</v>
      </c>
      <c r="I8" s="28" t="n">
        <f aca="false">'Operating Model'!I30</f>
        <v>-110.146445952</v>
      </c>
      <c r="J8" s="28" t="n">
        <f aca="false">'Operating Model'!J30</f>
        <v>-95.89671626224</v>
      </c>
      <c r="K8" s="28" t="n">
        <f aca="false">'Operating Model'!K30</f>
        <v>-83.18519092616</v>
      </c>
    </row>
    <row r="9" customFormat="false" ht="15" hidden="false" customHeight="false" outlineLevel="0" collapsed="false">
      <c r="A9" s="5" t="s">
        <v>302</v>
      </c>
      <c r="G9" s="25" t="n">
        <f aca="false">CHOOSE(Assumptions!$C$10,Assumptions!$G$68,Assumptions!$G$87,Assumptions!$G$106)</f>
        <v>0</v>
      </c>
      <c r="H9" s="25" t="n">
        <f aca="false">CHOOSE(Assumptions!$C$10,Assumptions!$H$68,Assumptions!$H$87,Assumptions!$H$106)</f>
        <v>0</v>
      </c>
      <c r="I9" s="25" t="n">
        <f aca="false">CHOOSE(Assumptions!$C$10,Assumptions!$I$68,Assumptions!$I$87,Assumptions!$I$106)</f>
        <v>0</v>
      </c>
      <c r="J9" s="25" t="n">
        <f aca="false">CHOOSE(Assumptions!$C$10,Assumptions!$J$68,Assumptions!$J$87,Assumptions!$J$106)</f>
        <v>0</v>
      </c>
      <c r="K9" s="25" t="n">
        <f aca="false">CHOOSE(Assumptions!$C$10,Assumptions!$K$68,Assumptions!$K$87,Assumptions!$K$106)</f>
        <v>0</v>
      </c>
    </row>
    <row r="10" customFormat="false" ht="15" hidden="false" customHeight="false" outlineLevel="0" collapsed="false">
      <c r="A10" s="5" t="s">
        <v>303</v>
      </c>
      <c r="G10" s="25" t="n">
        <f aca="false">'Debt Schedule'!G23+'Debt Schedule'!G36+'Debt Schedule'!G49+'Debt Schedule'!G62</f>
        <v>5.2</v>
      </c>
      <c r="H10" s="25" t="n">
        <f aca="false">'Debt Schedule'!H23+'Debt Schedule'!H36+'Debt Schedule'!H49+'Debt Schedule'!H62</f>
        <v>5.2</v>
      </c>
      <c r="I10" s="25" t="n">
        <f aca="false">'Debt Schedule'!I23+'Debt Schedule'!I36+'Debt Schedule'!I49+'Debt Schedule'!I62</f>
        <v>5.2</v>
      </c>
      <c r="J10" s="25" t="n">
        <f aca="false">'Debt Schedule'!J23+'Debt Schedule'!J36+'Debt Schedule'!J49+'Debt Schedule'!J62</f>
        <v>5.2</v>
      </c>
      <c r="K10" s="25" t="n">
        <f aca="false">'Debt Schedule'!K23+'Debt Schedule'!K36+'Debt Schedule'!K49+'Debt Schedule'!K62</f>
        <v>5.2</v>
      </c>
    </row>
    <row r="11" customFormat="false" ht="15" hidden="false" customHeight="false" outlineLevel="0" collapsed="false">
      <c r="A11" s="2" t="s">
        <v>304</v>
      </c>
      <c r="G11" s="16" t="n">
        <f aca="false">G7+G8+G9-G10</f>
        <v>-36.2968000000001</v>
      </c>
      <c r="H11" s="16" t="n">
        <f aca="false">H7+H8+H9-H10</f>
        <v>-121.3557292</v>
      </c>
      <c r="I11" s="16" t="n">
        <f aca="false">I7+I8+I9-I10</f>
        <v>-236.702175152</v>
      </c>
      <c r="J11" s="16" t="n">
        <f aca="false">J7+J8+J9-J10</f>
        <v>-337.79889141424</v>
      </c>
      <c r="K11" s="16" t="n">
        <f aca="false">K7+K8+K9-K10</f>
        <v>-426.1840823404</v>
      </c>
    </row>
    <row r="12" customFormat="false" ht="15" hidden="false" customHeight="false" outlineLevel="0" collapsed="false">
      <c r="A12" s="5" t="s">
        <v>305</v>
      </c>
      <c r="G12" s="25" t="n">
        <f aca="false">'Debt Schedule'!G24+'Debt Schedule'!G37+'Debt Schedule'!G50+'Debt Schedule'!G63</f>
        <v>36.2968000000001</v>
      </c>
      <c r="H12" s="25" t="n">
        <f aca="false">'Debt Schedule'!H24+'Debt Schedule'!H37+'Debt Schedule'!H50+'Debt Schedule'!H63</f>
        <v>0</v>
      </c>
      <c r="I12" s="25" t="n">
        <f aca="false">'Debt Schedule'!I24+'Debt Schedule'!I37+'Debt Schedule'!I50+'Debt Schedule'!I63</f>
        <v>0</v>
      </c>
      <c r="J12" s="25" t="n">
        <f aca="false">'Debt Schedule'!J24+'Debt Schedule'!J37+'Debt Schedule'!J50+'Debt Schedule'!J63</f>
        <v>0</v>
      </c>
      <c r="K12" s="25" t="n">
        <f aca="false">'Debt Schedule'!K24+'Debt Schedule'!K37+'Debt Schedule'!K50+'Debt Schedule'!K63</f>
        <v>0</v>
      </c>
    </row>
    <row r="13" customFormat="false" ht="15" hidden="false" customHeight="false" outlineLevel="0" collapsed="false">
      <c r="A13" s="2" t="s">
        <v>306</v>
      </c>
      <c r="G13" s="16" t="n">
        <f aca="false">G11+G12</f>
        <v>0</v>
      </c>
      <c r="H13" s="16" t="n">
        <f aca="false">H11+H12</f>
        <v>-121.3557292</v>
      </c>
      <c r="I13" s="16" t="n">
        <f aca="false">I11+I12</f>
        <v>-236.702175152</v>
      </c>
      <c r="J13" s="16" t="n">
        <f aca="false">J11+J12</f>
        <v>-337.79889141424</v>
      </c>
      <c r="K13" s="16" t="n">
        <f aca="false">K11+K12</f>
        <v>-426.1840823404</v>
      </c>
    </row>
    <row r="14" customFormat="false" ht="15" hidden="false" customHeight="false" outlineLevel="0" collapsed="false">
      <c r="A14" s="5" t="s">
        <v>307</v>
      </c>
      <c r="G14" s="25" t="n">
        <f aca="false">'Debt Schedule'!G25+'Debt Schedule'!G38+'Debt Schedule'!G51+'Debt Schedule'!G64</f>
        <v>0</v>
      </c>
      <c r="H14" s="25" t="n">
        <f aca="false">'Debt Schedule'!H25+'Debt Schedule'!H38+'Debt Schedule'!H51+'Debt Schedule'!H64</f>
        <v>0</v>
      </c>
      <c r="I14" s="25" t="n">
        <f aca="false">'Debt Schedule'!I25+'Debt Schedule'!I38+'Debt Schedule'!I51+'Debt Schedule'!I64</f>
        <v>0</v>
      </c>
      <c r="J14" s="25" t="n">
        <f aca="false">'Debt Schedule'!J25+'Debt Schedule'!J38+'Debt Schedule'!J51+'Debt Schedule'!J64</f>
        <v>0</v>
      </c>
      <c r="K14" s="25" t="n">
        <f aca="false">'Debt Schedule'!K25+'Debt Schedule'!K38+'Debt Schedule'!K51+'Debt Schedule'!K64</f>
        <v>0</v>
      </c>
    </row>
    <row r="15" customFormat="false" ht="15" hidden="false" customHeight="false" outlineLevel="0" collapsed="false">
      <c r="A15" s="2" t="s">
        <v>308</v>
      </c>
      <c r="G15" s="16" t="n">
        <f aca="false">G13-G14</f>
        <v>0</v>
      </c>
      <c r="H15" s="16" t="n">
        <f aca="false">H13-H14</f>
        <v>-121.3557292</v>
      </c>
      <c r="I15" s="16" t="n">
        <f aca="false">I13-I14</f>
        <v>-236.702175152</v>
      </c>
      <c r="J15" s="16" t="n">
        <f aca="false">J13-J14</f>
        <v>-337.79889141424</v>
      </c>
      <c r="K15" s="16" t="n">
        <f aca="false">K13-K14</f>
        <v>-426.1840823404</v>
      </c>
    </row>
    <row r="16" customFormat="false" ht="15" hidden="false" customHeight="false" outlineLevel="0" collapsed="false">
      <c r="A16" s="5" t="s">
        <v>309</v>
      </c>
      <c r="G16" s="25" t="n">
        <f aca="false">MAX(0,-G15)</f>
        <v>-0</v>
      </c>
      <c r="H16" s="25" t="n">
        <f aca="false">MAX(0,-H15)</f>
        <v>121.3557292</v>
      </c>
      <c r="I16" s="25" t="n">
        <f aca="false">MAX(0,-I15)</f>
        <v>236.702175152</v>
      </c>
      <c r="J16" s="25" t="n">
        <f aca="false">MAX(0,-J15)</f>
        <v>337.79889141424</v>
      </c>
      <c r="K16" s="25" t="n">
        <f aca="false">MAX(0,-K15)</f>
        <v>426.1840823404</v>
      </c>
    </row>
    <row r="17" customFormat="false" ht="15" hidden="false" customHeight="false" outlineLevel="0" collapsed="false">
      <c r="A17" s="5" t="s">
        <v>310</v>
      </c>
      <c r="G17" s="25" t="n">
        <f aca="false">MAX(0,G15-Assumptions!$C$12)*Assumptions!$C$13</f>
        <v>0</v>
      </c>
      <c r="H17" s="25" t="n">
        <f aca="false">MAX(0,H15-Assumptions!$C$12)*Assumptions!$C$13</f>
        <v>0</v>
      </c>
      <c r="I17" s="25" t="n">
        <f aca="false">MAX(0,I15-Assumptions!$C$12)*Assumptions!$C$13</f>
        <v>0</v>
      </c>
      <c r="J17" s="25" t="n">
        <f aca="false">MAX(0,J15-Assumptions!$C$12)*Assumptions!$C$13</f>
        <v>0</v>
      </c>
      <c r="K17" s="25" t="n">
        <f aca="false">MAX(0,K15-Assumptions!$C$12)*Assumptions!$C$13</f>
        <v>0</v>
      </c>
    </row>
    <row r="18" customFormat="false" ht="15" hidden="false" customHeight="false" outlineLevel="0" collapsed="false">
      <c r="A18" s="5" t="s">
        <v>311</v>
      </c>
      <c r="G18" s="25" t="n">
        <f aca="false">'Debt Schedule'!G26+'Debt Schedule'!G39+'Debt Schedule'!G52+'Debt Schedule'!G65</f>
        <v>0</v>
      </c>
      <c r="H18" s="25" t="n">
        <f aca="false">'Debt Schedule'!H26+'Debt Schedule'!H39+'Debt Schedule'!H52+'Debt Schedule'!H65</f>
        <v>0</v>
      </c>
      <c r="I18" s="25" t="n">
        <f aca="false">'Debt Schedule'!I26+'Debt Schedule'!I39+'Debt Schedule'!I52+'Debt Schedule'!I65</f>
        <v>0</v>
      </c>
      <c r="J18" s="25" t="n">
        <f aca="false">'Debt Schedule'!J26+'Debt Schedule'!J39+'Debt Schedule'!J52+'Debt Schedule'!J65</f>
        <v>0</v>
      </c>
      <c r="K18" s="25" t="n">
        <f aca="false">'Debt Schedule'!K26+'Debt Schedule'!K39+'Debt Schedule'!K52+'Debt Schedule'!K65</f>
        <v>0</v>
      </c>
    </row>
    <row r="19" customFormat="false" ht="15" hidden="false" customHeight="false" outlineLevel="0" collapsed="false">
      <c r="A19" s="2" t="s">
        <v>312</v>
      </c>
      <c r="F19" s="27" t="n">
        <f aca="false">Assumptions!$C$11</f>
        <v>45</v>
      </c>
      <c r="G19" s="16" t="n">
        <f aca="false">G15-G18</f>
        <v>0</v>
      </c>
      <c r="H19" s="16" t="n">
        <f aca="false">H15-H18</f>
        <v>-121.3557292</v>
      </c>
      <c r="I19" s="16" t="n">
        <f aca="false">I15-I18</f>
        <v>-236.702175152</v>
      </c>
      <c r="J19" s="16" t="n">
        <f aca="false">J15-J18</f>
        <v>-337.79889141424</v>
      </c>
      <c r="K19" s="16" t="n">
        <f aca="false">K15-K18</f>
        <v>-426.1840823404</v>
      </c>
    </row>
    <row r="20" customFormat="false" ht="15" hidden="false" customHeight="false" outlineLevel="0" collapsed="false">
      <c r="A20" s="5" t="s">
        <v>313</v>
      </c>
      <c r="G20" s="25" t="n">
        <f aca="false">'Debt Schedule'!G27+'Debt Schedule'!G40+'Debt Schedule'!G53+'Debt Schedule'!G66</f>
        <v>0</v>
      </c>
      <c r="H20" s="25" t="n">
        <f aca="false">'Debt Schedule'!H27+'Debt Schedule'!H40+'Debt Schedule'!H53+'Debt Schedule'!H66</f>
        <v>516.2968</v>
      </c>
      <c r="I20" s="25" t="n">
        <f aca="false">'Debt Schedule'!I27+'Debt Schedule'!I40+'Debt Schedule'!I53+'Debt Schedule'!I66</f>
        <v>504.4</v>
      </c>
      <c r="J20" s="25" t="n">
        <f aca="false">'Debt Schedule'!J27+'Debt Schedule'!J40+'Debt Schedule'!J53+'Debt Schedule'!J66</f>
        <v>250</v>
      </c>
      <c r="K20" s="25" t="n">
        <f aca="false">'Debt Schedule'!K27+'Debt Schedule'!K40+'Debt Schedule'!K53+'Debt Schedule'!K66</f>
        <v>0</v>
      </c>
    </row>
    <row r="21" customFormat="false" ht="15" hidden="false" customHeight="false" outlineLevel="0" collapsed="false">
      <c r="A21" s="5" t="s">
        <v>314</v>
      </c>
      <c r="G21" s="20" t="n">
        <f aca="false">IF(OR(G16&gt;0.001,G20&gt;0.001),1,0)</f>
        <v>0</v>
      </c>
      <c r="H21" s="20" t="n">
        <f aca="false">IF(OR(H16&gt;0.001,H20&gt;0.001),1,0)</f>
        <v>1</v>
      </c>
      <c r="I21" s="20" t="n">
        <f aca="false">IF(OR(I16&gt;0.001,I20&gt;0.001),1,0)</f>
        <v>1</v>
      </c>
      <c r="J21" s="20" t="n">
        <f aca="false">IF(OR(J16&gt;0.001,J20&gt;0.001),1,0)</f>
        <v>1</v>
      </c>
      <c r="K21" s="20" t="n">
        <f aca="false">IF(OR(K16&gt;0.001,K20&gt;0.001),1,0)</f>
        <v>1</v>
      </c>
    </row>
    <row r="22" customFormat="false" ht="15" hidden="false" customHeight="false" outlineLevel="0" collapsed="false">
      <c r="A22" s="5" t="s">
        <v>315</v>
      </c>
      <c r="G22" s="20" t="n">
        <f aca="false">IF(G21=1,1,0)</f>
        <v>0</v>
      </c>
      <c r="H22" s="20" t="n">
        <f aca="false">IF(AND(H21=1,SUM($G$21:G21)=0),1,0)</f>
        <v>1</v>
      </c>
      <c r="I22" s="20" t="n">
        <f aca="false">IF(AND(I21=1,SUM($G$21:H21)=0),1,0)</f>
        <v>0</v>
      </c>
      <c r="J22" s="20" t="n">
        <f aca="false">IF(AND(J21=1,SUM($G$21:I21)=0),1,0)</f>
        <v>0</v>
      </c>
      <c r="K22" s="20" t="n">
        <f aca="false">IF(AND(K21=1,SUM($G$21:J21)=0),1,0)</f>
        <v>0</v>
      </c>
    </row>
    <row r="23" customFormat="false" ht="15" hidden="false" customHeight="false" outlineLevel="0" collapsed="false">
      <c r="A23" s="5" t="s">
        <v>316</v>
      </c>
      <c r="G23" s="25" t="n">
        <f aca="false">('Debt Schedule'!G69-'Debt Schedule'!F69)-(G12+'Operating Model'!G22-G10-G14-G18)</f>
        <v>0</v>
      </c>
      <c r="H23" s="25" t="n">
        <f aca="false">('Debt Schedule'!H69-'Debt Schedule'!G69)-(H12+'Operating Model'!H22-H10-H14-H18)</f>
        <v>-4.52970994047064E-014</v>
      </c>
      <c r="I23" s="25" t="n">
        <f aca="false">('Debt Schedule'!I69-'Debt Schedule'!H69)-(I12+'Operating Model'!I22-I10-I14-I18)</f>
        <v>1.82076576038526E-013</v>
      </c>
      <c r="J23" s="25" t="n">
        <f aca="false">('Debt Schedule'!J69-'Debt Schedule'!I69)-(J12+'Operating Model'!J22-J10-J14-J18)</f>
        <v>-2.72670774847938E-013</v>
      </c>
      <c r="K23" s="25" t="n">
        <f aca="false">('Debt Schedule'!K69-'Debt Schedule'!J69)-(K12+'Operating Model'!K22-K10-K14-K18)</f>
        <v>1.82076576038526E-013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8" min="3" style="0" width="1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232</v>
      </c>
      <c r="H4" s="7" t="s">
        <v>233</v>
      </c>
      <c r="I4" s="7" t="s">
        <v>234</v>
      </c>
      <c r="J4" s="7" t="s">
        <v>235</v>
      </c>
      <c r="K4" s="7" t="s">
        <v>236</v>
      </c>
    </row>
    <row r="6" customFormat="false" ht="15" hidden="false" customHeight="false" outlineLevel="0" collapsed="false">
      <c r="A6" s="23" t="s">
        <v>318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319</v>
      </c>
      <c r="F7" s="28" t="n">
        <f aca="false">'Debt Schedule'!F69</f>
        <v>1250</v>
      </c>
      <c r="G7" s="28" t="n">
        <f aca="false">'Debt Schedule'!G69</f>
        <v>1281.0968</v>
      </c>
      <c r="H7" s="28" t="n">
        <f aca="false">'Debt Schedule'!H69</f>
        <v>1275.8968</v>
      </c>
      <c r="I7" s="28" t="n">
        <f aca="false">'Debt Schedule'!I69</f>
        <v>1270.6968</v>
      </c>
      <c r="J7" s="28" t="n">
        <f aca="false">'Debt Schedule'!J69</f>
        <v>1265.4968</v>
      </c>
      <c r="K7" s="28" t="n">
        <f aca="false">'Debt Schedule'!K69</f>
        <v>1260.2968</v>
      </c>
    </row>
    <row r="8" customFormat="false" ht="15" hidden="false" customHeight="false" outlineLevel="0" collapsed="false">
      <c r="A8" s="5" t="s">
        <v>320</v>
      </c>
      <c r="F8" s="25" t="n">
        <f aca="false">Assumptions!$O$53*'Debt Schedule'!F28+Assumptions!$O$54*'Debt Schedule'!F41+Assumptions!$O$55*'Debt Schedule'!F54+Assumptions!$O$56*'Debt Schedule'!F67</f>
        <v>950</v>
      </c>
      <c r="G8" s="25" t="n">
        <f aca="false">Assumptions!$O$53*'Debt Schedule'!G28+Assumptions!$O$54*'Debt Schedule'!G41+Assumptions!$O$55*'Debt Schedule'!G54+Assumptions!$O$56*'Debt Schedule'!G67</f>
        <v>981.0968</v>
      </c>
      <c r="H8" s="25" t="n">
        <f aca="false">Assumptions!$O$53*'Debt Schedule'!H28+Assumptions!$O$54*'Debt Schedule'!H41+Assumptions!$O$55*'Debt Schedule'!H54+Assumptions!$O$56*'Debt Schedule'!H67</f>
        <v>975.8968</v>
      </c>
      <c r="I8" s="25" t="n">
        <f aca="false">Assumptions!$O$53*'Debt Schedule'!I28+Assumptions!$O$54*'Debt Schedule'!I41+Assumptions!$O$55*'Debt Schedule'!I54+Assumptions!$O$56*'Debt Schedule'!I67</f>
        <v>970.6968</v>
      </c>
      <c r="J8" s="25" t="n">
        <f aca="false">Assumptions!$O$53*'Debt Schedule'!J28+Assumptions!$O$54*'Debt Schedule'!J41+Assumptions!$O$55*'Debt Schedule'!J54+Assumptions!$O$56*'Debt Schedule'!J67</f>
        <v>965.4968</v>
      </c>
      <c r="K8" s="25" t="n">
        <f aca="false">Assumptions!$O$53*'Debt Schedule'!K28+Assumptions!$O$54*'Debt Schedule'!K41+Assumptions!$O$55*'Debt Schedule'!K54+Assumptions!$O$56*'Debt Schedule'!K67</f>
        <v>960.2968</v>
      </c>
    </row>
    <row r="9" customFormat="false" ht="15" hidden="false" customHeight="false" outlineLevel="0" collapsed="false">
      <c r="A9" s="5" t="s">
        <v>321</v>
      </c>
      <c r="F9" s="25" t="n">
        <f aca="false">F7-'Cash Flow'!F19</f>
        <v>1205</v>
      </c>
      <c r="G9" s="25" t="n">
        <f aca="false">G7-'Cash Flow'!G19</f>
        <v>1281.0968</v>
      </c>
      <c r="H9" s="25" t="n">
        <f aca="false">H7-'Cash Flow'!H19</f>
        <v>1397.2525292</v>
      </c>
      <c r="I9" s="25" t="n">
        <f aca="false">I7-'Cash Flow'!I19</f>
        <v>1507.398975152</v>
      </c>
      <c r="J9" s="25" t="n">
        <f aca="false">J7-'Cash Flow'!J19</f>
        <v>1603.29569141424</v>
      </c>
      <c r="K9" s="25" t="n">
        <f aca="false">K7-'Cash Flow'!K19</f>
        <v>1686.4808823404</v>
      </c>
    </row>
    <row r="10" customFormat="false" ht="15" hidden="false" customHeight="false" outlineLevel="0" collapsed="false">
      <c r="A10" s="5" t="s">
        <v>322</v>
      </c>
      <c r="F10" s="31" t="n">
        <f aca="false">IF('Operating Model'!F17&gt;0,F7/'Operating Model'!F17,0)</f>
        <v>8.01282051282051</v>
      </c>
      <c r="G10" s="31" t="n">
        <f aca="false">IF('Operating Model'!G17&gt;0,G7/'Operating Model'!G17,0)</f>
        <v>16.5413800227249</v>
      </c>
      <c r="H10" s="31" t="n">
        <f aca="false">IF('Operating Model'!H17&gt;0,H7/'Operating Model'!H17,0)</f>
        <v>26.0868812807611</v>
      </c>
      <c r="I10" s="31" t="n">
        <f aca="false">IF('Operating Model'!I17&gt;0,I7/'Operating Model'!I17,0)</f>
        <v>20.7088178018065</v>
      </c>
      <c r="J10" s="31" t="n">
        <f aca="false">IF('Operating Model'!J17&gt;0,J7/'Operating Model'!J17,0)</f>
        <v>17.2611283222678</v>
      </c>
      <c r="K10" s="31" t="n">
        <f aca="false">IF('Operating Model'!K17&gt;0,K7/'Operating Model'!K17,0)</f>
        <v>14.8227900209479</v>
      </c>
    </row>
    <row r="11" customFormat="false" ht="15" hidden="false" customHeight="false" outlineLevel="0" collapsed="false">
      <c r="A11" s="5" t="s">
        <v>323</v>
      </c>
      <c r="F11" s="31" t="n">
        <f aca="false">IF('Operating Model'!F17&gt;0,F9/'Operating Model'!F17,0)</f>
        <v>7.72435897435897</v>
      </c>
      <c r="G11" s="31" t="n">
        <f aca="false">IF('Operating Model'!G17&gt;0,G9/'Operating Model'!G17,0)</f>
        <v>16.5413800227249</v>
      </c>
      <c r="H11" s="31" t="n">
        <f aca="false">IF('Operating Model'!H17&gt;0,H9/'Operating Model'!H17,0)</f>
        <v>28.5681105622991</v>
      </c>
      <c r="I11" s="31" t="n">
        <f aca="false">IF('Operating Model'!I17&gt;0,I9/'Operating Model'!I17,0)</f>
        <v>24.5664038274533</v>
      </c>
      <c r="J11" s="31" t="n">
        <f aca="false">IF('Operating Model'!J17&gt;0,J9/'Operating Model'!J17,0)</f>
        <v>21.8686389946149</v>
      </c>
      <c r="K11" s="31" t="n">
        <f aca="false">IF('Operating Model'!K17&gt;0,K9/'Operating Model'!K17,0)</f>
        <v>19.8352895867661</v>
      </c>
    </row>
    <row r="12" customFormat="false" ht="15" hidden="false" customHeight="false" outlineLevel="0" collapsed="false">
      <c r="A12" s="5" t="s">
        <v>324</v>
      </c>
      <c r="F12" s="31" t="n">
        <f aca="false">IF('Operating Model'!F23&gt;0,'Operating Model'!F17/'Operating Model'!F23,0)</f>
        <v>1.31048387096774</v>
      </c>
      <c r="G12" s="31" t="n">
        <f aca="false">IF('Operating Model'!G21&gt;0,'Operating Model'!G17/'Operating Model'!G21,0)</f>
        <v>0.597869383974062</v>
      </c>
      <c r="H12" s="31" t="n">
        <f aca="false">IF('Operating Model'!H21&gt;0,'Operating Model'!H17/'Operating Model'!H21,0)</f>
        <v>0.374027109660081</v>
      </c>
      <c r="I12" s="31" t="n">
        <f aca="false">IF('Operating Model'!I21&gt;0,'Operating Model'!I17/'Operating Model'!I21,0)</f>
        <v>0.478071824514175</v>
      </c>
      <c r="J12" s="31" t="n">
        <f aca="false">IF('Operating Model'!J21&gt;0,'Operating Model'!J17/'Operating Model'!J21,0)</f>
        <v>0.573840521753012</v>
      </c>
      <c r="K12" s="31" t="n">
        <f aca="false">IF('Operating Model'!K21&gt;0,'Operating Model'!K17/'Operating Model'!K21,0)</f>
        <v>0.668565910880975</v>
      </c>
    </row>
    <row r="13" customFormat="false" ht="15" hidden="false" customHeight="false" outlineLevel="0" collapsed="false">
      <c r="A13" s="5" t="s">
        <v>325</v>
      </c>
      <c r="F13" s="31" t="n">
        <f aca="false">IF('Operating Model'!F23&gt;0,'Operating Model'!F20/'Operating Model'!F23,0)</f>
        <v>0.866935483870968</v>
      </c>
      <c r="G13" s="31" t="n">
        <f aca="false">IF('Operating Model'!G21&gt;0,'Operating Model'!G20/'Operating Model'!G21,0)</f>
        <v>0.222065771190366</v>
      </c>
      <c r="H13" s="31" t="n">
        <f aca="false">IF('Operating Model'!H21&gt;0,'Operating Model'!H20/'Operating Model'!H21,0)</f>
        <v>0.0162620482460903</v>
      </c>
      <c r="I13" s="31" t="n">
        <f aca="false">IF('Operating Model'!I21&gt;0,'Operating Model'!I20/'Operating Model'!I21,0)</f>
        <v>0.115396647296525</v>
      </c>
      <c r="J13" s="31" t="n">
        <f aca="false">IF('Operating Model'!J21&gt;0,'Operating Model'!J20/'Operating Model'!J21,0)</f>
        <v>0.213140765222547</v>
      </c>
      <c r="K13" s="31" t="n">
        <f aca="false">IF('Operating Model'!K21&gt;0,'Operating Model'!K20/'Operating Model'!K21,0)</f>
        <v>0.309823226993622</v>
      </c>
    </row>
    <row r="14" customFormat="false" ht="15" hidden="false" customHeight="false" outlineLevel="0" collapsed="false">
      <c r="A14" s="5" t="s">
        <v>182</v>
      </c>
      <c r="F14" s="21" t="n">
        <f aca="false">IF(F7&gt;0,'Operating Model'!F30/F7,0)</f>
        <v>-0.00211200000000001</v>
      </c>
      <c r="G14" s="21" t="n">
        <f aca="false">IF(G7&gt;0,'Operating Model'!G30/G7,0)</f>
        <v>-0.0593997268590477</v>
      </c>
      <c r="H14" s="21" t="n">
        <f aca="false">IF(H7&gt;0,'Operating Model'!H30/H7,0)</f>
        <v>-0.0910384987249753</v>
      </c>
      <c r="I14" s="21" t="n">
        <f aca="false">IF(I7&gt;0,'Operating Model'!I30/I7,0)</f>
        <v>-0.086681925973214</v>
      </c>
      <c r="J14" s="21" t="n">
        <f aca="false">IF(J7&gt;0,'Operating Model'!J30/J7,0)</f>
        <v>-0.0757779207835532</v>
      </c>
      <c r="K14" s="21" t="n">
        <f aca="false">IF(K7&gt;0,'Operating Model'!K30/K7,0)</f>
        <v>-0.0660044450848086</v>
      </c>
    </row>
    <row r="15" customFormat="false" ht="15" hidden="false" customHeight="false" outlineLevel="0" collapsed="false">
      <c r="A15" s="5" t="s">
        <v>326</v>
      </c>
      <c r="G15" s="31" t="n">
        <f aca="false">IF('Operating Model'!G21+'Cash Flow'!G10&gt;0,('Operating Model'!G17-'Operating Model'!G28-'Operating Model'!G25)/('Operating Model'!G21+'Cash Flow'!G10),0)</f>
        <v>0.262763841472466</v>
      </c>
      <c r="H15" s="31" t="n">
        <f aca="false">IF('Operating Model'!H21+'Cash Flow'!H10&gt;0,('Operating Model'!H17-'Operating Model'!H28-'Operating Model'!H25)/('Operating Model'!H21+'Cash Flow'!H10),0)</f>
        <v>0.0625604092748976</v>
      </c>
      <c r="I15" s="31" t="n">
        <f aca="false">IF('Operating Model'!I21+'Cash Flow'!I10&gt;0,('Operating Model'!I17-'Operating Model'!I28-'Operating Model'!I25)/('Operating Model'!I21+'Cash Flow'!I10),0)</f>
        <v>0.158433508080696</v>
      </c>
      <c r="J15" s="31" t="n">
        <f aca="false">IF('Operating Model'!J21+'Cash Flow'!J10&gt;0,('Operating Model'!J17-'Operating Model'!J28-'Operating Model'!J25)/('Operating Model'!J21+'Cash Flow'!J10),0)</f>
        <v>0.252067742993116</v>
      </c>
      <c r="K15" s="31" t="n">
        <f aca="false">IF('Operating Model'!K21+'Cash Flow'!K10&gt;0,('Operating Model'!K17-'Operating Model'!K28-'Operating Model'!K25)/('Operating Model'!K21+'Cash Flow'!K10),0)</f>
        <v>0.344650334570687</v>
      </c>
    </row>
    <row r="16" customFormat="false" ht="15" hidden="false" customHeight="false" outlineLevel="0" collapsed="false">
      <c r="A16" s="5" t="s">
        <v>327</v>
      </c>
      <c r="F16" s="25" t="n">
        <f aca="false">MAX(0,'Cash Flow'!F19)+Assumptions!$P$53*MAX(0,Assumptions!$D$53-'Debt Schedule'!F28)+Assumptions!$P$54*MAX(0,Assumptions!$D$54-'Debt Schedule'!F41)+Assumptions!$P$55*MAX(0,Assumptions!$D$55-'Debt Schedule'!F54)+Assumptions!$P$56*MAX(0,Assumptions!$D$56-'Debt Schedule'!F67)</f>
        <v>165</v>
      </c>
      <c r="G16" s="25" t="n">
        <f aca="false">MAX(0,'Cash Flow'!G19)+Assumptions!$P$53*MAX(0,Assumptions!$D$53-'Debt Schedule'!G28)+Assumptions!$P$54*MAX(0,Assumptions!$D$54-'Debt Schedule'!G41)+Assumptions!$P$55*MAX(0,Assumptions!$D$55-'Debt Schedule'!G54)+Assumptions!$P$56*MAX(0,Assumptions!$D$56-'Debt Schedule'!G67)</f>
        <v>83.7032</v>
      </c>
      <c r="H16" s="25" t="n">
        <f aca="false">MAX(0,'Cash Flow'!H19)+Assumptions!$P$53*MAX(0,Assumptions!$D$53-'Debt Schedule'!H28)+Assumptions!$P$54*MAX(0,Assumptions!$D$54-'Debt Schedule'!H41)+Assumptions!$P$55*MAX(0,Assumptions!$D$55-'Debt Schedule'!H54)+Assumptions!$P$56*MAX(0,Assumptions!$D$56-'Debt Schedule'!H67)</f>
        <v>83.7032</v>
      </c>
      <c r="I16" s="25" t="n">
        <f aca="false">MAX(0,'Cash Flow'!I19)+Assumptions!$P$53*MAX(0,Assumptions!$D$53-'Debt Schedule'!I28)+Assumptions!$P$54*MAX(0,Assumptions!$D$54-'Debt Schedule'!I41)+Assumptions!$P$55*MAX(0,Assumptions!$D$55-'Debt Schedule'!I54)+Assumptions!$P$56*MAX(0,Assumptions!$D$56-'Debt Schedule'!I67)</f>
        <v>83.7032</v>
      </c>
      <c r="J16" s="25" t="n">
        <f aca="false">MAX(0,'Cash Flow'!J19)+Assumptions!$P$53*MAX(0,Assumptions!$D$53-'Debt Schedule'!J28)+Assumptions!$P$54*MAX(0,Assumptions!$D$54-'Debt Schedule'!J41)+Assumptions!$P$55*MAX(0,Assumptions!$D$55-'Debt Schedule'!J54)+Assumptions!$P$56*MAX(0,Assumptions!$D$56-'Debt Schedule'!J67)</f>
        <v>83.7032</v>
      </c>
      <c r="K16" s="25" t="n">
        <f aca="false">MAX(0,'Cash Flow'!K19)+Assumptions!$P$53*MAX(0,Assumptions!$D$53-'Debt Schedule'!K28)+Assumptions!$P$54*MAX(0,Assumptions!$D$54-'Debt Schedule'!K41)+Assumptions!$P$55*MAX(0,Assumptions!$D$55-'Debt Schedule'!K54)+Assumptions!$P$56*MAX(0,Assumptions!$D$56-'Debt Schedule'!K67)</f>
        <v>83.7032</v>
      </c>
    </row>
    <row r="17" customFormat="false" ht="15" hidden="false" customHeight="false" outlineLevel="0" collapsed="false">
      <c r="A17" s="5" t="s">
        <v>328</v>
      </c>
      <c r="G17" s="21" t="n">
        <f aca="false">IF(G7&gt;0,G7/(G7+MAX(0,'Operating Model'!G17*CHOOSE(Assumptions!$C$10,Assumptions!$C$76,Assumptions!$C$95,Assumptions!$C$114)-G9)),0)</f>
        <v>1</v>
      </c>
      <c r="H17" s="21" t="n">
        <f aca="false">IF(H7&gt;0,H7/(H7+MAX(0,'Operating Model'!H17*CHOOSE(Assumptions!$C$10,Assumptions!$C$76,Assumptions!$C$95,Assumptions!$C$114)-H9)),0)</f>
        <v>1</v>
      </c>
      <c r="I17" s="21" t="n">
        <f aca="false">IF(I7&gt;0,I7/(I7+MAX(0,'Operating Model'!I17*CHOOSE(Assumptions!$C$10,Assumptions!$C$76,Assumptions!$C$95,Assumptions!$C$114)-I9)),0)</f>
        <v>1</v>
      </c>
      <c r="J17" s="21" t="n">
        <f aca="false">IF(J7&gt;0,J7/(J7+MAX(0,'Operating Model'!J17*CHOOSE(Assumptions!$C$10,Assumptions!$C$76,Assumptions!$C$95,Assumptions!$C$114)-J9)),0)</f>
        <v>1</v>
      </c>
      <c r="K17" s="21" t="n">
        <f aca="false">IF(K7&gt;0,K7/(K7+MAX(0,'Operating Model'!K17*CHOOSE(Assumptions!$C$10,Assumptions!$C$76,Assumptions!$C$95,Assumptions!$C$114)-K9)),0)</f>
        <v>1</v>
      </c>
    </row>
    <row r="18" customFormat="false" ht="15" hidden="false" customHeight="false" outlineLevel="0" collapsed="false">
      <c r="A18" s="5" t="s">
        <v>329</v>
      </c>
      <c r="F18" s="21" t="n">
        <f aca="false">IF(F7&gt;0,MAX(0,'Cash Flow'!F19)/F7,0)</f>
        <v>0.036</v>
      </c>
      <c r="G18" s="21" t="n">
        <f aca="false">IF(G7&gt;0,MAX(0,'Cash Flow'!G19)/G7,0)</f>
        <v>0</v>
      </c>
      <c r="H18" s="21" t="n">
        <f aca="false">IF(H7&gt;0,MAX(0,'Cash Flow'!H19)/H7,0)</f>
        <v>0</v>
      </c>
      <c r="I18" s="21" t="n">
        <f aca="false">IF(I7&gt;0,MAX(0,'Cash Flow'!I19)/I7,0)</f>
        <v>0</v>
      </c>
      <c r="J18" s="21" t="n">
        <f aca="false">IF(J7&gt;0,MAX(0,'Cash Flow'!J19)/J7,0)</f>
        <v>0</v>
      </c>
      <c r="K18" s="21" t="n">
        <f aca="false">IF(K7&gt;0,MAX(0,'Cash Flow'!K19)/K7,0)</f>
        <v>0</v>
      </c>
    </row>
    <row r="19" customFormat="false" ht="15" hidden="false" customHeight="false" outlineLevel="0" collapsed="false">
      <c r="A19" s="5" t="s">
        <v>330</v>
      </c>
      <c r="G19" s="25" t="n">
        <f aca="false">Assumptions!$C$27*(1-CHOOSE(Assumptions!$C$10,Assumptions!$C$79,Assumptions!$C$98,Assumptions!$C$117))</f>
        <v>884</v>
      </c>
      <c r="H19" s="25" t="n">
        <f aca="false">Assumptions!$C$27*(1-CHOOSE(Assumptions!$C$10,Assumptions!$C$79,Assumptions!$C$98,Assumptions!$C$117))</f>
        <v>884</v>
      </c>
      <c r="I19" s="25" t="n">
        <f aca="false">Assumptions!$C$27*(1-CHOOSE(Assumptions!$C$10,Assumptions!$C$79,Assumptions!$C$98,Assumptions!$C$117))</f>
        <v>884</v>
      </c>
      <c r="J19" s="25" t="n">
        <f aca="false">Assumptions!$C$27*(1-CHOOSE(Assumptions!$C$10,Assumptions!$C$79,Assumptions!$C$98,Assumptions!$C$117))</f>
        <v>884</v>
      </c>
      <c r="K19" s="25" t="n">
        <f aca="false">Assumptions!$C$27*(1-CHOOSE(Assumptions!$C$10,Assumptions!$C$79,Assumptions!$C$98,Assumptions!$C$117))</f>
        <v>884</v>
      </c>
    </row>
    <row r="20" customFormat="false" ht="15" hidden="false" customHeight="false" outlineLevel="0" collapsed="false">
      <c r="A20" s="23" t="s">
        <v>331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customFormat="false" ht="15" hidden="false" customHeight="false" outlineLevel="0" collapsed="false">
      <c r="A21" s="23" t="s">
        <v>332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customFormat="false" ht="15" hidden="false" customHeight="false" outlineLevel="0" collapsed="false">
      <c r="A22" s="5" t="s">
        <v>333</v>
      </c>
      <c r="G22" s="31" t="n">
        <f aca="false">IF('Operating Model'!G17&gt;0,G9/'Operating Model'!G17,99)</f>
        <v>16.5413800227249</v>
      </c>
      <c r="H22" s="31" t="n">
        <f aca="false">IF('Operating Model'!H17&gt;0,H9/'Operating Model'!H17,99)</f>
        <v>28.5681105622991</v>
      </c>
      <c r="I22" s="31" t="n">
        <f aca="false">IF('Operating Model'!I17&gt;0,I9/'Operating Model'!I17,99)</f>
        <v>24.5664038274533</v>
      </c>
      <c r="J22" s="31" t="n">
        <f aca="false">IF('Operating Model'!J17&gt;0,J9/'Operating Model'!J17,99)</f>
        <v>21.8686389946149</v>
      </c>
      <c r="K22" s="31" t="n">
        <f aca="false">IF('Operating Model'!K17&gt;0,K9/'Operating Model'!K17,99)</f>
        <v>19.8352895867661</v>
      </c>
    </row>
    <row r="23" customFormat="false" ht="15" hidden="false" customHeight="false" outlineLevel="0" collapsed="false">
      <c r="A23" s="5" t="s">
        <v>334</v>
      </c>
      <c r="G23" s="32" t="n">
        <f aca="false">Assumptions!$G$61</f>
        <v>8.5</v>
      </c>
      <c r="H23" s="32" t="n">
        <f aca="false">Assumptions!$H$61</f>
        <v>8.5</v>
      </c>
      <c r="I23" s="32" t="n">
        <f aca="false">Assumptions!$I$61</f>
        <v>8.5</v>
      </c>
      <c r="J23" s="32" t="n">
        <f aca="false">Assumptions!$J$61</f>
        <v>8.5</v>
      </c>
      <c r="K23" s="32" t="n">
        <f aca="false">Assumptions!$K$61</f>
        <v>8.5</v>
      </c>
    </row>
    <row r="24" customFormat="false" ht="15" hidden="false" customHeight="false" outlineLevel="0" collapsed="false">
      <c r="A24" s="5" t="s">
        <v>335</v>
      </c>
      <c r="G24" s="31" t="n">
        <f aca="false">G23-G22</f>
        <v>-8.04138002272492</v>
      </c>
      <c r="H24" s="31" t="n">
        <f aca="false">H23-H22</f>
        <v>-20.0681105622991</v>
      </c>
      <c r="I24" s="31" t="n">
        <f aca="false">I23-I22</f>
        <v>-16.0664038274533</v>
      </c>
      <c r="J24" s="31" t="n">
        <f aca="false">J23-J22</f>
        <v>-13.3686389946149</v>
      </c>
      <c r="K24" s="31" t="n">
        <f aca="false">K23-K22</f>
        <v>-11.3352895867661</v>
      </c>
    </row>
    <row r="25" customFormat="false" ht="15" hidden="false" customHeight="false" outlineLevel="0" collapsed="false">
      <c r="A25" s="5" t="s">
        <v>336</v>
      </c>
      <c r="G25" s="21" t="n">
        <f aca="false">IF(G23=0,0,G24/ABS(G23))</f>
        <v>-0.946044708555873</v>
      </c>
      <c r="H25" s="21" t="n">
        <f aca="false">IF(H23=0,0,H24/ABS(H23))</f>
        <v>-2.36095418379989</v>
      </c>
      <c r="I25" s="21" t="n">
        <f aca="false">IF(I23=0,0,I24/ABS(I23))</f>
        <v>-1.89016515617097</v>
      </c>
      <c r="J25" s="21" t="n">
        <f aca="false">IF(J23=0,0,J24/ABS(J23))</f>
        <v>-1.57278105818998</v>
      </c>
      <c r="K25" s="21" t="n">
        <f aca="false">IF(K23=0,0,K24/ABS(K23))</f>
        <v>-1.33356348079602</v>
      </c>
    </row>
    <row r="26" customFormat="false" ht="15" hidden="false" customHeight="false" outlineLevel="0" collapsed="false">
      <c r="A26" s="5" t="s">
        <v>337</v>
      </c>
      <c r="G26" s="20" t="n">
        <f aca="false">IF(G24&lt;0,1,0)</f>
        <v>1</v>
      </c>
      <c r="H26" s="20" t="n">
        <f aca="false">IF(H24&lt;0,1,0)</f>
        <v>1</v>
      </c>
      <c r="I26" s="20" t="n">
        <f aca="false">IF(I24&lt;0,1,0)</f>
        <v>1</v>
      </c>
      <c r="J26" s="20" t="n">
        <f aca="false">IF(J24&lt;0,1,0)</f>
        <v>1</v>
      </c>
      <c r="K26" s="20" t="n">
        <f aca="false">IF(K24&lt;0,1,0)</f>
        <v>1</v>
      </c>
    </row>
    <row r="27" customFormat="false" ht="15" hidden="false" customHeight="false" outlineLevel="0" collapsed="false">
      <c r="A27" s="5" t="s">
        <v>338</v>
      </c>
      <c r="C27" s="20" t="n">
        <f aca="false">IFERROR(INDEX('Operating Model'!$G$7:$K$7,MATCH(1,$G$26:$K$26,0)),0)</f>
        <v>2026</v>
      </c>
    </row>
    <row r="28" customFormat="false" ht="15" hidden="false" customHeight="false" outlineLevel="0" collapsed="false">
      <c r="A28" s="5" t="s">
        <v>339</v>
      </c>
      <c r="C28" s="21" t="n">
        <f aca="false">MIN($G$25:$K$25)</f>
        <v>-2.36095418379989</v>
      </c>
    </row>
    <row r="29" customFormat="false" ht="15" hidden="false" customHeight="false" outlineLevel="0" collapsed="false">
      <c r="A29" s="5" t="s">
        <v>340</v>
      </c>
      <c r="G29" s="20" t="n">
        <f aca="false">G26</f>
        <v>1</v>
      </c>
      <c r="H29" s="20" t="n">
        <f aca="false">H26</f>
        <v>1</v>
      </c>
      <c r="I29" s="20" t="n">
        <f aca="false">I26</f>
        <v>1</v>
      </c>
      <c r="J29" s="20" t="n">
        <f aca="false">J26</f>
        <v>1</v>
      </c>
      <c r="K29" s="20" t="n">
        <f aca="false">K26</f>
        <v>1</v>
      </c>
    </row>
    <row r="30" customFormat="false" ht="15" hidden="false" customHeight="false" outlineLevel="0" collapsed="false">
      <c r="A30" s="5" t="s">
        <v>341</v>
      </c>
      <c r="C30" s="20" t="n">
        <f aca="false">SUM($G$29:$K$29)</f>
        <v>5</v>
      </c>
    </row>
    <row r="31" customFormat="false" ht="15" hidden="false" customHeight="false" outlineLevel="0" collapsed="false">
      <c r="A31" s="5" t="s">
        <v>342</v>
      </c>
      <c r="C31" s="21" t="n">
        <f aca="false">MIN(C28)</f>
        <v>-2.36095418379989</v>
      </c>
    </row>
    <row r="34" customFormat="false" ht="15" hidden="false" customHeight="false" outlineLevel="0" collapsed="false">
      <c r="A34" s="9" t="s">
        <v>343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7" t="s">
        <v>173</v>
      </c>
      <c r="B35" s="7"/>
      <c r="C35" s="7" t="s">
        <v>344</v>
      </c>
      <c r="D35" s="7" t="s">
        <v>345</v>
      </c>
      <c r="E35" s="7" t="s">
        <v>346</v>
      </c>
      <c r="F35" s="7" t="s">
        <v>175</v>
      </c>
      <c r="G35" s="7" t="s">
        <v>347</v>
      </c>
      <c r="H35" s="7" t="s">
        <v>348</v>
      </c>
      <c r="I35" s="7" t="s">
        <v>349</v>
      </c>
      <c r="J35" s="7" t="s">
        <v>350</v>
      </c>
    </row>
    <row r="36" customFormat="false" ht="15" hidden="false" customHeight="false" outlineLevel="0" collapsed="false">
      <c r="A36" s="5" t="s">
        <v>351</v>
      </c>
      <c r="C36" s="32" t="n">
        <f aca="false">'Credit Metrics'!F11</f>
        <v>7.72435897435897</v>
      </c>
      <c r="D36" s="6" t="n">
        <f aca="false">Assumptions!$D$125</f>
        <v>2</v>
      </c>
      <c r="E36" s="6" t="n">
        <f aca="false">Assumptions!$E$125</f>
        <v>7</v>
      </c>
      <c r="F36" s="26" t="n">
        <f aca="false">Assumptions!$C$125</f>
        <v>15</v>
      </c>
      <c r="G36" s="33" t="n">
        <f aca="false">F36*H36</f>
        <v>0</v>
      </c>
      <c r="H36" s="21" t="n">
        <f aca="false">MAX(0,MIN(1,(C36-E36)/(D36-E36)))</f>
        <v>0</v>
      </c>
      <c r="I36" s="32" t="n">
        <f aca="false">'Credit Metrics'!G11</f>
        <v>16.5413800227249</v>
      </c>
      <c r="J36" s="33" t="n">
        <f aca="false">F36*MAX(0,MIN(1,(I36-E36)/(D36-E36)))</f>
        <v>0</v>
      </c>
    </row>
    <row r="37" customFormat="false" ht="15" hidden="false" customHeight="false" outlineLevel="0" collapsed="false">
      <c r="A37" s="5" t="s">
        <v>352</v>
      </c>
      <c r="C37" s="32" t="n">
        <f aca="false">'Credit Metrics'!F12</f>
        <v>1.31048387096774</v>
      </c>
      <c r="D37" s="6" t="n">
        <f aca="false">Assumptions!$D$126</f>
        <v>5</v>
      </c>
      <c r="E37" s="6" t="n">
        <f aca="false">Assumptions!$E$126</f>
        <v>1</v>
      </c>
      <c r="F37" s="26" t="n">
        <f aca="false">Assumptions!$C$126</f>
        <v>15</v>
      </c>
      <c r="G37" s="33" t="n">
        <f aca="false">F37*H37</f>
        <v>1.16431451612903</v>
      </c>
      <c r="H37" s="21" t="n">
        <f aca="false">MAX(0,MIN(1,(C37-E37)/(D37-E37)))</f>
        <v>0.0776209677419354</v>
      </c>
      <c r="I37" s="32" t="n">
        <f aca="false">'Credit Metrics'!G12</f>
        <v>0.597869383974062</v>
      </c>
      <c r="J37" s="33" t="n">
        <f aca="false">F37*MAX(0,MIN(1,(I37-E37)/(D37-E37)))</f>
        <v>0</v>
      </c>
    </row>
    <row r="38" customFormat="false" ht="15" hidden="false" customHeight="false" outlineLevel="0" collapsed="false">
      <c r="A38" s="5" t="s">
        <v>353</v>
      </c>
      <c r="C38" s="31" t="n">
        <f aca="false">'Credit Metrics'!F16/(SUMPRODUCT((Assumptions!$K$53:$K$56&lt;=Assumptions!$C$6+1)*Assumptions!$C$53:$C$56)+SUMPRODUCT(Assumptions!$L$53:$L$56*Assumptions!$C$53:$C$56)+'Operating Model'!F23)</f>
        <v>1.32807469414037</v>
      </c>
      <c r="D38" s="6" t="n">
        <f aca="false">Assumptions!$D$127</f>
        <v>2</v>
      </c>
      <c r="E38" s="6" t="n">
        <f aca="false">Assumptions!$E$127</f>
        <v>0.5</v>
      </c>
      <c r="F38" s="26" t="n">
        <f aca="false">Assumptions!$C$127</f>
        <v>10</v>
      </c>
      <c r="G38" s="33" t="n">
        <f aca="false">F38*H38</f>
        <v>5.52049796093582</v>
      </c>
      <c r="H38" s="21" t="n">
        <f aca="false">MAX(0,MIN(1,(C38-E38)/(D38-E38)))</f>
        <v>0.552049796093582</v>
      </c>
      <c r="I38" s="31" t="n">
        <f aca="false">'Credit Metrics'!G16/(SUMPRODUCT((Assumptions!$K$53:$K$56&lt;=Assumptions!$C$6+1)*Assumptions!$C$53:$C$56)+SUMPRODUCT(Assumptions!$L$53:$L$56*Assumptions!$C$53:$C$56)+'Operating Model'!F23)</f>
        <v>0.673721828718609</v>
      </c>
      <c r="J38" s="33" t="n">
        <f aca="false">F38*MAX(0,MIN(1,(I38-E38)/(D38-E38)))</f>
        <v>1.15814552479073</v>
      </c>
    </row>
    <row r="39" customFormat="false" ht="15" hidden="false" customHeight="false" outlineLevel="0" collapsed="false">
      <c r="A39" s="5" t="s">
        <v>354</v>
      </c>
      <c r="C39" s="34" t="n">
        <f aca="false">'Credit Metrics'!F14</f>
        <v>-0.00211200000000001</v>
      </c>
      <c r="D39" s="6" t="n">
        <f aca="false">Assumptions!$D$128</f>
        <v>0.12</v>
      </c>
      <c r="E39" s="6" t="n">
        <f aca="false">Assumptions!$E$128</f>
        <v>-0.02</v>
      </c>
      <c r="F39" s="26" t="n">
        <f aca="false">Assumptions!$C$128</f>
        <v>10</v>
      </c>
      <c r="G39" s="33" t="n">
        <f aca="false">F39*H39</f>
        <v>1.27771428571429</v>
      </c>
      <c r="H39" s="21" t="n">
        <f aca="false">MAX(0,MIN(1,(C39-E39)/(D39-E39)))</f>
        <v>0.127771428571429</v>
      </c>
      <c r="I39" s="34" t="n">
        <f aca="false">'Credit Metrics'!G14</f>
        <v>-0.0593997268590477</v>
      </c>
      <c r="J39" s="33" t="n">
        <f aca="false">F39*MAX(0,MIN(1,(I39-E39)/(D39-E39)))</f>
        <v>0</v>
      </c>
    </row>
    <row r="40" customFormat="false" ht="15" hidden="false" customHeight="false" outlineLevel="0" collapsed="false">
      <c r="A40" s="5" t="s">
        <v>355</v>
      </c>
      <c r="C40" s="21" t="n">
        <f aca="false">SUMPRODUCT((Assumptions!$K$53:$K$56&lt;=Assumptions!$C$6+Assumptions!$C$22)*Assumptions!$C$53:$C$56)/SUM(Assumptions!$C$53:$C$56)</f>
        <v>0.8</v>
      </c>
      <c r="D40" s="6" t="n">
        <f aca="false">Assumptions!$D$129</f>
        <v>0</v>
      </c>
      <c r="E40" s="6" t="n">
        <f aca="false">Assumptions!$E$129</f>
        <v>0.5</v>
      </c>
      <c r="F40" s="26" t="n">
        <f aca="false">Assumptions!$C$129</f>
        <v>10</v>
      </c>
      <c r="G40" s="33" t="n">
        <f aca="false">F40*H40</f>
        <v>0</v>
      </c>
      <c r="H40" s="21" t="n">
        <f aca="false">MAX(0,MIN(1,(C40-E40)/(D40-E40)))</f>
        <v>0</v>
      </c>
      <c r="I40" s="21" t="n">
        <f aca="false">C40</f>
        <v>0.8</v>
      </c>
      <c r="J40" s="33" t="n">
        <f aca="false">F40*MAX(0,MIN(1,(I40-E40)/(D40-E40)))</f>
        <v>0</v>
      </c>
    </row>
    <row r="41" customFormat="false" ht="15" hidden="false" customHeight="false" outlineLevel="0" collapsed="false">
      <c r="A41" s="5" t="s">
        <v>356</v>
      </c>
      <c r="C41" s="30" t="n">
        <f aca="false">STDEVP('Historical Financials'!B35:E35)</f>
        <v>0.00763216876123688</v>
      </c>
      <c r="D41" s="6" t="n">
        <f aca="false">Assumptions!$D$130</f>
        <v>0.01</v>
      </c>
      <c r="E41" s="6" t="n">
        <f aca="false">Assumptions!$E$130</f>
        <v>0.05</v>
      </c>
      <c r="F41" s="26" t="n">
        <f aca="false">Assumptions!$C$130</f>
        <v>10</v>
      </c>
      <c r="G41" s="33" t="n">
        <f aca="false">F41*H41</f>
        <v>10</v>
      </c>
      <c r="H41" s="21" t="n">
        <f aca="false">MAX(0,MIN(1,(C41-E41)/(D41-E41)))</f>
        <v>1</v>
      </c>
      <c r="I41" s="30" t="n">
        <f aca="false">C41</f>
        <v>0.00763216876123688</v>
      </c>
      <c r="J41" s="33" t="n">
        <f aca="false">F41*MAX(0,MIN(1,(I41-E41)/(D41-E41)))</f>
        <v>10</v>
      </c>
    </row>
    <row r="42" customFormat="false" ht="15" hidden="false" customHeight="false" outlineLevel="0" collapsed="false">
      <c r="A42" s="5" t="s">
        <v>357</v>
      </c>
      <c r="C42" s="30" t="n">
        <f aca="false">STDEVP('Historical Financials'!C36:E36)</f>
        <v>0.00297199345991629</v>
      </c>
      <c r="D42" s="6" t="n">
        <f aca="false">Assumptions!$D$131</f>
        <v>0.03</v>
      </c>
      <c r="E42" s="6" t="n">
        <f aca="false">Assumptions!$E$131</f>
        <v>0.15</v>
      </c>
      <c r="F42" s="26" t="n">
        <f aca="false">Assumptions!$C$131</f>
        <v>8</v>
      </c>
      <c r="G42" s="33" t="n">
        <f aca="false">F42*H42</f>
        <v>8</v>
      </c>
      <c r="H42" s="21" t="n">
        <f aca="false">MAX(0,MIN(1,(C42-E42)/(D42-E42)))</f>
        <v>1</v>
      </c>
      <c r="I42" s="30" t="n">
        <f aca="false">C42</f>
        <v>0.00297199345991629</v>
      </c>
      <c r="J42" s="33" t="n">
        <f aca="false">F42*MAX(0,MIN(1,(I42-E42)/(D42-E42)))</f>
        <v>8</v>
      </c>
    </row>
    <row r="43" customFormat="false" ht="15" hidden="false" customHeight="false" outlineLevel="0" collapsed="false">
      <c r="A43" s="5" t="s">
        <v>358</v>
      </c>
      <c r="C43" s="31" t="n">
        <f aca="false">Assumptions!$C$27/'Credit Metrics'!F7</f>
        <v>0.832</v>
      </c>
      <c r="D43" s="6" t="n">
        <f aca="false">Assumptions!$D$132</f>
        <v>2</v>
      </c>
      <c r="E43" s="6" t="n">
        <f aca="false">Assumptions!$E$132</f>
        <v>0.6</v>
      </c>
      <c r="F43" s="26" t="n">
        <f aca="false">Assumptions!$C$132</f>
        <v>12</v>
      </c>
      <c r="G43" s="33" t="n">
        <f aca="false">F43*H43</f>
        <v>1.98857142857143</v>
      </c>
      <c r="H43" s="21" t="n">
        <f aca="false">MAX(0,MIN(1,(C43-E43)/(D43-E43)))</f>
        <v>0.165714285714286</v>
      </c>
      <c r="I43" s="31" t="n">
        <f aca="false">C43</f>
        <v>0.832</v>
      </c>
      <c r="J43" s="33" t="n">
        <f aca="false">F43*MAX(0,MIN(1,(I43-E43)/(D43-E43)))</f>
        <v>1.98857142857143</v>
      </c>
    </row>
    <row r="44" customFormat="false" ht="15" hidden="false" customHeight="false" outlineLevel="0" collapsed="false">
      <c r="A44" s="5" t="s">
        <v>359</v>
      </c>
      <c r="C44" s="35" t="n">
        <f aca="false">Assumptions!$C$134</f>
        <v>0.25</v>
      </c>
      <c r="D44" s="6" t="n">
        <f aca="false">Assumptions!$D$133</f>
        <v>1</v>
      </c>
      <c r="E44" s="6" t="n">
        <f aca="false">Assumptions!$E$133</f>
        <v>0</v>
      </c>
      <c r="F44" s="26" t="n">
        <f aca="false">Assumptions!$C$133</f>
        <v>10</v>
      </c>
      <c r="G44" s="33" t="n">
        <f aca="false">F44*H44</f>
        <v>2.5</v>
      </c>
      <c r="H44" s="21" t="n">
        <f aca="false">MAX(0,MIN(1,(C44-E44)/(D44-E44)))</f>
        <v>0.25</v>
      </c>
      <c r="I44" s="36" t="n">
        <f aca="false">C44</f>
        <v>0.25</v>
      </c>
      <c r="J44" s="33" t="n">
        <f aca="false">F44*MAX(0,MIN(1,(I44-E44)/(D44-E44)))</f>
        <v>2.5</v>
      </c>
    </row>
    <row r="45" customFormat="false" ht="15" hidden="false" customHeight="false" outlineLevel="0" collapsed="false">
      <c r="A45" s="2" t="s">
        <v>360</v>
      </c>
      <c r="F45" s="19" t="n">
        <f aca="false">SUM(F36:F44)</f>
        <v>100</v>
      </c>
      <c r="G45" s="37" t="n">
        <f aca="false">SUM(G36:G44)</f>
        <v>30.4510981913506</v>
      </c>
      <c r="J45" s="37" t="n">
        <f aca="false">SUM(J36:J44)</f>
        <v>23.6467169533622</v>
      </c>
    </row>
    <row r="46" customFormat="false" ht="15" hidden="false" customHeight="false" outlineLevel="0" collapsed="false">
      <c r="A46" s="2" t="s">
        <v>361</v>
      </c>
      <c r="G46" s="2" t="str">
        <f aca="false">IF(G45&gt;=Assumptions!$C$138,"Low",IF(G45&gt;=Assumptions!$C$139,"Moderate",IF(G45&gt;=Assumptions!$C$140,"Elevated","High")))</f>
        <v>High</v>
      </c>
    </row>
    <row r="47" customFormat="false" ht="15" hidden="false" customHeight="false" outlineLevel="0" collapsed="false">
      <c r="A47" s="5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6"/>
  </cols>
  <sheetData>
    <row r="1" customFormat="false" ht="17.3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5" t="str">
        <f aca="false">"Active scenario for the detailed tabs: "&amp;Assumptions!$D$10</f>
        <v>Active scenario for the detailed tabs: Downside</v>
      </c>
    </row>
    <row r="4" customFormat="false" ht="15" hidden="false" customHeight="false" outlineLevel="0" collapsed="false">
      <c r="A4" s="7" t="s">
        <v>364</v>
      </c>
      <c r="B4" s="7"/>
      <c r="C4" s="7" t="s">
        <v>148</v>
      </c>
      <c r="D4" s="7" t="s">
        <v>169</v>
      </c>
      <c r="E4" s="7" t="s">
        <v>170</v>
      </c>
      <c r="F4" s="7" t="s">
        <v>365</v>
      </c>
    </row>
    <row r="5" customFormat="false" ht="15" hidden="false" customHeight="false" outlineLevel="0" collapsed="false">
      <c r="A5" s="5" t="s">
        <v>366</v>
      </c>
      <c r="C5" s="21" t="n">
        <f aca="false">AVERAGE(Assumptions!$G$65:$K$65)</f>
        <v>-0.01</v>
      </c>
      <c r="D5" s="21" t="n">
        <f aca="false">AVERAGE(Assumptions!$G$84:$K$84)</f>
        <v>-0.0284</v>
      </c>
      <c r="E5" s="21" t="n">
        <f aca="false">AVERAGE(Assumptions!$G$103:$K$103)</f>
        <v>-0.082</v>
      </c>
      <c r="F5" s="21" t="n">
        <f aca="false">CHOOSE(Assumptions!$C$10,C5,D5,E5)</f>
        <v>-0.0284</v>
      </c>
    </row>
    <row r="6" customFormat="false" ht="15" hidden="false" customHeight="false" outlineLevel="0" collapsed="false">
      <c r="A6" s="5" t="s">
        <v>367</v>
      </c>
      <c r="C6" s="21" t="n">
        <f aca="false">AVERAGE(Assumptions!$G$67:$K$67)</f>
        <v>0.069</v>
      </c>
      <c r="D6" s="21" t="n">
        <f aca="false">AVERAGE(Assumptions!$G$86:$K$86)</f>
        <v>0.0326</v>
      </c>
      <c r="E6" s="21" t="n">
        <f aca="false">AVERAGE(Assumptions!$G$105:$K$105)</f>
        <v>0.01</v>
      </c>
      <c r="F6" s="21" t="n">
        <f aca="false">CHOOSE(Assumptions!$C$10,C6,D6,E6)</f>
        <v>0.0326</v>
      </c>
    </row>
    <row r="7" customFormat="false" ht="15" hidden="false" customHeight="false" outlineLevel="0" collapsed="false">
      <c r="A7" s="5" t="s">
        <v>158</v>
      </c>
      <c r="C7" s="29" t="n">
        <f aca="false">Assumptions!$C$72</f>
        <v>0</v>
      </c>
      <c r="D7" s="29" t="n">
        <f aca="false">Assumptions!$C$91</f>
        <v>0.015</v>
      </c>
      <c r="E7" s="29" t="n">
        <f aca="false">Assumptions!$C$110</f>
        <v>0.03</v>
      </c>
      <c r="F7" s="30" t="n">
        <f aca="false">CHOOSE(Assumptions!$C$10,C7,D7,E7)</f>
        <v>0.015</v>
      </c>
    </row>
    <row r="8" customFormat="false" ht="15" hidden="false" customHeight="false" outlineLevel="0" collapsed="false">
      <c r="A8" s="5" t="s">
        <v>368</v>
      </c>
      <c r="C8" s="29" t="n">
        <f aca="false">Assumptions!$C$73</f>
        <v>0.11</v>
      </c>
      <c r="D8" s="29" t="n">
        <f aca="false">Assumptions!$C$92</f>
        <v>0.135</v>
      </c>
      <c r="E8" s="29" t="n">
        <f aca="false">Assumptions!$C$111</f>
        <v>0.16</v>
      </c>
      <c r="F8" s="30" t="n">
        <f aca="false">CHOOSE(Assumptions!$C$10,C8,D8,E8)</f>
        <v>0.135</v>
      </c>
    </row>
    <row r="9" customFormat="false" ht="15" hidden="false" customHeight="false" outlineLevel="0" collapsed="false">
      <c r="A9" s="5" t="s">
        <v>369</v>
      </c>
      <c r="C9" s="5" t="str">
        <f aca="false">TEXT(Assumptions!$C$74,"0.0")&amp;"x / "&amp;TEXT(Assumptions!$C$75,"0.00")&amp;"x"</f>
        <v>8.5x / 1.20x</v>
      </c>
      <c r="D9" s="5" t="str">
        <f aca="false">TEXT(Assumptions!$C$93,"0.0")&amp;"x / "&amp;TEXT(Assumptions!$C$94,"0.00")&amp;"x"</f>
        <v>5.5x / 1.80x</v>
      </c>
      <c r="E9" s="5" t="str">
        <f aca="false">TEXT(Assumptions!$C$112,"0.0")&amp;"x / "&amp;TEXT(Assumptions!$C$113,"0.00")&amp;"x"</f>
        <v>5.0x / 2.00x</v>
      </c>
      <c r="F9" s="5" t="str">
        <f aca="false">CHOOSE(Assumptions!$C$10,C9,D9,E9)</f>
        <v>5.5x / 1.80x</v>
      </c>
    </row>
    <row r="10" customFormat="false" ht="15" hidden="false" customHeight="false" outlineLevel="0" collapsed="false">
      <c r="A10" s="5" t="s">
        <v>370</v>
      </c>
      <c r="C10" s="5" t="str">
        <f aca="false">TEXT(Assumptions!$C$76,"0.0")&amp;"x / "&amp;TEXT(Assumptions!$C$78,"0.0")&amp;"x"</f>
        <v>6.5x / 4.0x</v>
      </c>
      <c r="D10" s="5" t="str">
        <f aca="false">TEXT(Assumptions!$C$95,"0.0")&amp;"x / "&amp;TEXT(Assumptions!$C$97,"0.0")&amp;"x"</f>
        <v>5.0x / 4.0x</v>
      </c>
      <c r="E10" s="5" t="str">
        <f aca="false">TEXT(Assumptions!$C$114,"0.0")&amp;"x / "&amp;TEXT(Assumptions!$C$116,"0.0")&amp;"x"</f>
        <v>3.5x / 4.0x</v>
      </c>
      <c r="F10" s="5" t="str">
        <f aca="false">CHOOSE(Assumptions!$C$10,C10,D10,E10)</f>
        <v>5.0x / 4.0x</v>
      </c>
    </row>
    <row r="11" customFormat="false" ht="15" hidden="false" customHeight="false" outlineLevel="0" collapsed="false">
      <c r="A11" s="5" t="s">
        <v>166</v>
      </c>
      <c r="C11" s="34" t="n">
        <f aca="false">Assumptions!$C$79</f>
        <v>0</v>
      </c>
      <c r="D11" s="34" t="n">
        <f aca="false">Assumptions!$C$98</f>
        <v>0.15</v>
      </c>
      <c r="E11" s="34" t="n">
        <f aca="false">Assumptions!$C$117</f>
        <v>0.35</v>
      </c>
      <c r="F11" s="21" t="n">
        <f aca="false">CHOOSE(Assumptions!$C$10,C11,D11,E11)</f>
        <v>0.15</v>
      </c>
    </row>
    <row r="12" customFormat="false" ht="15" hidden="false" customHeight="false" outlineLevel="0" collapsed="false">
      <c r="A12" s="5" t="s">
        <v>168</v>
      </c>
      <c r="C12" s="34" t="n">
        <f aca="false">Assumptions!$C$81</f>
        <v>0.55</v>
      </c>
      <c r="D12" s="34" t="n">
        <f aca="false">Assumptions!$C$100</f>
        <v>0.3</v>
      </c>
      <c r="E12" s="34" t="n">
        <f aca="false">Assumptions!$C$119</f>
        <v>0.15</v>
      </c>
      <c r="F12" s="21" t="n">
        <f aca="false">CHOOSE(Assumptions!$C$10,C12,D12,E12)</f>
        <v>0.3</v>
      </c>
    </row>
    <row r="14" customFormat="false" ht="15" hidden="false" customHeight="false" outlineLevel="0" collapsed="false">
      <c r="A14" s="7" t="s">
        <v>371</v>
      </c>
      <c r="B14" s="7"/>
      <c r="C14" s="7" t="s">
        <v>148</v>
      </c>
      <c r="D14" s="7" t="s">
        <v>169</v>
      </c>
      <c r="E14" s="7" t="s">
        <v>170</v>
      </c>
      <c r="F14" s="7" t="s">
        <v>365</v>
      </c>
    </row>
    <row r="15" customFormat="false" ht="15" hidden="false" customHeight="false" outlineLevel="0" collapsed="false">
      <c r="A15" s="5" t="s">
        <v>372</v>
      </c>
      <c r="C15" s="28" t="n">
        <f aca="false">'Calc Engine'!K19</f>
        <v>2282.37611976</v>
      </c>
      <c r="D15" s="28" t="n">
        <f aca="false">'Calc Engine'!K372</f>
        <v>2073.7625169096</v>
      </c>
      <c r="E15" s="28" t="n">
        <f aca="false">'Calc Engine'!K725</f>
        <v>1526.8227064992</v>
      </c>
      <c r="F15" s="25" t="n">
        <f aca="false">CHOOSE(Assumptions!$C$10,C15,D15,E15)</f>
        <v>2073.7625169096</v>
      </c>
    </row>
    <row r="16" customFormat="false" ht="15" hidden="false" customHeight="false" outlineLevel="0" collapsed="false">
      <c r="A16" s="5" t="s">
        <v>373</v>
      </c>
      <c r="C16" s="25" t="n">
        <f aca="false">MIN('Calc Engine'!$G$23:$K$23)</f>
        <v>154.44</v>
      </c>
      <c r="D16" s="25" t="n">
        <f aca="false">MIN('Calc Engine'!$G$376:$K$376)</f>
        <v>48.9095184</v>
      </c>
      <c r="E16" s="25" t="n">
        <f aca="false">MIN('Calc Engine'!$G$729:$K$729)</f>
        <v>15.268227064992</v>
      </c>
      <c r="F16" s="25" t="n">
        <f aca="false">CHOOSE(Assumptions!$C$10,C16,D16,E16)</f>
        <v>48.9095184</v>
      </c>
    </row>
    <row r="17" customFormat="false" ht="15" hidden="false" customHeight="false" outlineLevel="0" collapsed="false">
      <c r="A17" s="5" t="s">
        <v>374</v>
      </c>
      <c r="C17" s="28" t="n">
        <f aca="false">'Calc Engine'!C354</f>
        <v>-46.97594467624</v>
      </c>
      <c r="D17" s="28" t="n">
        <f aca="false">'Calc Engine'!C707</f>
        <v>-481.4808823404</v>
      </c>
      <c r="E17" s="28" t="n">
        <f aca="false">'Calc Engine'!C1060</f>
        <v>-697.792895058854</v>
      </c>
      <c r="F17" s="25" t="n">
        <f aca="false">CHOOSE(Assumptions!$C$10,C17,D17,E17)</f>
        <v>-481.4808823404</v>
      </c>
    </row>
    <row r="18" customFormat="false" ht="15" hidden="false" customHeight="false" outlineLevel="0" collapsed="false">
      <c r="A18" s="5" t="s">
        <v>375</v>
      </c>
      <c r="C18" s="32" t="n">
        <f aca="false">'Calc Engine'!C352</f>
        <v>7.86221186221186</v>
      </c>
      <c r="D18" s="32" t="n">
        <f aca="false">'Calc Engine'!C705</f>
        <v>28.5681105622991</v>
      </c>
      <c r="E18" s="32" t="n">
        <f aca="false">'Calc Engine'!C1058</f>
        <v>124.624351403687</v>
      </c>
      <c r="F18" s="31" t="n">
        <f aca="false">CHOOSE(Assumptions!$C$10,C18,D18,E18)</f>
        <v>28.5681105622991</v>
      </c>
    </row>
    <row r="19" customFormat="false" ht="15" hidden="false" customHeight="false" outlineLevel="0" collapsed="false">
      <c r="A19" s="5" t="s">
        <v>376</v>
      </c>
      <c r="C19" s="32" t="n">
        <f aca="false">'Calc Engine'!C353</f>
        <v>1.21473661783139</v>
      </c>
      <c r="D19" s="32" t="n">
        <f aca="false">'Calc Engine'!C706</f>
        <v>0.374027109660081</v>
      </c>
      <c r="E19" s="32" t="n">
        <f aca="false">'Calc Engine'!C1059</f>
        <v>0.109080209295775</v>
      </c>
      <c r="F19" s="31" t="n">
        <f aca="false">CHOOSE(Assumptions!$C$10,C19,D19,E19)</f>
        <v>0.374027109660081</v>
      </c>
    </row>
    <row r="20" customFormat="false" ht="15" hidden="false" customHeight="false" outlineLevel="0" collapsed="false">
      <c r="A20" s="5" t="s">
        <v>377</v>
      </c>
      <c r="C20" s="26" t="n">
        <f aca="false">'Calc Engine'!C165</f>
        <v>0</v>
      </c>
      <c r="D20" s="26" t="n">
        <f aca="false">'Calc Engine'!C518</f>
        <v>5</v>
      </c>
      <c r="E20" s="26" t="n">
        <f aca="false">'Calc Engine'!C871</f>
        <v>5</v>
      </c>
      <c r="F20" s="20" t="n">
        <f aca="false">CHOOSE(Assumptions!$C$10,C20,D20,E20)</f>
        <v>5</v>
      </c>
    </row>
    <row r="21" customFormat="false" ht="15" hidden="false" customHeight="false" outlineLevel="0" collapsed="false">
      <c r="A21" s="5" t="s">
        <v>378</v>
      </c>
      <c r="C21" s="26" t="n">
        <f aca="false">'Calc Engine'!C120</f>
        <v>0</v>
      </c>
      <c r="D21" s="26" t="n">
        <f aca="false">'Calc Engine'!C473</f>
        <v>4</v>
      </c>
      <c r="E21" s="26" t="n">
        <f aca="false">'Calc Engine'!C826</f>
        <v>4</v>
      </c>
      <c r="F21" s="20" t="n">
        <f aca="false">CHOOSE(Assumptions!$C$10,C21,D21,E21)</f>
        <v>4</v>
      </c>
    </row>
    <row r="22" customFormat="false" ht="15" hidden="false" customHeight="false" outlineLevel="0" collapsed="false">
      <c r="A22" s="2" t="s">
        <v>379</v>
      </c>
      <c r="C22" s="38" t="n">
        <f aca="false">'Calc Engine'!C170</f>
        <v>1</v>
      </c>
      <c r="D22" s="38" t="n">
        <f aca="false">'Calc Engine'!C523</f>
        <v>1</v>
      </c>
      <c r="E22" s="38" t="n">
        <f aca="false">'Calc Engine'!C876</f>
        <v>1</v>
      </c>
      <c r="F22" s="19" t="n">
        <f aca="false">CHOOSE(Assumptions!$C$10,C22,D22,E22)</f>
        <v>1</v>
      </c>
    </row>
    <row r="23" customFormat="false" ht="15" hidden="false" customHeight="false" outlineLevel="0" collapsed="false">
      <c r="A23" s="5" t="s">
        <v>380</v>
      </c>
      <c r="C23" s="26" t="n">
        <f aca="false">'Calc Engine'!C171</f>
        <v>2027</v>
      </c>
      <c r="D23" s="26" t="n">
        <f aca="false">'Calc Engine'!C524</f>
        <v>2027</v>
      </c>
      <c r="E23" s="26" t="n">
        <f aca="false">'Calc Engine'!C877</f>
        <v>2027</v>
      </c>
      <c r="F23" s="20" t="n">
        <f aca="false">CHOOSE(Assumptions!$C$10,C23,D23,E23)</f>
        <v>2027</v>
      </c>
    </row>
    <row r="24" customFormat="false" ht="15" hidden="false" customHeight="false" outlineLevel="0" collapsed="false">
      <c r="A24" s="5" t="s">
        <v>381</v>
      </c>
      <c r="C24" s="28" t="n">
        <f aca="false">'Calc Engine'!C177</f>
        <v>630.40032</v>
      </c>
      <c r="D24" s="28" t="n">
        <f aca="false">'Calc Engine'!C530</f>
        <v>530.4</v>
      </c>
      <c r="E24" s="28" t="n">
        <f aca="false">'Calc Engine'!C883</f>
        <v>405.6</v>
      </c>
      <c r="F24" s="25" t="n">
        <f aca="false">CHOOSE(Assumptions!$C$10,C24,D24,E24)</f>
        <v>530.4</v>
      </c>
    </row>
    <row r="25" customFormat="false" ht="15" hidden="false" customHeight="false" outlineLevel="0" collapsed="false">
      <c r="A25" s="5" t="s">
        <v>382</v>
      </c>
      <c r="C25" s="34" t="n">
        <f aca="false">'Calc Engine'!C262</f>
        <v>0.866427146668372</v>
      </c>
      <c r="D25" s="34" t="n">
        <f aca="false">'Calc Engine'!C615</f>
        <v>0.548450942344359</v>
      </c>
      <c r="E25" s="34" t="n">
        <f aca="false">'Calc Engine'!C968</f>
        <v>0.280871236049474</v>
      </c>
      <c r="F25" s="21" t="n">
        <f aca="false">CHOOSE(Assumptions!$C$10,C25,D25,E25)</f>
        <v>0.548450942344359</v>
      </c>
    </row>
    <row r="26" customFormat="false" ht="15" hidden="false" customHeight="false" outlineLevel="0" collapsed="false">
      <c r="A26" s="5" t="s">
        <v>383</v>
      </c>
      <c r="C26" s="39" t="n">
        <f aca="false">'Calc Engine'!C337</f>
        <v>100</v>
      </c>
      <c r="D26" s="39" t="n">
        <f aca="false">'Calc Engine'!C690</f>
        <v>5.54371899529039</v>
      </c>
      <c r="E26" s="39" t="n">
        <f aca="false">'Calc Engine'!C1043</f>
        <v>0</v>
      </c>
      <c r="F26" s="33" t="n">
        <f aca="false">CHOOSE(Assumptions!$C$10,C26,D26,E26)</f>
        <v>5.54371899529039</v>
      </c>
    </row>
    <row r="27" customFormat="false" ht="15" hidden="false" customHeight="false" outlineLevel="0" collapsed="false">
      <c r="A27" s="2" t="s">
        <v>384</v>
      </c>
      <c r="C27" s="40" t="n">
        <f aca="false">'Calc Engine'!C351</f>
        <v>0.130821524311548</v>
      </c>
      <c r="D27" s="40" t="n">
        <f aca="false">'Calc Engine'!C704</f>
        <v>0.00688989684099931</v>
      </c>
      <c r="E27" s="40" t="n">
        <f aca="false">'Calc Engine'!C1057</f>
        <v>-0.138534047289136</v>
      </c>
      <c r="F27" s="41" t="n">
        <f aca="false">CHOOSE(Assumptions!$C$10,C27,D27,E27)</f>
        <v>0.00688989684099931</v>
      </c>
    </row>
    <row r="28" customFormat="false" ht="15" hidden="false" customHeight="false" outlineLevel="0" collapsed="false">
      <c r="A28" s="2" t="s">
        <v>385</v>
      </c>
      <c r="C28" s="42" t="n">
        <f aca="false">'Calc Engine'!C350</f>
        <v>1.39264718551909</v>
      </c>
      <c r="D28" s="42" t="n">
        <f aca="false">'Calc Engine'!C703</f>
        <v>1.01771586082989</v>
      </c>
      <c r="E28" s="42" t="n">
        <f aca="false">'Calc Engine'!C1056</f>
        <v>0.706129174799832</v>
      </c>
      <c r="F28" s="43" t="n">
        <f aca="false">CHOOSE(Assumptions!$C$10,C28,D28,E28)</f>
        <v>1.01771586082989</v>
      </c>
    </row>
    <row r="29" customFormat="false" ht="15" hidden="false" customHeight="false" outlineLevel="0" collapsed="false">
      <c r="A29" s="5" t="s">
        <v>386</v>
      </c>
      <c r="C29" s="28" t="n">
        <f aca="false">'Calc Engine'!C349</f>
        <v>30.7796128728415</v>
      </c>
      <c r="D29" s="28" t="n">
        <f aca="false">'Calc Engine'!C702</f>
        <v>1.38874633045526</v>
      </c>
      <c r="E29" s="28" t="n">
        <f aca="false">'Calc Engine'!C1055</f>
        <v>-23.0365339874411</v>
      </c>
      <c r="F29" s="25" t="n">
        <f aca="false">CHOOSE(Assumptions!$C$10,C29,D29,E29)</f>
        <v>1.38874633045526</v>
      </c>
    </row>
    <row r="31" customFormat="false" ht="15" hidden="false" customHeight="false" outlineLevel="0" collapsed="false">
      <c r="A31" s="2" t="s">
        <v>387</v>
      </c>
      <c r="C31" s="41" t="n">
        <f aca="false">IF(SUM(D38:I38)&lt;=0,-1,IFERROR(IRR(C38:I38,MAX(-0.9,(SUM(D38:I38)/-C38)^(1/(COLUMNS(C38:I38)-1))-1)),IRR(C38:I38,0.1)))</f>
        <v>0.0641534432819471</v>
      </c>
    </row>
    <row r="32" customFormat="false" ht="15" hidden="false" customHeight="false" outlineLevel="0" collapsed="false">
      <c r="A32" s="5" t="s">
        <v>388</v>
      </c>
      <c r="C32" s="21" t="n">
        <f aca="false">SUMPRODUCT(C12:E12,C27:E27)</f>
        <v>0.0532387003302811</v>
      </c>
    </row>
    <row r="33" customFormat="false" ht="15" hidden="false" customHeight="false" outlineLevel="0" collapsed="false">
      <c r="A33" s="2" t="s">
        <v>389</v>
      </c>
      <c r="C33" s="43" t="n">
        <f aca="false">SUMPRODUCT(C12:E12,C28:E28)</f>
        <v>1.17719008650444</v>
      </c>
    </row>
    <row r="34" customFormat="false" ht="15" hidden="false" customHeight="false" outlineLevel="0" collapsed="false">
      <c r="A34" s="2" t="s">
        <v>390</v>
      </c>
      <c r="C34" s="41" t="n">
        <f aca="false">SUMPRODUCT(C12:E12,C22:E22)</f>
        <v>1</v>
      </c>
    </row>
    <row r="36" customFormat="false" ht="15" hidden="false" customHeight="false" outlineLevel="0" collapsed="false">
      <c r="A36" s="9" t="s">
        <v>391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ustomFormat="false" ht="15" hidden="false" customHeight="false" outlineLevel="0" collapsed="false">
      <c r="A37" s="7"/>
      <c r="B37" s="7"/>
      <c r="C37" s="7" t="s">
        <v>392</v>
      </c>
      <c r="D37" s="7" t="s">
        <v>393</v>
      </c>
      <c r="E37" s="7" t="s">
        <v>394</v>
      </c>
      <c r="F37" s="7" t="s">
        <v>395</v>
      </c>
      <c r="G37" s="7" t="s">
        <v>396</v>
      </c>
      <c r="H37" s="7" t="s">
        <v>397</v>
      </c>
      <c r="I37" s="7" t="s">
        <v>398</v>
      </c>
    </row>
    <row r="38" customFormat="false" ht="15" hidden="false" customHeight="false" outlineLevel="0" collapsed="false">
      <c r="A38" s="5" t="s">
        <v>399</v>
      </c>
      <c r="C38" s="25" t="n">
        <f aca="false">C$12*'Calc Engine'!C344+D$12*'Calc Engine'!C697+E$12*'Calc Engine'!C1050</f>
        <v>-78.39</v>
      </c>
      <c r="D38" s="25" t="n">
        <f aca="false">C$12*'Calc Engine'!D344+D$12*'Calc Engine'!D697+E$12*'Calc Engine'!D1050</f>
        <v>11.2</v>
      </c>
      <c r="E38" s="25" t="n">
        <f aca="false">C$12*'Calc Engine'!E344+D$12*'Calc Engine'!E697+E$12*'Calc Engine'!E1050</f>
        <v>10.95</v>
      </c>
      <c r="F38" s="25" t="n">
        <f aca="false">C$12*'Calc Engine'!F344+D$12*'Calc Engine'!F697+E$12*'Calc Engine'!F1050</f>
        <v>70.1299308810832</v>
      </c>
      <c r="G38" s="25" t="n">
        <f aca="false">C$12*'Calc Engine'!G344+D$12*'Calc Engine'!G697+E$12*'Calc Engine'!G1050</f>
        <v>0</v>
      </c>
      <c r="H38" s="25" t="n">
        <f aca="false">C$12*'Calc Engine'!H344+D$12*'Calc Engine'!H697+E$12*'Calc Engine'!H1050</f>
        <v>0</v>
      </c>
      <c r="I38" s="25" t="n">
        <f aca="false">C$12*'Calc Engine'!I344+D$12*'Calc Engine'!I697+E$12*'Calc Engine'!I1050</f>
        <v>0</v>
      </c>
    </row>
    <row r="40" customFormat="false" ht="15" hidden="false" customHeight="false" outlineLevel="0" collapsed="false">
      <c r="A40" s="7" t="s">
        <v>400</v>
      </c>
      <c r="B40" s="7"/>
      <c r="C40" s="7" t="s">
        <v>401</v>
      </c>
      <c r="D40" s="7" t="s">
        <v>45</v>
      </c>
      <c r="E40" s="7" t="s">
        <v>402</v>
      </c>
    </row>
    <row r="41" customFormat="false" ht="15" hidden="false" customHeight="false" outlineLevel="0" collapsed="false">
      <c r="A41" s="5" t="s">
        <v>403</v>
      </c>
      <c r="C41" s="28" t="n">
        <f aca="false">'Operating Model'!K17</f>
        <v>85.0242631932936</v>
      </c>
      <c r="D41" s="25" t="n">
        <f aca="false">CHOOSE(Assumptions!$C$10,'Calc Engine'!K23,'Calc Engine'!K376,'Calc Engine'!K729)</f>
        <v>85.0242631932936</v>
      </c>
      <c r="E41" s="25" t="n">
        <f aca="false">C41-D41</f>
        <v>0</v>
      </c>
    </row>
    <row r="42" customFormat="false" ht="15" hidden="false" customHeight="false" outlineLevel="0" collapsed="false">
      <c r="A42" s="5" t="s">
        <v>404</v>
      </c>
      <c r="C42" s="28" t="n">
        <f aca="false">'Debt Schedule'!K69</f>
        <v>1260.2968</v>
      </c>
      <c r="D42" s="25" t="n">
        <f aca="false">CHOOSE(Assumptions!$C$10,'Calc Engine'!K101,'Calc Engine'!K454,'Calc Engine'!K807)</f>
        <v>1260.2968</v>
      </c>
      <c r="E42" s="25" t="n">
        <f aca="false">C42-D42</f>
        <v>0</v>
      </c>
    </row>
    <row r="43" customFormat="false" ht="15" hidden="false" customHeight="false" outlineLevel="0" collapsed="false">
      <c r="A43" s="5" t="s">
        <v>405</v>
      </c>
      <c r="C43" s="28" t="n">
        <f aca="false">'Cash Flow'!K19</f>
        <v>-426.1840823404</v>
      </c>
      <c r="D43" s="25" t="n">
        <f aca="false">CHOOSE(Assumptions!$C$10,'Calc Engine'!K135,'Calc Engine'!K488,'Calc Engine'!K841)</f>
        <v>-426.1840823404</v>
      </c>
      <c r="E43" s="25" t="n">
        <f aca="false">C43-D43</f>
        <v>0</v>
      </c>
    </row>
    <row r="44" customFormat="false" ht="15" hidden="false" customHeight="false" outlineLevel="0" collapsed="false">
      <c r="A44" s="5" t="s">
        <v>406</v>
      </c>
      <c r="C44" s="28" t="n">
        <f aca="false">Returns!C107</f>
        <v>-481.4808823404</v>
      </c>
      <c r="D44" s="25" t="n">
        <f aca="false">CHOOSE(Assumptions!$C$10,'Calc Engine'!C354,'Calc Engine'!C707,'Calc Engine'!C1060)</f>
        <v>-481.4808823404</v>
      </c>
      <c r="E44" s="25" t="n">
        <f aca="false">C44-D44</f>
        <v>0</v>
      </c>
    </row>
    <row r="45" customFormat="false" ht="15" hidden="false" customHeight="false" outlineLevel="0" collapsed="false">
      <c r="A45" s="5" t="s">
        <v>407</v>
      </c>
      <c r="C45" s="28" t="n">
        <f aca="false">Recovery!C15</f>
        <v>530.4</v>
      </c>
      <c r="D45" s="25" t="n">
        <f aca="false">CHOOSE(Assumptions!$C$10,'Calc Engine'!C177,'Calc Engine'!C530,'Calc Engine'!C883)</f>
        <v>530.4</v>
      </c>
      <c r="E45" s="25" t="n">
        <f aca="false">C45-D45</f>
        <v>0</v>
      </c>
    </row>
    <row r="46" customFormat="false" ht="15" hidden="false" customHeight="false" outlineLevel="0" collapsed="false">
      <c r="A46" s="5" t="s">
        <v>408</v>
      </c>
      <c r="C46" s="26" t="n">
        <f aca="false">'Credit Metrics'!C30</f>
        <v>5</v>
      </c>
      <c r="D46" s="20" t="n">
        <f aca="false">CHOOSE(Assumptions!$C$10,'Calc Engine'!C165,'Calc Engine'!C518,'Calc Engine'!C871)</f>
        <v>5</v>
      </c>
      <c r="E46" s="20" t="n">
        <f aca="false">C46-D46</f>
        <v>0</v>
      </c>
    </row>
    <row r="47" customFormat="false" ht="15" hidden="false" customHeight="false" outlineLevel="0" collapsed="false">
      <c r="A47" s="5" t="s">
        <v>384</v>
      </c>
      <c r="C47" s="29" t="n">
        <f aca="false">Returns!C104</f>
        <v>0.00688989684099931</v>
      </c>
      <c r="D47" s="30" t="n">
        <f aca="false">CHOOSE(Assumptions!$C$10,'Calc Engine'!C351,'Calc Engine'!C704,'Calc Engine'!C1057)</f>
        <v>0.00688989684099931</v>
      </c>
      <c r="E47" s="30" t="n">
        <f aca="false">C47-D47</f>
        <v>0</v>
      </c>
    </row>
    <row r="48" customFormat="false" ht="15" hidden="false" customHeight="false" outlineLevel="0" collapsed="false">
      <c r="A48" s="5" t="s">
        <v>385</v>
      </c>
      <c r="C48" s="32" t="n">
        <f aca="false">Returns!C103</f>
        <v>1.01771586082989</v>
      </c>
      <c r="D48" s="31" t="n">
        <f aca="false">CHOOSE(Assumptions!$C$10,'Calc Engine'!C350,'Calc Engine'!C703,'Calc Engine'!C1056)</f>
        <v>1.01771586082989</v>
      </c>
      <c r="E48" s="31" t="n">
        <f aca="false">C48-D48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5" t="str">
        <f aca="false">"Brightwater Retail Holdings · DEMO DATA · DEMO INVESTMENT TERMS · as of "&amp;TEXT(Assumptions!$C$8,"yyyy-mm-dd")&amp;" · $M"</f>
        <v>Brightwater Retail Holdings · DEMO DATA · DEMO INVESTMENT TERMS · as of 2026-03-31 · $M</v>
      </c>
    </row>
    <row r="4" customFormat="false" ht="15" hidden="false" customHeight="false" outlineLevel="0" collapsed="false">
      <c r="A4" s="7" t="s">
        <v>111</v>
      </c>
      <c r="B4" s="7" t="s">
        <v>112</v>
      </c>
      <c r="C4" s="7" t="s">
        <v>123</v>
      </c>
      <c r="D4" s="7" t="s">
        <v>410</v>
      </c>
      <c r="E4" s="7" t="s">
        <v>411</v>
      </c>
      <c r="F4" s="7" t="s">
        <v>412</v>
      </c>
      <c r="G4" s="7" t="s">
        <v>413</v>
      </c>
      <c r="H4" s="7" t="s">
        <v>120</v>
      </c>
      <c r="I4" s="7" t="s">
        <v>414</v>
      </c>
      <c r="J4" s="7" t="s">
        <v>415</v>
      </c>
      <c r="K4" s="7" t="s">
        <v>128</v>
      </c>
      <c r="L4" s="7" t="s">
        <v>416</v>
      </c>
    </row>
    <row r="5" customFormat="false" ht="15" hidden="false" customHeight="false" outlineLevel="0" collapsed="false">
      <c r="A5" s="6" t="str">
        <f aca="false">Assumptions!$A$53</f>
        <v>ABL Revolver</v>
      </c>
      <c r="B5" s="6" t="str">
        <f aca="false">Assumptions!$B$53</f>
        <v>revolver</v>
      </c>
      <c r="C5" s="26" t="n">
        <f aca="false">Assumptions!$M$53</f>
        <v>1</v>
      </c>
      <c r="D5" s="5" t="str">
        <f aca="false">IF(Assumptions!$O$53=1,"Secured","Unsecured")</f>
        <v>Secured</v>
      </c>
      <c r="E5" s="28" t="n">
        <f aca="false">Assumptions!$C$53</f>
        <v>180</v>
      </c>
      <c r="F5" s="29" t="n">
        <f aca="false">'Debt Schedule'!G20</f>
        <v>0.101</v>
      </c>
      <c r="G5" s="25" t="n">
        <f aca="false">E5*F5</f>
        <v>18.18</v>
      </c>
      <c r="H5" s="44" t="n">
        <f aca="false">Assumptions!$J$53</f>
        <v>46691</v>
      </c>
      <c r="I5" s="31" t="n">
        <f aca="false">SUMIF($C$5:$C$8,"&lt;="&amp;C5,$E$5:$E$8)/'Operating Model'!F17</f>
        <v>1.15384615384615</v>
      </c>
      <c r="J5" s="21" t="n">
        <f aca="false">E5/($E$9+$E$13)</f>
        <v>0.144</v>
      </c>
      <c r="K5" s="39" t="n">
        <f aca="false">Assumptions!$R$53</f>
        <v>100</v>
      </c>
      <c r="L5" s="25" t="n">
        <f aca="false">E5*K5/100</f>
        <v>180</v>
      </c>
    </row>
    <row r="6" customFormat="false" ht="15" hidden="false" customHeight="false" outlineLevel="0" collapsed="false">
      <c r="A6" s="6" t="str">
        <f aca="false">Assumptions!$A$54</f>
        <v>First-Lien Term Loan</v>
      </c>
      <c r="B6" s="6" t="str">
        <f aca="false">Assumptions!$B$54</f>
        <v>term_loan</v>
      </c>
      <c r="C6" s="26" t="n">
        <f aca="false">Assumptions!$M$54</f>
        <v>2</v>
      </c>
      <c r="D6" s="5" t="str">
        <f aca="false">IF(Assumptions!$O$54=1,"Secured","Unsecured")</f>
        <v>Secured</v>
      </c>
      <c r="E6" s="28" t="n">
        <f aca="false">Assumptions!$C$54</f>
        <v>520</v>
      </c>
      <c r="F6" s="29" t="n">
        <f aca="false">'Debt Schedule'!G33</f>
        <v>0.118</v>
      </c>
      <c r="G6" s="25" t="n">
        <f aca="false">E6*F6</f>
        <v>61.36</v>
      </c>
      <c r="H6" s="44" t="n">
        <f aca="false">Assumptions!$J$54</f>
        <v>46843</v>
      </c>
      <c r="I6" s="31" t="n">
        <f aca="false">SUMIF($C$5:$C$8,"&lt;="&amp;C6,$E$5:$E$8)/'Operating Model'!F17</f>
        <v>4.48717948717949</v>
      </c>
      <c r="J6" s="21" t="n">
        <f aca="false">E6/($E$9+$E$13)</f>
        <v>0.416</v>
      </c>
      <c r="K6" s="39" t="n">
        <f aca="false">Assumptions!$R$54</f>
        <v>78</v>
      </c>
      <c r="L6" s="25" t="n">
        <f aca="false">E6*K6/100</f>
        <v>405.6</v>
      </c>
    </row>
    <row r="7" customFormat="false" ht="15" hidden="false" customHeight="false" outlineLevel="0" collapsed="false">
      <c r="A7" s="6" t="str">
        <f aca="false">Assumptions!$A$55</f>
        <v>Second-Lien Notes 11.0%</v>
      </c>
      <c r="B7" s="6" t="str">
        <f aca="false">Assumptions!$B$55</f>
        <v>second_lien</v>
      </c>
      <c r="C7" s="26" t="n">
        <f aca="false">Assumptions!$M$55</f>
        <v>3</v>
      </c>
      <c r="D7" s="5" t="str">
        <f aca="false">IF(Assumptions!$O$55=1,"Secured","Unsecured")</f>
        <v>Secured</v>
      </c>
      <c r="E7" s="28" t="n">
        <f aca="false">Assumptions!$C$55</f>
        <v>250</v>
      </c>
      <c r="F7" s="29" t="n">
        <f aca="false">'Debt Schedule'!G46</f>
        <v>0.11</v>
      </c>
      <c r="G7" s="25" t="n">
        <f aca="false">E7*F7</f>
        <v>27.5</v>
      </c>
      <c r="H7" s="44" t="n">
        <f aca="false">Assumptions!$J$55</f>
        <v>47299</v>
      </c>
      <c r="I7" s="31" t="n">
        <f aca="false">SUMIF($C$5:$C$8,"&lt;="&amp;C7,$E$5:$E$8)/'Operating Model'!F17</f>
        <v>6.08974358974359</v>
      </c>
      <c r="J7" s="21" t="n">
        <f aca="false">E7/($E$9+$E$13)</f>
        <v>0.2</v>
      </c>
      <c r="K7" s="39" t="n">
        <f aca="false">Assumptions!$R$55</f>
        <v>52</v>
      </c>
      <c r="L7" s="25" t="n">
        <f aca="false">E7*K7/100</f>
        <v>130</v>
      </c>
    </row>
    <row r="8" customFormat="false" ht="15" hidden="false" customHeight="false" outlineLevel="0" collapsed="false">
      <c r="A8" s="6" t="str">
        <f aca="false">Assumptions!$A$56</f>
        <v>Senior Unsecured Notes 7.5%</v>
      </c>
      <c r="B8" s="6" t="str">
        <f aca="false">Assumptions!$B$56</f>
        <v>unsecured_notes</v>
      </c>
      <c r="C8" s="26" t="n">
        <f aca="false">Assumptions!$M$56</f>
        <v>4</v>
      </c>
      <c r="D8" s="5" t="str">
        <f aca="false">IF(Assumptions!$O$56=1,"Secured","Unsecured")</f>
        <v>Unsecured</v>
      </c>
      <c r="E8" s="28" t="n">
        <f aca="false">Assumptions!$C$56</f>
        <v>300</v>
      </c>
      <c r="F8" s="29" t="n">
        <f aca="false">'Debt Schedule'!G59</f>
        <v>0.075</v>
      </c>
      <c r="G8" s="25" t="n">
        <f aca="false">E8*F8</f>
        <v>22.5</v>
      </c>
      <c r="H8" s="44" t="n">
        <f aca="false">Assumptions!$J$56</f>
        <v>46522</v>
      </c>
      <c r="I8" s="31" t="n">
        <f aca="false">SUMIF($C$5:$C$8,"&lt;="&amp;C8,$E$5:$E$8)/'Operating Model'!F17</f>
        <v>8.01282051282051</v>
      </c>
      <c r="J8" s="21" t="n">
        <f aca="false">E8/($E$9+$E$13)</f>
        <v>0.24</v>
      </c>
      <c r="K8" s="39" t="n">
        <f aca="false">Assumptions!$R$56</f>
        <v>33</v>
      </c>
      <c r="L8" s="25" t="n">
        <f aca="false">E8*K8/100</f>
        <v>99</v>
      </c>
    </row>
    <row r="9" customFormat="false" ht="15" hidden="false" customHeight="false" outlineLevel="0" collapsed="false">
      <c r="A9" s="2" t="s">
        <v>417</v>
      </c>
      <c r="E9" s="16" t="n">
        <f aca="false">SUM(E5:E8)</f>
        <v>1250</v>
      </c>
      <c r="G9" s="16" t="n">
        <f aca="false">SUM(G5:G8)</f>
        <v>129.54</v>
      </c>
      <c r="I9" s="43" t="n">
        <f aca="false">E9/'Operating Model'!F17</f>
        <v>8.01282051282051</v>
      </c>
      <c r="L9" s="16" t="n">
        <f aca="false">SUM(L5:L8)</f>
        <v>814.6</v>
      </c>
    </row>
    <row r="10" customFormat="false" ht="15" hidden="false" customHeight="false" outlineLevel="0" collapsed="false">
      <c r="A10" s="5" t="s">
        <v>418</v>
      </c>
      <c r="E10" s="28" t="n">
        <f aca="false">Assumptions!$C$11</f>
        <v>45</v>
      </c>
    </row>
    <row r="11" customFormat="false" ht="15" hidden="false" customHeight="false" outlineLevel="0" collapsed="false">
      <c r="A11" s="2" t="s">
        <v>321</v>
      </c>
      <c r="E11" s="16" t="n">
        <f aca="false">E9-E10</f>
        <v>1205</v>
      </c>
      <c r="I11" s="43" t="n">
        <f aca="false">E11/'Operating Model'!F17</f>
        <v>7.72435897435897</v>
      </c>
    </row>
    <row r="12" customFormat="false" ht="15" hidden="false" customHeight="false" outlineLevel="0" collapsed="false">
      <c r="A12" s="5" t="s">
        <v>419</v>
      </c>
      <c r="E12" s="25" t="n">
        <f aca="false">'Operating Model'!F17*Assumptions!$C$21</f>
        <v>1014</v>
      </c>
    </row>
    <row r="13" customFormat="false" ht="15" hidden="false" customHeight="false" outlineLevel="0" collapsed="false">
      <c r="A13" s="2" t="s">
        <v>420</v>
      </c>
      <c r="E13" s="16" t="n">
        <f aca="false">MAX(0,E12-E11)</f>
        <v>0</v>
      </c>
    </row>
    <row r="14" customFormat="false" ht="15" hidden="false" customHeight="false" outlineLevel="0" collapsed="false">
      <c r="A14" s="5" t="s">
        <v>327</v>
      </c>
      <c r="E14" s="28" t="n">
        <f aca="false">'Credit Metrics'!F16</f>
        <v>165</v>
      </c>
    </row>
    <row r="15" customFormat="false" ht="15" hidden="false" customHeight="false" outlineLevel="0" collapsed="false">
      <c r="A15" s="5" t="s">
        <v>421</v>
      </c>
      <c r="E15" s="28" t="n">
        <f aca="false">Assumptions!$C$27</f>
        <v>1040</v>
      </c>
    </row>
    <row r="16" customFormat="false" ht="15" hidden="false" customHeight="false" outlineLevel="0" collapsed="false">
      <c r="A16" s="5" t="s">
        <v>422</v>
      </c>
      <c r="E16" s="21" t="n">
        <f aca="false">SUMIF($C$5:$C$8,"&lt;="&amp;INDEX($C$5:$C$8,Assumptions!$C$30),$E$5:$E$8)/E15</f>
        <v>0.673076923076923</v>
      </c>
    </row>
    <row r="19" customFormat="false" ht="15" hidden="false" customHeight="false" outlineLevel="0" collapsed="false">
      <c r="A19" s="9" t="s">
        <v>423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customFormat="false" ht="15" hidden="false" customHeight="false" outlineLevel="0" collapsed="false">
      <c r="A20" s="7" t="s">
        <v>424</v>
      </c>
      <c r="B20" s="7"/>
      <c r="C20" s="7" t="s">
        <v>425</v>
      </c>
      <c r="D20" s="7" t="s">
        <v>184</v>
      </c>
      <c r="E20" s="7" t="s">
        <v>426</v>
      </c>
      <c r="F20" s="7" t="s">
        <v>427</v>
      </c>
      <c r="G20" s="7" t="s">
        <v>428</v>
      </c>
      <c r="H20" s="7" t="s">
        <v>429</v>
      </c>
      <c r="I20" s="7" t="s">
        <v>430</v>
      </c>
      <c r="J20" s="7" t="s">
        <v>431</v>
      </c>
    </row>
    <row r="21" customFormat="false" ht="15" hidden="false" customHeight="false" outlineLevel="0" collapsed="false">
      <c r="A21" s="5" t="str">
        <f aca="false">"FY2026E"&amp;" (period ending "&amp;'Operating Model'!G7&amp;")"</f>
        <v>FY2026E (period ending 2026)</v>
      </c>
      <c r="C21" s="28" t="n">
        <f aca="false">'Debt Schedule'!G70</f>
        <v>0</v>
      </c>
      <c r="D21" s="21" t="n">
        <f aca="false">C21/$E$9</f>
        <v>0</v>
      </c>
      <c r="E21" s="21" t="n">
        <f aca="false">SUM($D$21:D21)</f>
        <v>0</v>
      </c>
      <c r="F21" s="25" t="n">
        <f aca="false">MAX(0,Assumptions!$C$11)+('Credit Metrics'!F16-MAX(0,Assumptions!$C$11))+MAX(0,'Operating Model'!G30)</f>
        <v>165</v>
      </c>
      <c r="G21" s="25" t="n">
        <f aca="false">MAX(0,C21-F21)</f>
        <v>0</v>
      </c>
      <c r="H21" s="31" t="n">
        <f aca="false">IF(C21&gt;0,F21/C21,0)</f>
        <v>0</v>
      </c>
      <c r="I21" s="5" t="str">
        <f aca="false">IF(AND(G21&gt;0,D21&gt;=Assumptions!$C$19),"High",IF(OR(G21&gt;0,D21&gt;=Assumptions!$C$20),"Medium","Low"))</f>
        <v>Low</v>
      </c>
      <c r="J21" s="5" t="str">
        <f aca="false">IF(I21="High","$"&amp;TEXT(C21,"#,##0")&amp;"M maturity; only $"&amp;TEXT(F21,"#,##0")&amp;"M projected liquidity; $"&amp;TEXT(G21,"#,##0")&amp;"M refinancing requirement","–")</f>
        <v>–</v>
      </c>
    </row>
    <row r="22" customFormat="false" ht="15" hidden="false" customHeight="false" outlineLevel="0" collapsed="false">
      <c r="A22" s="5" t="str">
        <f aca="false">"FY2027E"&amp;" (period ending "&amp;'Operating Model'!H7&amp;")"</f>
        <v>FY2027E (period ending 2027)</v>
      </c>
      <c r="C22" s="28" t="n">
        <f aca="false">'Debt Schedule'!H70</f>
        <v>480</v>
      </c>
      <c r="D22" s="21" t="n">
        <f aca="false">C22/$E$9</f>
        <v>0.384</v>
      </c>
      <c r="E22" s="21" t="n">
        <f aca="false">SUM($D$21:D22)</f>
        <v>0.384</v>
      </c>
      <c r="F22" s="25" t="n">
        <f aca="false">MAX(0,'Cash Flow'!G19)+('Credit Metrics'!G16-MAX(0,'Cash Flow'!G19))+MAX(0,'Operating Model'!H30)</f>
        <v>83.7032</v>
      </c>
      <c r="G22" s="25" t="n">
        <f aca="false">MAX(0,C22-F22)</f>
        <v>396.2968</v>
      </c>
      <c r="H22" s="31" t="n">
        <f aca="false">IF(C22&gt;0,F22/C22,0)</f>
        <v>0.174381666666667</v>
      </c>
      <c r="I22" s="5" t="str">
        <f aca="false">IF(AND(G22&gt;0,D22&gt;=Assumptions!$C$19),"High",IF(OR(G22&gt;0,D22&gt;=Assumptions!$C$20),"Medium","Low"))</f>
        <v>High</v>
      </c>
      <c r="J22" s="5" t="str">
        <f aca="false">IF(I22="High","$"&amp;TEXT(C22,"#,##0")&amp;"M maturity; only $"&amp;TEXT(F22,"#,##0")&amp;"M projected liquidity; $"&amp;TEXT(G22,"#,##0")&amp;"M refinancing requirement","–")</f>
        <v>$480M maturity; only $84M projected liquidity; $396M refinancing requirement</v>
      </c>
    </row>
    <row r="23" customFormat="false" ht="15" hidden="false" customHeight="false" outlineLevel="0" collapsed="false">
      <c r="A23" s="5" t="str">
        <f aca="false">"FY2028E"&amp;" (period ending "&amp;'Operating Model'!I7&amp;")"</f>
        <v>FY2028E (period ending 2028)</v>
      </c>
      <c r="C23" s="28" t="n">
        <f aca="false">'Debt Schedule'!I70</f>
        <v>520</v>
      </c>
      <c r="D23" s="21" t="n">
        <f aca="false">C23/$E$9</f>
        <v>0.416</v>
      </c>
      <c r="E23" s="21" t="n">
        <f aca="false">SUM($D$21:D23)</f>
        <v>0.8</v>
      </c>
      <c r="F23" s="25" t="n">
        <f aca="false">MAX(0,'Cash Flow'!H19)+('Credit Metrics'!H16-MAX(0,'Cash Flow'!H19))+MAX(0,'Operating Model'!I30)</f>
        <v>83.7032</v>
      </c>
      <c r="G23" s="25" t="n">
        <f aca="false">MAX(0,C23-F23)</f>
        <v>436.2968</v>
      </c>
      <c r="H23" s="31" t="n">
        <f aca="false">IF(C23&gt;0,F23/C23,0)</f>
        <v>0.160967692307692</v>
      </c>
      <c r="I23" s="5" t="str">
        <f aca="false">IF(AND(G23&gt;0,D23&gt;=Assumptions!$C$19),"High",IF(OR(G23&gt;0,D23&gt;=Assumptions!$C$20),"Medium","Low"))</f>
        <v>High</v>
      </c>
      <c r="J23" s="5" t="str">
        <f aca="false">IF(I23="High","$"&amp;TEXT(C23,"#,##0")&amp;"M maturity; only $"&amp;TEXT(F23,"#,##0")&amp;"M projected liquidity; $"&amp;TEXT(G23,"#,##0")&amp;"M refinancing requirement","–")</f>
        <v>$520M maturity; only $84M projected liquidity; $436M refinancing requirement</v>
      </c>
    </row>
    <row r="24" customFormat="false" ht="15" hidden="false" customHeight="false" outlineLevel="0" collapsed="false">
      <c r="A24" s="5" t="str">
        <f aca="false">"FY2029E"&amp;" (period ending "&amp;'Operating Model'!J7&amp;")"</f>
        <v>FY2029E (period ending 2029)</v>
      </c>
      <c r="C24" s="28" t="n">
        <f aca="false">'Debt Schedule'!J70</f>
        <v>250</v>
      </c>
      <c r="D24" s="21" t="n">
        <f aca="false">C24/$E$9</f>
        <v>0.2</v>
      </c>
      <c r="E24" s="21" t="n">
        <f aca="false">SUM($D$21:D24)</f>
        <v>1</v>
      </c>
      <c r="F24" s="25" t="n">
        <f aca="false">MAX(0,'Cash Flow'!I19)+('Credit Metrics'!I16-MAX(0,'Cash Flow'!I19))+MAX(0,'Operating Model'!J30)</f>
        <v>83.7032</v>
      </c>
      <c r="G24" s="25" t="n">
        <f aca="false">MAX(0,C24-F24)</f>
        <v>166.2968</v>
      </c>
      <c r="H24" s="31" t="n">
        <f aca="false">IF(C24&gt;0,F24/C24,0)</f>
        <v>0.3348128</v>
      </c>
      <c r="I24" s="5" t="str">
        <f aca="false">IF(AND(G24&gt;0,D24&gt;=Assumptions!$C$19),"High",IF(OR(G24&gt;0,D24&gt;=Assumptions!$C$20),"Medium","Low"))</f>
        <v>Medium</v>
      </c>
      <c r="J24" s="5" t="str">
        <f aca="false">IF(I24="High","$"&amp;TEXT(C24,"#,##0")&amp;"M maturity; only $"&amp;TEXT(F24,"#,##0")&amp;"M projected liquidity; $"&amp;TEXT(G24,"#,##0")&amp;"M refinancing requirement","–")</f>
        <v>–</v>
      </c>
    </row>
    <row r="25" customFormat="false" ht="15" hidden="false" customHeight="false" outlineLevel="0" collapsed="false">
      <c r="A25" s="5" t="str">
        <f aca="false">"FY2030E"&amp;" (period ending "&amp;'Operating Model'!K7&amp;")"</f>
        <v>FY2030E (period ending 2030)</v>
      </c>
      <c r="C25" s="28" t="n">
        <f aca="false">'Debt Schedule'!K70</f>
        <v>0</v>
      </c>
      <c r="D25" s="21" t="n">
        <f aca="false">C25/$E$9</f>
        <v>0</v>
      </c>
      <c r="E25" s="21" t="n">
        <f aca="false">SUM($D$21:D25)</f>
        <v>1</v>
      </c>
      <c r="F25" s="25" t="n">
        <f aca="false">MAX(0,'Cash Flow'!J19)+('Credit Metrics'!J16-MAX(0,'Cash Flow'!J19))+MAX(0,'Operating Model'!K30)</f>
        <v>83.7032</v>
      </c>
      <c r="G25" s="25" t="n">
        <f aca="false">MAX(0,C25-F25)</f>
        <v>0</v>
      </c>
      <c r="H25" s="31" t="n">
        <f aca="false">IF(C25&gt;0,F25/C25,0)</f>
        <v>0</v>
      </c>
      <c r="I25" s="5" t="str">
        <f aca="false">IF(AND(G25&gt;0,D25&gt;=Assumptions!$C$19),"High",IF(OR(G25&gt;0,D25&gt;=Assumptions!$C$20),"Medium","Low"))</f>
        <v>Low</v>
      </c>
      <c r="J25" s="5" t="str">
        <f aca="false">IF(I25="High","$"&amp;TEXT(C25,"#,##0")&amp;"M maturity; only $"&amp;TEXT(F25,"#,##0")&amp;"M projected liquidity; $"&amp;TEXT(G25,"#,##0")&amp;"M refinancing requirement","–")</f>
        <v>–</v>
      </c>
    </row>
    <row r="26" customFormat="false" ht="15" hidden="false" customHeight="false" outlineLevel="0" collapsed="false">
      <c r="A26" s="2" t="s">
        <v>432</v>
      </c>
      <c r="C26" s="16" t="n">
        <f aca="false">SUM(C21:C25)</f>
        <v>1250</v>
      </c>
      <c r="D26" s="21" t="n">
        <f aca="false">C26/$E$9</f>
        <v>1</v>
      </c>
    </row>
    <row r="27" customFormat="false" ht="15" hidden="false" customHeight="false" outlineLevel="0" collapsed="false">
      <c r="A27" s="5" t="s">
        <v>433</v>
      </c>
      <c r="C27" s="25" t="n">
        <f aca="false">$E$9-C26</f>
        <v>0</v>
      </c>
    </row>
    <row r="29" customFormat="false" ht="15" hidden="false" customHeight="false" outlineLevel="0" collapsed="false">
      <c r="A29" s="2" t="s">
        <v>434</v>
      </c>
      <c r="C29" s="2" t="str">
        <f aca="false">IF(MAX(D21:D25)&gt;=Assumptions!$C$20,"CONCENTRATED: "&amp;TEXT(MAX(D21:D25),"0%")&amp;" of debt in "&amp;INDEX(A21:A25,MATCH(MAX(D21:D25),D21:D25,0)),"No single-period concentration")</f>
        <v>CONCENTRATED: 42% of debt in FY2028E (period ending 2028)</v>
      </c>
    </row>
    <row r="30" customFormat="false" ht="15" hidden="false" customHeight="false" outlineLevel="0" collapsed="false">
      <c r="A30" s="2" t="s">
        <v>435</v>
      </c>
      <c r="C30" s="25" t="n">
        <f aca="false">SUMPRODUCT((Assumptions!$K$53:$K$56&lt;=Assumptions!$C$6+Assumptions!$C$18)*Assumptions!$C$53:$C$56)</f>
        <v>480</v>
      </c>
      <c r="D30" s="21" t="n">
        <f aca="false">C30/E9</f>
        <v>0.384</v>
      </c>
    </row>
    <row r="31" customFormat="false" ht="15" hidden="false" customHeight="false" outlineLevel="0" collapsed="false">
      <c r="A31" s="2" t="s">
        <v>436</v>
      </c>
      <c r="C31" s="2" t="str">
        <f aca="false">IF(D30&gt;=Assumptions!$C$19,"ALERT: "&amp;TEXT(D30,"0%")&amp;" of debt ($"&amp;TEXT(C30,"#,##0")&amp;"M) due within "&amp;Assumptions!$C$18&amp;" period(s); liquidity covers "&amp;TEXT(E14/C30,"0%"),"OK: no material maturities within window")</f>
        <v>ALERT: 38% of debt ($480M) due within 2 period(s); liquidity covers 34%</v>
      </c>
    </row>
    <row r="33" customFormat="false" ht="15" hidden="false" customHeight="false" outlineLevel="0" collapsed="false">
      <c r="A33" s="9" t="s">
        <v>437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customFormat="false" ht="15" hidden="false" customHeight="false" outlineLevel="0" collapsed="false">
      <c r="A34" s="7" t="s">
        <v>438</v>
      </c>
      <c r="B34" s="7"/>
      <c r="C34" s="7" t="s">
        <v>439</v>
      </c>
      <c r="D34" s="7" t="s">
        <v>440</v>
      </c>
      <c r="E34" s="7" t="s">
        <v>441</v>
      </c>
      <c r="F34" s="7" t="s">
        <v>442</v>
      </c>
    </row>
    <row r="35" customFormat="false" ht="15" hidden="false" customHeight="false" outlineLevel="0" collapsed="false">
      <c r="A35" s="6" t="str">
        <f aca="false">Assumptions!$A$53</f>
        <v>ABL Revolver</v>
      </c>
      <c r="C35" s="28" t="n">
        <f aca="false">'Debt Schedule'!C72</f>
        <v>216.2968</v>
      </c>
      <c r="D35" s="28" t="n">
        <f aca="false">'Debt Schedule'!C73</f>
        <v>0</v>
      </c>
      <c r="E35" s="6" t="str">
        <f aca="false">'Debt Schedule'!C74</f>
        <v>REFINANCING FAILURE</v>
      </c>
      <c r="F35" s="6" t="str">
        <f aca="false">'Debt Schedule'!C75</f>
        <v>PAYMENT DEFAULT</v>
      </c>
    </row>
    <row r="36" customFormat="false" ht="15" hidden="false" customHeight="false" outlineLevel="0" collapsed="false">
      <c r="A36" s="6" t="str">
        <f aca="false">Assumptions!$A$54</f>
        <v>First-Lien Term Loan</v>
      </c>
      <c r="C36" s="28" t="n">
        <f aca="false">'Debt Schedule'!C76</f>
        <v>504.4</v>
      </c>
      <c r="D36" s="28" t="n">
        <f aca="false">'Debt Schedule'!C77</f>
        <v>0</v>
      </c>
      <c r="E36" s="6" t="str">
        <f aca="false">'Debt Schedule'!C78</f>
        <v>REFINANCING FAILURE</v>
      </c>
      <c r="F36" s="6" t="str">
        <f aca="false">'Debt Schedule'!C79</f>
        <v>PAYMENT DEFAULT</v>
      </c>
    </row>
    <row r="37" customFormat="false" ht="15" hidden="false" customHeight="false" outlineLevel="0" collapsed="false">
      <c r="A37" s="6" t="str">
        <f aca="false">Assumptions!$A$55</f>
        <v>Second-Lien Notes 11.0%</v>
      </c>
      <c r="C37" s="28" t="n">
        <f aca="false">'Debt Schedule'!C80</f>
        <v>250</v>
      </c>
      <c r="D37" s="28" t="n">
        <f aca="false">'Debt Schedule'!C81</f>
        <v>0</v>
      </c>
      <c r="E37" s="6" t="str">
        <f aca="false">'Debt Schedule'!C82</f>
        <v>REFINANCING FAILURE</v>
      </c>
      <c r="F37" s="6" t="str">
        <f aca="false">'Debt Schedule'!C83</f>
        <v>PAYMENT DEFAULT</v>
      </c>
    </row>
    <row r="38" customFormat="false" ht="15" hidden="false" customHeight="false" outlineLevel="0" collapsed="false">
      <c r="A38" s="6" t="str">
        <f aca="false">Assumptions!$A$56</f>
        <v>Senior Unsecured Notes 7.5%</v>
      </c>
      <c r="C38" s="28" t="n">
        <f aca="false">'Debt Schedule'!C84</f>
        <v>300</v>
      </c>
      <c r="D38" s="28" t="n">
        <f aca="false">'Debt Schedule'!C85</f>
        <v>0</v>
      </c>
      <c r="E38" s="6" t="str">
        <f aca="false">'Debt Schedule'!C86</f>
        <v>REFINANCING FAILURE</v>
      </c>
      <c r="F38" s="6" t="str">
        <f aca="false">'Debt Schedule'!C87</f>
        <v>PAYMENT DEFAULT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344</v>
      </c>
      <c r="D4" s="7"/>
      <c r="E4" s="7"/>
      <c r="F4" s="7"/>
      <c r="G4" s="7"/>
      <c r="H4" s="7"/>
      <c r="I4" s="7"/>
      <c r="J4" s="7"/>
      <c r="K4" s="7"/>
    </row>
    <row r="6" customFormat="false" ht="15" hidden="false" customHeight="false" outlineLevel="0" collapsed="false">
      <c r="A6" s="23" t="s">
        <v>444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445</v>
      </c>
      <c r="G7" s="20" t="n">
        <f aca="false">IF($C$8=1,'Cash Flow'!G22,IF('Operating Model'!G17=MIN('Operating Model'!$G$17:$K$17),1,0))</f>
        <v>0</v>
      </c>
      <c r="H7" s="20" t="n">
        <f aca="false">IF($C$8=1,'Cash Flow'!H22,IF(AND('Operating Model'!H17=MIN('Operating Model'!$G$17:$K$17),SUM($G$7:G7)=0),1,0))</f>
        <v>1</v>
      </c>
      <c r="I7" s="20" t="n">
        <f aca="false">IF($C$8=1,'Cash Flow'!I22,IF(AND('Operating Model'!I17=MIN('Operating Model'!$G$17:$K$17),SUM($G$7:H7)=0),1,0))</f>
        <v>0</v>
      </c>
      <c r="J7" s="20" t="n">
        <f aca="false">IF($C$8=1,'Cash Flow'!J22,IF(AND('Operating Model'!J17=MIN('Operating Model'!$G$17:$K$17),SUM($G$7:I7)=0),1,0))</f>
        <v>0</v>
      </c>
      <c r="K7" s="20" t="n">
        <f aca="false">IF($C$8=1,'Cash Flow'!K22,IF(AND('Operating Model'!K17=MIN('Operating Model'!$G$17:$K$17),SUM($G$7:J7)=0),1,0))</f>
        <v>0</v>
      </c>
    </row>
    <row r="8" customFormat="false" ht="15" hidden="false" customHeight="false" outlineLevel="0" collapsed="false">
      <c r="A8" s="5" t="s">
        <v>446</v>
      </c>
      <c r="C8" s="20" t="n">
        <f aca="false">IF(SUM('Cash Flow'!$G$22:$K$22)&gt;0,1,0)</f>
        <v>1</v>
      </c>
    </row>
    <row r="9" customFormat="false" ht="15" hidden="false" customHeight="false" outlineLevel="0" collapsed="false">
      <c r="A9" s="5" t="s">
        <v>447</v>
      </c>
      <c r="C9" s="20" t="n">
        <f aca="false">SUMPRODUCT($G$7:$K$7,'Operating Model'!$G$7:$K$7)</f>
        <v>2027</v>
      </c>
    </row>
    <row r="10" customFormat="false" ht="15" hidden="false" customHeight="false" outlineLevel="0" collapsed="false">
      <c r="A10" s="5" t="s">
        <v>448</v>
      </c>
      <c r="C10" s="25" t="n">
        <f aca="false">SUMPRODUCT($G$7:$K$7,'Operating Model'!$G$17:$K$17)</f>
        <v>48.9095184</v>
      </c>
    </row>
    <row r="11" customFormat="false" ht="15" hidden="false" customHeight="false" outlineLevel="0" collapsed="false">
      <c r="A11" s="5" t="s">
        <v>449</v>
      </c>
      <c r="C11" s="25" t="n">
        <f aca="false">MAX(0,SUMPRODUCT($G$7:$K$7,'Cash Flow'!$G$19:$K$19))</f>
        <v>0</v>
      </c>
    </row>
    <row r="12" customFormat="false" ht="15" hidden="false" customHeight="false" outlineLevel="0" collapsed="false">
      <c r="A12" s="5" t="s">
        <v>450</v>
      </c>
      <c r="C12" s="25" t="n">
        <f aca="false">(CHOOSE(Assumptions!$C$10,Assumptions!$C$78,Assumptions!$C$97,Assumptions!$C$116))*C10</f>
        <v>195.6380736</v>
      </c>
    </row>
    <row r="13" customFormat="false" ht="15" hidden="false" customHeight="false" outlineLevel="0" collapsed="false">
      <c r="A13" s="5" t="s">
        <v>451</v>
      </c>
      <c r="C13" s="25" t="n">
        <f aca="false">Assumptions!$C$27*(1-CHOOSE(Assumptions!$C$10,Assumptions!$C$79,Assumptions!$C$98,Assumptions!$C$117))*CHOOSE(Assumptions!$C$10,Assumptions!$C$80,Assumptions!$C$99,Assumptions!$C$118)</f>
        <v>530.4</v>
      </c>
    </row>
    <row r="14" customFormat="false" ht="15" hidden="false" customHeight="false" outlineLevel="0" collapsed="false">
      <c r="A14" s="5" t="s">
        <v>452</v>
      </c>
      <c r="C14" s="25" t="n">
        <f aca="false">MAX(C12,C13)+C11</f>
        <v>530.4</v>
      </c>
    </row>
    <row r="15" customFormat="false" ht="15" hidden="false" customHeight="false" outlineLevel="0" collapsed="false">
      <c r="A15" s="2" t="s">
        <v>453</v>
      </c>
      <c r="C15" s="16" t="n">
        <f aca="false">IF(ISNUMBER(Assumptions!$C$14),Assumptions!$C$14,C14)</f>
        <v>530.4</v>
      </c>
    </row>
    <row r="16" customFormat="false" ht="15" hidden="false" customHeight="false" outlineLevel="0" collapsed="false">
      <c r="A16" s="5" t="s">
        <v>454</v>
      </c>
      <c r="C16" s="25" t="n">
        <f aca="false">C15*Assumptions!$C$15</f>
        <v>21.216</v>
      </c>
    </row>
    <row r="17" customFormat="false" ht="15" hidden="false" customHeight="false" outlineLevel="0" collapsed="false">
      <c r="A17" s="2" t="s">
        <v>455</v>
      </c>
      <c r="C17" s="16" t="n">
        <f aca="false">C15-C16</f>
        <v>509.184</v>
      </c>
    </row>
    <row r="18" customFormat="false" ht="15" hidden="false" customHeight="false" outlineLevel="0" collapsed="false">
      <c r="A18" s="23" t="s">
        <v>456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A19" s="5" t="s">
        <v>457</v>
      </c>
      <c r="C19" s="25" t="n">
        <f aca="false">SUMPRODUCT($G$7:$K$7,'Debt Schedule'!$G$28:$K$28)*(1+SUMPRODUCT($G$7:$K$7,'Debt Schedule'!$G$20:$K$20)*Assumptions!$C$16/12)</f>
        <v>221.6231087</v>
      </c>
    </row>
    <row r="20" customFormat="false" ht="15" hidden="false" customHeight="false" outlineLevel="0" collapsed="false">
      <c r="A20" s="5" t="s">
        <v>458</v>
      </c>
      <c r="C20" s="25" t="n">
        <f aca="false">SUMPRODUCT($G$7:$K$7,'Debt Schedule'!$G$41:$K$41)*(1+SUMPRODUCT($G$7:$K$7,'Debt Schedule'!$G$33:$K$33)*Assumptions!$C$16/12)</f>
        <v>524.3147</v>
      </c>
    </row>
    <row r="21" customFormat="false" ht="15" hidden="false" customHeight="false" outlineLevel="0" collapsed="false">
      <c r="A21" s="5" t="s">
        <v>459</v>
      </c>
      <c r="C21" s="25" t="n">
        <f aca="false">SUMPRODUCT($G$7:$K$7,'Debt Schedule'!$G$54:$K$54)*(1+SUMPRODUCT($G$7:$K$7,'Debt Schedule'!$G$46:$K$46)*Assumptions!$C$16/12)</f>
        <v>256.875</v>
      </c>
    </row>
    <row r="22" customFormat="false" ht="15" hidden="false" customHeight="false" outlineLevel="0" collapsed="false">
      <c r="A22" s="5" t="s">
        <v>460</v>
      </c>
      <c r="C22" s="25" t="n">
        <f aca="false">SUMPRODUCT($G$7:$K$7,'Debt Schedule'!$G$67:$K$67)*(1+SUMPRODUCT($G$7:$K$7,'Debt Schedule'!$G$59:$K$59)*Assumptions!$C$16/12)</f>
        <v>305.625</v>
      </c>
    </row>
    <row r="23" customFormat="false" ht="15" hidden="false" customHeight="false" outlineLevel="0" collapsed="false">
      <c r="A23" s="23" t="s">
        <v>461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customFormat="false" ht="15" hidden="false" customHeight="false" outlineLevel="0" collapsed="false">
      <c r="A24" s="5" t="s">
        <v>457</v>
      </c>
      <c r="C24" s="26" t="n">
        <f aca="false">Assumptions!$M$53</f>
        <v>1</v>
      </c>
    </row>
    <row r="25" customFormat="false" ht="15" hidden="false" customHeight="false" outlineLevel="0" collapsed="false">
      <c r="A25" s="5" t="s">
        <v>458</v>
      </c>
      <c r="C25" s="26" t="n">
        <f aca="false">Assumptions!$M$54</f>
        <v>2</v>
      </c>
    </row>
    <row r="26" customFormat="false" ht="15" hidden="false" customHeight="false" outlineLevel="0" collapsed="false">
      <c r="A26" s="5" t="s">
        <v>459</v>
      </c>
      <c r="C26" s="26" t="n">
        <f aca="false">Assumptions!$M$55</f>
        <v>3</v>
      </c>
    </row>
    <row r="27" customFormat="false" ht="15" hidden="false" customHeight="false" outlineLevel="0" collapsed="false">
      <c r="A27" s="5" t="s">
        <v>460</v>
      </c>
      <c r="C27" s="26" t="n">
        <f aca="false">Assumptions!$M$56</f>
        <v>4</v>
      </c>
    </row>
    <row r="28" customFormat="false" ht="15" hidden="false" customHeight="false" outlineLevel="0" collapsed="false">
      <c r="A28" s="23" t="s">
        <v>462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customFormat="false" ht="15" hidden="false" customHeight="false" outlineLevel="0" collapsed="false">
      <c r="A29" s="5" t="s">
        <v>457</v>
      </c>
      <c r="C29" s="34" t="n">
        <f aca="false">Assumptions!$Q$53</f>
        <v>0</v>
      </c>
    </row>
    <row r="30" customFormat="false" ht="15" hidden="false" customHeight="false" outlineLevel="0" collapsed="false">
      <c r="A30" s="5" t="s">
        <v>458</v>
      </c>
      <c r="C30" s="34" t="n">
        <f aca="false">Assumptions!$Q$54</f>
        <v>0</v>
      </c>
    </row>
    <row r="31" customFormat="false" ht="15" hidden="false" customHeight="false" outlineLevel="0" collapsed="false">
      <c r="A31" s="5" t="s">
        <v>459</v>
      </c>
      <c r="C31" s="34" t="n">
        <f aca="false">Assumptions!$Q$55</f>
        <v>0</v>
      </c>
    </row>
    <row r="32" customFormat="false" ht="15" hidden="false" customHeight="false" outlineLevel="0" collapsed="false">
      <c r="A32" s="5" t="s">
        <v>460</v>
      </c>
      <c r="C32" s="34" t="n">
        <f aca="false">Assumptions!$Q$56</f>
        <v>0</v>
      </c>
    </row>
    <row r="33" customFormat="false" ht="15" hidden="false" customHeight="false" outlineLevel="0" collapsed="false">
      <c r="A33" s="23" t="s">
        <v>463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customFormat="false" ht="15" hidden="false" customHeight="false" outlineLevel="0" collapsed="false">
      <c r="A34" s="5" t="s">
        <v>457</v>
      </c>
      <c r="C34" s="25" t="n">
        <f aca="false">IF(C29&gt;0,MIN(C19,C29*$C$17),0)</f>
        <v>0</v>
      </c>
    </row>
    <row r="35" customFormat="false" ht="15" hidden="false" customHeight="false" outlineLevel="0" collapsed="false">
      <c r="A35" s="5" t="s">
        <v>458</v>
      </c>
      <c r="C35" s="25" t="n">
        <f aca="false">IF(C30&gt;0,MIN(C20,C30*$C$17),0)</f>
        <v>0</v>
      </c>
    </row>
    <row r="36" customFormat="false" ht="15" hidden="false" customHeight="false" outlineLevel="0" collapsed="false">
      <c r="A36" s="5" t="s">
        <v>459</v>
      </c>
      <c r="C36" s="25" t="n">
        <f aca="false">IF(C31&gt;0,MIN(C21,C31*$C$17),0)</f>
        <v>0</v>
      </c>
    </row>
    <row r="37" customFormat="false" ht="15" hidden="false" customHeight="false" outlineLevel="0" collapsed="false">
      <c r="A37" s="5" t="s">
        <v>460</v>
      </c>
      <c r="C37" s="25" t="n">
        <f aca="false">IF(C32&gt;0,MIN(C22,C32*$C$17),0)</f>
        <v>0</v>
      </c>
    </row>
    <row r="38" customFormat="false" ht="15" hidden="false" customHeight="false" outlineLevel="0" collapsed="false">
      <c r="A38" s="23" t="s">
        <v>464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customFormat="false" ht="15" hidden="false" customHeight="false" outlineLevel="0" collapsed="false">
      <c r="A39" s="5" t="s">
        <v>457</v>
      </c>
      <c r="C39" s="25" t="n">
        <f aca="false">IF(C29&gt;0,C19-C34,0)</f>
        <v>0</v>
      </c>
      <c r="G39" s="20" t="n">
        <f aca="false">IF(AND('Debt Schedule'!G18=1,'Debt Schedule'!G15=1),1,0)</f>
        <v>0</v>
      </c>
      <c r="H39" s="20" t="n">
        <f aca="false">IF(G39=1,1,IF(AND('Debt Schedule'!H18=1,'Debt Schedule'!H15=1),1,0))</f>
        <v>0</v>
      </c>
      <c r="I39" s="20" t="n">
        <f aca="false">IF(H39=1,1,IF(AND('Debt Schedule'!I18=1,'Debt Schedule'!I15=1),1,0))</f>
        <v>0</v>
      </c>
      <c r="J39" s="20" t="n">
        <f aca="false">IF(I39=1,1,IF(AND('Debt Schedule'!J18=1,'Debt Schedule'!J15=1),1,0))</f>
        <v>0</v>
      </c>
      <c r="K39" s="20" t="n">
        <f aca="false">IF(J39=1,1,IF(AND('Debt Schedule'!K18=1,'Debt Schedule'!K15=1),1,0))</f>
        <v>0</v>
      </c>
    </row>
    <row r="40" customFormat="false" ht="15" hidden="false" customHeight="false" outlineLevel="0" collapsed="false">
      <c r="A40" s="5" t="s">
        <v>458</v>
      </c>
      <c r="C40" s="25" t="n">
        <f aca="false">IF(C30&gt;0,C20-C35,0)</f>
        <v>0</v>
      </c>
      <c r="G40" s="20" t="n">
        <f aca="false">IF(AND('Debt Schedule'!G31=1,'Debt Schedule'!G15=1),1,0)</f>
        <v>0</v>
      </c>
      <c r="H40" s="20" t="n">
        <f aca="false">IF(G40=1,1,IF(AND('Debt Schedule'!H31=1,'Debt Schedule'!H15=1),1,0))</f>
        <v>0</v>
      </c>
      <c r="I40" s="20" t="n">
        <f aca="false">IF(H40=1,1,IF(AND('Debt Schedule'!I31=1,'Debt Schedule'!I15=1),1,0))</f>
        <v>0</v>
      </c>
      <c r="J40" s="20" t="n">
        <f aca="false">IF(I40=1,1,IF(AND('Debt Schedule'!J31=1,'Debt Schedule'!J15=1),1,0))</f>
        <v>0</v>
      </c>
      <c r="K40" s="20" t="n">
        <f aca="false">IF(J40=1,1,IF(AND('Debt Schedule'!K31=1,'Debt Schedule'!K15=1),1,0))</f>
        <v>0</v>
      </c>
    </row>
    <row r="41" customFormat="false" ht="15" hidden="false" customHeight="false" outlineLevel="0" collapsed="false">
      <c r="A41" s="5" t="s">
        <v>459</v>
      </c>
      <c r="C41" s="25" t="n">
        <f aca="false">IF(C31&gt;0,C21-C36,0)</f>
        <v>0</v>
      </c>
      <c r="G41" s="20" t="n">
        <f aca="false">IF(AND('Debt Schedule'!G44=1,'Debt Schedule'!G15=1),1,0)</f>
        <v>0</v>
      </c>
      <c r="H41" s="20" t="n">
        <f aca="false">IF(G41=1,1,IF(AND('Debt Schedule'!H44=1,'Debt Schedule'!H15=1),1,0))</f>
        <v>0</v>
      </c>
      <c r="I41" s="20" t="n">
        <f aca="false">IF(H41=1,1,IF(AND('Debt Schedule'!I44=1,'Debt Schedule'!I15=1),1,0))</f>
        <v>0</v>
      </c>
      <c r="J41" s="20" t="n">
        <f aca="false">IF(I41=1,1,IF(AND('Debt Schedule'!J44=1,'Debt Schedule'!J15=1),1,0))</f>
        <v>0</v>
      </c>
      <c r="K41" s="20" t="n">
        <f aca="false">IF(J41=1,1,IF(AND('Debt Schedule'!K44=1,'Debt Schedule'!K15=1),1,0))</f>
        <v>0</v>
      </c>
    </row>
    <row r="42" customFormat="false" ht="15" hidden="false" customHeight="false" outlineLevel="0" collapsed="false">
      <c r="A42" s="5" t="s">
        <v>460</v>
      </c>
      <c r="C42" s="25" t="n">
        <f aca="false">IF(C32&gt;0,C22-C37,0)</f>
        <v>0</v>
      </c>
      <c r="G42" s="20" t="n">
        <f aca="false">IF(AND('Debt Schedule'!G57=1,'Debt Schedule'!G15=1),1,0)</f>
        <v>0</v>
      </c>
      <c r="H42" s="20" t="n">
        <f aca="false">IF(G42=1,1,IF(AND('Debt Schedule'!H57=1,'Debt Schedule'!H15=1),1,0))</f>
        <v>0</v>
      </c>
      <c r="I42" s="20" t="n">
        <f aca="false">IF(H42=1,1,IF(AND('Debt Schedule'!I57=1,'Debt Schedule'!I15=1),1,0))</f>
        <v>0</v>
      </c>
      <c r="J42" s="20" t="n">
        <f aca="false">IF(I42=1,1,IF(AND('Debt Schedule'!J57=1,'Debt Schedule'!J15=1),1,0))</f>
        <v>0</v>
      </c>
      <c r="K42" s="20" t="n">
        <f aca="false">IF(J42=1,1,IF(AND('Debt Schedule'!K57=1,'Debt Schedule'!K15=1),1,0))</f>
        <v>0</v>
      </c>
    </row>
    <row r="43" customFormat="false" ht="15" hidden="false" customHeight="false" outlineLevel="0" collapsed="false">
      <c r="A43" s="23" t="s">
        <v>465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15" hidden="false" customHeight="false" outlineLevel="0" collapsed="false">
      <c r="A44" s="5" t="s">
        <v>457</v>
      </c>
      <c r="C44" s="25" t="n">
        <f aca="false">IF(C29&gt;0,C39,C19)</f>
        <v>221.6231087</v>
      </c>
    </row>
    <row r="45" customFormat="false" ht="15" hidden="false" customHeight="false" outlineLevel="0" collapsed="false">
      <c r="A45" s="5" t="s">
        <v>458</v>
      </c>
      <c r="C45" s="25" t="n">
        <f aca="false">IF(C30&gt;0,C40,C20)</f>
        <v>524.3147</v>
      </c>
    </row>
    <row r="46" customFormat="false" ht="15" hidden="false" customHeight="false" outlineLevel="0" collapsed="false">
      <c r="A46" s="5" t="s">
        <v>459</v>
      </c>
      <c r="C46" s="25" t="n">
        <f aca="false">IF(C31&gt;0,C41,C21)</f>
        <v>256.875</v>
      </c>
    </row>
    <row r="47" customFormat="false" ht="15" hidden="false" customHeight="false" outlineLevel="0" collapsed="false">
      <c r="A47" s="5" t="s">
        <v>460</v>
      </c>
      <c r="C47" s="25" t="n">
        <f aca="false">IF(C32&gt;0,C42,C22)</f>
        <v>305.625</v>
      </c>
    </row>
    <row r="48" customFormat="false" ht="15" hidden="false" customHeight="false" outlineLevel="0" collapsed="false">
      <c r="A48" s="23" t="s">
        <v>466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customFormat="false" ht="15" hidden="false" customHeight="false" outlineLevel="0" collapsed="false">
      <c r="A49" s="5" t="s">
        <v>457</v>
      </c>
      <c r="C49" s="20" t="n">
        <f aca="false">IF(C29&gt;0,Assumptions!$C$17,C24)</f>
        <v>1</v>
      </c>
    </row>
    <row r="50" customFormat="false" ht="15" hidden="false" customHeight="false" outlineLevel="0" collapsed="false">
      <c r="A50" s="5" t="s">
        <v>458</v>
      </c>
      <c r="C50" s="20" t="n">
        <f aca="false">IF(C30&gt;0,Assumptions!$C$17,C25)</f>
        <v>2</v>
      </c>
    </row>
    <row r="51" customFormat="false" ht="15" hidden="false" customHeight="false" outlineLevel="0" collapsed="false">
      <c r="A51" s="5" t="s">
        <v>459</v>
      </c>
      <c r="C51" s="20" t="n">
        <f aca="false">IF(C31&gt;0,Assumptions!$C$17,C26)</f>
        <v>3</v>
      </c>
    </row>
    <row r="52" customFormat="false" ht="15" hidden="false" customHeight="false" outlineLevel="0" collapsed="false">
      <c r="A52" s="5" t="s">
        <v>460</v>
      </c>
      <c r="C52" s="20" t="n">
        <f aca="false">IF(C32&gt;0,Assumptions!$C$17,C27)</f>
        <v>4</v>
      </c>
    </row>
    <row r="53" customFormat="false" ht="15" hidden="false" customHeight="false" outlineLevel="0" collapsed="false">
      <c r="A53" s="23" t="s">
        <v>467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customFormat="false" ht="15" hidden="false" customHeight="false" outlineLevel="0" collapsed="false">
      <c r="A54" s="5" t="s">
        <v>457</v>
      </c>
      <c r="C54" s="25" t="n">
        <f aca="false">SUMPRODUCT(($C$49:$C$52&lt;C49)*$C$44:$C$47)</f>
        <v>0</v>
      </c>
    </row>
    <row r="55" customFormat="false" ht="15" hidden="false" customHeight="false" outlineLevel="0" collapsed="false">
      <c r="A55" s="5" t="s">
        <v>458</v>
      </c>
      <c r="C55" s="25" t="n">
        <f aca="false">SUMPRODUCT(($C$49:$C$52&lt;C50)*$C$44:$C$47)</f>
        <v>221.6231087</v>
      </c>
    </row>
    <row r="56" customFormat="false" ht="15" hidden="false" customHeight="false" outlineLevel="0" collapsed="false">
      <c r="A56" s="5" t="s">
        <v>459</v>
      </c>
      <c r="C56" s="25" t="n">
        <f aca="false">SUMPRODUCT(($C$49:$C$52&lt;C51)*$C$44:$C$47)</f>
        <v>745.9378087</v>
      </c>
    </row>
    <row r="57" customFormat="false" ht="15" hidden="false" customHeight="false" outlineLevel="0" collapsed="false">
      <c r="A57" s="5" t="s">
        <v>460</v>
      </c>
      <c r="C57" s="25" t="n">
        <f aca="false">SUMPRODUCT(($C$49:$C$52&lt;C52)*$C$44:$C$47)</f>
        <v>1002.8128087</v>
      </c>
    </row>
    <row r="58" customFormat="false" ht="15" hidden="false" customHeight="false" outlineLevel="0" collapsed="false">
      <c r="A58" s="23" t="s">
        <v>468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customFormat="false" ht="15" hidden="false" customHeight="false" outlineLevel="0" collapsed="false">
      <c r="A59" s="5" t="s">
        <v>457</v>
      </c>
      <c r="C59" s="25" t="n">
        <f aca="false">SUMPRODUCT(($C$49:$C$52=C49)*$C$44:$C$47)</f>
        <v>221.6231087</v>
      </c>
    </row>
    <row r="60" customFormat="false" ht="15" hidden="false" customHeight="false" outlineLevel="0" collapsed="false">
      <c r="A60" s="5" t="s">
        <v>458</v>
      </c>
      <c r="C60" s="25" t="n">
        <f aca="false">SUMPRODUCT(($C$49:$C$52=C50)*$C$44:$C$47)</f>
        <v>524.3147</v>
      </c>
    </row>
    <row r="61" customFormat="false" ht="15" hidden="false" customHeight="false" outlineLevel="0" collapsed="false">
      <c r="A61" s="5" t="s">
        <v>459</v>
      </c>
      <c r="C61" s="25" t="n">
        <f aca="false">SUMPRODUCT(($C$49:$C$52=C51)*$C$44:$C$47)</f>
        <v>256.875</v>
      </c>
    </row>
    <row r="62" customFormat="false" ht="15" hidden="false" customHeight="false" outlineLevel="0" collapsed="false">
      <c r="A62" s="5" t="s">
        <v>460</v>
      </c>
      <c r="C62" s="25" t="n">
        <f aca="false">SUMPRODUCT(($C$49:$C$52=C52)*$C$44:$C$47)</f>
        <v>305.625</v>
      </c>
    </row>
    <row r="63" customFormat="false" ht="15" hidden="false" customHeight="false" outlineLevel="0" collapsed="false">
      <c r="A63" s="23" t="s">
        <v>469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customFormat="false" ht="15" hidden="false" customHeight="false" outlineLevel="0" collapsed="false">
      <c r="A64" s="5" t="s">
        <v>457</v>
      </c>
      <c r="C64" s="25" t="n">
        <f aca="false">IF(C59=0,0,C44/C59*MAX(0,MIN(C59,$C$17-SUM($C$34:$C$37)-C54)))</f>
        <v>221.6231087</v>
      </c>
    </row>
    <row r="65" customFormat="false" ht="15" hidden="false" customHeight="false" outlineLevel="0" collapsed="false">
      <c r="A65" s="5" t="s">
        <v>458</v>
      </c>
      <c r="C65" s="25" t="n">
        <f aca="false">IF(C60=0,0,C45/C60*MAX(0,MIN(C60,$C$17-SUM($C$34:$C$37)-C55)))</f>
        <v>287.5608913</v>
      </c>
    </row>
    <row r="66" customFormat="false" ht="15" hidden="false" customHeight="false" outlineLevel="0" collapsed="false">
      <c r="A66" s="5" t="s">
        <v>459</v>
      </c>
      <c r="C66" s="25" t="n">
        <f aca="false">IF(C61=0,0,C46/C61*MAX(0,MIN(C61,$C$17-SUM($C$34:$C$37)-C56)))</f>
        <v>0</v>
      </c>
    </row>
    <row r="67" customFormat="false" ht="15" hidden="false" customHeight="false" outlineLevel="0" collapsed="false">
      <c r="A67" s="5" t="s">
        <v>460</v>
      </c>
      <c r="C67" s="25" t="n">
        <f aca="false">IF(C62=0,0,C47/C62*MAX(0,MIN(C62,$C$17-SUM($C$34:$C$37)-C57)))</f>
        <v>0</v>
      </c>
    </row>
    <row r="68" customFormat="false" ht="15" hidden="false" customHeight="false" outlineLevel="0" collapsed="false">
      <c r="A68" s="23" t="s">
        <v>470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customFormat="false" ht="15" hidden="false" customHeight="false" outlineLevel="0" collapsed="false">
      <c r="A69" s="2" t="s">
        <v>457</v>
      </c>
      <c r="C69" s="16" t="n">
        <f aca="false">C34+C64</f>
        <v>221.6231087</v>
      </c>
    </row>
    <row r="70" customFormat="false" ht="15" hidden="false" customHeight="false" outlineLevel="0" collapsed="false">
      <c r="A70" s="2" t="s">
        <v>458</v>
      </c>
      <c r="C70" s="16" t="n">
        <f aca="false">C35+C65</f>
        <v>287.5608913</v>
      </c>
    </row>
    <row r="71" customFormat="false" ht="15" hidden="false" customHeight="false" outlineLevel="0" collapsed="false">
      <c r="A71" s="2" t="s">
        <v>459</v>
      </c>
      <c r="C71" s="16" t="n">
        <f aca="false">C36+C66</f>
        <v>0</v>
      </c>
    </row>
    <row r="72" customFormat="false" ht="15" hidden="false" customHeight="false" outlineLevel="0" collapsed="false">
      <c r="A72" s="2" t="s">
        <v>460</v>
      </c>
      <c r="C72" s="16" t="n">
        <f aca="false">C37+C67</f>
        <v>0</v>
      </c>
    </row>
    <row r="73" customFormat="false" ht="15" hidden="false" customHeight="false" outlineLevel="0" collapsed="false">
      <c r="A73" s="23" t="s">
        <v>471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customFormat="false" ht="15" hidden="false" customHeight="false" outlineLevel="0" collapsed="false">
      <c r="A74" s="5" t="s">
        <v>457</v>
      </c>
      <c r="C74" s="21" t="n">
        <f aca="false">IF(C19=0,1,C69/C19)</f>
        <v>1</v>
      </c>
    </row>
    <row r="75" customFormat="false" ht="15" hidden="false" customHeight="false" outlineLevel="0" collapsed="false">
      <c r="A75" s="5" t="s">
        <v>458</v>
      </c>
      <c r="C75" s="21" t="n">
        <f aca="false">IF(C20=0,1,C70/C20)</f>
        <v>0.548450942344359</v>
      </c>
    </row>
    <row r="76" customFormat="false" ht="15" hidden="false" customHeight="false" outlineLevel="0" collapsed="false">
      <c r="A76" s="5" t="s">
        <v>459</v>
      </c>
      <c r="C76" s="21" t="n">
        <f aca="false">IF(C21=0,1,C71/C21)</f>
        <v>0</v>
      </c>
    </row>
    <row r="77" customFormat="false" ht="15" hidden="false" customHeight="false" outlineLevel="0" collapsed="false">
      <c r="A77" s="5" t="s">
        <v>460</v>
      </c>
      <c r="C77" s="21" t="n">
        <f aca="false">IF(C22=0,1,C72/C22)</f>
        <v>0</v>
      </c>
    </row>
    <row r="78" customFormat="false" ht="15" hidden="false" customHeight="false" outlineLevel="0" collapsed="false">
      <c r="A78" s="23" t="s">
        <v>472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customFormat="false" ht="15" hidden="false" customHeight="false" outlineLevel="0" collapsed="false">
      <c r="A79" s="5" t="s">
        <v>457</v>
      </c>
      <c r="C79" s="25" t="n">
        <f aca="false">C19-C69</f>
        <v>0</v>
      </c>
    </row>
    <row r="80" customFormat="false" ht="15" hidden="false" customHeight="false" outlineLevel="0" collapsed="false">
      <c r="A80" s="5" t="s">
        <v>458</v>
      </c>
      <c r="C80" s="25" t="n">
        <f aca="false">C20-C70</f>
        <v>236.7538087</v>
      </c>
    </row>
    <row r="81" customFormat="false" ht="15" hidden="false" customHeight="false" outlineLevel="0" collapsed="false">
      <c r="A81" s="5" t="s">
        <v>459</v>
      </c>
      <c r="C81" s="25" t="n">
        <f aca="false">C21-C71</f>
        <v>256.875</v>
      </c>
    </row>
    <row r="82" customFormat="false" ht="15" hidden="false" customHeight="false" outlineLevel="0" collapsed="false">
      <c r="A82" s="5" t="s">
        <v>460</v>
      </c>
      <c r="C82" s="25" t="n">
        <f aca="false">C22-C72</f>
        <v>305.625</v>
      </c>
    </row>
    <row r="83" customFormat="false" ht="15" hidden="false" customHeight="false" outlineLevel="0" collapsed="false">
      <c r="A83" s="23" t="s">
        <v>473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</row>
    <row r="84" customFormat="false" ht="15" hidden="false" customHeight="false" outlineLevel="0" collapsed="false">
      <c r="A84" s="5" t="s">
        <v>457</v>
      </c>
      <c r="C84" s="21" t="n">
        <f aca="false">IF(C19=0,0,C79/C19)</f>
        <v>0</v>
      </c>
    </row>
    <row r="85" customFormat="false" ht="15" hidden="false" customHeight="false" outlineLevel="0" collapsed="false">
      <c r="A85" s="5" t="s">
        <v>458</v>
      </c>
      <c r="C85" s="21" t="n">
        <f aca="false">IF(C20=0,0,C80/C20)</f>
        <v>0.451549057655641</v>
      </c>
    </row>
    <row r="86" customFormat="false" ht="15" hidden="false" customHeight="false" outlineLevel="0" collapsed="false">
      <c r="A86" s="5" t="s">
        <v>459</v>
      </c>
      <c r="C86" s="21" t="n">
        <f aca="false">IF(C21=0,0,C81/C21)</f>
        <v>1</v>
      </c>
    </row>
    <row r="87" customFormat="false" ht="15" hidden="false" customHeight="false" outlineLevel="0" collapsed="false">
      <c r="A87" s="5" t="s">
        <v>460</v>
      </c>
      <c r="C87" s="21" t="n">
        <f aca="false">IF(C22=0,0,C82/C22)</f>
        <v>1</v>
      </c>
    </row>
    <row r="88" customFormat="false" ht="15" hidden="false" customHeight="false" outlineLevel="0" collapsed="false">
      <c r="A88" s="2" t="s">
        <v>474</v>
      </c>
      <c r="C88" s="16" t="n">
        <f aca="false">MAX(0,$C$17-SUM($C$34:$C$37)-SUM($C$44:$C$47))</f>
        <v>0</v>
      </c>
    </row>
    <row r="89" customFormat="false" ht="15" hidden="false" customHeight="false" outlineLevel="0" collapsed="false">
      <c r="A89" s="5" t="s">
        <v>475</v>
      </c>
      <c r="C89" s="25" t="n">
        <f aca="false">SUM($C$69:$C$72)+C88+C16-C15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A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476</v>
      </c>
    </row>
    <row r="2" customFormat="false" ht="15" hidden="false" customHeight="false" outlineLevel="0" collapsed="false">
      <c r="A2" s="5" t="str">
        <f aca="false">"Brightwater Retail Holdings · DEMO DATA · DEMO INVESTMENT TERMS · Active scenario: "&amp;Assumptions!$D$10</f>
        <v>Brightwater Retail Holdings · DEMO DATA · DEMO INVESTMENT TERMS · Active scenario: Downside</v>
      </c>
    </row>
    <row r="4" customFormat="false" ht="15" hidden="false" customHeight="false" outlineLevel="0" collapsed="false">
      <c r="A4" s="7" t="s">
        <v>61</v>
      </c>
      <c r="C4" s="7" t="s">
        <v>477</v>
      </c>
      <c r="D4" s="7" t="s">
        <v>393</v>
      </c>
      <c r="E4" s="7" t="s">
        <v>394</v>
      </c>
      <c r="F4" s="7" t="s">
        <v>395</v>
      </c>
      <c r="G4" s="7" t="s">
        <v>396</v>
      </c>
      <c r="H4" s="7" t="s">
        <v>397</v>
      </c>
      <c r="I4" s="7" t="s">
        <v>398</v>
      </c>
      <c r="J4" s="7"/>
      <c r="K4" s="7"/>
    </row>
    <row r="6" customFormat="false" ht="15" hidden="false" customHeight="false" outlineLevel="0" collapsed="false">
      <c r="A6" s="23" t="s">
        <v>478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customFormat="false" ht="15" hidden="false" customHeight="false" outlineLevel="0" collapsed="false">
      <c r="A7" s="5" t="s">
        <v>479</v>
      </c>
      <c r="C7" s="26" t="n">
        <f aca="false">Assumptions!$C$30</f>
        <v>2</v>
      </c>
    </row>
    <row r="8" customFormat="false" ht="15" hidden="false" customHeight="false" outlineLevel="0" collapsed="false">
      <c r="A8" s="5" t="s">
        <v>480</v>
      </c>
      <c r="C8" s="28" t="n">
        <f aca="false">Assumptions!$C$31</f>
        <v>100</v>
      </c>
    </row>
    <row r="9" customFormat="false" ht="15" hidden="false" customHeight="false" outlineLevel="0" collapsed="false">
      <c r="A9" s="5" t="s">
        <v>481</v>
      </c>
      <c r="C9" s="39" t="n">
        <f aca="false">Assumptions!$C$32</f>
        <v>78</v>
      </c>
    </row>
    <row r="10" customFormat="false" ht="15" hidden="false" customHeight="false" outlineLevel="0" collapsed="false">
      <c r="A10" s="5" t="s">
        <v>482</v>
      </c>
      <c r="C10" s="25" t="n">
        <f aca="false">C8*C9/100*(1+Assumptions!$C$33)</f>
        <v>78.39</v>
      </c>
    </row>
    <row r="11" customFormat="false" ht="15" hidden="false" customHeight="false" outlineLevel="0" collapsed="false">
      <c r="A11" s="5" t="s">
        <v>483</v>
      </c>
      <c r="C11" s="26" t="n">
        <f aca="false">Assumptions!$C$34</f>
        <v>2</v>
      </c>
    </row>
    <row r="12" customFormat="false" ht="15" hidden="false" customHeight="false" outlineLevel="0" collapsed="false">
      <c r="A12" s="5" t="s">
        <v>484</v>
      </c>
      <c r="C12" s="20" t="n">
        <f aca="false">IF(Recovery!C8=1,SUMPRODUCT('Cash Flow'!$G$22:$K$22,'Operating Model'!$G$8:$K$8),0)</f>
        <v>2</v>
      </c>
    </row>
    <row r="13" customFormat="false" ht="15" hidden="false" customHeight="false" outlineLevel="0" collapsed="false">
      <c r="A13" s="5" t="s">
        <v>485</v>
      </c>
      <c r="C13" s="21" t="n">
        <f aca="false">IFERROR(C8/CHOOSE(C7,SUMPRODUCT(Recovery!$G$7:$K$7,'Debt Schedule'!$G$28:$K$28),SUMPRODUCT(Recovery!$G$7:$K$7,'Debt Schedule'!$G$41:$K$41),SUMPRODUCT(Recovery!$G$7:$K$7,'Debt Schedule'!$G$54:$K$54),SUMPRODUCT(Recovery!$G$7:$K$7,'Debt Schedule'!$G$67:$K$67)),0)</f>
        <v>0.196232339089482</v>
      </c>
    </row>
    <row r="14" customFormat="false" ht="15" hidden="false" customHeight="false" outlineLevel="0" collapsed="false">
      <c r="A14" s="5" t="s">
        <v>486</v>
      </c>
      <c r="C14" s="25" t="n">
        <f aca="false">CHOOSE(C7,Recovery!C69,Recovery!C70,Recovery!C71,Recovery!C72)*C13</f>
        <v>56.4287463304553</v>
      </c>
    </row>
    <row r="15" customFormat="false" ht="15" hidden="false" customHeight="false" outlineLevel="0" collapsed="false">
      <c r="A15" s="5" t="s">
        <v>487</v>
      </c>
      <c r="C15" s="21" t="n">
        <f aca="false">CHOOSE(C7,Recovery!C74,Recovery!C75,Recovery!C76,Recovery!C77)</f>
        <v>0.548450942344359</v>
      </c>
    </row>
    <row r="16" customFormat="false" ht="15" hidden="false" customHeight="false" outlineLevel="0" collapsed="false">
      <c r="A16" s="5" t="s">
        <v>488</v>
      </c>
      <c r="C16" s="20" t="n">
        <f aca="false">IF(Recovery!C8=1,C12,C11)</f>
        <v>2</v>
      </c>
    </row>
    <row r="17" customFormat="false" ht="15" hidden="false" customHeight="false" outlineLevel="0" collapsed="false">
      <c r="A17" s="5" t="s">
        <v>489</v>
      </c>
      <c r="C17" s="33" t="n">
        <f aca="false">CHOOSE(Assumptions!$C$10,Assumptions!$C$77,Assumptions!$C$96,Assumptions!$C$115)</f>
        <v>90</v>
      </c>
    </row>
    <row r="18" customFormat="false" ht="15" hidden="false" customHeight="false" outlineLevel="0" collapsed="false">
      <c r="A18" s="5" t="s">
        <v>490</v>
      </c>
      <c r="C18" s="25" t="n">
        <f aca="false">INDEX('Operating Model'!$G$17:$K$17,C11)*CHOOSE(Assumptions!$C$10,Assumptions!$C$76,Assumptions!$C$95,Assumptions!$C$114)+MAX(0,INDEX('Cash Flow'!$G$19:$K$19,C11))</f>
        <v>244.547592</v>
      </c>
    </row>
    <row r="19" customFormat="false" ht="15" hidden="false" customHeight="false" outlineLevel="0" collapsed="false">
      <c r="A19" s="23" t="s">
        <v>491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15" hidden="false" customHeight="false" outlineLevel="0" collapsed="false">
      <c r="A20" s="5" t="s">
        <v>457</v>
      </c>
      <c r="C20" s="25" t="n">
        <f aca="false">INDEX('Debt Schedule'!$G$28:$K$28,C11)</f>
        <v>216.2968</v>
      </c>
    </row>
    <row r="21" customFormat="false" ht="15" hidden="false" customHeight="false" outlineLevel="0" collapsed="false">
      <c r="A21" s="5" t="s">
        <v>458</v>
      </c>
      <c r="C21" s="25" t="n">
        <f aca="false">INDEX('Debt Schedule'!$G$41:$K$41,C11)</f>
        <v>509.6</v>
      </c>
    </row>
    <row r="22" customFormat="false" ht="15" hidden="false" customHeight="false" outlineLevel="0" collapsed="false">
      <c r="A22" s="5" t="s">
        <v>459</v>
      </c>
      <c r="C22" s="25" t="n">
        <f aca="false">INDEX('Debt Schedule'!$G$54:$K$54,C11)</f>
        <v>250</v>
      </c>
    </row>
    <row r="23" customFormat="false" ht="15" hidden="false" customHeight="false" outlineLevel="0" collapsed="false">
      <c r="A23" s="5" t="s">
        <v>460</v>
      </c>
      <c r="C23" s="25" t="n">
        <f aca="false">INDEX('Debt Schedule'!$G$67:$K$67,C11)</f>
        <v>300</v>
      </c>
    </row>
    <row r="24" customFormat="false" ht="15" hidden="false" customHeight="false" outlineLevel="0" collapsed="false">
      <c r="A24" s="23" t="s">
        <v>461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customFormat="false" ht="15" hidden="false" customHeight="false" outlineLevel="0" collapsed="false">
      <c r="A25" s="5" t="s">
        <v>457</v>
      </c>
      <c r="C25" s="26" t="n">
        <f aca="false">Assumptions!$M$53</f>
        <v>1</v>
      </c>
    </row>
    <row r="26" customFormat="false" ht="15" hidden="false" customHeight="false" outlineLevel="0" collapsed="false">
      <c r="A26" s="5" t="s">
        <v>458</v>
      </c>
      <c r="C26" s="26" t="n">
        <f aca="false">Assumptions!$M$54</f>
        <v>2</v>
      </c>
    </row>
    <row r="27" customFormat="false" ht="15" hidden="false" customHeight="false" outlineLevel="0" collapsed="false">
      <c r="A27" s="5" t="s">
        <v>459</v>
      </c>
      <c r="C27" s="26" t="n">
        <f aca="false">Assumptions!$M$55</f>
        <v>3</v>
      </c>
    </row>
    <row r="28" customFormat="false" ht="15" hidden="false" customHeight="false" outlineLevel="0" collapsed="false">
      <c r="A28" s="5" t="s">
        <v>460</v>
      </c>
      <c r="C28" s="26" t="n">
        <f aca="false">Assumptions!$M$56</f>
        <v>4</v>
      </c>
    </row>
    <row r="29" customFormat="false" ht="15" hidden="false" customHeight="false" outlineLevel="0" collapsed="false">
      <c r="A29" s="23" t="s">
        <v>462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customFormat="false" ht="15" hidden="false" customHeight="false" outlineLevel="0" collapsed="false">
      <c r="A30" s="5" t="s">
        <v>457</v>
      </c>
      <c r="C30" s="34" t="n">
        <f aca="false">Assumptions!$Q$53</f>
        <v>0</v>
      </c>
    </row>
    <row r="31" customFormat="false" ht="15" hidden="false" customHeight="false" outlineLevel="0" collapsed="false">
      <c r="A31" s="5" t="s">
        <v>458</v>
      </c>
      <c r="C31" s="34" t="n">
        <f aca="false">Assumptions!$Q$54</f>
        <v>0</v>
      </c>
    </row>
    <row r="32" customFormat="false" ht="15" hidden="false" customHeight="false" outlineLevel="0" collapsed="false">
      <c r="A32" s="5" t="s">
        <v>459</v>
      </c>
      <c r="C32" s="34" t="n">
        <f aca="false">Assumptions!$Q$55</f>
        <v>0</v>
      </c>
    </row>
    <row r="33" customFormat="false" ht="15" hidden="false" customHeight="false" outlineLevel="0" collapsed="false">
      <c r="A33" s="5" t="s">
        <v>460</v>
      </c>
      <c r="C33" s="34" t="n">
        <f aca="false">Assumptions!$Q$56</f>
        <v>0</v>
      </c>
    </row>
    <row r="34" customFormat="false" ht="15" hidden="false" customHeight="false" outlineLevel="0" collapsed="false">
      <c r="A34" s="23" t="s">
        <v>463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customFormat="false" ht="15" hidden="false" customHeight="false" outlineLevel="0" collapsed="false">
      <c r="A35" s="5" t="s">
        <v>457</v>
      </c>
      <c r="C35" s="25" t="n">
        <f aca="false">IF(C30&gt;0,MIN(C20,C30*$C$18),0)</f>
        <v>0</v>
      </c>
    </row>
    <row r="36" customFormat="false" ht="15" hidden="false" customHeight="false" outlineLevel="0" collapsed="false">
      <c r="A36" s="5" t="s">
        <v>458</v>
      </c>
      <c r="C36" s="25" t="n">
        <f aca="false">IF(C31&gt;0,MIN(C21,C31*$C$18),0)</f>
        <v>0</v>
      </c>
    </row>
    <row r="37" customFormat="false" ht="15" hidden="false" customHeight="false" outlineLevel="0" collapsed="false">
      <c r="A37" s="5" t="s">
        <v>459</v>
      </c>
      <c r="C37" s="25" t="n">
        <f aca="false">IF(C32&gt;0,MIN(C22,C32*$C$18),0)</f>
        <v>0</v>
      </c>
    </row>
    <row r="38" customFormat="false" ht="15" hidden="false" customHeight="false" outlineLevel="0" collapsed="false">
      <c r="A38" s="5" t="s">
        <v>460</v>
      </c>
      <c r="C38" s="25" t="n">
        <f aca="false">IF(C33&gt;0,MIN(C23,C33*$C$18),0)</f>
        <v>0</v>
      </c>
    </row>
    <row r="39" customFormat="false" ht="15" hidden="false" customHeight="false" outlineLevel="0" collapsed="false">
      <c r="A39" s="23" t="s">
        <v>464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15" hidden="false" customHeight="false" outlineLevel="0" collapsed="false">
      <c r="A40" s="5" t="s">
        <v>457</v>
      </c>
      <c r="C40" s="25" t="n">
        <f aca="false">IF(C30&gt;0,C20-C35,0)</f>
        <v>0</v>
      </c>
    </row>
    <row r="41" customFormat="false" ht="15" hidden="false" customHeight="false" outlineLevel="0" collapsed="false">
      <c r="A41" s="5" t="s">
        <v>458</v>
      </c>
      <c r="C41" s="25" t="n">
        <f aca="false">IF(C31&gt;0,C21-C36,0)</f>
        <v>0</v>
      </c>
    </row>
    <row r="42" customFormat="false" ht="15" hidden="false" customHeight="false" outlineLevel="0" collapsed="false">
      <c r="A42" s="5" t="s">
        <v>459</v>
      </c>
      <c r="C42" s="25" t="n">
        <f aca="false">IF(C32&gt;0,C22-C37,0)</f>
        <v>0</v>
      </c>
    </row>
    <row r="43" customFormat="false" ht="15" hidden="false" customHeight="false" outlineLevel="0" collapsed="false">
      <c r="A43" s="5" t="s">
        <v>460</v>
      </c>
      <c r="C43" s="25" t="n">
        <f aca="false">IF(C33&gt;0,C23-C38,0)</f>
        <v>0</v>
      </c>
    </row>
    <row r="44" customFormat="false" ht="15" hidden="false" customHeight="false" outlineLevel="0" collapsed="false">
      <c r="A44" s="23" t="s">
        <v>465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customFormat="false" ht="15" hidden="false" customHeight="false" outlineLevel="0" collapsed="false">
      <c r="A45" s="5" t="s">
        <v>457</v>
      </c>
      <c r="C45" s="25" t="n">
        <f aca="false">IF(C30&gt;0,C40,C20)</f>
        <v>216.2968</v>
      </c>
    </row>
    <row r="46" customFormat="false" ht="15" hidden="false" customHeight="false" outlineLevel="0" collapsed="false">
      <c r="A46" s="5" t="s">
        <v>458</v>
      </c>
      <c r="C46" s="25" t="n">
        <f aca="false">IF(C31&gt;0,C41,C21)</f>
        <v>509.6</v>
      </c>
    </row>
    <row r="47" customFormat="false" ht="15" hidden="false" customHeight="false" outlineLevel="0" collapsed="false">
      <c r="A47" s="5" t="s">
        <v>459</v>
      </c>
      <c r="C47" s="25" t="n">
        <f aca="false">IF(C32&gt;0,C42,C22)</f>
        <v>250</v>
      </c>
    </row>
    <row r="48" customFormat="false" ht="15" hidden="false" customHeight="false" outlineLevel="0" collapsed="false">
      <c r="A48" s="5" t="s">
        <v>460</v>
      </c>
      <c r="C48" s="25" t="n">
        <f aca="false">IF(C33&gt;0,C43,C23)</f>
        <v>300</v>
      </c>
    </row>
    <row r="49" customFormat="false" ht="15" hidden="false" customHeight="false" outlineLevel="0" collapsed="false">
      <c r="A49" s="23" t="s">
        <v>466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15" hidden="false" customHeight="false" outlineLevel="0" collapsed="false">
      <c r="A50" s="5" t="s">
        <v>457</v>
      </c>
      <c r="C50" s="20" t="n">
        <f aca="false">IF(C30&gt;0,Assumptions!$C$17,C25)</f>
        <v>1</v>
      </c>
    </row>
    <row r="51" customFormat="false" ht="15" hidden="false" customHeight="false" outlineLevel="0" collapsed="false">
      <c r="A51" s="5" t="s">
        <v>458</v>
      </c>
      <c r="C51" s="20" t="n">
        <f aca="false">IF(C31&gt;0,Assumptions!$C$17,C26)</f>
        <v>2</v>
      </c>
    </row>
    <row r="52" customFormat="false" ht="15" hidden="false" customHeight="false" outlineLevel="0" collapsed="false">
      <c r="A52" s="5" t="s">
        <v>459</v>
      </c>
      <c r="C52" s="20" t="n">
        <f aca="false">IF(C32&gt;0,Assumptions!$C$17,C27)</f>
        <v>3</v>
      </c>
    </row>
    <row r="53" customFormat="false" ht="15" hidden="false" customHeight="false" outlineLevel="0" collapsed="false">
      <c r="A53" s="5" t="s">
        <v>460</v>
      </c>
      <c r="C53" s="20" t="n">
        <f aca="false">IF(C33&gt;0,Assumptions!$C$17,C28)</f>
        <v>4</v>
      </c>
    </row>
    <row r="54" customFormat="false" ht="15" hidden="false" customHeight="false" outlineLevel="0" collapsed="false">
      <c r="A54" s="23" t="s">
        <v>467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customFormat="false" ht="15" hidden="false" customHeight="false" outlineLevel="0" collapsed="false">
      <c r="A55" s="5" t="s">
        <v>457</v>
      </c>
      <c r="C55" s="25" t="n">
        <f aca="false">SUMPRODUCT(($C$50:$C$53&lt;C50)*$C$45:$C$48)</f>
        <v>0</v>
      </c>
    </row>
    <row r="56" customFormat="false" ht="15" hidden="false" customHeight="false" outlineLevel="0" collapsed="false">
      <c r="A56" s="5" t="s">
        <v>458</v>
      </c>
      <c r="C56" s="25" t="n">
        <f aca="false">SUMPRODUCT(($C$50:$C$53&lt;C51)*$C$45:$C$48)</f>
        <v>216.2968</v>
      </c>
    </row>
    <row r="57" customFormat="false" ht="15" hidden="false" customHeight="false" outlineLevel="0" collapsed="false">
      <c r="A57" s="5" t="s">
        <v>459</v>
      </c>
      <c r="C57" s="25" t="n">
        <f aca="false">SUMPRODUCT(($C$50:$C$53&lt;C52)*$C$45:$C$48)</f>
        <v>725.8968</v>
      </c>
    </row>
    <row r="58" customFormat="false" ht="15" hidden="false" customHeight="false" outlineLevel="0" collapsed="false">
      <c r="A58" s="5" t="s">
        <v>460</v>
      </c>
      <c r="C58" s="25" t="n">
        <f aca="false">SUMPRODUCT(($C$50:$C$53&lt;C53)*$C$45:$C$48)</f>
        <v>975.8968</v>
      </c>
    </row>
    <row r="59" customFormat="false" ht="15" hidden="false" customHeight="false" outlineLevel="0" collapsed="false">
      <c r="A59" s="23" t="s">
        <v>468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customFormat="false" ht="15" hidden="false" customHeight="false" outlineLevel="0" collapsed="false">
      <c r="A60" s="5" t="s">
        <v>457</v>
      </c>
      <c r="C60" s="25" t="n">
        <f aca="false">SUMPRODUCT(($C$50:$C$53=C50)*$C$45:$C$48)</f>
        <v>216.2968</v>
      </c>
    </row>
    <row r="61" customFormat="false" ht="15" hidden="false" customHeight="false" outlineLevel="0" collapsed="false">
      <c r="A61" s="5" t="s">
        <v>458</v>
      </c>
      <c r="C61" s="25" t="n">
        <f aca="false">SUMPRODUCT(($C$50:$C$53=C51)*$C$45:$C$48)</f>
        <v>509.6</v>
      </c>
    </row>
    <row r="62" customFormat="false" ht="15" hidden="false" customHeight="false" outlineLevel="0" collapsed="false">
      <c r="A62" s="5" t="s">
        <v>459</v>
      </c>
      <c r="C62" s="25" t="n">
        <f aca="false">SUMPRODUCT(($C$50:$C$53=C52)*$C$45:$C$48)</f>
        <v>250</v>
      </c>
    </row>
    <row r="63" customFormat="false" ht="15" hidden="false" customHeight="false" outlineLevel="0" collapsed="false">
      <c r="A63" s="5" t="s">
        <v>460</v>
      </c>
      <c r="C63" s="25" t="n">
        <f aca="false">SUMPRODUCT(($C$50:$C$53=C53)*$C$45:$C$48)</f>
        <v>300</v>
      </c>
    </row>
    <row r="64" customFormat="false" ht="15" hidden="false" customHeight="false" outlineLevel="0" collapsed="false">
      <c r="A64" s="23" t="s">
        <v>469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customFormat="false" ht="15" hidden="false" customHeight="false" outlineLevel="0" collapsed="false">
      <c r="A65" s="5" t="s">
        <v>457</v>
      </c>
      <c r="C65" s="25" t="n">
        <f aca="false">IF(C60=0,0,C45/C60*MAX(0,MIN(C60,$C$18-SUM($C$35:$C$38)-C55)))</f>
        <v>216.2968</v>
      </c>
    </row>
    <row r="66" customFormat="false" ht="15" hidden="false" customHeight="false" outlineLevel="0" collapsed="false">
      <c r="A66" s="5" t="s">
        <v>458</v>
      </c>
      <c r="C66" s="25" t="n">
        <f aca="false">IF(C61=0,0,C46/C61*MAX(0,MIN(C61,$C$18-SUM($C$35:$C$38)-C56)))</f>
        <v>28.2507919999998</v>
      </c>
    </row>
    <row r="67" customFormat="false" ht="15" hidden="false" customHeight="false" outlineLevel="0" collapsed="false">
      <c r="A67" s="5" t="s">
        <v>459</v>
      </c>
      <c r="C67" s="25" t="n">
        <f aca="false">IF(C62=0,0,C47/C62*MAX(0,MIN(C62,$C$18-SUM($C$35:$C$38)-C57)))</f>
        <v>0</v>
      </c>
    </row>
    <row r="68" customFormat="false" ht="15" hidden="false" customHeight="false" outlineLevel="0" collapsed="false">
      <c r="A68" s="5" t="s">
        <v>460</v>
      </c>
      <c r="C68" s="25" t="n">
        <f aca="false">IF(C63=0,0,C48/C63*MAX(0,MIN(C63,$C$18-SUM($C$35:$C$38)-C58)))</f>
        <v>0</v>
      </c>
    </row>
    <row r="69" customFormat="false" ht="15" hidden="false" customHeight="false" outlineLevel="0" collapsed="false">
      <c r="A69" s="23" t="s">
        <v>470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customFormat="false" ht="15" hidden="false" customHeight="false" outlineLevel="0" collapsed="false">
      <c r="A70" s="2" t="s">
        <v>457</v>
      </c>
      <c r="C70" s="16" t="n">
        <f aca="false">C35+C65</f>
        <v>216.2968</v>
      </c>
    </row>
    <row r="71" customFormat="false" ht="15" hidden="false" customHeight="false" outlineLevel="0" collapsed="false">
      <c r="A71" s="2" t="s">
        <v>458</v>
      </c>
      <c r="C71" s="16" t="n">
        <f aca="false">C36+C66</f>
        <v>28.2507919999998</v>
      </c>
    </row>
    <row r="72" customFormat="false" ht="15" hidden="false" customHeight="false" outlineLevel="0" collapsed="false">
      <c r="A72" s="2" t="s">
        <v>459</v>
      </c>
      <c r="C72" s="16" t="n">
        <f aca="false">C37+C67</f>
        <v>0</v>
      </c>
    </row>
    <row r="73" customFormat="false" ht="15" hidden="false" customHeight="false" outlineLevel="0" collapsed="false">
      <c r="A73" s="2" t="s">
        <v>460</v>
      </c>
      <c r="C73" s="16" t="n">
        <f aca="false">C38+C68</f>
        <v>0</v>
      </c>
    </row>
    <row r="74" customFormat="false" ht="15" hidden="false" customHeight="false" outlineLevel="0" collapsed="false">
      <c r="A74" s="23" t="s">
        <v>471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customFormat="false" ht="15" hidden="false" customHeight="false" outlineLevel="0" collapsed="false">
      <c r="A75" s="5" t="s">
        <v>457</v>
      </c>
      <c r="C75" s="21" t="n">
        <f aca="false">IF(C20=0,1,C70/C20)</f>
        <v>1</v>
      </c>
    </row>
    <row r="76" customFormat="false" ht="15" hidden="false" customHeight="false" outlineLevel="0" collapsed="false">
      <c r="A76" s="5" t="s">
        <v>458</v>
      </c>
      <c r="C76" s="21" t="n">
        <f aca="false">IF(C21=0,1,C71/C21)</f>
        <v>0.0554371899529039</v>
      </c>
    </row>
    <row r="77" customFormat="false" ht="15" hidden="false" customHeight="false" outlineLevel="0" collapsed="false">
      <c r="A77" s="5" t="s">
        <v>459</v>
      </c>
      <c r="C77" s="21" t="n">
        <f aca="false">IF(C22=0,1,C72/C22)</f>
        <v>0</v>
      </c>
    </row>
    <row r="78" customFormat="false" ht="15" hidden="false" customHeight="false" outlineLevel="0" collapsed="false">
      <c r="A78" s="5" t="s">
        <v>460</v>
      </c>
      <c r="C78" s="21" t="n">
        <f aca="false">IF(C23=0,1,C73/C23)</f>
        <v>0</v>
      </c>
    </row>
    <row r="79" customFormat="false" ht="15" hidden="false" customHeight="false" outlineLevel="0" collapsed="false">
      <c r="A79" s="23" t="s">
        <v>472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customFormat="false" ht="15" hidden="false" customHeight="false" outlineLevel="0" collapsed="false">
      <c r="A80" s="5" t="s">
        <v>457</v>
      </c>
      <c r="C80" s="25" t="n">
        <f aca="false">C20-C70</f>
        <v>0</v>
      </c>
    </row>
    <row r="81" customFormat="false" ht="15" hidden="false" customHeight="false" outlineLevel="0" collapsed="false">
      <c r="A81" s="5" t="s">
        <v>458</v>
      </c>
      <c r="C81" s="25" t="n">
        <f aca="false">C21-C71</f>
        <v>481.349208</v>
      </c>
    </row>
    <row r="82" customFormat="false" ht="15" hidden="false" customHeight="false" outlineLevel="0" collapsed="false">
      <c r="A82" s="5" t="s">
        <v>459</v>
      </c>
      <c r="C82" s="25" t="n">
        <f aca="false">C22-C72</f>
        <v>250</v>
      </c>
    </row>
    <row r="83" customFormat="false" ht="15" hidden="false" customHeight="false" outlineLevel="0" collapsed="false">
      <c r="A83" s="5" t="s">
        <v>460</v>
      </c>
      <c r="C83" s="25" t="n">
        <f aca="false">C23-C73</f>
        <v>300</v>
      </c>
    </row>
    <row r="84" customFormat="false" ht="15" hidden="false" customHeight="false" outlineLevel="0" collapsed="false">
      <c r="A84" s="23" t="s">
        <v>473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</row>
    <row r="85" customFormat="false" ht="15" hidden="false" customHeight="false" outlineLevel="0" collapsed="false">
      <c r="A85" s="5" t="s">
        <v>457</v>
      </c>
      <c r="C85" s="21" t="n">
        <f aca="false">IF(C20=0,0,C80/C20)</f>
        <v>0</v>
      </c>
    </row>
    <row r="86" customFormat="false" ht="15" hidden="false" customHeight="false" outlineLevel="0" collapsed="false">
      <c r="A86" s="5" t="s">
        <v>458</v>
      </c>
      <c r="C86" s="21" t="n">
        <f aca="false">IF(C21=0,0,C81/C21)</f>
        <v>0.944562810047096</v>
      </c>
    </row>
    <row r="87" customFormat="false" ht="15" hidden="false" customHeight="false" outlineLevel="0" collapsed="false">
      <c r="A87" s="5" t="s">
        <v>459</v>
      </c>
      <c r="C87" s="21" t="n">
        <f aca="false">IF(C22=0,0,C82/C22)</f>
        <v>1</v>
      </c>
    </row>
    <row r="88" customFormat="false" ht="15" hidden="false" customHeight="false" outlineLevel="0" collapsed="false">
      <c r="A88" s="5" t="s">
        <v>460</v>
      </c>
      <c r="C88" s="21" t="n">
        <f aca="false">IF(C23=0,0,C83/C23)</f>
        <v>1</v>
      </c>
    </row>
    <row r="89" customFormat="false" ht="15" hidden="false" customHeight="false" outlineLevel="0" collapsed="false">
      <c r="A89" s="2" t="s">
        <v>474</v>
      </c>
      <c r="C89" s="16" t="n">
        <f aca="false">MAX(0,$C$18-SUM($C$35:$C$38)-SUM($C$45:$C$48))</f>
        <v>0</v>
      </c>
    </row>
    <row r="90" customFormat="false" ht="15" hidden="false" customHeight="false" outlineLevel="0" collapsed="false">
      <c r="A90" s="5" t="s">
        <v>492</v>
      </c>
      <c r="C90" s="33" t="n">
        <f aca="false">MIN(C17,100*CHOOSE(C7,C75,C76,C77,C78))</f>
        <v>5.54371899529039</v>
      </c>
    </row>
    <row r="91" customFormat="false" ht="15" hidden="false" customHeight="false" outlineLevel="0" collapsed="false">
      <c r="A91" s="5" t="s">
        <v>493</v>
      </c>
      <c r="C91" s="20" t="n">
        <f aca="false">IF(Recovery!C8=1,C12+Assumptions!$C$36,C11)</f>
        <v>3</v>
      </c>
    </row>
    <row r="92" customFormat="false" ht="15" hidden="false" customHeight="false" outlineLevel="0" collapsed="false">
      <c r="A92" s="23" t="s">
        <v>494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</row>
    <row r="93" customFormat="false" ht="15" hidden="false" customHeight="false" outlineLevel="0" collapsed="false">
      <c r="A93" s="5" t="s">
        <v>495</v>
      </c>
      <c r="C93" s="20" t="n">
        <f aca="false">COLUMN()-COLUMN($C$1)</f>
        <v>0</v>
      </c>
      <c r="D93" s="20" t="n">
        <f aca="false">COLUMN()-COLUMN($C$1)</f>
        <v>1</v>
      </c>
      <c r="E93" s="20" t="n">
        <f aca="false">COLUMN()-COLUMN($C$1)</f>
        <v>2</v>
      </c>
      <c r="F93" s="20" t="n">
        <f aca="false">COLUMN()-COLUMN($C$1)</f>
        <v>3</v>
      </c>
      <c r="G93" s="20" t="n">
        <f aca="false">COLUMN()-COLUMN($C$1)</f>
        <v>4</v>
      </c>
      <c r="H93" s="20" t="n">
        <f aca="false">COLUMN()-COLUMN($C$1)</f>
        <v>5</v>
      </c>
      <c r="I93" s="20" t="n">
        <f aca="false">COLUMN()-COLUMN($C$1)</f>
        <v>6</v>
      </c>
    </row>
    <row r="94" customFormat="false" ht="15" hidden="false" customHeight="false" outlineLevel="0" collapsed="false">
      <c r="A94" s="5" t="s">
        <v>496</v>
      </c>
      <c r="D94" s="30" t="n">
        <f aca="false">CHOOSE($C$7,'Debt Schedule'!G20,'Debt Schedule'!G33,'Debt Schedule'!G46,'Debt Schedule'!G59)</f>
        <v>0.118</v>
      </c>
      <c r="E94" s="30" t="n">
        <f aca="false">CHOOSE($C$7,'Debt Schedule'!H20,'Debt Schedule'!H33,'Debt Schedule'!H46,'Debt Schedule'!H59)</f>
        <v>0.1155</v>
      </c>
      <c r="F94" s="30" t="n">
        <f aca="false">CHOOSE($C$7,'Debt Schedule'!I20,'Debt Schedule'!I33,'Debt Schedule'!I46,'Debt Schedule'!I59)</f>
        <v>0.113</v>
      </c>
      <c r="G94" s="30" t="n">
        <f aca="false">CHOOSE($C$7,'Debt Schedule'!J20,'Debt Schedule'!J33,'Debt Schedule'!J46,'Debt Schedule'!J59)</f>
        <v>0.113</v>
      </c>
      <c r="H94" s="30" t="n">
        <f aca="false">CHOOSE($C$7,'Debt Schedule'!K20,'Debt Schedule'!K33,'Debt Schedule'!K46,'Debt Schedule'!K59)</f>
        <v>0.113</v>
      </c>
    </row>
    <row r="95" customFormat="false" ht="15" hidden="false" customHeight="false" outlineLevel="0" collapsed="false">
      <c r="A95" s="5" t="s">
        <v>497</v>
      </c>
      <c r="D95" s="25" t="n">
        <f aca="false">IF(D93&lt;=$C$16,$C$8*D94,0)</f>
        <v>11.8</v>
      </c>
      <c r="E95" s="25" t="n">
        <f aca="false">IF(E93&lt;=$C$16,$C$8*E94,0)</f>
        <v>11.55</v>
      </c>
      <c r="F95" s="25" t="n">
        <f aca="false">IF(F93&lt;=$C$16,$C$8*F94,0)</f>
        <v>0</v>
      </c>
      <c r="G95" s="25" t="n">
        <f aca="false">IF(G93&lt;=$C$16,$C$8*G94,0)</f>
        <v>0</v>
      </c>
      <c r="H95" s="25" t="n">
        <f aca="false">IF(H93&lt;=$C$16,$C$8*H94,0)</f>
        <v>0</v>
      </c>
    </row>
    <row r="96" customFormat="false" ht="15" hidden="false" customHeight="false" outlineLevel="0" collapsed="false">
      <c r="A96" s="5" t="s">
        <v>498</v>
      </c>
      <c r="D96" s="25" t="n">
        <f aca="false">IF(AND(Recovery!$C$8=0,D93=$C$11),$C$8*$C$90/100,0)+IF(AND(Recovery!$C$8=1,D93=$C$91),$C$14,0)</f>
        <v>0</v>
      </c>
      <c r="E96" s="25" t="n">
        <f aca="false">IF(AND(Recovery!$C$8=0,E93=$C$11),$C$8*$C$90/100,0)+IF(AND(Recovery!$C$8=1,E93=$C$91),$C$14,0)</f>
        <v>0</v>
      </c>
      <c r="F96" s="25" t="n">
        <f aca="false">IF(AND(Recovery!$C$8=0,F93=$C$11),$C$8*$C$90/100,0)+IF(AND(Recovery!$C$8=1,F93=$C$91),$C$14,0)</f>
        <v>56.4287463304553</v>
      </c>
      <c r="G96" s="25" t="n">
        <f aca="false">IF(AND(Recovery!$C$8=0,G93=$C$11),$C$8*$C$90/100,0)+IF(AND(Recovery!$C$8=1,G93=$C$91),$C$14,0)</f>
        <v>0</v>
      </c>
      <c r="H96" s="25" t="n">
        <f aca="false">IF(AND(Recovery!$C$8=0,H93=$C$11),$C$8*$C$90/100,0)+IF(AND(Recovery!$C$8=1,H93=$C$91),$C$14,0)</f>
        <v>0</v>
      </c>
      <c r="I96" s="25" t="n">
        <f aca="false">IF(AND(Recovery!$C$8=0,I93=$C$11),$C$8*$C$90/100,0)+IF(AND(Recovery!$C$8=1,I93=$C$91),$C$14,0)</f>
        <v>0</v>
      </c>
    </row>
    <row r="97" customFormat="false" ht="15" hidden="false" customHeight="false" outlineLevel="0" collapsed="false">
      <c r="A97" s="2" t="s">
        <v>499</v>
      </c>
      <c r="C97" s="16" t="n">
        <f aca="false">-$C$10</f>
        <v>-78.39</v>
      </c>
      <c r="D97" s="16" t="n">
        <f aca="false">D95+D96</f>
        <v>11.8</v>
      </c>
      <c r="E97" s="16" t="n">
        <f aca="false">E95+E96</f>
        <v>11.55</v>
      </c>
      <c r="F97" s="16" t="n">
        <f aca="false">F95+F96</f>
        <v>56.4287463304553</v>
      </c>
      <c r="G97" s="16" t="n">
        <f aca="false">G95+G96</f>
        <v>0</v>
      </c>
      <c r="H97" s="16" t="n">
        <f aca="false">H95+H96</f>
        <v>0</v>
      </c>
      <c r="I97" s="16" t="n">
        <f aca="false">I95+I96</f>
        <v>0</v>
      </c>
    </row>
    <row r="98" customFormat="false" ht="15" hidden="false" customHeight="false" outlineLevel="0" collapsed="false">
      <c r="A98" s="5" t="s">
        <v>500</v>
      </c>
      <c r="C98" s="25" t="n">
        <f aca="false">SUM($C$95:$I$95)</f>
        <v>23.35</v>
      </c>
    </row>
    <row r="99" customFormat="false" ht="15" hidden="false" customHeight="false" outlineLevel="0" collapsed="false">
      <c r="A99" s="5" t="s">
        <v>501</v>
      </c>
      <c r="C99" s="25" t="n">
        <f aca="false">SUM($C$96:$I$96)</f>
        <v>56.4287463304553</v>
      </c>
    </row>
    <row r="100" customFormat="false" ht="15" hidden="false" customHeight="false" outlineLevel="0" collapsed="false">
      <c r="A100" s="5" t="s">
        <v>502</v>
      </c>
      <c r="C100" s="25" t="n">
        <f aca="false">C98+C99</f>
        <v>79.7787463304553</v>
      </c>
    </row>
    <row r="101" customFormat="false" ht="15" hidden="false" customHeight="false" outlineLevel="0" collapsed="false">
      <c r="A101" s="5" t="s">
        <v>503</v>
      </c>
      <c r="C101" s="25" t="n">
        <f aca="false">C99-C8*C9/100</f>
        <v>-21.5712536695447</v>
      </c>
    </row>
    <row r="102" customFormat="false" ht="15" hidden="false" customHeight="false" outlineLevel="0" collapsed="false">
      <c r="A102" s="5" t="s">
        <v>504</v>
      </c>
      <c r="C102" s="25" t="n">
        <f aca="false">C100-C10</f>
        <v>1.38874633045526</v>
      </c>
    </row>
    <row r="103" customFormat="false" ht="15" hidden="false" customHeight="false" outlineLevel="0" collapsed="false">
      <c r="A103" s="2" t="s">
        <v>385</v>
      </c>
      <c r="C103" s="43" t="n">
        <f aca="false">C100/C10</f>
        <v>1.01771586082989</v>
      </c>
    </row>
    <row r="104" customFormat="false" ht="15" hidden="false" customHeight="false" outlineLevel="0" collapsed="false">
      <c r="A104" s="2" t="s">
        <v>384</v>
      </c>
      <c r="C104" s="41" t="n">
        <f aca="false">IF(C100&lt;=0,-1,IFERROR(IRR($C$97:$I$97,MAX(-0.9,C103^(1/C91)-1)),IRR($C$97:$I$97,0.1)))</f>
        <v>0.00688989684099931</v>
      </c>
    </row>
    <row r="105" customFormat="false" ht="15" hidden="false" customHeight="false" outlineLevel="0" collapsed="false">
      <c r="A105" s="5" t="s">
        <v>505</v>
      </c>
      <c r="C105" s="31" t="n">
        <f aca="false">MAX('Credit Metrics'!$G$11:$K$11)</f>
        <v>28.5681105622991</v>
      </c>
    </row>
    <row r="106" customFormat="false" ht="15" hidden="false" customHeight="false" outlineLevel="0" collapsed="false">
      <c r="A106" s="5" t="s">
        <v>506</v>
      </c>
      <c r="C106" s="31" t="n">
        <f aca="false">MIN('Credit Metrics'!$G$12:$K$12)</f>
        <v>0.374027109660081</v>
      </c>
    </row>
    <row r="107" customFormat="false" ht="15" hidden="false" customHeight="false" outlineLevel="0" collapsed="false">
      <c r="A107" s="5" t="s">
        <v>507</v>
      </c>
      <c r="C107" s="25" t="n">
        <f aca="false">SUM('Operating Model'!$G$30:$K$30)</f>
        <v>-481.4808823404</v>
      </c>
    </row>
    <row r="109" customFormat="false" ht="15" hidden="false" customHeight="false" outlineLevel="0" collapsed="false">
      <c r="A109" s="9" t="s">
        <v>508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customFormat="false" ht="15" hidden="false" customHeight="false" outlineLevel="0" collapsed="false">
      <c r="A110" s="5" t="s">
        <v>509</v>
      </c>
      <c r="C110" s="21" t="n">
        <f aca="false">CHOOSE(Returns!C7,'Debt Schedule'!G20,'Debt Schedule'!G33,'Debt Schedule'!G46,'Debt Schedule'!G59)/(Assumptions!$C$32/100)</f>
        <v>0.151282051282051</v>
      </c>
    </row>
    <row r="111" customFormat="false" ht="15" hidden="false" customHeight="false" outlineLevel="0" collapsed="false">
      <c r="A111" s="5" t="s">
        <v>510</v>
      </c>
      <c r="C111" s="21" t="n">
        <f aca="false">IFERROR(RATE(YEARFRAC(Assumptions!$C$8,CHOOSE(Returns!C7,Assumptions!$J$53,Assumptions!$J$54,Assumptions!$J$55,Assumptions!$J$56)),CHOOSE(Returns!C7,'Debt Schedule'!G20,'Debt Schedule'!G33,'Debt Schedule'!G46,'Debt Schedule'!G59)*100,-Assumptions!$C$32,100),0)</f>
        <v>0.27524716854517</v>
      </c>
    </row>
    <row r="112" customFormat="false" ht="15" hidden="false" customHeight="false" outlineLevel="0" collapsed="false">
      <c r="A112" s="5" t="s">
        <v>511</v>
      </c>
      <c r="C112" s="44" t="n">
        <f aca="false">Assumptions!$C$8</f>
        <v>46112</v>
      </c>
      <c r="D112" s="45" t="n">
        <f aca="false">EDATE(C112,12)</f>
        <v>46477</v>
      </c>
      <c r="E112" s="45" t="n">
        <f aca="false">EDATE(D112,12)</f>
        <v>46843</v>
      </c>
      <c r="F112" s="45" t="n">
        <f aca="false">EDATE(E112,12)</f>
        <v>47208</v>
      </c>
      <c r="G112" s="45" t="n">
        <f aca="false">EDATE(F112,12)</f>
        <v>47573</v>
      </c>
      <c r="H112" s="45" t="n">
        <f aca="false">EDATE(G112,12)</f>
        <v>47938</v>
      </c>
      <c r="I112" s="45" t="n">
        <f aca="false">EDATE(H112,12)</f>
        <v>48304</v>
      </c>
    </row>
    <row r="113" customFormat="false" ht="15" hidden="false" customHeight="false" outlineLevel="0" collapsed="false">
      <c r="A113" s="5" t="s">
        <v>512</v>
      </c>
      <c r="C113" s="21" t="n">
        <f aca="false">IFERROR(XIRR(C97:I97,C112:I112),0)</f>
        <v>0.00688359913389646</v>
      </c>
    </row>
    <row r="115" customFormat="false" ht="15" hidden="false" customHeight="false" outlineLevel="0" collapsed="false">
      <c r="A115" s="9" t="s">
        <v>513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customFormat="false" ht="15" hidden="false" customHeight="false" outlineLevel="0" collapsed="false">
      <c r="A116" s="7"/>
      <c r="B116" s="7"/>
      <c r="C116" s="7" t="s">
        <v>148</v>
      </c>
      <c r="D116" s="7" t="s">
        <v>169</v>
      </c>
      <c r="E116" s="7" t="s">
        <v>170</v>
      </c>
    </row>
    <row r="117" customFormat="false" ht="15" hidden="false" customHeight="false" outlineLevel="0" collapsed="false">
      <c r="A117" s="5" t="s">
        <v>514</v>
      </c>
      <c r="C117" s="26" t="n">
        <f aca="false">'Calc Engine'!C170</f>
        <v>1</v>
      </c>
      <c r="D117" s="26" t="n">
        <f aca="false">'Calc Engine'!C523</f>
        <v>1</v>
      </c>
      <c r="E117" s="26" t="n">
        <f aca="false">'Calc Engine'!C876</f>
        <v>1</v>
      </c>
    </row>
    <row r="118" customFormat="false" ht="15" hidden="false" customHeight="false" outlineLevel="0" collapsed="false">
      <c r="A118" s="5" t="s">
        <v>515</v>
      </c>
      <c r="C118" s="28" t="n">
        <f aca="false">'Calc Engine'!C257</f>
        <v>78.39</v>
      </c>
      <c r="D118" s="28" t="n">
        <f aca="false">'Calc Engine'!C610</f>
        <v>78.39</v>
      </c>
      <c r="E118" s="28" t="n">
        <f aca="false">'Calc Engine'!C963</f>
        <v>78.39</v>
      </c>
    </row>
    <row r="119" customFormat="false" ht="15" hidden="false" customHeight="false" outlineLevel="0" collapsed="false">
      <c r="A119" s="5" t="s">
        <v>497</v>
      </c>
      <c r="C119" s="28" t="n">
        <f aca="false">'Calc Engine'!C345</f>
        <v>20.35</v>
      </c>
      <c r="D119" s="28" t="n">
        <f aca="false">'Calc Engine'!C698</f>
        <v>23.35</v>
      </c>
      <c r="E119" s="28" t="n">
        <f aca="false">'Calc Engine'!C1051</f>
        <v>26.35</v>
      </c>
    </row>
    <row r="120" customFormat="false" ht="15" hidden="false" customHeight="false" outlineLevel="0" collapsed="false">
      <c r="A120" s="5" t="s">
        <v>516</v>
      </c>
      <c r="C120" s="28" t="n">
        <f aca="false">'Calc Engine'!C346</f>
        <v>88.8196128728414</v>
      </c>
      <c r="D120" s="28" t="n">
        <f aca="false">'Calc Engine'!C699</f>
        <v>56.4287463304553</v>
      </c>
      <c r="E120" s="28" t="n">
        <f aca="false">'Calc Engine'!C1052</f>
        <v>29.0034660125589</v>
      </c>
    </row>
    <row r="121" customFormat="false" ht="15" hidden="false" customHeight="false" outlineLevel="0" collapsed="false">
      <c r="A121" s="5" t="s">
        <v>517</v>
      </c>
      <c r="C121" s="28" t="n">
        <f aca="false">'Calc Engine'!C348</f>
        <v>10.8196128728414</v>
      </c>
      <c r="D121" s="28" t="n">
        <f aca="false">'Calc Engine'!C701</f>
        <v>-21.5712536695447</v>
      </c>
      <c r="E121" s="28" t="n">
        <f aca="false">'Calc Engine'!C1054</f>
        <v>-48.9965339874412</v>
      </c>
    </row>
    <row r="122" customFormat="false" ht="15" hidden="false" customHeight="false" outlineLevel="0" collapsed="false">
      <c r="A122" s="5" t="s">
        <v>502</v>
      </c>
      <c r="C122" s="28" t="n">
        <f aca="false">'Calc Engine'!C347</f>
        <v>109.169612872841</v>
      </c>
      <c r="D122" s="28" t="n">
        <f aca="false">'Calc Engine'!C700</f>
        <v>79.7787463304553</v>
      </c>
      <c r="E122" s="28" t="n">
        <f aca="false">'Calc Engine'!C1053</f>
        <v>55.3534660125589</v>
      </c>
    </row>
    <row r="123" customFormat="false" ht="15" hidden="false" customHeight="false" outlineLevel="0" collapsed="false">
      <c r="A123" s="5" t="s">
        <v>518</v>
      </c>
      <c r="C123" s="34" t="n">
        <f aca="false">'Calc Engine'!C262</f>
        <v>0.866427146668372</v>
      </c>
      <c r="D123" s="34" t="n">
        <f aca="false">'Calc Engine'!C615</f>
        <v>0.548450942344359</v>
      </c>
      <c r="E123" s="34" t="n">
        <f aca="false">'Calc Engine'!C968</f>
        <v>0.280871236049474</v>
      </c>
    </row>
    <row r="124" customFormat="false" ht="15" hidden="false" customHeight="false" outlineLevel="0" collapsed="false">
      <c r="A124" s="5" t="s">
        <v>504</v>
      </c>
      <c r="C124" s="28" t="n">
        <f aca="false">'Calc Engine'!C349</f>
        <v>30.7796128728415</v>
      </c>
      <c r="D124" s="28" t="n">
        <f aca="false">'Calc Engine'!C702</f>
        <v>1.38874633045526</v>
      </c>
      <c r="E124" s="28" t="n">
        <f aca="false">'Calc Engine'!C1055</f>
        <v>-23.0365339874411</v>
      </c>
    </row>
    <row r="125" customFormat="false" ht="15" hidden="false" customHeight="false" outlineLevel="0" collapsed="false">
      <c r="A125" s="5" t="s">
        <v>385</v>
      </c>
      <c r="C125" s="32" t="n">
        <f aca="false">'Calc Engine'!C350</f>
        <v>1.39264718551909</v>
      </c>
      <c r="D125" s="32" t="n">
        <f aca="false">'Calc Engine'!C703</f>
        <v>1.01771586082989</v>
      </c>
      <c r="E125" s="32" t="n">
        <f aca="false">'Calc Engine'!C1056</f>
        <v>0.706129174799832</v>
      </c>
    </row>
    <row r="126" customFormat="false" ht="15" hidden="false" customHeight="false" outlineLevel="0" collapsed="false">
      <c r="A126" s="5" t="s">
        <v>384</v>
      </c>
      <c r="C126" s="34" t="n">
        <f aca="false">'Calc Engine'!C351</f>
        <v>0.130821524311548</v>
      </c>
      <c r="D126" s="34" t="n">
        <f aca="false">'Calc Engine'!C704</f>
        <v>0.00688989684099931</v>
      </c>
      <c r="E126" s="34" t="n">
        <f aca="false">'Calc Engine'!C1057</f>
        <v>-0.138534047289136</v>
      </c>
    </row>
    <row r="128" customFormat="false" ht="15" hidden="false" customHeight="false" outlineLevel="0" collapsed="false">
      <c r="A128" s="9" t="s">
        <v>519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customFormat="false" ht="15" hidden="false" customHeight="false" outlineLevel="0" collapsed="false">
      <c r="A129" s="5" t="s">
        <v>520</v>
      </c>
    </row>
    <row r="130" customFormat="false" ht="15" hidden="false" customHeight="false" outlineLevel="0" collapsed="false">
      <c r="A130" s="5" t="s">
        <v>521</v>
      </c>
      <c r="C130" s="20" t="n">
        <f aca="false">(COLUMNS($C$1:$AA$1)-1)/(COLUMNS($C$1:$I$1)-1)</f>
        <v>4</v>
      </c>
    </row>
    <row r="131" customFormat="false" ht="15" hidden="false" customHeight="false" outlineLevel="0" collapsed="false">
      <c r="A131" s="5" t="s">
        <v>522</v>
      </c>
      <c r="C131" s="20" t="n">
        <f aca="false">COLUMNS($D$1:$H$1)*$C$130</f>
        <v>20</v>
      </c>
    </row>
    <row r="132" customFormat="false" ht="15" hidden="false" customHeight="false" outlineLevel="0" collapsed="false">
      <c r="A132" s="5" t="s">
        <v>523</v>
      </c>
      <c r="C132" s="20" t="n">
        <f aca="false">COLUMN()-COLUMN($C$1)</f>
        <v>0</v>
      </c>
      <c r="D132" s="20" t="n">
        <f aca="false">COLUMN()-COLUMN($C$1)</f>
        <v>1</v>
      </c>
      <c r="E132" s="20" t="n">
        <f aca="false">COLUMN()-COLUMN($C$1)</f>
        <v>2</v>
      </c>
      <c r="F132" s="20" t="n">
        <f aca="false">COLUMN()-COLUMN($C$1)</f>
        <v>3</v>
      </c>
      <c r="G132" s="20" t="n">
        <f aca="false">COLUMN()-COLUMN($C$1)</f>
        <v>4</v>
      </c>
      <c r="H132" s="20" t="n">
        <f aca="false">COLUMN()-COLUMN($C$1)</f>
        <v>5</v>
      </c>
      <c r="I132" s="20" t="n">
        <f aca="false">COLUMN()-COLUMN($C$1)</f>
        <v>6</v>
      </c>
      <c r="J132" s="20" t="n">
        <f aca="false">COLUMN()-COLUMN($C$1)</f>
        <v>7</v>
      </c>
      <c r="K132" s="20" t="n">
        <f aca="false">COLUMN()-COLUMN($C$1)</f>
        <v>8</v>
      </c>
      <c r="L132" s="20" t="n">
        <f aca="false">COLUMN()-COLUMN($C$1)</f>
        <v>9</v>
      </c>
      <c r="M132" s="20" t="n">
        <f aca="false">COLUMN()-COLUMN($C$1)</f>
        <v>10</v>
      </c>
      <c r="N132" s="20" t="n">
        <f aca="false">COLUMN()-COLUMN($C$1)</f>
        <v>11</v>
      </c>
      <c r="O132" s="20" t="n">
        <f aca="false">COLUMN()-COLUMN($C$1)</f>
        <v>12</v>
      </c>
      <c r="P132" s="20" t="n">
        <f aca="false">COLUMN()-COLUMN($C$1)</f>
        <v>13</v>
      </c>
      <c r="Q132" s="20" t="n">
        <f aca="false">COLUMN()-COLUMN($C$1)</f>
        <v>14</v>
      </c>
      <c r="R132" s="20" t="n">
        <f aca="false">COLUMN()-COLUMN($C$1)</f>
        <v>15</v>
      </c>
      <c r="S132" s="20" t="n">
        <f aca="false">COLUMN()-COLUMN($C$1)</f>
        <v>16</v>
      </c>
      <c r="T132" s="20" t="n">
        <f aca="false">COLUMN()-COLUMN($C$1)</f>
        <v>17</v>
      </c>
      <c r="U132" s="20" t="n">
        <f aca="false">COLUMN()-COLUMN($C$1)</f>
        <v>18</v>
      </c>
      <c r="V132" s="20" t="n">
        <f aca="false">COLUMN()-COLUMN($C$1)</f>
        <v>19</v>
      </c>
      <c r="W132" s="20" t="n">
        <f aca="false">COLUMN()-COLUMN($C$1)</f>
        <v>20</v>
      </c>
      <c r="X132" s="20" t="n">
        <f aca="false">COLUMN()-COLUMN($C$1)</f>
        <v>21</v>
      </c>
      <c r="Y132" s="20" t="n">
        <f aca="false">COLUMN()-COLUMN($C$1)</f>
        <v>22</v>
      </c>
      <c r="Z132" s="20" t="n">
        <f aca="false">COLUMN()-COLUMN($C$1)</f>
        <v>23</v>
      </c>
      <c r="AA132" s="20" t="n">
        <f aca="false">COLUMN()-COLUMN($C$1)</f>
        <v>24</v>
      </c>
    </row>
    <row r="133" customFormat="false" ht="15" hidden="false" customHeight="false" outlineLevel="0" collapsed="false">
      <c r="A133" s="5" t="s">
        <v>524</v>
      </c>
      <c r="C133" s="28" t="n">
        <f aca="false">'Calc Engine'!C344</f>
        <v>-78.39</v>
      </c>
      <c r="D133" s="25" t="n">
        <f aca="false">IF(AND(D$132&lt;=$C$131,MOD(D$132,$C$130/Assumptions!$C$35)=0),INDEX('Calc Engine'!$D$342:$H$342,ROUNDUP(D$132/$C$130,0))/Assumptions!$C$35,0)+IF(MOD(D$132,$C$130)=0,INDEX('Calc Engine'!$D$343:$I$343,D$132/$C$130),0)</f>
        <v>0</v>
      </c>
      <c r="E133" s="25" t="n">
        <f aca="false">IF(AND(E$132&lt;=$C$131,MOD(E$132,$C$130/Assumptions!$C$35)=0),INDEX('Calc Engine'!$D$342:$H$342,ROUNDUP(E$132/$C$130,0))/Assumptions!$C$35,0)+IF(MOD(E$132,$C$130)=0,INDEX('Calc Engine'!$D$343:$I$343,E$132/$C$130),0)</f>
        <v>0</v>
      </c>
      <c r="F133" s="25" t="n">
        <f aca="false">IF(AND(F$132&lt;=$C$131,MOD(F$132,$C$130/Assumptions!$C$35)=0),INDEX('Calc Engine'!$D$342:$H$342,ROUNDUP(F$132/$C$130,0))/Assumptions!$C$35,0)+IF(MOD(F$132,$C$130)=0,INDEX('Calc Engine'!$D$343:$I$343,F$132/$C$130),0)</f>
        <v>0</v>
      </c>
      <c r="G133" s="25" t="n">
        <f aca="false">IF(AND(G$132&lt;=$C$131,MOD(G$132,$C$130/Assumptions!$C$35)=0),INDEX('Calc Engine'!$D$342:$H$342,ROUNDUP(G$132/$C$130,0))/Assumptions!$C$35,0)+IF(MOD(G$132,$C$130)=0,INDEX('Calc Engine'!$D$343:$I$343,G$132/$C$130),0)</f>
        <v>10.3</v>
      </c>
      <c r="H133" s="25" t="n">
        <f aca="false">IF(AND(H$132&lt;=$C$131,MOD(H$132,$C$130/Assumptions!$C$35)=0),INDEX('Calc Engine'!$D$342:$H$342,ROUNDUP(H$132/$C$130,0))/Assumptions!$C$35,0)+IF(MOD(H$132,$C$130)=0,INDEX('Calc Engine'!$D$343:$I$343,H$132/$C$130),0)</f>
        <v>0</v>
      </c>
      <c r="I133" s="25" t="n">
        <f aca="false">IF(AND(I$132&lt;=$C$131,MOD(I$132,$C$130/Assumptions!$C$35)=0),INDEX('Calc Engine'!$D$342:$H$342,ROUNDUP(I$132/$C$130,0))/Assumptions!$C$35,0)+IF(MOD(I$132,$C$130)=0,INDEX('Calc Engine'!$D$343:$I$343,I$132/$C$130),0)</f>
        <v>0</v>
      </c>
      <c r="J133" s="25" t="n">
        <f aca="false">IF(AND(J$132&lt;=$C$131,MOD(J$132,$C$130/Assumptions!$C$35)=0),INDEX('Calc Engine'!$D$342:$H$342,ROUNDUP(J$132/$C$130,0))/Assumptions!$C$35,0)+IF(MOD(J$132,$C$130)=0,INDEX('Calc Engine'!$D$343:$I$343,J$132/$C$130),0)</f>
        <v>0</v>
      </c>
      <c r="K133" s="25" t="n">
        <f aca="false">IF(AND(K$132&lt;=$C$131,MOD(K$132,$C$130/Assumptions!$C$35)=0),INDEX('Calc Engine'!$D$342:$H$342,ROUNDUP(K$132/$C$130,0))/Assumptions!$C$35,0)+IF(MOD(K$132,$C$130)=0,INDEX('Calc Engine'!$D$343:$I$343,K$132/$C$130),0)</f>
        <v>10.05</v>
      </c>
      <c r="L133" s="25" t="n">
        <f aca="false">IF(AND(L$132&lt;=$C$131,MOD(L$132,$C$130/Assumptions!$C$35)=0),INDEX('Calc Engine'!$D$342:$H$342,ROUNDUP(L$132/$C$130,0))/Assumptions!$C$35,0)+IF(MOD(L$132,$C$130)=0,INDEX('Calc Engine'!$D$343:$I$343,L$132/$C$130),0)</f>
        <v>0</v>
      </c>
      <c r="M133" s="25" t="n">
        <f aca="false">IF(AND(M$132&lt;=$C$131,MOD(M$132,$C$130/Assumptions!$C$35)=0),INDEX('Calc Engine'!$D$342:$H$342,ROUNDUP(M$132/$C$130,0))/Assumptions!$C$35,0)+IF(MOD(M$132,$C$130)=0,INDEX('Calc Engine'!$D$343:$I$343,M$132/$C$130),0)</f>
        <v>0</v>
      </c>
      <c r="N133" s="25" t="n">
        <f aca="false">IF(AND(N$132&lt;=$C$131,MOD(N$132,$C$130/Assumptions!$C$35)=0),INDEX('Calc Engine'!$D$342:$H$342,ROUNDUP(N$132/$C$130,0))/Assumptions!$C$35,0)+IF(MOD(N$132,$C$130)=0,INDEX('Calc Engine'!$D$343:$I$343,N$132/$C$130),0)</f>
        <v>0</v>
      </c>
      <c r="O133" s="25" t="n">
        <f aca="false">IF(AND(O$132&lt;=$C$131,MOD(O$132,$C$130/Assumptions!$C$35)=0),INDEX('Calc Engine'!$D$342:$H$342,ROUNDUP(O$132/$C$130,0))/Assumptions!$C$35,0)+IF(MOD(O$132,$C$130)=0,INDEX('Calc Engine'!$D$343:$I$343,O$132/$C$130),0)</f>
        <v>88.8196128728414</v>
      </c>
      <c r="P133" s="25" t="n">
        <f aca="false">IF(AND(P$132&lt;=$C$131,MOD(P$132,$C$130/Assumptions!$C$35)=0),INDEX('Calc Engine'!$D$342:$H$342,ROUNDUP(P$132/$C$130,0))/Assumptions!$C$35,0)+IF(MOD(P$132,$C$130)=0,INDEX('Calc Engine'!$D$343:$I$343,P$132/$C$130),0)</f>
        <v>0</v>
      </c>
      <c r="Q133" s="25" t="n">
        <f aca="false">IF(AND(Q$132&lt;=$C$131,MOD(Q$132,$C$130/Assumptions!$C$35)=0),INDEX('Calc Engine'!$D$342:$H$342,ROUNDUP(Q$132/$C$130,0))/Assumptions!$C$35,0)+IF(MOD(Q$132,$C$130)=0,INDEX('Calc Engine'!$D$343:$I$343,Q$132/$C$130),0)</f>
        <v>0</v>
      </c>
      <c r="R133" s="25" t="n">
        <f aca="false">IF(AND(R$132&lt;=$C$131,MOD(R$132,$C$130/Assumptions!$C$35)=0),INDEX('Calc Engine'!$D$342:$H$342,ROUNDUP(R$132/$C$130,0))/Assumptions!$C$35,0)+IF(MOD(R$132,$C$130)=0,INDEX('Calc Engine'!$D$343:$I$343,R$132/$C$130),0)</f>
        <v>0</v>
      </c>
      <c r="S133" s="25" t="n">
        <f aca="false">IF(AND(S$132&lt;=$C$131,MOD(S$132,$C$130/Assumptions!$C$35)=0),INDEX('Calc Engine'!$D$342:$H$342,ROUNDUP(S$132/$C$130,0))/Assumptions!$C$35,0)+IF(MOD(S$132,$C$130)=0,INDEX('Calc Engine'!$D$343:$I$343,S$132/$C$130),0)</f>
        <v>0</v>
      </c>
      <c r="T133" s="25" t="n">
        <f aca="false">IF(AND(T$132&lt;=$C$131,MOD(T$132,$C$130/Assumptions!$C$35)=0),INDEX('Calc Engine'!$D$342:$H$342,ROUNDUP(T$132/$C$130,0))/Assumptions!$C$35,0)+IF(MOD(T$132,$C$130)=0,INDEX('Calc Engine'!$D$343:$I$343,T$132/$C$130),0)</f>
        <v>0</v>
      </c>
      <c r="U133" s="25" t="n">
        <f aca="false">IF(AND(U$132&lt;=$C$131,MOD(U$132,$C$130/Assumptions!$C$35)=0),INDEX('Calc Engine'!$D$342:$H$342,ROUNDUP(U$132/$C$130,0))/Assumptions!$C$35,0)+IF(MOD(U$132,$C$130)=0,INDEX('Calc Engine'!$D$343:$I$343,U$132/$C$130),0)</f>
        <v>0</v>
      </c>
      <c r="V133" s="25" t="n">
        <f aca="false">IF(AND(V$132&lt;=$C$131,MOD(V$132,$C$130/Assumptions!$C$35)=0),INDEX('Calc Engine'!$D$342:$H$342,ROUNDUP(V$132/$C$130,0))/Assumptions!$C$35,0)+IF(MOD(V$132,$C$130)=0,INDEX('Calc Engine'!$D$343:$I$343,V$132/$C$130),0)</f>
        <v>0</v>
      </c>
      <c r="W133" s="25" t="n">
        <f aca="false">IF(AND(W$132&lt;=$C$131,MOD(W$132,$C$130/Assumptions!$C$35)=0),INDEX('Calc Engine'!$D$342:$H$342,ROUNDUP(W$132/$C$130,0))/Assumptions!$C$35,0)+IF(MOD(W$132,$C$130)=0,INDEX('Calc Engine'!$D$343:$I$343,W$132/$C$130),0)</f>
        <v>0</v>
      </c>
      <c r="X133" s="25" t="n">
        <f aca="false">IF(AND(X$132&lt;=$C$131,MOD(X$132,$C$130/Assumptions!$C$35)=0),INDEX('Calc Engine'!$D$342:$H$342,ROUNDUP(X$132/$C$130,0))/Assumptions!$C$35,0)+IF(MOD(X$132,$C$130)=0,INDEX('Calc Engine'!$D$343:$I$343,X$132/$C$130),0)</f>
        <v>0</v>
      </c>
      <c r="Y133" s="25" t="n">
        <f aca="false">IF(AND(Y$132&lt;=$C$131,MOD(Y$132,$C$130/Assumptions!$C$35)=0),INDEX('Calc Engine'!$D$342:$H$342,ROUNDUP(Y$132/$C$130,0))/Assumptions!$C$35,0)+IF(MOD(Y$132,$C$130)=0,INDEX('Calc Engine'!$D$343:$I$343,Y$132/$C$130),0)</f>
        <v>0</v>
      </c>
      <c r="Z133" s="25" t="n">
        <f aca="false">IF(AND(Z$132&lt;=$C$131,MOD(Z$132,$C$130/Assumptions!$C$35)=0),INDEX('Calc Engine'!$D$342:$H$342,ROUNDUP(Z$132/$C$130,0))/Assumptions!$C$35,0)+IF(MOD(Z$132,$C$130)=0,INDEX('Calc Engine'!$D$343:$I$343,Z$132/$C$130),0)</f>
        <v>0</v>
      </c>
      <c r="AA133" s="25" t="n">
        <f aca="false">IF(AND(AA$132&lt;=$C$131,MOD(AA$132,$C$130/Assumptions!$C$35)=0),INDEX('Calc Engine'!$D$342:$H$342,ROUNDUP(AA$132/$C$130,0))/Assumptions!$C$35,0)+IF(MOD(AA$132,$C$130)=0,INDEX('Calc Engine'!$D$343:$I$343,AA$132/$C$130),0)</f>
        <v>0</v>
      </c>
    </row>
    <row r="134" customFormat="false" ht="15" hidden="false" customHeight="false" outlineLevel="0" collapsed="false">
      <c r="A134" s="5" t="s">
        <v>525</v>
      </c>
      <c r="C134" s="28" t="n">
        <f aca="false">'Calc Engine'!C697</f>
        <v>-78.39</v>
      </c>
      <c r="D134" s="25" t="n">
        <f aca="false">IF(AND(D$132&lt;=$C$131,MOD(D$132,$C$130/Assumptions!$C$35)=0),INDEX('Calc Engine'!$D$695:$H$695,ROUNDUP(D$132/$C$130,0))/Assumptions!$C$35,0)+IF(MOD(D$132,$C$130)=0,INDEX('Calc Engine'!$D$696:$I$696,D$132/$C$130),0)</f>
        <v>0</v>
      </c>
      <c r="E134" s="25" t="n">
        <f aca="false">IF(AND(E$132&lt;=$C$131,MOD(E$132,$C$130/Assumptions!$C$35)=0),INDEX('Calc Engine'!$D$695:$H$695,ROUNDUP(E$132/$C$130,0))/Assumptions!$C$35,0)+IF(MOD(E$132,$C$130)=0,INDEX('Calc Engine'!$D$696:$I$696,E$132/$C$130),0)</f>
        <v>0</v>
      </c>
      <c r="F134" s="25" t="n">
        <f aca="false">IF(AND(F$132&lt;=$C$131,MOD(F$132,$C$130/Assumptions!$C$35)=0),INDEX('Calc Engine'!$D$695:$H$695,ROUNDUP(F$132/$C$130,0))/Assumptions!$C$35,0)+IF(MOD(F$132,$C$130)=0,INDEX('Calc Engine'!$D$696:$I$696,F$132/$C$130),0)</f>
        <v>0</v>
      </c>
      <c r="G134" s="25" t="n">
        <f aca="false">IF(AND(G$132&lt;=$C$131,MOD(G$132,$C$130/Assumptions!$C$35)=0),INDEX('Calc Engine'!$D$695:$H$695,ROUNDUP(G$132/$C$130,0))/Assumptions!$C$35,0)+IF(MOD(G$132,$C$130)=0,INDEX('Calc Engine'!$D$696:$I$696,G$132/$C$130),0)</f>
        <v>11.8</v>
      </c>
      <c r="H134" s="25" t="n">
        <f aca="false">IF(AND(H$132&lt;=$C$131,MOD(H$132,$C$130/Assumptions!$C$35)=0),INDEX('Calc Engine'!$D$695:$H$695,ROUNDUP(H$132/$C$130,0))/Assumptions!$C$35,0)+IF(MOD(H$132,$C$130)=0,INDEX('Calc Engine'!$D$696:$I$696,H$132/$C$130),0)</f>
        <v>0</v>
      </c>
      <c r="I134" s="25" t="n">
        <f aca="false">IF(AND(I$132&lt;=$C$131,MOD(I$132,$C$130/Assumptions!$C$35)=0),INDEX('Calc Engine'!$D$695:$H$695,ROUNDUP(I$132/$C$130,0))/Assumptions!$C$35,0)+IF(MOD(I$132,$C$130)=0,INDEX('Calc Engine'!$D$696:$I$696,I$132/$C$130),0)</f>
        <v>0</v>
      </c>
      <c r="J134" s="25" t="n">
        <f aca="false">IF(AND(J$132&lt;=$C$131,MOD(J$132,$C$130/Assumptions!$C$35)=0),INDEX('Calc Engine'!$D$695:$H$695,ROUNDUP(J$132/$C$130,0))/Assumptions!$C$35,0)+IF(MOD(J$132,$C$130)=0,INDEX('Calc Engine'!$D$696:$I$696,J$132/$C$130),0)</f>
        <v>0</v>
      </c>
      <c r="K134" s="25" t="n">
        <f aca="false">IF(AND(K$132&lt;=$C$131,MOD(K$132,$C$130/Assumptions!$C$35)=0),INDEX('Calc Engine'!$D$695:$H$695,ROUNDUP(K$132/$C$130,0))/Assumptions!$C$35,0)+IF(MOD(K$132,$C$130)=0,INDEX('Calc Engine'!$D$696:$I$696,K$132/$C$130),0)</f>
        <v>11.55</v>
      </c>
      <c r="L134" s="25" t="n">
        <f aca="false">IF(AND(L$132&lt;=$C$131,MOD(L$132,$C$130/Assumptions!$C$35)=0),INDEX('Calc Engine'!$D$695:$H$695,ROUNDUP(L$132/$C$130,0))/Assumptions!$C$35,0)+IF(MOD(L$132,$C$130)=0,INDEX('Calc Engine'!$D$696:$I$696,L$132/$C$130),0)</f>
        <v>0</v>
      </c>
      <c r="M134" s="25" t="n">
        <f aca="false">IF(AND(M$132&lt;=$C$131,MOD(M$132,$C$130/Assumptions!$C$35)=0),INDEX('Calc Engine'!$D$695:$H$695,ROUNDUP(M$132/$C$130,0))/Assumptions!$C$35,0)+IF(MOD(M$132,$C$130)=0,INDEX('Calc Engine'!$D$696:$I$696,M$132/$C$130),0)</f>
        <v>0</v>
      </c>
      <c r="N134" s="25" t="n">
        <f aca="false">IF(AND(N$132&lt;=$C$131,MOD(N$132,$C$130/Assumptions!$C$35)=0),INDEX('Calc Engine'!$D$695:$H$695,ROUNDUP(N$132/$C$130,0))/Assumptions!$C$35,0)+IF(MOD(N$132,$C$130)=0,INDEX('Calc Engine'!$D$696:$I$696,N$132/$C$130),0)</f>
        <v>0</v>
      </c>
      <c r="O134" s="25" t="n">
        <f aca="false">IF(AND(O$132&lt;=$C$131,MOD(O$132,$C$130/Assumptions!$C$35)=0),INDEX('Calc Engine'!$D$695:$H$695,ROUNDUP(O$132/$C$130,0))/Assumptions!$C$35,0)+IF(MOD(O$132,$C$130)=0,INDEX('Calc Engine'!$D$696:$I$696,O$132/$C$130),0)</f>
        <v>56.4287463304553</v>
      </c>
      <c r="P134" s="25" t="n">
        <f aca="false">IF(AND(P$132&lt;=$C$131,MOD(P$132,$C$130/Assumptions!$C$35)=0),INDEX('Calc Engine'!$D$695:$H$695,ROUNDUP(P$132/$C$130,0))/Assumptions!$C$35,0)+IF(MOD(P$132,$C$130)=0,INDEX('Calc Engine'!$D$696:$I$696,P$132/$C$130),0)</f>
        <v>0</v>
      </c>
      <c r="Q134" s="25" t="n">
        <f aca="false">IF(AND(Q$132&lt;=$C$131,MOD(Q$132,$C$130/Assumptions!$C$35)=0),INDEX('Calc Engine'!$D$695:$H$695,ROUNDUP(Q$132/$C$130,0))/Assumptions!$C$35,0)+IF(MOD(Q$132,$C$130)=0,INDEX('Calc Engine'!$D$696:$I$696,Q$132/$C$130),0)</f>
        <v>0</v>
      </c>
      <c r="R134" s="25" t="n">
        <f aca="false">IF(AND(R$132&lt;=$C$131,MOD(R$132,$C$130/Assumptions!$C$35)=0),INDEX('Calc Engine'!$D$695:$H$695,ROUNDUP(R$132/$C$130,0))/Assumptions!$C$35,0)+IF(MOD(R$132,$C$130)=0,INDEX('Calc Engine'!$D$696:$I$696,R$132/$C$130),0)</f>
        <v>0</v>
      </c>
      <c r="S134" s="25" t="n">
        <f aca="false">IF(AND(S$132&lt;=$C$131,MOD(S$132,$C$130/Assumptions!$C$35)=0),INDEX('Calc Engine'!$D$695:$H$695,ROUNDUP(S$132/$C$130,0))/Assumptions!$C$35,0)+IF(MOD(S$132,$C$130)=0,INDEX('Calc Engine'!$D$696:$I$696,S$132/$C$130),0)</f>
        <v>0</v>
      </c>
      <c r="T134" s="25" t="n">
        <f aca="false">IF(AND(T$132&lt;=$C$131,MOD(T$132,$C$130/Assumptions!$C$35)=0),INDEX('Calc Engine'!$D$695:$H$695,ROUNDUP(T$132/$C$130,0))/Assumptions!$C$35,0)+IF(MOD(T$132,$C$130)=0,INDEX('Calc Engine'!$D$696:$I$696,T$132/$C$130),0)</f>
        <v>0</v>
      </c>
      <c r="U134" s="25" t="n">
        <f aca="false">IF(AND(U$132&lt;=$C$131,MOD(U$132,$C$130/Assumptions!$C$35)=0),INDEX('Calc Engine'!$D$695:$H$695,ROUNDUP(U$132/$C$130,0))/Assumptions!$C$35,0)+IF(MOD(U$132,$C$130)=0,INDEX('Calc Engine'!$D$696:$I$696,U$132/$C$130),0)</f>
        <v>0</v>
      </c>
      <c r="V134" s="25" t="n">
        <f aca="false">IF(AND(V$132&lt;=$C$131,MOD(V$132,$C$130/Assumptions!$C$35)=0),INDEX('Calc Engine'!$D$695:$H$695,ROUNDUP(V$132/$C$130,0))/Assumptions!$C$35,0)+IF(MOD(V$132,$C$130)=0,INDEX('Calc Engine'!$D$696:$I$696,V$132/$C$130),0)</f>
        <v>0</v>
      </c>
      <c r="W134" s="25" t="n">
        <f aca="false">IF(AND(W$132&lt;=$C$131,MOD(W$132,$C$130/Assumptions!$C$35)=0),INDEX('Calc Engine'!$D$695:$H$695,ROUNDUP(W$132/$C$130,0))/Assumptions!$C$35,0)+IF(MOD(W$132,$C$130)=0,INDEX('Calc Engine'!$D$696:$I$696,W$132/$C$130),0)</f>
        <v>0</v>
      </c>
      <c r="X134" s="25" t="n">
        <f aca="false">IF(AND(X$132&lt;=$C$131,MOD(X$132,$C$130/Assumptions!$C$35)=0),INDEX('Calc Engine'!$D$695:$H$695,ROUNDUP(X$132/$C$130,0))/Assumptions!$C$35,0)+IF(MOD(X$132,$C$130)=0,INDEX('Calc Engine'!$D$696:$I$696,X$132/$C$130),0)</f>
        <v>0</v>
      </c>
      <c r="Y134" s="25" t="n">
        <f aca="false">IF(AND(Y$132&lt;=$C$131,MOD(Y$132,$C$130/Assumptions!$C$35)=0),INDEX('Calc Engine'!$D$695:$H$695,ROUNDUP(Y$132/$C$130,0))/Assumptions!$C$35,0)+IF(MOD(Y$132,$C$130)=0,INDEX('Calc Engine'!$D$696:$I$696,Y$132/$C$130),0)</f>
        <v>0</v>
      </c>
      <c r="Z134" s="25" t="n">
        <f aca="false">IF(AND(Z$132&lt;=$C$131,MOD(Z$132,$C$130/Assumptions!$C$35)=0),INDEX('Calc Engine'!$D$695:$H$695,ROUNDUP(Z$132/$C$130,0))/Assumptions!$C$35,0)+IF(MOD(Z$132,$C$130)=0,INDEX('Calc Engine'!$D$696:$I$696,Z$132/$C$130),0)</f>
        <v>0</v>
      </c>
      <c r="AA134" s="25" t="n">
        <f aca="false">IF(AND(AA$132&lt;=$C$131,MOD(AA$132,$C$130/Assumptions!$C$35)=0),INDEX('Calc Engine'!$D$695:$H$695,ROUNDUP(AA$132/$C$130,0))/Assumptions!$C$35,0)+IF(MOD(AA$132,$C$130)=0,INDEX('Calc Engine'!$D$696:$I$696,AA$132/$C$130),0)</f>
        <v>0</v>
      </c>
    </row>
    <row r="135" customFormat="false" ht="15" hidden="false" customHeight="false" outlineLevel="0" collapsed="false">
      <c r="A135" s="5" t="s">
        <v>526</v>
      </c>
      <c r="C135" s="28" t="n">
        <f aca="false">'Calc Engine'!C1050</f>
        <v>-78.39</v>
      </c>
      <c r="D135" s="25" t="n">
        <f aca="false">IF(AND(D$132&lt;=$C$131,MOD(D$132,$C$130/Assumptions!$C$35)=0),INDEX('Calc Engine'!$D$1048:$H$1048,ROUNDUP(D$132/$C$130,0))/Assumptions!$C$35,0)+IF(MOD(D$132,$C$130)=0,INDEX('Calc Engine'!$D$1049:$I$1049,D$132/$C$130),0)</f>
        <v>0</v>
      </c>
      <c r="E135" s="25" t="n">
        <f aca="false">IF(AND(E$132&lt;=$C$131,MOD(E$132,$C$130/Assumptions!$C$35)=0),INDEX('Calc Engine'!$D$1048:$H$1048,ROUNDUP(E$132/$C$130,0))/Assumptions!$C$35,0)+IF(MOD(E$132,$C$130)=0,INDEX('Calc Engine'!$D$1049:$I$1049,E$132/$C$130),0)</f>
        <v>0</v>
      </c>
      <c r="F135" s="25" t="n">
        <f aca="false">IF(AND(F$132&lt;=$C$131,MOD(F$132,$C$130/Assumptions!$C$35)=0),INDEX('Calc Engine'!$D$1048:$H$1048,ROUNDUP(F$132/$C$130,0))/Assumptions!$C$35,0)+IF(MOD(F$132,$C$130)=0,INDEX('Calc Engine'!$D$1049:$I$1049,F$132/$C$130),0)</f>
        <v>0</v>
      </c>
      <c r="G135" s="25" t="n">
        <f aca="false">IF(AND(G$132&lt;=$C$131,MOD(G$132,$C$130/Assumptions!$C$35)=0),INDEX('Calc Engine'!$D$1048:$H$1048,ROUNDUP(G$132/$C$130,0))/Assumptions!$C$35,0)+IF(MOD(G$132,$C$130)=0,INDEX('Calc Engine'!$D$1049:$I$1049,G$132/$C$130),0)</f>
        <v>13.3</v>
      </c>
      <c r="H135" s="25" t="n">
        <f aca="false">IF(AND(H$132&lt;=$C$131,MOD(H$132,$C$130/Assumptions!$C$35)=0),INDEX('Calc Engine'!$D$1048:$H$1048,ROUNDUP(H$132/$C$130,0))/Assumptions!$C$35,0)+IF(MOD(H$132,$C$130)=0,INDEX('Calc Engine'!$D$1049:$I$1049,H$132/$C$130),0)</f>
        <v>0</v>
      </c>
      <c r="I135" s="25" t="n">
        <f aca="false">IF(AND(I$132&lt;=$C$131,MOD(I$132,$C$130/Assumptions!$C$35)=0),INDEX('Calc Engine'!$D$1048:$H$1048,ROUNDUP(I$132/$C$130,0))/Assumptions!$C$35,0)+IF(MOD(I$132,$C$130)=0,INDEX('Calc Engine'!$D$1049:$I$1049,I$132/$C$130),0)</f>
        <v>0</v>
      </c>
      <c r="J135" s="25" t="n">
        <f aca="false">IF(AND(J$132&lt;=$C$131,MOD(J$132,$C$130/Assumptions!$C$35)=0),INDEX('Calc Engine'!$D$1048:$H$1048,ROUNDUP(J$132/$C$130,0))/Assumptions!$C$35,0)+IF(MOD(J$132,$C$130)=0,INDEX('Calc Engine'!$D$1049:$I$1049,J$132/$C$130),0)</f>
        <v>0</v>
      </c>
      <c r="K135" s="25" t="n">
        <f aca="false">IF(AND(K$132&lt;=$C$131,MOD(K$132,$C$130/Assumptions!$C$35)=0),INDEX('Calc Engine'!$D$1048:$H$1048,ROUNDUP(K$132/$C$130,0))/Assumptions!$C$35,0)+IF(MOD(K$132,$C$130)=0,INDEX('Calc Engine'!$D$1049:$I$1049,K$132/$C$130),0)</f>
        <v>13.05</v>
      </c>
      <c r="L135" s="25" t="n">
        <f aca="false">IF(AND(L$132&lt;=$C$131,MOD(L$132,$C$130/Assumptions!$C$35)=0),INDEX('Calc Engine'!$D$1048:$H$1048,ROUNDUP(L$132/$C$130,0))/Assumptions!$C$35,0)+IF(MOD(L$132,$C$130)=0,INDEX('Calc Engine'!$D$1049:$I$1049,L$132/$C$130),0)</f>
        <v>0</v>
      </c>
      <c r="M135" s="25" t="n">
        <f aca="false">IF(AND(M$132&lt;=$C$131,MOD(M$132,$C$130/Assumptions!$C$35)=0),INDEX('Calc Engine'!$D$1048:$H$1048,ROUNDUP(M$132/$C$130,0))/Assumptions!$C$35,0)+IF(MOD(M$132,$C$130)=0,INDEX('Calc Engine'!$D$1049:$I$1049,M$132/$C$130),0)</f>
        <v>0</v>
      </c>
      <c r="N135" s="25" t="n">
        <f aca="false">IF(AND(N$132&lt;=$C$131,MOD(N$132,$C$130/Assumptions!$C$35)=0),INDEX('Calc Engine'!$D$1048:$H$1048,ROUNDUP(N$132/$C$130,0))/Assumptions!$C$35,0)+IF(MOD(N$132,$C$130)=0,INDEX('Calc Engine'!$D$1049:$I$1049,N$132/$C$130),0)</f>
        <v>0</v>
      </c>
      <c r="O135" s="25" t="n">
        <f aca="false">IF(AND(O$132&lt;=$C$131,MOD(O$132,$C$130/Assumptions!$C$35)=0),INDEX('Calc Engine'!$D$1048:$H$1048,ROUNDUP(O$132/$C$130,0))/Assumptions!$C$35,0)+IF(MOD(O$132,$C$130)=0,INDEX('Calc Engine'!$D$1049:$I$1049,O$132/$C$130),0)</f>
        <v>29.0034660125589</v>
      </c>
      <c r="P135" s="25" t="n">
        <f aca="false">IF(AND(P$132&lt;=$C$131,MOD(P$132,$C$130/Assumptions!$C$35)=0),INDEX('Calc Engine'!$D$1048:$H$1048,ROUNDUP(P$132/$C$130,0))/Assumptions!$C$35,0)+IF(MOD(P$132,$C$130)=0,INDEX('Calc Engine'!$D$1049:$I$1049,P$132/$C$130),0)</f>
        <v>0</v>
      </c>
      <c r="Q135" s="25" t="n">
        <f aca="false">IF(AND(Q$132&lt;=$C$131,MOD(Q$132,$C$130/Assumptions!$C$35)=0),INDEX('Calc Engine'!$D$1048:$H$1048,ROUNDUP(Q$132/$C$130,0))/Assumptions!$C$35,0)+IF(MOD(Q$132,$C$130)=0,INDEX('Calc Engine'!$D$1049:$I$1049,Q$132/$C$130),0)</f>
        <v>0</v>
      </c>
      <c r="R135" s="25" t="n">
        <f aca="false">IF(AND(R$132&lt;=$C$131,MOD(R$132,$C$130/Assumptions!$C$35)=0),INDEX('Calc Engine'!$D$1048:$H$1048,ROUNDUP(R$132/$C$130,0))/Assumptions!$C$35,0)+IF(MOD(R$132,$C$130)=0,INDEX('Calc Engine'!$D$1049:$I$1049,R$132/$C$130),0)</f>
        <v>0</v>
      </c>
      <c r="S135" s="25" t="n">
        <f aca="false">IF(AND(S$132&lt;=$C$131,MOD(S$132,$C$130/Assumptions!$C$35)=0),INDEX('Calc Engine'!$D$1048:$H$1048,ROUNDUP(S$132/$C$130,0))/Assumptions!$C$35,0)+IF(MOD(S$132,$C$130)=0,INDEX('Calc Engine'!$D$1049:$I$1049,S$132/$C$130),0)</f>
        <v>0</v>
      </c>
      <c r="T135" s="25" t="n">
        <f aca="false">IF(AND(T$132&lt;=$C$131,MOD(T$132,$C$130/Assumptions!$C$35)=0),INDEX('Calc Engine'!$D$1048:$H$1048,ROUNDUP(T$132/$C$130,0))/Assumptions!$C$35,0)+IF(MOD(T$132,$C$130)=0,INDEX('Calc Engine'!$D$1049:$I$1049,T$132/$C$130),0)</f>
        <v>0</v>
      </c>
      <c r="U135" s="25" t="n">
        <f aca="false">IF(AND(U$132&lt;=$C$131,MOD(U$132,$C$130/Assumptions!$C$35)=0),INDEX('Calc Engine'!$D$1048:$H$1048,ROUNDUP(U$132/$C$130,0))/Assumptions!$C$35,0)+IF(MOD(U$132,$C$130)=0,INDEX('Calc Engine'!$D$1049:$I$1049,U$132/$C$130),0)</f>
        <v>0</v>
      </c>
      <c r="V135" s="25" t="n">
        <f aca="false">IF(AND(V$132&lt;=$C$131,MOD(V$132,$C$130/Assumptions!$C$35)=0),INDEX('Calc Engine'!$D$1048:$H$1048,ROUNDUP(V$132/$C$130,0))/Assumptions!$C$35,0)+IF(MOD(V$132,$C$130)=0,INDEX('Calc Engine'!$D$1049:$I$1049,V$132/$C$130),0)</f>
        <v>0</v>
      </c>
      <c r="W135" s="25" t="n">
        <f aca="false">IF(AND(W$132&lt;=$C$131,MOD(W$132,$C$130/Assumptions!$C$35)=0),INDEX('Calc Engine'!$D$1048:$H$1048,ROUNDUP(W$132/$C$130,0))/Assumptions!$C$35,0)+IF(MOD(W$132,$C$130)=0,INDEX('Calc Engine'!$D$1049:$I$1049,W$132/$C$130),0)</f>
        <v>0</v>
      </c>
      <c r="X135" s="25" t="n">
        <f aca="false">IF(AND(X$132&lt;=$C$131,MOD(X$132,$C$130/Assumptions!$C$35)=0),INDEX('Calc Engine'!$D$1048:$H$1048,ROUNDUP(X$132/$C$130,0))/Assumptions!$C$35,0)+IF(MOD(X$132,$C$130)=0,INDEX('Calc Engine'!$D$1049:$I$1049,X$132/$C$130),0)</f>
        <v>0</v>
      </c>
      <c r="Y135" s="25" t="n">
        <f aca="false">IF(AND(Y$132&lt;=$C$131,MOD(Y$132,$C$130/Assumptions!$C$35)=0),INDEX('Calc Engine'!$D$1048:$H$1048,ROUNDUP(Y$132/$C$130,0))/Assumptions!$C$35,0)+IF(MOD(Y$132,$C$130)=0,INDEX('Calc Engine'!$D$1049:$I$1049,Y$132/$C$130),0)</f>
        <v>0</v>
      </c>
      <c r="Z135" s="25" t="n">
        <f aca="false">IF(AND(Z$132&lt;=$C$131,MOD(Z$132,$C$130/Assumptions!$C$35)=0),INDEX('Calc Engine'!$D$1048:$H$1048,ROUNDUP(Z$132/$C$130,0))/Assumptions!$C$35,0)+IF(MOD(Z$132,$C$130)=0,INDEX('Calc Engine'!$D$1049:$I$1049,Z$132/$C$130),0)</f>
        <v>0</v>
      </c>
      <c r="AA135" s="25" t="n">
        <f aca="false">IF(AND(AA$132&lt;=$C$131,MOD(AA$132,$C$130/Assumptions!$C$35)=0),INDEX('Calc Engine'!$D$1048:$H$1048,ROUNDUP(AA$132/$C$130,0))/Assumptions!$C$35,0)+IF(MOD(AA$132,$C$130)=0,INDEX('Calc Engine'!$D$1049:$I$1049,AA$132/$C$130),0)</f>
        <v>0</v>
      </c>
    </row>
    <row r="136" customFormat="false" ht="15" hidden="false" customHeight="false" outlineLevel="0" collapsed="false">
      <c r="A136" s="2" t="s">
        <v>527</v>
      </c>
      <c r="C136" s="41" t="n">
        <f aca="false">IF(SUM(D133:AA133)&lt;=0,-1,(1+IRR(C133:AA133,MAX(-0.9,(SUM(D133:AA133)/-C133)^(1/(COLUMNS(C133:AA133)-1))-1)))^$C$130-1)</f>
        <v>0.130821524311548</v>
      </c>
      <c r="D136" s="41" t="n">
        <f aca="false">IF(SUM(D134:AA134)&lt;=0,-1,(1+IRR(C134:AA134,MAX(-0.9,(SUM(D134:AA134)/-C134)^(1/(COLUMNS(C134:AA134)-1))-1)))^$C$130-1)</f>
        <v>0.00688989684100005</v>
      </c>
      <c r="E136" s="41" t="n">
        <f aca="false">IF(SUM(D135:AA135)&lt;=0,-1,(1+IRR(C135:AA135,MAX(-0.9,(SUM(D135:AA135)/-C135)^(1/(COLUMNS(C135:AA135)-1))-1)))^$C$130-1)</f>
        <v>-0.138534047289145</v>
      </c>
    </row>
    <row r="137" customFormat="false" ht="15" hidden="false" customHeight="false" outlineLevel="0" collapsed="false">
      <c r="A137" s="5" t="s">
        <v>528</v>
      </c>
      <c r="C137" s="25" t="n">
        <f aca="false">Scenarios!$C$12*C133+Scenarios!$D$12*C134+Scenarios!$E$12*C135</f>
        <v>-78.39</v>
      </c>
      <c r="D137" s="25" t="n">
        <f aca="false">Scenarios!$C$12*D133+Scenarios!$D$12*D134+Scenarios!$E$12*D135</f>
        <v>0</v>
      </c>
      <c r="E137" s="25" t="n">
        <f aca="false">Scenarios!$C$12*E133+Scenarios!$D$12*E134+Scenarios!$E$12*E135</f>
        <v>0</v>
      </c>
      <c r="F137" s="25" t="n">
        <f aca="false">Scenarios!$C$12*F133+Scenarios!$D$12*F134+Scenarios!$E$12*F135</f>
        <v>0</v>
      </c>
      <c r="G137" s="25" t="n">
        <f aca="false">Scenarios!$C$12*G133+Scenarios!$D$12*G134+Scenarios!$E$12*G135</f>
        <v>11.2</v>
      </c>
      <c r="H137" s="25" t="n">
        <f aca="false">Scenarios!$C$12*H133+Scenarios!$D$12*H134+Scenarios!$E$12*H135</f>
        <v>0</v>
      </c>
      <c r="I137" s="25" t="n">
        <f aca="false">Scenarios!$C$12*I133+Scenarios!$D$12*I134+Scenarios!$E$12*I135</f>
        <v>0</v>
      </c>
      <c r="J137" s="25" t="n">
        <f aca="false">Scenarios!$C$12*J133+Scenarios!$D$12*J134+Scenarios!$E$12*J135</f>
        <v>0</v>
      </c>
      <c r="K137" s="25" t="n">
        <f aca="false">Scenarios!$C$12*K133+Scenarios!$D$12*K134+Scenarios!$E$12*K135</f>
        <v>10.95</v>
      </c>
      <c r="L137" s="25" t="n">
        <f aca="false">Scenarios!$C$12*L133+Scenarios!$D$12*L134+Scenarios!$E$12*L135</f>
        <v>0</v>
      </c>
      <c r="M137" s="25" t="n">
        <f aca="false">Scenarios!$C$12*M133+Scenarios!$D$12*M134+Scenarios!$E$12*M135</f>
        <v>0</v>
      </c>
      <c r="N137" s="25" t="n">
        <f aca="false">Scenarios!$C$12*N133+Scenarios!$D$12*N134+Scenarios!$E$12*N135</f>
        <v>0</v>
      </c>
      <c r="O137" s="25" t="n">
        <f aca="false">Scenarios!$C$12*O133+Scenarios!$D$12*O134+Scenarios!$E$12*O135</f>
        <v>70.1299308810832</v>
      </c>
      <c r="P137" s="25" t="n">
        <f aca="false">Scenarios!$C$12*P133+Scenarios!$D$12*P134+Scenarios!$E$12*P135</f>
        <v>0</v>
      </c>
      <c r="Q137" s="25" t="n">
        <f aca="false">Scenarios!$C$12*Q133+Scenarios!$D$12*Q134+Scenarios!$E$12*Q135</f>
        <v>0</v>
      </c>
      <c r="R137" s="25" t="n">
        <f aca="false">Scenarios!$C$12*R133+Scenarios!$D$12*R134+Scenarios!$E$12*R135</f>
        <v>0</v>
      </c>
      <c r="S137" s="25" t="n">
        <f aca="false">Scenarios!$C$12*S133+Scenarios!$D$12*S134+Scenarios!$E$12*S135</f>
        <v>0</v>
      </c>
      <c r="T137" s="25" t="n">
        <f aca="false">Scenarios!$C$12*T133+Scenarios!$D$12*T134+Scenarios!$E$12*T135</f>
        <v>0</v>
      </c>
      <c r="U137" s="25" t="n">
        <f aca="false">Scenarios!$C$12*U133+Scenarios!$D$12*U134+Scenarios!$E$12*U135</f>
        <v>0</v>
      </c>
      <c r="V137" s="25" t="n">
        <f aca="false">Scenarios!$C$12*V133+Scenarios!$D$12*V134+Scenarios!$E$12*V135</f>
        <v>0</v>
      </c>
      <c r="W137" s="25" t="n">
        <f aca="false">Scenarios!$C$12*W133+Scenarios!$D$12*W134+Scenarios!$E$12*W135</f>
        <v>0</v>
      </c>
      <c r="X137" s="25" t="n">
        <f aca="false">Scenarios!$C$12*X133+Scenarios!$D$12*X134+Scenarios!$E$12*X135</f>
        <v>0</v>
      </c>
      <c r="Y137" s="25" t="n">
        <f aca="false">Scenarios!$C$12*Y133+Scenarios!$D$12*Y134+Scenarios!$E$12*Y135</f>
        <v>0</v>
      </c>
      <c r="Z137" s="25" t="n">
        <f aca="false">Scenarios!$C$12*Z133+Scenarios!$D$12*Z134+Scenarios!$E$12*Z135</f>
        <v>0</v>
      </c>
      <c r="AA137" s="25" t="n">
        <f aca="false">Scenarios!$C$12*AA133+Scenarios!$D$12*AA134+Scenarios!$E$12*AA135</f>
        <v>0</v>
      </c>
    </row>
    <row r="138" customFormat="false" ht="15" hidden="false" customHeight="false" outlineLevel="0" collapsed="false">
      <c r="A138" s="2" t="s">
        <v>529</v>
      </c>
      <c r="C138" s="41" t="n">
        <f aca="false">IF(SUM(D137:AA137)&lt;=0,-1,(1+IRR(C137:AA137,MAX(-0.9,(SUM(D137:AA137)/-C137)^(1/(COLUMNS(C137:AA137)-1))-1)))^$C$130-1)</f>
        <v>0.0641534432819471</v>
      </c>
    </row>
    <row r="139" customFormat="false" ht="15" hidden="false" customHeight="false" outlineLevel="0" collapsed="false">
      <c r="A139" s="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J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531</v>
      </c>
    </row>
    <row r="2" customFormat="false" ht="15" hidden="false" customHeight="false" outlineLevel="0" collapsed="false">
      <c r="A2" s="5" t="s">
        <v>532</v>
      </c>
    </row>
    <row r="3" customFormat="false" ht="15" hidden="false" customHeight="false" outlineLevel="0" collapsed="false">
      <c r="A3" s="5" t="str">
        <f aca="false">"Position: "&amp;TEXT(Assumptions!$C$32,"0.0")&amp;" purchase price, hold "&amp;Assumptions!$C$34&amp;" periods  |  Selected scenario: "&amp;Assumptions!$D$10</f>
        <v>Position: 78.0 purchase price, hold 2 periods  |  Selected scenario: Downside</v>
      </c>
    </row>
    <row r="8" customFormat="false" ht="15" hidden="false" customHeight="false" outlineLevel="0" collapsed="false">
      <c r="A8" s="9" t="s">
        <v>533</v>
      </c>
      <c r="B8" s="10"/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7" t="s">
        <v>534</v>
      </c>
      <c r="B9" s="7" t="s">
        <v>535</v>
      </c>
      <c r="C9" s="7" t="s">
        <v>148</v>
      </c>
      <c r="D9" s="7" t="s">
        <v>169</v>
      </c>
      <c r="E9" s="7" t="s">
        <v>170</v>
      </c>
      <c r="F9" s="7" t="s">
        <v>365</v>
      </c>
    </row>
    <row r="10" customFormat="false" ht="15" hidden="false" customHeight="false" outlineLevel="0" collapsed="false">
      <c r="A10" s="33" t="n">
        <f aca="false">Assumptions!$C$32+B10</f>
        <v>70</v>
      </c>
      <c r="B10" s="11" t="n">
        <v>-8</v>
      </c>
      <c r="C10" s="21" t="n">
        <f aca="false">J86</f>
        <v>0.177810812336759</v>
      </c>
      <c r="D10" s="21" t="n">
        <f aca="false">J91</f>
        <v>0.0506454721479782</v>
      </c>
      <c r="E10" s="21" t="n">
        <f aca="false">J96</f>
        <v>-0.0982400150578191</v>
      </c>
      <c r="F10" s="21" t="n">
        <f aca="false">CHOOSE(Assumptions!$C$10,C10,D10,E10)</f>
        <v>0.0506454721479782</v>
      </c>
    </row>
    <row r="11" customFormat="false" ht="15" hidden="false" customHeight="false" outlineLevel="0" collapsed="false">
      <c r="A11" s="33" t="n">
        <f aca="false">Assumptions!$C$32+B11</f>
        <v>74</v>
      </c>
      <c r="B11" s="11" t="n">
        <v>-4</v>
      </c>
      <c r="C11" s="21" t="n">
        <f aca="false">J87</f>
        <v>0.153400156381826</v>
      </c>
      <c r="D11" s="21" t="n">
        <f aca="false">J92</f>
        <v>0.0278928040996207</v>
      </c>
      <c r="E11" s="21" t="n">
        <f aca="false">J97</f>
        <v>-0.119223853213249</v>
      </c>
      <c r="F11" s="21" t="n">
        <f aca="false">CHOOSE(Assumptions!$C$10,C11,D11,E11)</f>
        <v>0.0278928040996207</v>
      </c>
    </row>
    <row r="12" customFormat="false" ht="15" hidden="false" customHeight="false" outlineLevel="0" collapsed="false">
      <c r="A12" s="33" t="n">
        <f aca="false">Assumptions!$C$32+B12</f>
        <v>78</v>
      </c>
      <c r="B12" s="11" t="n">
        <v>0</v>
      </c>
      <c r="C12" s="21" t="n">
        <f aca="false">J88</f>
        <v>0.130821524311548</v>
      </c>
      <c r="D12" s="21" t="n">
        <f aca="false">J93</f>
        <v>0.00688989684099932</v>
      </c>
      <c r="E12" s="21" t="n">
        <f aca="false">J98</f>
        <v>-0.138534047289136</v>
      </c>
      <c r="F12" s="21" t="n">
        <f aca="false">CHOOSE(Assumptions!$C$10,C12,D12,E12)</f>
        <v>0.00688989684099932</v>
      </c>
    </row>
    <row r="13" customFormat="false" ht="15" hidden="false" customHeight="false" outlineLevel="0" collapsed="false">
      <c r="A13" s="33" t="n">
        <f aca="false">Assumptions!$C$32+B13</f>
        <v>82</v>
      </c>
      <c r="B13" s="11" t="n">
        <v>4</v>
      </c>
      <c r="C13" s="21" t="n">
        <f aca="false">J89</f>
        <v>0.109850075962698</v>
      </c>
      <c r="D13" s="21" t="n">
        <f aca="false">J94</f>
        <v>-0.0125818502197299</v>
      </c>
      <c r="E13" s="21" t="n">
        <f aca="false">J99</f>
        <v>-0.156385041025591</v>
      </c>
      <c r="F13" s="21" t="n">
        <f aca="false">CHOOSE(Assumptions!$C$10,C13,D13,E13)</f>
        <v>-0.0125818502197299</v>
      </c>
    </row>
    <row r="14" customFormat="false" ht="15" hidden="false" customHeight="false" outlineLevel="0" collapsed="false">
      <c r="A14" s="33" t="n">
        <f aca="false">Assumptions!$C$32+B14</f>
        <v>86</v>
      </c>
      <c r="B14" s="11" t="n">
        <v>8</v>
      </c>
      <c r="C14" s="21" t="n">
        <f aca="false">J90</f>
        <v>0.0902981661068055</v>
      </c>
      <c r="D14" s="21" t="n">
        <f aca="false">J95</f>
        <v>-0.0307043583673131</v>
      </c>
      <c r="E14" s="21" t="n">
        <f aca="false">J100</f>
        <v>-0.172954592239083</v>
      </c>
      <c r="F14" s="21" t="n">
        <f aca="false">CHOOSE(Assumptions!$C$10,C14,D14,E14)</f>
        <v>-0.0307043583673131</v>
      </c>
    </row>
    <row r="18" customFormat="false" ht="15" hidden="false" customHeight="false" outlineLevel="0" collapsed="false">
      <c r="A18" s="9" t="s">
        <v>536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7" t="s">
        <v>537</v>
      </c>
      <c r="B19" s="7"/>
      <c r="C19" s="7" t="s">
        <v>148</v>
      </c>
      <c r="D19" s="7" t="s">
        <v>169</v>
      </c>
      <c r="E19" s="7" t="s">
        <v>170</v>
      </c>
      <c r="F19" s="7" t="s">
        <v>365</v>
      </c>
    </row>
    <row r="20" customFormat="false" ht="15" hidden="false" customHeight="false" outlineLevel="0" collapsed="false">
      <c r="A20" s="17" t="n">
        <v>20</v>
      </c>
      <c r="C20" s="21" t="n">
        <f aca="false">J101</f>
        <v>-0.247569963190367</v>
      </c>
      <c r="D20" s="21" t="n">
        <f aca="false">J106</f>
        <v>-0.229070717259021</v>
      </c>
      <c r="E20" s="21" t="n">
        <f aca="false">J111</f>
        <v>-0.210348857548621</v>
      </c>
      <c r="F20" s="21" t="n">
        <f aca="false">CHOOSE(Assumptions!$C$10,C20,D20,E20)</f>
        <v>-0.229070717259021</v>
      </c>
    </row>
    <row r="21" customFormat="false" ht="15" hidden="false" customHeight="false" outlineLevel="0" collapsed="false">
      <c r="A21" s="17" t="n">
        <v>40</v>
      </c>
      <c r="C21" s="21" t="n">
        <f aca="false">J102</f>
        <v>-0.098509906805812</v>
      </c>
      <c r="D21" s="21" t="n">
        <f aca="false">J107</f>
        <v>-0.0825888932848043</v>
      </c>
      <c r="E21" s="21" t="n">
        <f aca="false">J112</f>
        <v>-0.0664762457482597</v>
      </c>
      <c r="F21" s="21" t="n">
        <f aca="false">CHOOSE(Assumptions!$C$10,C21,D21,E21)</f>
        <v>-0.0825888932848043</v>
      </c>
    </row>
    <row r="22" customFormat="false" ht="15" hidden="false" customHeight="false" outlineLevel="0" collapsed="false">
      <c r="A22" s="17" t="n">
        <v>60</v>
      </c>
      <c r="C22" s="21" t="n">
        <f aca="false">J103</f>
        <v>0.00948418790025865</v>
      </c>
      <c r="D22" s="21" t="n">
        <f aca="false">J108</f>
        <v>0.0241411752884289</v>
      </c>
      <c r="E22" s="21" t="n">
        <f aca="false">J113</f>
        <v>0.0389653136263962</v>
      </c>
      <c r="F22" s="21" t="n">
        <f aca="false">CHOOSE(Assumptions!$C$10,C22,D22,E22)</f>
        <v>0.0241411752884289</v>
      </c>
    </row>
    <row r="23" customFormat="false" ht="15" hidden="false" customHeight="false" outlineLevel="0" collapsed="false">
      <c r="A23" s="17" t="n">
        <v>80</v>
      </c>
      <c r="C23" s="21" t="n">
        <f aca="false">J104</f>
        <v>0.0967371623489573</v>
      </c>
      <c r="D23" s="21" t="n">
        <f aca="false">J109</f>
        <v>0.110597590195224</v>
      </c>
      <c r="E23" s="21" t="n">
        <f aca="false">J114</f>
        <v>0.12460786124477</v>
      </c>
      <c r="F23" s="21" t="n">
        <f aca="false">CHOOSE(Assumptions!$C$10,C23,D23,E23)</f>
        <v>0.110597590195224</v>
      </c>
    </row>
    <row r="24" customFormat="false" ht="15" hidden="false" customHeight="false" outlineLevel="0" collapsed="false">
      <c r="A24" s="17" t="n">
        <v>100</v>
      </c>
      <c r="C24" s="21" t="n">
        <f aca="false">J105</f>
        <v>0.171068291386949</v>
      </c>
      <c r="D24" s="21" t="n">
        <f aca="false">J110</f>
        <v>0.184363699883287</v>
      </c>
      <c r="E24" s="21" t="n">
        <f aca="false">J115</f>
        <v>0.19779611578519</v>
      </c>
      <c r="F24" s="21" t="n">
        <f aca="false">CHOOSE(Assumptions!$C$10,C24,D24,E24)</f>
        <v>0.184363699883287</v>
      </c>
    </row>
    <row r="28" customFormat="false" ht="15" hidden="false" customHeight="false" outlineLevel="0" collapsed="false">
      <c r="A28" s="9" t="s">
        <v>538</v>
      </c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7" t="s">
        <v>539</v>
      </c>
      <c r="B29" s="7"/>
      <c r="C29" s="7" t="s">
        <v>148</v>
      </c>
      <c r="D29" s="7" t="s">
        <v>169</v>
      </c>
      <c r="E29" s="7" t="s">
        <v>170</v>
      </c>
      <c r="F29" s="7" t="s">
        <v>365</v>
      </c>
    </row>
    <row r="30" customFormat="false" ht="15" hidden="false" customHeight="false" outlineLevel="0" collapsed="false">
      <c r="A30" s="13" t="n">
        <v>-0.04</v>
      </c>
      <c r="C30" s="34" t="n">
        <f aca="false">'Calc Engine'!C1410</f>
        <v>0.0488416761243115</v>
      </c>
      <c r="D30" s="34" t="n">
        <f aca="false">'Calc Engine'!C3175</f>
        <v>-0.213924987880173</v>
      </c>
      <c r="E30" s="34" t="n">
        <f aca="false">'Calc Engine'!C4940</f>
        <v>-0.46007280909275</v>
      </c>
      <c r="F30" s="21" t="n">
        <f aca="false">CHOOSE(Assumptions!$C$10,C30,D30,E30)</f>
        <v>-0.213924987880173</v>
      </c>
    </row>
    <row r="31" customFormat="false" ht="15" hidden="false" customHeight="false" outlineLevel="0" collapsed="false">
      <c r="A31" s="13" t="n">
        <v>-0.02</v>
      </c>
      <c r="C31" s="34" t="n">
        <f aca="false">'Calc Engine'!C1763</f>
        <v>0.0890630779770287</v>
      </c>
      <c r="D31" s="34" t="n">
        <f aca="false">'Calc Engine'!C3528</f>
        <v>-0.039239922268487</v>
      </c>
      <c r="E31" s="34" t="n">
        <f aca="false">'Calc Engine'!C5293</f>
        <v>-0.196574818840628</v>
      </c>
      <c r="F31" s="21" t="n">
        <f aca="false">CHOOSE(Assumptions!$C$10,C31,D31,E31)</f>
        <v>-0.039239922268487</v>
      </c>
    </row>
    <row r="32" customFormat="false" ht="15" hidden="false" customHeight="false" outlineLevel="0" collapsed="false">
      <c r="A32" s="13" t="n">
        <v>0</v>
      </c>
      <c r="C32" s="34" t="n">
        <f aca="false">'Calc Engine'!C2116</f>
        <v>0.130821524311548</v>
      </c>
      <c r="D32" s="34" t="n">
        <f aca="false">'Calc Engine'!C3881</f>
        <v>0.00688989684099931</v>
      </c>
      <c r="E32" s="34" t="n">
        <f aca="false">'Calc Engine'!C5646</f>
        <v>-0.138534047289136</v>
      </c>
      <c r="F32" s="21" t="n">
        <f aca="false">CHOOSE(Assumptions!$C$10,C32,D32,E32)</f>
        <v>0.00688989684099931</v>
      </c>
    </row>
    <row r="33" customFormat="false" ht="15" hidden="false" customHeight="false" outlineLevel="0" collapsed="false">
      <c r="A33" s="13" t="n">
        <v>0.02</v>
      </c>
      <c r="C33" s="34" t="n">
        <f aca="false">'Calc Engine'!C2469</f>
        <v>0.252370725308552</v>
      </c>
      <c r="D33" s="34" t="n">
        <f aca="false">'Calc Engine'!C4234</f>
        <v>0.0487326838196562</v>
      </c>
      <c r="E33" s="34" t="n">
        <f aca="false">'Calc Engine'!C5999</f>
        <v>-0.0884786247166909</v>
      </c>
      <c r="F33" s="21" t="n">
        <f aca="false">CHOOSE(Assumptions!$C$10,C33,D33,E33)</f>
        <v>0.0487326838196562</v>
      </c>
    </row>
    <row r="34" customFormat="false" ht="15" hidden="false" customHeight="false" outlineLevel="0" collapsed="false">
      <c r="A34" s="13" t="n">
        <v>0.04</v>
      </c>
      <c r="C34" s="34" t="n">
        <f aca="false">'Calc Engine'!C2822</f>
        <v>0.252370725308552</v>
      </c>
      <c r="D34" s="34" t="n">
        <f aca="false">'Calc Engine'!C4587</f>
        <v>0.0914398067262669</v>
      </c>
      <c r="E34" s="34" t="n">
        <f aca="false">'Calc Engine'!C6352</f>
        <v>-0.044095902878016</v>
      </c>
      <c r="F34" s="21" t="n">
        <f aca="false">CHOOSE(Assumptions!$C$10,C34,D34,E34)</f>
        <v>0.0914398067262669</v>
      </c>
    </row>
    <row r="38" customFormat="false" ht="15" hidden="false" customHeight="false" outlineLevel="0" collapsed="false">
      <c r="A38" s="9" t="s">
        <v>540</v>
      </c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7" t="s">
        <v>541</v>
      </c>
      <c r="B39" s="7"/>
      <c r="C39" s="7" t="s">
        <v>148</v>
      </c>
      <c r="D39" s="7" t="s">
        <v>169</v>
      </c>
      <c r="E39" s="7" t="s">
        <v>170</v>
      </c>
      <c r="F39" s="7" t="s">
        <v>365</v>
      </c>
    </row>
    <row r="40" customFormat="false" ht="15" hidden="false" customHeight="false" outlineLevel="0" collapsed="false">
      <c r="A40" s="13" t="n">
        <v>-0.1</v>
      </c>
      <c r="C40" s="34" t="n">
        <f aca="false">'Calc Engine'!C6705</f>
        <v>0.139722313504187</v>
      </c>
      <c r="D40" s="34" t="n">
        <f aca="false">'Calc Engine'!C8470</f>
        <v>0.031402519952042</v>
      </c>
      <c r="E40" s="34" t="n">
        <f aca="false">'Calc Engine'!C10235</f>
        <v>-0.095027420823675</v>
      </c>
      <c r="F40" s="21" t="n">
        <f aca="false">CHOOSE(Assumptions!$C$10,C40,D40,E40)</f>
        <v>0.031402519952042</v>
      </c>
    </row>
    <row r="41" customFormat="false" ht="15" hidden="false" customHeight="false" outlineLevel="0" collapsed="false">
      <c r="A41" s="13" t="n">
        <v>-0.05</v>
      </c>
      <c r="C41" s="34" t="n">
        <f aca="false">'Calc Engine'!C7058</f>
        <v>0.13305046644196</v>
      </c>
      <c r="D41" s="34" t="n">
        <f aca="false">'Calc Engine'!C8823</f>
        <v>0.0193102279365428</v>
      </c>
      <c r="E41" s="34" t="n">
        <f aca="false">'Calc Engine'!C10588</f>
        <v>-0.116155042556973</v>
      </c>
      <c r="F41" s="21" t="n">
        <f aca="false">CHOOSE(Assumptions!$C$10,C41,D41,E41)</f>
        <v>0.0193102279365428</v>
      </c>
    </row>
    <row r="42" customFormat="false" ht="15" hidden="false" customHeight="false" outlineLevel="0" collapsed="false">
      <c r="A42" s="13" t="n">
        <v>0</v>
      </c>
      <c r="C42" s="34" t="n">
        <f aca="false">'Calc Engine'!C7411</f>
        <v>0.130821524311548</v>
      </c>
      <c r="D42" s="34" t="n">
        <f aca="false">'Calc Engine'!C9176</f>
        <v>0.00688989684099931</v>
      </c>
      <c r="E42" s="34" t="n">
        <f aca="false">'Calc Engine'!C10941</f>
        <v>-0.138534047289136</v>
      </c>
      <c r="F42" s="21" t="n">
        <f aca="false">CHOOSE(Assumptions!$C$10,C42,D42,E42)</f>
        <v>0.00688989684099931</v>
      </c>
    </row>
    <row r="43" customFormat="false" ht="15" hidden="false" customHeight="false" outlineLevel="0" collapsed="false">
      <c r="A43" s="13" t="n">
        <v>0.05</v>
      </c>
      <c r="C43" s="34" t="n">
        <f aca="false">'Calc Engine'!C7764</f>
        <v>0.168688113123758</v>
      </c>
      <c r="D43" s="34" t="n">
        <f aca="false">'Calc Engine'!C9529</f>
        <v>-0.00588194642293028</v>
      </c>
      <c r="E43" s="34" t="n">
        <f aca="false">'Calc Engine'!C11294</f>
        <v>-0.162372227117705</v>
      </c>
      <c r="F43" s="21" t="n">
        <f aca="false">CHOOSE(Assumptions!$C$10,C43,D43,E43)</f>
        <v>-0.00588194642293028</v>
      </c>
    </row>
    <row r="44" customFormat="false" ht="15" hidden="false" customHeight="false" outlineLevel="0" collapsed="false">
      <c r="A44" s="13" t="n">
        <v>0.1</v>
      </c>
      <c r="C44" s="34" t="n">
        <f aca="false">'Calc Engine'!C8117</f>
        <v>0.179713126715643</v>
      </c>
      <c r="D44" s="34" t="n">
        <f aca="false">'Calc Engine'!C9882</f>
        <v>-0.0190316005567342</v>
      </c>
      <c r="E44" s="34" t="n">
        <f aca="false">'Calc Engine'!C11647</f>
        <v>-0.187939454200317</v>
      </c>
      <c r="F44" s="21" t="n">
        <f aca="false">CHOOSE(Assumptions!$C$10,C44,D44,E44)</f>
        <v>-0.0190316005567342</v>
      </c>
    </row>
    <row r="48" customFormat="false" ht="15" hidden="false" customHeight="false" outlineLevel="0" collapsed="false">
      <c r="A48" s="9" t="s">
        <v>542</v>
      </c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7" t="s">
        <v>543</v>
      </c>
      <c r="B49" s="7"/>
      <c r="C49" s="7" t="s">
        <v>148</v>
      </c>
      <c r="D49" s="7" t="s">
        <v>169</v>
      </c>
      <c r="E49" s="7" t="s">
        <v>170</v>
      </c>
      <c r="F49" s="7" t="s">
        <v>365</v>
      </c>
    </row>
    <row r="50" customFormat="false" ht="15" hidden="false" customHeight="false" outlineLevel="0" collapsed="false">
      <c r="A50" s="18" t="n">
        <v>-0.01</v>
      </c>
      <c r="C50" s="34" t="n">
        <f aca="false">'Calc Engine'!C12000</f>
        <v>0.240267576774351</v>
      </c>
      <c r="D50" s="34" t="n">
        <f aca="false">'Calc Engine'!C13765</f>
        <v>0.0044060330346512</v>
      </c>
      <c r="E50" s="34" t="n">
        <f aca="false">'Calc Engine'!C15530</f>
        <v>-0.139094897422414</v>
      </c>
      <c r="F50" s="21" t="n">
        <f aca="false">CHOOSE(Assumptions!$C$10,C50,D50,E50)</f>
        <v>0.0044060330346512</v>
      </c>
    </row>
    <row r="51" customFormat="false" ht="15" hidden="false" customHeight="false" outlineLevel="0" collapsed="false">
      <c r="A51" s="18" t="n">
        <v>-0.005</v>
      </c>
      <c r="C51" s="34" t="n">
        <f aca="false">'Calc Engine'!C12353</f>
        <v>0.129079522221618</v>
      </c>
      <c r="D51" s="34" t="n">
        <f aca="false">'Calc Engine'!C14118</f>
        <v>0.00564471067182124</v>
      </c>
      <c r="E51" s="34" t="n">
        <f aca="false">'Calc Engine'!C15883</f>
        <v>-0.138810955405867</v>
      </c>
      <c r="F51" s="21" t="n">
        <f aca="false">CHOOSE(Assumptions!$C$10,C51,D51,E51)</f>
        <v>0.00564471067182124</v>
      </c>
    </row>
    <row r="52" customFormat="false" ht="15" hidden="false" customHeight="false" outlineLevel="0" collapsed="false">
      <c r="A52" s="18" t="n">
        <v>0</v>
      </c>
      <c r="C52" s="34" t="n">
        <f aca="false">'Calc Engine'!C12706</f>
        <v>0.130821524311548</v>
      </c>
      <c r="D52" s="34" t="n">
        <f aca="false">'Calc Engine'!C14471</f>
        <v>0.00688989684099931</v>
      </c>
      <c r="E52" s="34" t="n">
        <f aca="false">'Calc Engine'!C16236</f>
        <v>-0.138534047289136</v>
      </c>
      <c r="F52" s="21" t="n">
        <f aca="false">CHOOSE(Assumptions!$C$10,C52,D52,E52)</f>
        <v>0.00688989684099931</v>
      </c>
    </row>
    <row r="53" customFormat="false" ht="15" hidden="false" customHeight="false" outlineLevel="0" collapsed="false">
      <c r="A53" s="18" t="n">
        <v>0.01</v>
      </c>
      <c r="C53" s="34" t="n">
        <f aca="false">'Calc Engine'!C13059</f>
        <v>0.134332780635128</v>
      </c>
      <c r="D53" s="34" t="n">
        <f aca="false">'Calc Engine'!C14824</f>
        <v>0.00940023631315189</v>
      </c>
      <c r="E53" s="34" t="n">
        <f aca="false">'Calc Engine'!C16589</f>
        <v>-0.138002106392238</v>
      </c>
      <c r="F53" s="21" t="n">
        <f aca="false">CHOOSE(Assumptions!$C$10,C53,D53,E53)</f>
        <v>0.00940023631315189</v>
      </c>
    </row>
    <row r="54" customFormat="false" ht="15" hidden="false" customHeight="false" outlineLevel="0" collapsed="false">
      <c r="A54" s="18" t="n">
        <v>0.02</v>
      </c>
      <c r="C54" s="34" t="n">
        <f aca="false">'Calc Engine'!C13412</f>
        <v>0.137881047156003</v>
      </c>
      <c r="D54" s="34" t="n">
        <f aca="false">'Calc Engine'!C15177</f>
        <v>0.0119379559745796</v>
      </c>
      <c r="E54" s="34" t="n">
        <f aca="false">'Calc Engine'!C16942</f>
        <v>-0.137500701265524</v>
      </c>
      <c r="F54" s="21" t="n">
        <f aca="false">CHOOSE(Assumptions!$C$10,C54,D54,E54)</f>
        <v>0.0119379559745796</v>
      </c>
    </row>
    <row r="58" customFormat="false" ht="15" hidden="false" customHeight="false" outlineLevel="0" collapsed="false">
      <c r="A58" s="9" t="s">
        <v>544</v>
      </c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A59" s="7" t="s">
        <v>545</v>
      </c>
      <c r="B59" s="7"/>
      <c r="C59" s="7" t="s">
        <v>148</v>
      </c>
      <c r="D59" s="7" t="s">
        <v>169</v>
      </c>
      <c r="E59" s="7" t="s">
        <v>170</v>
      </c>
      <c r="F59" s="7" t="s">
        <v>365</v>
      </c>
    </row>
    <row r="60" customFormat="false" ht="15" hidden="false" customHeight="false" outlineLevel="0" collapsed="false">
      <c r="A60" s="15" t="n">
        <v>-2</v>
      </c>
      <c r="C60" s="34" t="n">
        <f aca="false">'Calc Engine'!C17206</f>
        <v>0.854665539313753</v>
      </c>
      <c r="D60" s="34" t="n">
        <f aca="false">'Calc Engine'!C18971</f>
        <v>0.548450942344359</v>
      </c>
      <c r="E60" s="34" t="n">
        <f aca="false">'Calc Engine'!C20736</f>
        <v>0.280871236049474</v>
      </c>
      <c r="F60" s="21" t="n">
        <f aca="false">CHOOSE(Assumptions!$C$10,C60,D60,E60)</f>
        <v>0.548450942344359</v>
      </c>
    </row>
    <row r="61" customFormat="false" ht="15" hidden="false" customHeight="false" outlineLevel="0" collapsed="false">
      <c r="A61" s="15" t="n">
        <v>-1</v>
      </c>
      <c r="C61" s="34" t="n">
        <f aca="false">'Calc Engine'!C17559</f>
        <v>0.854665539313753</v>
      </c>
      <c r="D61" s="34" t="n">
        <f aca="false">'Calc Engine'!C19324</f>
        <v>0.548450942344359</v>
      </c>
      <c r="E61" s="34" t="n">
        <f aca="false">'Calc Engine'!C21089</f>
        <v>0.280871236049474</v>
      </c>
      <c r="F61" s="21" t="n">
        <f aca="false">CHOOSE(Assumptions!$C$10,C61,D61,E61)</f>
        <v>0.548450942344359</v>
      </c>
    </row>
    <row r="62" customFormat="false" ht="15" hidden="false" customHeight="false" outlineLevel="0" collapsed="false">
      <c r="A62" s="15" t="n">
        <v>0</v>
      </c>
      <c r="C62" s="34" t="n">
        <f aca="false">'Calc Engine'!C17912</f>
        <v>0.866427146668372</v>
      </c>
      <c r="D62" s="34" t="n">
        <f aca="false">'Calc Engine'!C19677</f>
        <v>0.548450942344359</v>
      </c>
      <c r="E62" s="34" t="n">
        <f aca="false">'Calc Engine'!C21442</f>
        <v>0.280871236049474</v>
      </c>
      <c r="F62" s="21" t="n">
        <f aca="false">CHOOSE(Assumptions!$C$10,C62,D62,E62)</f>
        <v>0.548450942344359</v>
      </c>
    </row>
    <row r="63" customFormat="false" ht="15" hidden="false" customHeight="false" outlineLevel="0" collapsed="false">
      <c r="A63" s="15" t="n">
        <v>1</v>
      </c>
      <c r="C63" s="34" t="n">
        <f aca="false">'Calc Engine'!C18265</f>
        <v>1</v>
      </c>
      <c r="D63" s="34" t="n">
        <f aca="false">'Calc Engine'!C20030</f>
        <v>0.548450942344359</v>
      </c>
      <c r="E63" s="34" t="n">
        <f aca="false">'Calc Engine'!C21795</f>
        <v>0.280871236049474</v>
      </c>
      <c r="F63" s="21" t="n">
        <f aca="false">CHOOSE(Assumptions!$C$10,C63,D63,E63)</f>
        <v>0.548450942344359</v>
      </c>
    </row>
    <row r="64" customFormat="false" ht="15" hidden="false" customHeight="false" outlineLevel="0" collapsed="false">
      <c r="A64" s="15" t="n">
        <v>2</v>
      </c>
      <c r="C64" s="34" t="n">
        <f aca="false">'Calc Engine'!C18618</f>
        <v>1</v>
      </c>
      <c r="D64" s="34" t="n">
        <f aca="false">'Calc Engine'!C20383</f>
        <v>0.548450942344359</v>
      </c>
      <c r="E64" s="34" t="n">
        <f aca="false">'Calc Engine'!C22148</f>
        <v>0.280871236049474</v>
      </c>
      <c r="F64" s="21" t="n">
        <f aca="false">CHOOSE(Assumptions!$C$10,C64,D64,E64)</f>
        <v>0.548450942344359</v>
      </c>
    </row>
    <row r="68" customFormat="false" ht="15" hidden="false" customHeight="false" outlineLevel="0" collapsed="false">
      <c r="A68" s="9" t="s">
        <v>546</v>
      </c>
      <c r="B68" s="10"/>
      <c r="C68" s="10"/>
      <c r="D68" s="10"/>
      <c r="E68" s="10"/>
      <c r="F68" s="10"/>
      <c r="G68" s="10"/>
      <c r="H68" s="10"/>
    </row>
    <row r="69" customFormat="false" ht="15" hidden="false" customHeight="false" outlineLevel="0" collapsed="false">
      <c r="A69" s="7" t="s">
        <v>537</v>
      </c>
      <c r="B69" s="7"/>
      <c r="C69" s="7" t="s">
        <v>148</v>
      </c>
      <c r="D69" s="7" t="s">
        <v>169</v>
      </c>
      <c r="E69" s="7" t="s">
        <v>170</v>
      </c>
      <c r="F69" s="7" t="s">
        <v>365</v>
      </c>
    </row>
    <row r="70" customFormat="false" ht="15" hidden="false" customHeight="false" outlineLevel="0" collapsed="false">
      <c r="A70" s="46" t="n">
        <f aca="false">$A$20</f>
        <v>20</v>
      </c>
      <c r="C70" s="31" t="n">
        <f aca="false">(SUM('Calc Engine'!C342:I342)+Assumptions!$C$31*$A$70/100)/'Calc Engine'!C257</f>
        <v>0.514734022196709</v>
      </c>
      <c r="D70" s="31" t="n">
        <f aca="false">(SUM('Calc Engine'!C695:I695)+Assumptions!$C$31*$A$70/100)/'Calc Engine'!C610</f>
        <v>0.553004209720628</v>
      </c>
      <c r="E70" s="31" t="n">
        <f aca="false">(SUM('Calc Engine'!C1048:I1048)+Assumptions!$C$31*$A$70/100)/'Calc Engine'!C963</f>
        <v>0.591274397244547</v>
      </c>
      <c r="F70" s="31" t="n">
        <f aca="false">CHOOSE(Assumptions!$C$10,C70,D70,E70)</f>
        <v>0.553004209720628</v>
      </c>
    </row>
    <row r="71" customFormat="false" ht="15" hidden="false" customHeight="false" outlineLevel="0" collapsed="false">
      <c r="A71" s="46" t="n">
        <f aca="false">$A$21</f>
        <v>40</v>
      </c>
      <c r="C71" s="31" t="n">
        <f aca="false">(SUM('Calc Engine'!C342:I342)+Assumptions!$C$31*$A$71/100)/'Calc Engine'!C257</f>
        <v>0.769868605689501</v>
      </c>
      <c r="D71" s="31" t="n">
        <f aca="false">(SUM('Calc Engine'!C695:I695)+Assumptions!$C$31*$A$71/100)/'Calc Engine'!C610</f>
        <v>0.80813879321342</v>
      </c>
      <c r="E71" s="31" t="n">
        <f aca="false">(SUM('Calc Engine'!C1048:I1048)+Assumptions!$C$31*$A$71/100)/'Calc Engine'!C963</f>
        <v>0.846408980737339</v>
      </c>
      <c r="F71" s="31" t="n">
        <f aca="false">CHOOSE(Assumptions!$C$10,C71,D71,E71)</f>
        <v>0.80813879321342</v>
      </c>
    </row>
    <row r="72" customFormat="false" ht="15" hidden="false" customHeight="false" outlineLevel="0" collapsed="false">
      <c r="A72" s="46" t="n">
        <f aca="false">$A$22</f>
        <v>60</v>
      </c>
      <c r="C72" s="31" t="n">
        <f aca="false">(SUM('Calc Engine'!C342:I342)+Assumptions!$C$31*$A$72/100)/'Calc Engine'!C257</f>
        <v>1.02500318918229</v>
      </c>
      <c r="D72" s="31" t="n">
        <f aca="false">(SUM('Calc Engine'!C695:I695)+Assumptions!$C$31*$A$72/100)/'Calc Engine'!C610</f>
        <v>1.06327337670621</v>
      </c>
      <c r="E72" s="31" t="n">
        <f aca="false">(SUM('Calc Engine'!C1048:I1048)+Assumptions!$C$31*$A$72/100)/'Calc Engine'!C963</f>
        <v>1.10154356423013</v>
      </c>
      <c r="F72" s="31" t="n">
        <f aca="false">CHOOSE(Assumptions!$C$10,C72,D72,E72)</f>
        <v>1.06327337670621</v>
      </c>
    </row>
    <row r="73" customFormat="false" ht="15" hidden="false" customHeight="false" outlineLevel="0" collapsed="false">
      <c r="A73" s="46" t="n">
        <f aca="false">$A$23</f>
        <v>80</v>
      </c>
      <c r="C73" s="31" t="n">
        <f aca="false">(SUM('Calc Engine'!C342:I342)+Assumptions!$C$31*$A$73/100)/'Calc Engine'!C257</f>
        <v>1.28013777267509</v>
      </c>
      <c r="D73" s="31" t="n">
        <f aca="false">(SUM('Calc Engine'!C695:I695)+Assumptions!$C$31*$A$73/100)/'Calc Engine'!C610</f>
        <v>1.31840796019901</v>
      </c>
      <c r="E73" s="31" t="n">
        <f aca="false">(SUM('Calc Engine'!C1048:I1048)+Assumptions!$C$31*$A$73/100)/'Calc Engine'!C963</f>
        <v>1.35667814772292</v>
      </c>
      <c r="F73" s="31" t="n">
        <f aca="false">CHOOSE(Assumptions!$C$10,C73,D73,E73)</f>
        <v>1.31840796019901</v>
      </c>
    </row>
    <row r="74" customFormat="false" ht="15" hidden="false" customHeight="false" outlineLevel="0" collapsed="false">
      <c r="A74" s="46" t="n">
        <f aca="false">$A$24</f>
        <v>100</v>
      </c>
      <c r="C74" s="31" t="n">
        <f aca="false">(SUM('Calc Engine'!C342:I342)+Assumptions!$C$31*$A$74/100)/'Calc Engine'!C257</f>
        <v>1.53527235616788</v>
      </c>
      <c r="D74" s="31" t="n">
        <f aca="false">(SUM('Calc Engine'!C695:I695)+Assumptions!$C$31*$A$74/100)/'Calc Engine'!C610</f>
        <v>1.5735425436918</v>
      </c>
      <c r="E74" s="31" t="n">
        <f aca="false">(SUM('Calc Engine'!C1048:I1048)+Assumptions!$C$31*$A$74/100)/'Calc Engine'!C963</f>
        <v>1.61181273121572</v>
      </c>
      <c r="F74" s="31" t="n">
        <f aca="false">CHOOSE(Assumptions!$C$10,C74,D74,E74)</f>
        <v>1.5735425436918</v>
      </c>
    </row>
    <row r="82" customFormat="false" ht="15" hidden="false" customHeight="false" outlineLevel="0" collapsed="false">
      <c r="A82" s="5" t="s">
        <v>547</v>
      </c>
    </row>
    <row r="84" customFormat="false" ht="15" hidden="false" customHeight="false" outlineLevel="0" collapsed="false">
      <c r="A84" s="9" t="s">
        <v>548</v>
      </c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false" outlineLevel="0" collapsed="false">
      <c r="A85" s="7" t="s">
        <v>549</v>
      </c>
      <c r="B85" s="7"/>
      <c r="C85" s="7" t="s">
        <v>392</v>
      </c>
      <c r="D85" s="7" t="s">
        <v>393</v>
      </c>
      <c r="E85" s="7" t="s">
        <v>394</v>
      </c>
      <c r="F85" s="7" t="s">
        <v>395</v>
      </c>
      <c r="G85" s="7" t="s">
        <v>396</v>
      </c>
      <c r="H85" s="7" t="s">
        <v>397</v>
      </c>
      <c r="I85" s="7" t="s">
        <v>398</v>
      </c>
      <c r="J85" s="7" t="s">
        <v>384</v>
      </c>
    </row>
    <row r="86" customFormat="false" ht="15" hidden="false" customHeight="false" outlineLevel="0" collapsed="false">
      <c r="A86" s="5" t="str">
        <f aca="false">"Base Case · price point 1"</f>
        <v>Base Case · price point 1</v>
      </c>
      <c r="C86" s="25" t="n">
        <f aca="false">-Assumptions!$C$31*$A$10/100*(1+Assumptions!$C$33)</f>
        <v>-70.35</v>
      </c>
      <c r="D86" s="25" t="n">
        <f aca="false">'Calc Engine'!D342+'Calc Engine'!D343</f>
        <v>10.3</v>
      </c>
      <c r="E86" s="25" t="n">
        <f aca="false">'Calc Engine'!E342+'Calc Engine'!E343</f>
        <v>10.05</v>
      </c>
      <c r="F86" s="25" t="n">
        <f aca="false">'Calc Engine'!F342+'Calc Engine'!F343</f>
        <v>88.8196128728414</v>
      </c>
      <c r="G86" s="25" t="n">
        <f aca="false">'Calc Engine'!G342+'Calc Engine'!G343</f>
        <v>0</v>
      </c>
      <c r="H86" s="25" t="n">
        <f aca="false">'Calc Engine'!H342+'Calc Engine'!H343</f>
        <v>0</v>
      </c>
      <c r="I86" s="25" t="n">
        <f aca="false">'Calc Engine'!I342+'Calc Engine'!I343</f>
        <v>0</v>
      </c>
      <c r="J86" s="21" t="n">
        <f aca="false">IF(SUM(D86:I86)&lt;=0,-1,IFERROR(IRR(C86:I86,MAX(-0.9,(SUM(D86:I86)/-C86)^(1/Assumptions!$C$34)-1)),IRR(C86:I86,0.1)))</f>
        <v>0.177810812336759</v>
      </c>
    </row>
    <row r="87" customFormat="false" ht="15" hidden="false" customHeight="false" outlineLevel="0" collapsed="false">
      <c r="A87" s="5" t="str">
        <f aca="false">"Base Case · price point 2"</f>
        <v>Base Case · price point 2</v>
      </c>
      <c r="C87" s="25" t="n">
        <f aca="false">-Assumptions!$C$31*$A$11/100*(1+Assumptions!$C$33)</f>
        <v>-74.37</v>
      </c>
      <c r="D87" s="25" t="n">
        <f aca="false">'Calc Engine'!D342+'Calc Engine'!D343</f>
        <v>10.3</v>
      </c>
      <c r="E87" s="25" t="n">
        <f aca="false">'Calc Engine'!E342+'Calc Engine'!E343</f>
        <v>10.05</v>
      </c>
      <c r="F87" s="25" t="n">
        <f aca="false">'Calc Engine'!F342+'Calc Engine'!F343</f>
        <v>88.8196128728414</v>
      </c>
      <c r="G87" s="25" t="n">
        <f aca="false">'Calc Engine'!G342+'Calc Engine'!G343</f>
        <v>0</v>
      </c>
      <c r="H87" s="25" t="n">
        <f aca="false">'Calc Engine'!H342+'Calc Engine'!H343</f>
        <v>0</v>
      </c>
      <c r="I87" s="25" t="n">
        <f aca="false">'Calc Engine'!I342+'Calc Engine'!I343</f>
        <v>0</v>
      </c>
      <c r="J87" s="21" t="n">
        <f aca="false">IF(SUM(D87:I87)&lt;=0,-1,IFERROR(IRR(C87:I87,MAX(-0.9,(SUM(D87:I87)/-C87)^(1/Assumptions!$C$34)-1)),IRR(C87:I87,0.1)))</f>
        <v>0.153400156381826</v>
      </c>
    </row>
    <row r="88" customFormat="false" ht="15" hidden="false" customHeight="false" outlineLevel="0" collapsed="false">
      <c r="A88" s="5" t="str">
        <f aca="false">"Base Case · price point 3"</f>
        <v>Base Case · price point 3</v>
      </c>
      <c r="C88" s="25" t="n">
        <f aca="false">-Assumptions!$C$31*$A$12/100*(1+Assumptions!$C$33)</f>
        <v>-78.39</v>
      </c>
      <c r="D88" s="25" t="n">
        <f aca="false">'Calc Engine'!D342+'Calc Engine'!D343</f>
        <v>10.3</v>
      </c>
      <c r="E88" s="25" t="n">
        <f aca="false">'Calc Engine'!E342+'Calc Engine'!E343</f>
        <v>10.05</v>
      </c>
      <c r="F88" s="25" t="n">
        <f aca="false">'Calc Engine'!F342+'Calc Engine'!F343</f>
        <v>88.8196128728414</v>
      </c>
      <c r="G88" s="25" t="n">
        <f aca="false">'Calc Engine'!G342+'Calc Engine'!G343</f>
        <v>0</v>
      </c>
      <c r="H88" s="25" t="n">
        <f aca="false">'Calc Engine'!H342+'Calc Engine'!H343</f>
        <v>0</v>
      </c>
      <c r="I88" s="25" t="n">
        <f aca="false">'Calc Engine'!I342+'Calc Engine'!I343</f>
        <v>0</v>
      </c>
      <c r="J88" s="21" t="n">
        <f aca="false">IF(SUM(D88:I88)&lt;=0,-1,IFERROR(IRR(C88:I88,MAX(-0.9,(SUM(D88:I88)/-C88)^(1/Assumptions!$C$34)-1)),IRR(C88:I88,0.1)))</f>
        <v>0.130821524311548</v>
      </c>
    </row>
    <row r="89" customFormat="false" ht="15" hidden="false" customHeight="false" outlineLevel="0" collapsed="false">
      <c r="A89" s="5" t="str">
        <f aca="false">"Base Case · price point 4"</f>
        <v>Base Case · price point 4</v>
      </c>
      <c r="C89" s="25" t="n">
        <f aca="false">-Assumptions!$C$31*$A$13/100*(1+Assumptions!$C$33)</f>
        <v>-82.41</v>
      </c>
      <c r="D89" s="25" t="n">
        <f aca="false">'Calc Engine'!D342+'Calc Engine'!D343</f>
        <v>10.3</v>
      </c>
      <c r="E89" s="25" t="n">
        <f aca="false">'Calc Engine'!E342+'Calc Engine'!E343</f>
        <v>10.05</v>
      </c>
      <c r="F89" s="25" t="n">
        <f aca="false">'Calc Engine'!F342+'Calc Engine'!F343</f>
        <v>88.8196128728414</v>
      </c>
      <c r="G89" s="25" t="n">
        <f aca="false">'Calc Engine'!G342+'Calc Engine'!G343</f>
        <v>0</v>
      </c>
      <c r="H89" s="25" t="n">
        <f aca="false">'Calc Engine'!H342+'Calc Engine'!H343</f>
        <v>0</v>
      </c>
      <c r="I89" s="25" t="n">
        <f aca="false">'Calc Engine'!I342+'Calc Engine'!I343</f>
        <v>0</v>
      </c>
      <c r="J89" s="21" t="n">
        <f aca="false">IF(SUM(D89:I89)&lt;=0,-1,IFERROR(IRR(C89:I89,MAX(-0.9,(SUM(D89:I89)/-C89)^(1/Assumptions!$C$34)-1)),IRR(C89:I89,0.1)))</f>
        <v>0.109850075962698</v>
      </c>
    </row>
    <row r="90" customFormat="false" ht="15" hidden="false" customHeight="false" outlineLevel="0" collapsed="false">
      <c r="A90" s="5" t="str">
        <f aca="false">"Base Case · price point 5"</f>
        <v>Base Case · price point 5</v>
      </c>
      <c r="C90" s="25" t="n">
        <f aca="false">-Assumptions!$C$31*$A$14/100*(1+Assumptions!$C$33)</f>
        <v>-86.43</v>
      </c>
      <c r="D90" s="25" t="n">
        <f aca="false">'Calc Engine'!D342+'Calc Engine'!D343</f>
        <v>10.3</v>
      </c>
      <c r="E90" s="25" t="n">
        <f aca="false">'Calc Engine'!E342+'Calc Engine'!E343</f>
        <v>10.05</v>
      </c>
      <c r="F90" s="25" t="n">
        <f aca="false">'Calc Engine'!F342+'Calc Engine'!F343</f>
        <v>88.8196128728414</v>
      </c>
      <c r="G90" s="25" t="n">
        <f aca="false">'Calc Engine'!G342+'Calc Engine'!G343</f>
        <v>0</v>
      </c>
      <c r="H90" s="25" t="n">
        <f aca="false">'Calc Engine'!H342+'Calc Engine'!H343</f>
        <v>0</v>
      </c>
      <c r="I90" s="25" t="n">
        <f aca="false">'Calc Engine'!I342+'Calc Engine'!I343</f>
        <v>0</v>
      </c>
      <c r="J90" s="21" t="n">
        <f aca="false">IF(SUM(D90:I90)&lt;=0,-1,IFERROR(IRR(C90:I90,MAX(-0.9,(SUM(D90:I90)/-C90)^(1/Assumptions!$C$34)-1)),IRR(C90:I90,0.1)))</f>
        <v>0.0902981661068055</v>
      </c>
    </row>
    <row r="91" customFormat="false" ht="15" hidden="false" customHeight="false" outlineLevel="0" collapsed="false">
      <c r="A91" s="5" t="str">
        <f aca="false">"Downside · price point 1"</f>
        <v>Downside · price point 1</v>
      </c>
      <c r="C91" s="25" t="n">
        <f aca="false">-Assumptions!$C$31*$A$10/100*(1+Assumptions!$C$33)</f>
        <v>-70.35</v>
      </c>
      <c r="D91" s="25" t="n">
        <f aca="false">'Calc Engine'!D695+'Calc Engine'!D696</f>
        <v>11.8</v>
      </c>
      <c r="E91" s="25" t="n">
        <f aca="false">'Calc Engine'!E695+'Calc Engine'!E696</f>
        <v>11.55</v>
      </c>
      <c r="F91" s="25" t="n">
        <f aca="false">'Calc Engine'!F695+'Calc Engine'!F696</f>
        <v>56.4287463304553</v>
      </c>
      <c r="G91" s="25" t="n">
        <f aca="false">'Calc Engine'!G695+'Calc Engine'!G696</f>
        <v>0</v>
      </c>
      <c r="H91" s="25" t="n">
        <f aca="false">'Calc Engine'!H695+'Calc Engine'!H696</f>
        <v>0</v>
      </c>
      <c r="I91" s="25" t="n">
        <f aca="false">'Calc Engine'!I695+'Calc Engine'!I696</f>
        <v>0</v>
      </c>
      <c r="J91" s="21" t="n">
        <f aca="false">IF(SUM(D91:I91)&lt;=0,-1,IFERROR(IRR(C91:I91,MAX(-0.9,(SUM(D91:I91)/-C91)^(1/Assumptions!$C$34)-1)),IRR(C91:I91,0.1)))</f>
        <v>0.0506454721479782</v>
      </c>
    </row>
    <row r="92" customFormat="false" ht="15" hidden="false" customHeight="false" outlineLevel="0" collapsed="false">
      <c r="A92" s="5" t="str">
        <f aca="false">"Downside · price point 2"</f>
        <v>Downside · price point 2</v>
      </c>
      <c r="C92" s="25" t="n">
        <f aca="false">-Assumptions!$C$31*$A$11/100*(1+Assumptions!$C$33)</f>
        <v>-74.37</v>
      </c>
      <c r="D92" s="25" t="n">
        <f aca="false">'Calc Engine'!D695+'Calc Engine'!D696</f>
        <v>11.8</v>
      </c>
      <c r="E92" s="25" t="n">
        <f aca="false">'Calc Engine'!E695+'Calc Engine'!E696</f>
        <v>11.55</v>
      </c>
      <c r="F92" s="25" t="n">
        <f aca="false">'Calc Engine'!F695+'Calc Engine'!F696</f>
        <v>56.4287463304553</v>
      </c>
      <c r="G92" s="25" t="n">
        <f aca="false">'Calc Engine'!G695+'Calc Engine'!G696</f>
        <v>0</v>
      </c>
      <c r="H92" s="25" t="n">
        <f aca="false">'Calc Engine'!H695+'Calc Engine'!H696</f>
        <v>0</v>
      </c>
      <c r="I92" s="25" t="n">
        <f aca="false">'Calc Engine'!I695+'Calc Engine'!I696</f>
        <v>0</v>
      </c>
      <c r="J92" s="21" t="n">
        <f aca="false">IF(SUM(D92:I92)&lt;=0,-1,IFERROR(IRR(C92:I92,MAX(-0.9,(SUM(D92:I92)/-C92)^(1/Assumptions!$C$34)-1)),IRR(C92:I92,0.1)))</f>
        <v>0.0278928040996207</v>
      </c>
    </row>
    <row r="93" customFormat="false" ht="15" hidden="false" customHeight="false" outlineLevel="0" collapsed="false">
      <c r="A93" s="5" t="str">
        <f aca="false">"Downside · price point 3"</f>
        <v>Downside · price point 3</v>
      </c>
      <c r="C93" s="25" t="n">
        <f aca="false">-Assumptions!$C$31*$A$12/100*(1+Assumptions!$C$33)</f>
        <v>-78.39</v>
      </c>
      <c r="D93" s="25" t="n">
        <f aca="false">'Calc Engine'!D695+'Calc Engine'!D696</f>
        <v>11.8</v>
      </c>
      <c r="E93" s="25" t="n">
        <f aca="false">'Calc Engine'!E695+'Calc Engine'!E696</f>
        <v>11.55</v>
      </c>
      <c r="F93" s="25" t="n">
        <f aca="false">'Calc Engine'!F695+'Calc Engine'!F696</f>
        <v>56.4287463304553</v>
      </c>
      <c r="G93" s="25" t="n">
        <f aca="false">'Calc Engine'!G695+'Calc Engine'!G696</f>
        <v>0</v>
      </c>
      <c r="H93" s="25" t="n">
        <f aca="false">'Calc Engine'!H695+'Calc Engine'!H696</f>
        <v>0</v>
      </c>
      <c r="I93" s="25" t="n">
        <f aca="false">'Calc Engine'!I695+'Calc Engine'!I696</f>
        <v>0</v>
      </c>
      <c r="J93" s="21" t="n">
        <f aca="false">IF(SUM(D93:I93)&lt;=0,-1,IFERROR(IRR(C93:I93,MAX(-0.9,(SUM(D93:I93)/-C93)^(1/Assumptions!$C$34)-1)),IRR(C93:I93,0.1)))</f>
        <v>0.00688989684099932</v>
      </c>
    </row>
    <row r="94" customFormat="false" ht="15" hidden="false" customHeight="false" outlineLevel="0" collapsed="false">
      <c r="A94" s="5" t="str">
        <f aca="false">"Downside · price point 4"</f>
        <v>Downside · price point 4</v>
      </c>
      <c r="C94" s="25" t="n">
        <f aca="false">-Assumptions!$C$31*$A$13/100*(1+Assumptions!$C$33)</f>
        <v>-82.41</v>
      </c>
      <c r="D94" s="25" t="n">
        <f aca="false">'Calc Engine'!D695+'Calc Engine'!D696</f>
        <v>11.8</v>
      </c>
      <c r="E94" s="25" t="n">
        <f aca="false">'Calc Engine'!E695+'Calc Engine'!E696</f>
        <v>11.55</v>
      </c>
      <c r="F94" s="25" t="n">
        <f aca="false">'Calc Engine'!F695+'Calc Engine'!F696</f>
        <v>56.4287463304553</v>
      </c>
      <c r="G94" s="25" t="n">
        <f aca="false">'Calc Engine'!G695+'Calc Engine'!G696</f>
        <v>0</v>
      </c>
      <c r="H94" s="25" t="n">
        <f aca="false">'Calc Engine'!H695+'Calc Engine'!H696</f>
        <v>0</v>
      </c>
      <c r="I94" s="25" t="n">
        <f aca="false">'Calc Engine'!I695+'Calc Engine'!I696</f>
        <v>0</v>
      </c>
      <c r="J94" s="21" t="n">
        <f aca="false">IF(SUM(D94:I94)&lt;=0,-1,IFERROR(IRR(C94:I94,MAX(-0.9,(SUM(D94:I94)/-C94)^(1/Assumptions!$C$34)-1)),IRR(C94:I94,0.1)))</f>
        <v>-0.0125818502197299</v>
      </c>
    </row>
    <row r="95" customFormat="false" ht="15" hidden="false" customHeight="false" outlineLevel="0" collapsed="false">
      <c r="A95" s="5" t="str">
        <f aca="false">"Downside · price point 5"</f>
        <v>Downside · price point 5</v>
      </c>
      <c r="C95" s="25" t="n">
        <f aca="false">-Assumptions!$C$31*$A$14/100*(1+Assumptions!$C$33)</f>
        <v>-86.43</v>
      </c>
      <c r="D95" s="25" t="n">
        <f aca="false">'Calc Engine'!D695+'Calc Engine'!D696</f>
        <v>11.8</v>
      </c>
      <c r="E95" s="25" t="n">
        <f aca="false">'Calc Engine'!E695+'Calc Engine'!E696</f>
        <v>11.55</v>
      </c>
      <c r="F95" s="25" t="n">
        <f aca="false">'Calc Engine'!F695+'Calc Engine'!F696</f>
        <v>56.4287463304553</v>
      </c>
      <c r="G95" s="25" t="n">
        <f aca="false">'Calc Engine'!G695+'Calc Engine'!G696</f>
        <v>0</v>
      </c>
      <c r="H95" s="25" t="n">
        <f aca="false">'Calc Engine'!H695+'Calc Engine'!H696</f>
        <v>0</v>
      </c>
      <c r="I95" s="25" t="n">
        <f aca="false">'Calc Engine'!I695+'Calc Engine'!I696</f>
        <v>0</v>
      </c>
      <c r="J95" s="21" t="n">
        <f aca="false">IF(SUM(D95:I95)&lt;=0,-1,IFERROR(IRR(C95:I95,MAX(-0.9,(SUM(D95:I95)/-C95)^(1/Assumptions!$C$34)-1)),IRR(C95:I95,0.1)))</f>
        <v>-0.0307043583673131</v>
      </c>
    </row>
    <row r="96" customFormat="false" ht="15" hidden="false" customHeight="false" outlineLevel="0" collapsed="false">
      <c r="A96" s="5" t="str">
        <f aca="false">"Severe Downside · price point 1"</f>
        <v>Severe Downside · price point 1</v>
      </c>
      <c r="C96" s="25" t="n">
        <f aca="false">-Assumptions!$C$31*$A$10/100*(1+Assumptions!$C$33)</f>
        <v>-70.35</v>
      </c>
      <c r="D96" s="25" t="n">
        <f aca="false">'Calc Engine'!D1048+'Calc Engine'!D1049</f>
        <v>13.3</v>
      </c>
      <c r="E96" s="25" t="n">
        <f aca="false">'Calc Engine'!E1048+'Calc Engine'!E1049</f>
        <v>13.05</v>
      </c>
      <c r="F96" s="25" t="n">
        <f aca="false">'Calc Engine'!F1048+'Calc Engine'!F1049</f>
        <v>29.0034660125589</v>
      </c>
      <c r="G96" s="25" t="n">
        <f aca="false">'Calc Engine'!G1048+'Calc Engine'!G1049</f>
        <v>0</v>
      </c>
      <c r="H96" s="25" t="n">
        <f aca="false">'Calc Engine'!H1048+'Calc Engine'!H1049</f>
        <v>0</v>
      </c>
      <c r="I96" s="25" t="n">
        <f aca="false">'Calc Engine'!I1048+'Calc Engine'!I1049</f>
        <v>0</v>
      </c>
      <c r="J96" s="21" t="n">
        <f aca="false">IF(SUM(D96:I96)&lt;=0,-1,IFERROR(IRR(C96:I96,MAX(-0.9,(SUM(D96:I96)/-C96)^(1/Assumptions!$C$34)-1)),IRR(C96:I96,0.1)))</f>
        <v>-0.0982400150578191</v>
      </c>
    </row>
    <row r="97" customFormat="false" ht="15" hidden="false" customHeight="false" outlineLevel="0" collapsed="false">
      <c r="A97" s="5" t="str">
        <f aca="false">"Severe Downside · price point 2"</f>
        <v>Severe Downside · price point 2</v>
      </c>
      <c r="C97" s="25" t="n">
        <f aca="false">-Assumptions!$C$31*$A$11/100*(1+Assumptions!$C$33)</f>
        <v>-74.37</v>
      </c>
      <c r="D97" s="25" t="n">
        <f aca="false">'Calc Engine'!D1048+'Calc Engine'!D1049</f>
        <v>13.3</v>
      </c>
      <c r="E97" s="25" t="n">
        <f aca="false">'Calc Engine'!E1048+'Calc Engine'!E1049</f>
        <v>13.05</v>
      </c>
      <c r="F97" s="25" t="n">
        <f aca="false">'Calc Engine'!F1048+'Calc Engine'!F1049</f>
        <v>29.0034660125589</v>
      </c>
      <c r="G97" s="25" t="n">
        <f aca="false">'Calc Engine'!G1048+'Calc Engine'!G1049</f>
        <v>0</v>
      </c>
      <c r="H97" s="25" t="n">
        <f aca="false">'Calc Engine'!H1048+'Calc Engine'!H1049</f>
        <v>0</v>
      </c>
      <c r="I97" s="25" t="n">
        <f aca="false">'Calc Engine'!I1048+'Calc Engine'!I1049</f>
        <v>0</v>
      </c>
      <c r="J97" s="21" t="n">
        <f aca="false">IF(SUM(D97:I97)&lt;=0,-1,IFERROR(IRR(C97:I97,MAX(-0.9,(SUM(D97:I97)/-C97)^(1/Assumptions!$C$34)-1)),IRR(C97:I97,0.1)))</f>
        <v>-0.119223853213249</v>
      </c>
    </row>
    <row r="98" customFormat="false" ht="15" hidden="false" customHeight="false" outlineLevel="0" collapsed="false">
      <c r="A98" s="5" t="str">
        <f aca="false">"Severe Downside · price point 3"</f>
        <v>Severe Downside · price point 3</v>
      </c>
      <c r="C98" s="25" t="n">
        <f aca="false">-Assumptions!$C$31*$A$12/100*(1+Assumptions!$C$33)</f>
        <v>-78.39</v>
      </c>
      <c r="D98" s="25" t="n">
        <f aca="false">'Calc Engine'!D1048+'Calc Engine'!D1049</f>
        <v>13.3</v>
      </c>
      <c r="E98" s="25" t="n">
        <f aca="false">'Calc Engine'!E1048+'Calc Engine'!E1049</f>
        <v>13.05</v>
      </c>
      <c r="F98" s="25" t="n">
        <f aca="false">'Calc Engine'!F1048+'Calc Engine'!F1049</f>
        <v>29.0034660125589</v>
      </c>
      <c r="G98" s="25" t="n">
        <f aca="false">'Calc Engine'!G1048+'Calc Engine'!G1049</f>
        <v>0</v>
      </c>
      <c r="H98" s="25" t="n">
        <f aca="false">'Calc Engine'!H1048+'Calc Engine'!H1049</f>
        <v>0</v>
      </c>
      <c r="I98" s="25" t="n">
        <f aca="false">'Calc Engine'!I1048+'Calc Engine'!I1049</f>
        <v>0</v>
      </c>
      <c r="J98" s="21" t="n">
        <f aca="false">IF(SUM(D98:I98)&lt;=0,-1,IFERROR(IRR(C98:I98,MAX(-0.9,(SUM(D98:I98)/-C98)^(1/Assumptions!$C$34)-1)),IRR(C98:I98,0.1)))</f>
        <v>-0.138534047289136</v>
      </c>
    </row>
    <row r="99" customFormat="false" ht="15" hidden="false" customHeight="false" outlineLevel="0" collapsed="false">
      <c r="A99" s="5" t="str">
        <f aca="false">"Severe Downside · price point 4"</f>
        <v>Severe Downside · price point 4</v>
      </c>
      <c r="C99" s="25" t="n">
        <f aca="false">-Assumptions!$C$31*$A$13/100*(1+Assumptions!$C$33)</f>
        <v>-82.41</v>
      </c>
      <c r="D99" s="25" t="n">
        <f aca="false">'Calc Engine'!D1048+'Calc Engine'!D1049</f>
        <v>13.3</v>
      </c>
      <c r="E99" s="25" t="n">
        <f aca="false">'Calc Engine'!E1048+'Calc Engine'!E1049</f>
        <v>13.05</v>
      </c>
      <c r="F99" s="25" t="n">
        <f aca="false">'Calc Engine'!F1048+'Calc Engine'!F1049</f>
        <v>29.0034660125589</v>
      </c>
      <c r="G99" s="25" t="n">
        <f aca="false">'Calc Engine'!G1048+'Calc Engine'!G1049</f>
        <v>0</v>
      </c>
      <c r="H99" s="25" t="n">
        <f aca="false">'Calc Engine'!H1048+'Calc Engine'!H1049</f>
        <v>0</v>
      </c>
      <c r="I99" s="25" t="n">
        <f aca="false">'Calc Engine'!I1048+'Calc Engine'!I1049</f>
        <v>0</v>
      </c>
      <c r="J99" s="21" t="n">
        <f aca="false">IF(SUM(D99:I99)&lt;=0,-1,IFERROR(IRR(C99:I99,MAX(-0.9,(SUM(D99:I99)/-C99)^(1/Assumptions!$C$34)-1)),IRR(C99:I99,0.1)))</f>
        <v>-0.156385041025591</v>
      </c>
    </row>
    <row r="100" customFormat="false" ht="15" hidden="false" customHeight="false" outlineLevel="0" collapsed="false">
      <c r="A100" s="5" t="str">
        <f aca="false">"Severe Downside · price point 5"</f>
        <v>Severe Downside · price point 5</v>
      </c>
      <c r="C100" s="25" t="n">
        <f aca="false">-Assumptions!$C$31*$A$14/100*(1+Assumptions!$C$33)</f>
        <v>-86.43</v>
      </c>
      <c r="D100" s="25" t="n">
        <f aca="false">'Calc Engine'!D1048+'Calc Engine'!D1049</f>
        <v>13.3</v>
      </c>
      <c r="E100" s="25" t="n">
        <f aca="false">'Calc Engine'!E1048+'Calc Engine'!E1049</f>
        <v>13.05</v>
      </c>
      <c r="F100" s="25" t="n">
        <f aca="false">'Calc Engine'!F1048+'Calc Engine'!F1049</f>
        <v>29.0034660125589</v>
      </c>
      <c r="G100" s="25" t="n">
        <f aca="false">'Calc Engine'!G1048+'Calc Engine'!G1049</f>
        <v>0</v>
      </c>
      <c r="H100" s="25" t="n">
        <f aca="false">'Calc Engine'!H1048+'Calc Engine'!H1049</f>
        <v>0</v>
      </c>
      <c r="I100" s="25" t="n">
        <f aca="false">'Calc Engine'!I1048+'Calc Engine'!I1049</f>
        <v>0</v>
      </c>
      <c r="J100" s="21" t="n">
        <f aca="false">IF(SUM(D100:I100)&lt;=0,-1,IFERROR(IRR(C100:I100,MAX(-0.9,(SUM(D100:I100)/-C100)^(1/Assumptions!$C$34)-1)),IRR(C100:I100,0.1)))</f>
        <v>-0.172954592239083</v>
      </c>
    </row>
    <row r="101" customFormat="false" ht="15" hidden="false" customHeight="false" outlineLevel="0" collapsed="false">
      <c r="A101" s="5" t="str">
        <f aca="false">"Base Case · rec point 1"</f>
        <v>Base Case · rec point 1</v>
      </c>
      <c r="C101" s="28" t="n">
        <f aca="false">'Calc Engine'!C344</f>
        <v>-78.39</v>
      </c>
      <c r="D101" s="25" t="n">
        <f aca="false">'Calc Engine'!D342+IF('Calc Engine'!D340='Calc Engine'!C338,Assumptions!$C$31*$A$20/100,0)</f>
        <v>10.3</v>
      </c>
      <c r="E101" s="25" t="n">
        <f aca="false">'Calc Engine'!E342+IF('Calc Engine'!E340='Calc Engine'!C338,Assumptions!$C$31*$A$20/100,0)</f>
        <v>10.05</v>
      </c>
      <c r="F101" s="25" t="n">
        <f aca="false">'Calc Engine'!F342+IF('Calc Engine'!F340='Calc Engine'!C338,Assumptions!$C$31*$A$20/100,0)</f>
        <v>20</v>
      </c>
      <c r="G101" s="25" t="n">
        <f aca="false">'Calc Engine'!G342+IF('Calc Engine'!G340='Calc Engine'!C338,Assumptions!$C$31*$A$20/100,0)</f>
        <v>0</v>
      </c>
      <c r="H101" s="25" t="n">
        <f aca="false">'Calc Engine'!H342+IF('Calc Engine'!H340='Calc Engine'!C338,Assumptions!$C$31*$A$20/100,0)</f>
        <v>0</v>
      </c>
      <c r="I101" s="25" t="n">
        <f aca="false">'Calc Engine'!I342+IF('Calc Engine'!I340='Calc Engine'!C338,Assumptions!$C$31*$A$20/100,0)</f>
        <v>0</v>
      </c>
      <c r="J101" s="21" t="n">
        <f aca="false">IF(SUM(D101:I101)&lt;=0,-1,IFERROR(IRR(C101:I101,MAX(-0.9,(SUM(D101:I101)/-C101)^(1/Assumptions!$C$34)-1)),IRR(C101:I101,0.1)))</f>
        <v>-0.247569963190367</v>
      </c>
    </row>
    <row r="102" customFormat="false" ht="15" hidden="false" customHeight="false" outlineLevel="0" collapsed="false">
      <c r="A102" s="5" t="str">
        <f aca="false">"Base Case · rec point 2"</f>
        <v>Base Case · rec point 2</v>
      </c>
      <c r="C102" s="28" t="n">
        <f aca="false">'Calc Engine'!C344</f>
        <v>-78.39</v>
      </c>
      <c r="D102" s="25" t="n">
        <f aca="false">'Calc Engine'!D342+IF('Calc Engine'!D340='Calc Engine'!C338,Assumptions!$C$31*$A$21/100,0)</f>
        <v>10.3</v>
      </c>
      <c r="E102" s="25" t="n">
        <f aca="false">'Calc Engine'!E342+IF('Calc Engine'!E340='Calc Engine'!C338,Assumptions!$C$31*$A$21/100,0)</f>
        <v>10.05</v>
      </c>
      <c r="F102" s="25" t="n">
        <f aca="false">'Calc Engine'!F342+IF('Calc Engine'!F340='Calc Engine'!C338,Assumptions!$C$31*$A$21/100,0)</f>
        <v>40</v>
      </c>
      <c r="G102" s="25" t="n">
        <f aca="false">'Calc Engine'!G342+IF('Calc Engine'!G340='Calc Engine'!C338,Assumptions!$C$31*$A$21/100,0)</f>
        <v>0</v>
      </c>
      <c r="H102" s="25" t="n">
        <f aca="false">'Calc Engine'!H342+IF('Calc Engine'!H340='Calc Engine'!C338,Assumptions!$C$31*$A$21/100,0)</f>
        <v>0</v>
      </c>
      <c r="I102" s="25" t="n">
        <f aca="false">'Calc Engine'!I342+IF('Calc Engine'!I340='Calc Engine'!C338,Assumptions!$C$31*$A$21/100,0)</f>
        <v>0</v>
      </c>
      <c r="J102" s="21" t="n">
        <f aca="false">IF(SUM(D102:I102)&lt;=0,-1,IFERROR(IRR(C102:I102,MAX(-0.9,(SUM(D102:I102)/-C102)^(1/Assumptions!$C$34)-1)),IRR(C102:I102,0.1)))</f>
        <v>-0.098509906805812</v>
      </c>
    </row>
    <row r="103" customFormat="false" ht="15" hidden="false" customHeight="false" outlineLevel="0" collapsed="false">
      <c r="A103" s="5" t="str">
        <f aca="false">"Base Case · rec point 3"</f>
        <v>Base Case · rec point 3</v>
      </c>
      <c r="C103" s="28" t="n">
        <f aca="false">'Calc Engine'!C344</f>
        <v>-78.39</v>
      </c>
      <c r="D103" s="25" t="n">
        <f aca="false">'Calc Engine'!D342+IF('Calc Engine'!D340='Calc Engine'!C338,Assumptions!$C$31*$A$22/100,0)</f>
        <v>10.3</v>
      </c>
      <c r="E103" s="25" t="n">
        <f aca="false">'Calc Engine'!E342+IF('Calc Engine'!E340='Calc Engine'!C338,Assumptions!$C$31*$A$22/100,0)</f>
        <v>10.05</v>
      </c>
      <c r="F103" s="25" t="n">
        <f aca="false">'Calc Engine'!F342+IF('Calc Engine'!F340='Calc Engine'!C338,Assumptions!$C$31*$A$22/100,0)</f>
        <v>60</v>
      </c>
      <c r="G103" s="25" t="n">
        <f aca="false">'Calc Engine'!G342+IF('Calc Engine'!G340='Calc Engine'!C338,Assumptions!$C$31*$A$22/100,0)</f>
        <v>0</v>
      </c>
      <c r="H103" s="25" t="n">
        <f aca="false">'Calc Engine'!H342+IF('Calc Engine'!H340='Calc Engine'!C338,Assumptions!$C$31*$A$22/100,0)</f>
        <v>0</v>
      </c>
      <c r="I103" s="25" t="n">
        <f aca="false">'Calc Engine'!I342+IF('Calc Engine'!I340='Calc Engine'!C338,Assumptions!$C$31*$A$22/100,0)</f>
        <v>0</v>
      </c>
      <c r="J103" s="21" t="n">
        <f aca="false">IF(SUM(D103:I103)&lt;=0,-1,IFERROR(IRR(C103:I103,MAX(-0.9,(SUM(D103:I103)/-C103)^(1/Assumptions!$C$34)-1)),IRR(C103:I103,0.1)))</f>
        <v>0.00948418790025865</v>
      </c>
    </row>
    <row r="104" customFormat="false" ht="15" hidden="false" customHeight="false" outlineLevel="0" collapsed="false">
      <c r="A104" s="5" t="str">
        <f aca="false">"Base Case · rec point 4"</f>
        <v>Base Case · rec point 4</v>
      </c>
      <c r="C104" s="28" t="n">
        <f aca="false">'Calc Engine'!C344</f>
        <v>-78.39</v>
      </c>
      <c r="D104" s="25" t="n">
        <f aca="false">'Calc Engine'!D342+IF('Calc Engine'!D340='Calc Engine'!C338,Assumptions!$C$31*$A$23/100,0)</f>
        <v>10.3</v>
      </c>
      <c r="E104" s="25" t="n">
        <f aca="false">'Calc Engine'!E342+IF('Calc Engine'!E340='Calc Engine'!C338,Assumptions!$C$31*$A$23/100,0)</f>
        <v>10.05</v>
      </c>
      <c r="F104" s="25" t="n">
        <f aca="false">'Calc Engine'!F342+IF('Calc Engine'!F340='Calc Engine'!C338,Assumptions!$C$31*$A$23/100,0)</f>
        <v>80</v>
      </c>
      <c r="G104" s="25" t="n">
        <f aca="false">'Calc Engine'!G342+IF('Calc Engine'!G340='Calc Engine'!C338,Assumptions!$C$31*$A$23/100,0)</f>
        <v>0</v>
      </c>
      <c r="H104" s="25" t="n">
        <f aca="false">'Calc Engine'!H342+IF('Calc Engine'!H340='Calc Engine'!C338,Assumptions!$C$31*$A$23/100,0)</f>
        <v>0</v>
      </c>
      <c r="I104" s="25" t="n">
        <f aca="false">'Calc Engine'!I342+IF('Calc Engine'!I340='Calc Engine'!C338,Assumptions!$C$31*$A$23/100,0)</f>
        <v>0</v>
      </c>
      <c r="J104" s="21" t="n">
        <f aca="false">IF(SUM(D104:I104)&lt;=0,-1,IFERROR(IRR(C104:I104,MAX(-0.9,(SUM(D104:I104)/-C104)^(1/Assumptions!$C$34)-1)),IRR(C104:I104,0.1)))</f>
        <v>0.0967371623489573</v>
      </c>
    </row>
    <row r="105" customFormat="false" ht="15" hidden="false" customHeight="false" outlineLevel="0" collapsed="false">
      <c r="A105" s="5" t="str">
        <f aca="false">"Base Case · rec point 5"</f>
        <v>Base Case · rec point 5</v>
      </c>
      <c r="C105" s="28" t="n">
        <f aca="false">'Calc Engine'!C344</f>
        <v>-78.39</v>
      </c>
      <c r="D105" s="25" t="n">
        <f aca="false">'Calc Engine'!D342+IF('Calc Engine'!D340='Calc Engine'!C338,Assumptions!$C$31*$A$24/100,0)</f>
        <v>10.3</v>
      </c>
      <c r="E105" s="25" t="n">
        <f aca="false">'Calc Engine'!E342+IF('Calc Engine'!E340='Calc Engine'!C338,Assumptions!$C$31*$A$24/100,0)</f>
        <v>10.05</v>
      </c>
      <c r="F105" s="25" t="n">
        <f aca="false">'Calc Engine'!F342+IF('Calc Engine'!F340='Calc Engine'!C338,Assumptions!$C$31*$A$24/100,0)</f>
        <v>100</v>
      </c>
      <c r="G105" s="25" t="n">
        <f aca="false">'Calc Engine'!G342+IF('Calc Engine'!G340='Calc Engine'!C338,Assumptions!$C$31*$A$24/100,0)</f>
        <v>0</v>
      </c>
      <c r="H105" s="25" t="n">
        <f aca="false">'Calc Engine'!H342+IF('Calc Engine'!H340='Calc Engine'!C338,Assumptions!$C$31*$A$24/100,0)</f>
        <v>0</v>
      </c>
      <c r="I105" s="25" t="n">
        <f aca="false">'Calc Engine'!I342+IF('Calc Engine'!I340='Calc Engine'!C338,Assumptions!$C$31*$A$24/100,0)</f>
        <v>0</v>
      </c>
      <c r="J105" s="21" t="n">
        <f aca="false">IF(SUM(D105:I105)&lt;=0,-1,IFERROR(IRR(C105:I105,MAX(-0.9,(SUM(D105:I105)/-C105)^(1/Assumptions!$C$34)-1)),IRR(C105:I105,0.1)))</f>
        <v>0.171068291386949</v>
      </c>
    </row>
    <row r="106" customFormat="false" ht="15" hidden="false" customHeight="false" outlineLevel="0" collapsed="false">
      <c r="A106" s="5" t="str">
        <f aca="false">"Downside · rec point 1"</f>
        <v>Downside · rec point 1</v>
      </c>
      <c r="C106" s="28" t="n">
        <f aca="false">'Calc Engine'!C697</f>
        <v>-78.39</v>
      </c>
      <c r="D106" s="25" t="n">
        <f aca="false">'Calc Engine'!D695+IF('Calc Engine'!D693='Calc Engine'!C691,Assumptions!$C$31*$A$20/100,0)</f>
        <v>11.8</v>
      </c>
      <c r="E106" s="25" t="n">
        <f aca="false">'Calc Engine'!E695+IF('Calc Engine'!E693='Calc Engine'!C691,Assumptions!$C$31*$A$20/100,0)</f>
        <v>11.55</v>
      </c>
      <c r="F106" s="25" t="n">
        <f aca="false">'Calc Engine'!F695+IF('Calc Engine'!F693='Calc Engine'!C691,Assumptions!$C$31*$A$20/100,0)</f>
        <v>20</v>
      </c>
      <c r="G106" s="25" t="n">
        <f aca="false">'Calc Engine'!G695+IF('Calc Engine'!G693='Calc Engine'!C691,Assumptions!$C$31*$A$20/100,0)</f>
        <v>0</v>
      </c>
      <c r="H106" s="25" t="n">
        <f aca="false">'Calc Engine'!H695+IF('Calc Engine'!H693='Calc Engine'!C691,Assumptions!$C$31*$A$20/100,0)</f>
        <v>0</v>
      </c>
      <c r="I106" s="25" t="n">
        <f aca="false">'Calc Engine'!I695+IF('Calc Engine'!I693='Calc Engine'!C691,Assumptions!$C$31*$A$20/100,0)</f>
        <v>0</v>
      </c>
      <c r="J106" s="21" t="n">
        <f aca="false">IF(SUM(D106:I106)&lt;=0,-1,IFERROR(IRR(C106:I106,MAX(-0.9,(SUM(D106:I106)/-C106)^(1/Assumptions!$C$34)-1)),IRR(C106:I106,0.1)))</f>
        <v>-0.229070717259021</v>
      </c>
    </row>
    <row r="107" customFormat="false" ht="15" hidden="false" customHeight="false" outlineLevel="0" collapsed="false">
      <c r="A107" s="5" t="str">
        <f aca="false">"Downside · rec point 2"</f>
        <v>Downside · rec point 2</v>
      </c>
      <c r="C107" s="28" t="n">
        <f aca="false">'Calc Engine'!C697</f>
        <v>-78.39</v>
      </c>
      <c r="D107" s="25" t="n">
        <f aca="false">'Calc Engine'!D695+IF('Calc Engine'!D693='Calc Engine'!C691,Assumptions!$C$31*$A$21/100,0)</f>
        <v>11.8</v>
      </c>
      <c r="E107" s="25" t="n">
        <f aca="false">'Calc Engine'!E695+IF('Calc Engine'!E693='Calc Engine'!C691,Assumptions!$C$31*$A$21/100,0)</f>
        <v>11.55</v>
      </c>
      <c r="F107" s="25" t="n">
        <f aca="false">'Calc Engine'!F695+IF('Calc Engine'!F693='Calc Engine'!C691,Assumptions!$C$31*$A$21/100,0)</f>
        <v>40</v>
      </c>
      <c r="G107" s="25" t="n">
        <f aca="false">'Calc Engine'!G695+IF('Calc Engine'!G693='Calc Engine'!C691,Assumptions!$C$31*$A$21/100,0)</f>
        <v>0</v>
      </c>
      <c r="H107" s="25" t="n">
        <f aca="false">'Calc Engine'!H695+IF('Calc Engine'!H693='Calc Engine'!C691,Assumptions!$C$31*$A$21/100,0)</f>
        <v>0</v>
      </c>
      <c r="I107" s="25" t="n">
        <f aca="false">'Calc Engine'!I695+IF('Calc Engine'!I693='Calc Engine'!C691,Assumptions!$C$31*$A$21/100,0)</f>
        <v>0</v>
      </c>
      <c r="J107" s="21" t="n">
        <f aca="false">IF(SUM(D107:I107)&lt;=0,-1,IFERROR(IRR(C107:I107,MAX(-0.9,(SUM(D107:I107)/-C107)^(1/Assumptions!$C$34)-1)),IRR(C107:I107,0.1)))</f>
        <v>-0.0825888932848043</v>
      </c>
    </row>
    <row r="108" customFormat="false" ht="15" hidden="false" customHeight="false" outlineLevel="0" collapsed="false">
      <c r="A108" s="5" t="str">
        <f aca="false">"Downside · rec point 3"</f>
        <v>Downside · rec point 3</v>
      </c>
      <c r="C108" s="28" t="n">
        <f aca="false">'Calc Engine'!C697</f>
        <v>-78.39</v>
      </c>
      <c r="D108" s="25" t="n">
        <f aca="false">'Calc Engine'!D695+IF('Calc Engine'!D693='Calc Engine'!C691,Assumptions!$C$31*$A$22/100,0)</f>
        <v>11.8</v>
      </c>
      <c r="E108" s="25" t="n">
        <f aca="false">'Calc Engine'!E695+IF('Calc Engine'!E693='Calc Engine'!C691,Assumptions!$C$31*$A$22/100,0)</f>
        <v>11.55</v>
      </c>
      <c r="F108" s="25" t="n">
        <f aca="false">'Calc Engine'!F695+IF('Calc Engine'!F693='Calc Engine'!C691,Assumptions!$C$31*$A$22/100,0)</f>
        <v>60</v>
      </c>
      <c r="G108" s="25" t="n">
        <f aca="false">'Calc Engine'!G695+IF('Calc Engine'!G693='Calc Engine'!C691,Assumptions!$C$31*$A$22/100,0)</f>
        <v>0</v>
      </c>
      <c r="H108" s="25" t="n">
        <f aca="false">'Calc Engine'!H695+IF('Calc Engine'!H693='Calc Engine'!C691,Assumptions!$C$31*$A$22/100,0)</f>
        <v>0</v>
      </c>
      <c r="I108" s="25" t="n">
        <f aca="false">'Calc Engine'!I695+IF('Calc Engine'!I693='Calc Engine'!C691,Assumptions!$C$31*$A$22/100,0)</f>
        <v>0</v>
      </c>
      <c r="J108" s="21" t="n">
        <f aca="false">IF(SUM(D108:I108)&lt;=0,-1,IFERROR(IRR(C108:I108,MAX(-0.9,(SUM(D108:I108)/-C108)^(1/Assumptions!$C$34)-1)),IRR(C108:I108,0.1)))</f>
        <v>0.0241411752884289</v>
      </c>
    </row>
    <row r="109" customFormat="false" ht="15" hidden="false" customHeight="false" outlineLevel="0" collapsed="false">
      <c r="A109" s="5" t="str">
        <f aca="false">"Downside · rec point 4"</f>
        <v>Downside · rec point 4</v>
      </c>
      <c r="C109" s="28" t="n">
        <f aca="false">'Calc Engine'!C697</f>
        <v>-78.39</v>
      </c>
      <c r="D109" s="25" t="n">
        <f aca="false">'Calc Engine'!D695+IF('Calc Engine'!D693='Calc Engine'!C691,Assumptions!$C$31*$A$23/100,0)</f>
        <v>11.8</v>
      </c>
      <c r="E109" s="25" t="n">
        <f aca="false">'Calc Engine'!E695+IF('Calc Engine'!E693='Calc Engine'!C691,Assumptions!$C$31*$A$23/100,0)</f>
        <v>11.55</v>
      </c>
      <c r="F109" s="25" t="n">
        <f aca="false">'Calc Engine'!F695+IF('Calc Engine'!F693='Calc Engine'!C691,Assumptions!$C$31*$A$23/100,0)</f>
        <v>80</v>
      </c>
      <c r="G109" s="25" t="n">
        <f aca="false">'Calc Engine'!G695+IF('Calc Engine'!G693='Calc Engine'!C691,Assumptions!$C$31*$A$23/100,0)</f>
        <v>0</v>
      </c>
      <c r="H109" s="25" t="n">
        <f aca="false">'Calc Engine'!H695+IF('Calc Engine'!H693='Calc Engine'!C691,Assumptions!$C$31*$A$23/100,0)</f>
        <v>0</v>
      </c>
      <c r="I109" s="25" t="n">
        <f aca="false">'Calc Engine'!I695+IF('Calc Engine'!I693='Calc Engine'!C691,Assumptions!$C$31*$A$23/100,0)</f>
        <v>0</v>
      </c>
      <c r="J109" s="21" t="n">
        <f aca="false">IF(SUM(D109:I109)&lt;=0,-1,IFERROR(IRR(C109:I109,MAX(-0.9,(SUM(D109:I109)/-C109)^(1/Assumptions!$C$34)-1)),IRR(C109:I109,0.1)))</f>
        <v>0.110597590195224</v>
      </c>
    </row>
    <row r="110" customFormat="false" ht="15" hidden="false" customHeight="false" outlineLevel="0" collapsed="false">
      <c r="A110" s="5" t="str">
        <f aca="false">"Downside · rec point 5"</f>
        <v>Downside · rec point 5</v>
      </c>
      <c r="C110" s="28" t="n">
        <f aca="false">'Calc Engine'!C697</f>
        <v>-78.39</v>
      </c>
      <c r="D110" s="25" t="n">
        <f aca="false">'Calc Engine'!D695+IF('Calc Engine'!D693='Calc Engine'!C691,Assumptions!$C$31*$A$24/100,0)</f>
        <v>11.8</v>
      </c>
      <c r="E110" s="25" t="n">
        <f aca="false">'Calc Engine'!E695+IF('Calc Engine'!E693='Calc Engine'!C691,Assumptions!$C$31*$A$24/100,0)</f>
        <v>11.55</v>
      </c>
      <c r="F110" s="25" t="n">
        <f aca="false">'Calc Engine'!F695+IF('Calc Engine'!F693='Calc Engine'!C691,Assumptions!$C$31*$A$24/100,0)</f>
        <v>100</v>
      </c>
      <c r="G110" s="25" t="n">
        <f aca="false">'Calc Engine'!G695+IF('Calc Engine'!G693='Calc Engine'!C691,Assumptions!$C$31*$A$24/100,0)</f>
        <v>0</v>
      </c>
      <c r="H110" s="25" t="n">
        <f aca="false">'Calc Engine'!H695+IF('Calc Engine'!H693='Calc Engine'!C691,Assumptions!$C$31*$A$24/100,0)</f>
        <v>0</v>
      </c>
      <c r="I110" s="25" t="n">
        <f aca="false">'Calc Engine'!I695+IF('Calc Engine'!I693='Calc Engine'!C691,Assumptions!$C$31*$A$24/100,0)</f>
        <v>0</v>
      </c>
      <c r="J110" s="21" t="n">
        <f aca="false">IF(SUM(D110:I110)&lt;=0,-1,IFERROR(IRR(C110:I110,MAX(-0.9,(SUM(D110:I110)/-C110)^(1/Assumptions!$C$34)-1)),IRR(C110:I110,0.1)))</f>
        <v>0.184363699883287</v>
      </c>
    </row>
    <row r="111" customFormat="false" ht="15" hidden="false" customHeight="false" outlineLevel="0" collapsed="false">
      <c r="A111" s="5" t="str">
        <f aca="false">"Severe Downside · rec point 1"</f>
        <v>Severe Downside · rec point 1</v>
      </c>
      <c r="C111" s="28" t="n">
        <f aca="false">'Calc Engine'!C1050</f>
        <v>-78.39</v>
      </c>
      <c r="D111" s="25" t="n">
        <f aca="false">'Calc Engine'!D1048+IF('Calc Engine'!D1046='Calc Engine'!C1044,Assumptions!$C$31*$A$20/100,0)</f>
        <v>13.3</v>
      </c>
      <c r="E111" s="25" t="n">
        <f aca="false">'Calc Engine'!E1048+IF('Calc Engine'!E1046='Calc Engine'!C1044,Assumptions!$C$31*$A$20/100,0)</f>
        <v>13.05</v>
      </c>
      <c r="F111" s="25" t="n">
        <f aca="false">'Calc Engine'!F1048+IF('Calc Engine'!F1046='Calc Engine'!C1044,Assumptions!$C$31*$A$20/100,0)</f>
        <v>20</v>
      </c>
      <c r="G111" s="25" t="n">
        <f aca="false">'Calc Engine'!G1048+IF('Calc Engine'!G1046='Calc Engine'!C1044,Assumptions!$C$31*$A$20/100,0)</f>
        <v>0</v>
      </c>
      <c r="H111" s="25" t="n">
        <f aca="false">'Calc Engine'!H1048+IF('Calc Engine'!H1046='Calc Engine'!C1044,Assumptions!$C$31*$A$20/100,0)</f>
        <v>0</v>
      </c>
      <c r="I111" s="25" t="n">
        <f aca="false">'Calc Engine'!I1048+IF('Calc Engine'!I1046='Calc Engine'!C1044,Assumptions!$C$31*$A$20/100,0)</f>
        <v>0</v>
      </c>
      <c r="J111" s="21" t="n">
        <f aca="false">IF(SUM(D111:I111)&lt;=0,-1,IFERROR(IRR(C111:I111,MAX(-0.9,(SUM(D111:I111)/-C111)^(1/Assumptions!$C$34)-1)),IRR(C111:I111,0.1)))</f>
        <v>-0.210348857548621</v>
      </c>
    </row>
    <row r="112" customFormat="false" ht="15" hidden="false" customHeight="false" outlineLevel="0" collapsed="false">
      <c r="A112" s="5" t="str">
        <f aca="false">"Severe Downside · rec point 2"</f>
        <v>Severe Downside · rec point 2</v>
      </c>
      <c r="C112" s="28" t="n">
        <f aca="false">'Calc Engine'!C1050</f>
        <v>-78.39</v>
      </c>
      <c r="D112" s="25" t="n">
        <f aca="false">'Calc Engine'!D1048+IF('Calc Engine'!D1046='Calc Engine'!C1044,Assumptions!$C$31*$A$21/100,0)</f>
        <v>13.3</v>
      </c>
      <c r="E112" s="25" t="n">
        <f aca="false">'Calc Engine'!E1048+IF('Calc Engine'!E1046='Calc Engine'!C1044,Assumptions!$C$31*$A$21/100,0)</f>
        <v>13.05</v>
      </c>
      <c r="F112" s="25" t="n">
        <f aca="false">'Calc Engine'!F1048+IF('Calc Engine'!F1046='Calc Engine'!C1044,Assumptions!$C$31*$A$21/100,0)</f>
        <v>40</v>
      </c>
      <c r="G112" s="25" t="n">
        <f aca="false">'Calc Engine'!G1048+IF('Calc Engine'!G1046='Calc Engine'!C1044,Assumptions!$C$31*$A$21/100,0)</f>
        <v>0</v>
      </c>
      <c r="H112" s="25" t="n">
        <f aca="false">'Calc Engine'!H1048+IF('Calc Engine'!H1046='Calc Engine'!C1044,Assumptions!$C$31*$A$21/100,0)</f>
        <v>0</v>
      </c>
      <c r="I112" s="25" t="n">
        <f aca="false">'Calc Engine'!I1048+IF('Calc Engine'!I1046='Calc Engine'!C1044,Assumptions!$C$31*$A$21/100,0)</f>
        <v>0</v>
      </c>
      <c r="J112" s="21" t="n">
        <f aca="false">IF(SUM(D112:I112)&lt;=0,-1,IFERROR(IRR(C112:I112,MAX(-0.9,(SUM(D112:I112)/-C112)^(1/Assumptions!$C$34)-1)),IRR(C112:I112,0.1)))</f>
        <v>-0.0664762457482597</v>
      </c>
    </row>
    <row r="113" customFormat="false" ht="15" hidden="false" customHeight="false" outlineLevel="0" collapsed="false">
      <c r="A113" s="5" t="str">
        <f aca="false">"Severe Downside · rec point 3"</f>
        <v>Severe Downside · rec point 3</v>
      </c>
      <c r="C113" s="28" t="n">
        <f aca="false">'Calc Engine'!C1050</f>
        <v>-78.39</v>
      </c>
      <c r="D113" s="25" t="n">
        <f aca="false">'Calc Engine'!D1048+IF('Calc Engine'!D1046='Calc Engine'!C1044,Assumptions!$C$31*$A$22/100,0)</f>
        <v>13.3</v>
      </c>
      <c r="E113" s="25" t="n">
        <f aca="false">'Calc Engine'!E1048+IF('Calc Engine'!E1046='Calc Engine'!C1044,Assumptions!$C$31*$A$22/100,0)</f>
        <v>13.05</v>
      </c>
      <c r="F113" s="25" t="n">
        <f aca="false">'Calc Engine'!F1048+IF('Calc Engine'!F1046='Calc Engine'!C1044,Assumptions!$C$31*$A$22/100,0)</f>
        <v>60</v>
      </c>
      <c r="G113" s="25" t="n">
        <f aca="false">'Calc Engine'!G1048+IF('Calc Engine'!G1046='Calc Engine'!C1044,Assumptions!$C$31*$A$22/100,0)</f>
        <v>0</v>
      </c>
      <c r="H113" s="25" t="n">
        <f aca="false">'Calc Engine'!H1048+IF('Calc Engine'!H1046='Calc Engine'!C1044,Assumptions!$C$31*$A$22/100,0)</f>
        <v>0</v>
      </c>
      <c r="I113" s="25" t="n">
        <f aca="false">'Calc Engine'!I1048+IF('Calc Engine'!I1046='Calc Engine'!C1044,Assumptions!$C$31*$A$22/100,0)</f>
        <v>0</v>
      </c>
      <c r="J113" s="21" t="n">
        <f aca="false">IF(SUM(D113:I113)&lt;=0,-1,IFERROR(IRR(C113:I113,MAX(-0.9,(SUM(D113:I113)/-C113)^(1/Assumptions!$C$34)-1)),IRR(C113:I113,0.1)))</f>
        <v>0.0389653136263962</v>
      </c>
    </row>
    <row r="114" customFormat="false" ht="15" hidden="false" customHeight="false" outlineLevel="0" collapsed="false">
      <c r="A114" s="5" t="str">
        <f aca="false">"Severe Downside · rec point 4"</f>
        <v>Severe Downside · rec point 4</v>
      </c>
      <c r="C114" s="28" t="n">
        <f aca="false">'Calc Engine'!C1050</f>
        <v>-78.39</v>
      </c>
      <c r="D114" s="25" t="n">
        <f aca="false">'Calc Engine'!D1048+IF('Calc Engine'!D1046='Calc Engine'!C1044,Assumptions!$C$31*$A$23/100,0)</f>
        <v>13.3</v>
      </c>
      <c r="E114" s="25" t="n">
        <f aca="false">'Calc Engine'!E1048+IF('Calc Engine'!E1046='Calc Engine'!C1044,Assumptions!$C$31*$A$23/100,0)</f>
        <v>13.05</v>
      </c>
      <c r="F114" s="25" t="n">
        <f aca="false">'Calc Engine'!F1048+IF('Calc Engine'!F1046='Calc Engine'!C1044,Assumptions!$C$31*$A$23/100,0)</f>
        <v>80</v>
      </c>
      <c r="G114" s="25" t="n">
        <f aca="false">'Calc Engine'!G1048+IF('Calc Engine'!G1046='Calc Engine'!C1044,Assumptions!$C$31*$A$23/100,0)</f>
        <v>0</v>
      </c>
      <c r="H114" s="25" t="n">
        <f aca="false">'Calc Engine'!H1048+IF('Calc Engine'!H1046='Calc Engine'!C1044,Assumptions!$C$31*$A$23/100,0)</f>
        <v>0</v>
      </c>
      <c r="I114" s="25" t="n">
        <f aca="false">'Calc Engine'!I1048+IF('Calc Engine'!I1046='Calc Engine'!C1044,Assumptions!$C$31*$A$23/100,0)</f>
        <v>0</v>
      </c>
      <c r="J114" s="21" t="n">
        <f aca="false">IF(SUM(D114:I114)&lt;=0,-1,IFERROR(IRR(C114:I114,MAX(-0.9,(SUM(D114:I114)/-C114)^(1/Assumptions!$C$34)-1)),IRR(C114:I114,0.1)))</f>
        <v>0.12460786124477</v>
      </c>
    </row>
    <row r="115" customFormat="false" ht="15" hidden="false" customHeight="false" outlineLevel="0" collapsed="false">
      <c r="A115" s="5" t="str">
        <f aca="false">"Severe Downside · rec point 5"</f>
        <v>Severe Downside · rec point 5</v>
      </c>
      <c r="C115" s="28" t="n">
        <f aca="false">'Calc Engine'!C1050</f>
        <v>-78.39</v>
      </c>
      <c r="D115" s="25" t="n">
        <f aca="false">'Calc Engine'!D1048+IF('Calc Engine'!D1046='Calc Engine'!C1044,Assumptions!$C$31*$A$24/100,0)</f>
        <v>13.3</v>
      </c>
      <c r="E115" s="25" t="n">
        <f aca="false">'Calc Engine'!E1048+IF('Calc Engine'!E1046='Calc Engine'!C1044,Assumptions!$C$31*$A$24/100,0)</f>
        <v>13.05</v>
      </c>
      <c r="F115" s="25" t="n">
        <f aca="false">'Calc Engine'!F1048+IF('Calc Engine'!F1046='Calc Engine'!C1044,Assumptions!$C$31*$A$24/100,0)</f>
        <v>100</v>
      </c>
      <c r="G115" s="25" t="n">
        <f aca="false">'Calc Engine'!G1048+IF('Calc Engine'!G1046='Calc Engine'!C1044,Assumptions!$C$31*$A$24/100,0)</f>
        <v>0</v>
      </c>
      <c r="H115" s="25" t="n">
        <f aca="false">'Calc Engine'!H1048+IF('Calc Engine'!H1046='Calc Engine'!C1044,Assumptions!$C$31*$A$24/100,0)</f>
        <v>0</v>
      </c>
      <c r="I115" s="25" t="n">
        <f aca="false">'Calc Engine'!I1048+IF('Calc Engine'!I1046='Calc Engine'!C1044,Assumptions!$C$31*$A$24/100,0)</f>
        <v>0</v>
      </c>
      <c r="J115" s="21" t="n">
        <f aca="false">IF(SUM(D115:I115)&lt;=0,-1,IFERROR(IRR(C115:I115,MAX(-0.9,(SUM(D115:I115)/-C115)^(1/Assumptions!$C$34)-1)),IRR(C115:I115,0.1)))</f>
        <v>0.19779611578519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550</v>
      </c>
    </row>
    <row r="2" customFormat="false" ht="15" hidden="false" customHeight="false" outlineLevel="0" collapsed="false">
      <c r="A2" s="5" t="str">
        <f aca="false">Assumptions!$C$5&amp;"  |  DEMO DATA  |  DEMO INVESTMENT TERMS  |  Active scenario: "&amp;Assumptions!$D$10</f>
        <v>Brightwater Retail Holdings  |  DEMO DATA  |  DEMO INVESTMENT TERMS  |  Active scenario: Downside</v>
      </c>
    </row>
    <row r="4" customFormat="false" ht="15" hidden="false" customHeight="false" outlineLevel="0" collapsed="false">
      <c r="A4" s="2" t="s">
        <v>551</v>
      </c>
      <c r="C4" s="3" t="str">
        <f aca="false">'Investment Summary'!$C$41</f>
        <v>HOLD</v>
      </c>
    </row>
    <row r="5" customFormat="false" ht="15" hidden="false" customHeight="false" outlineLevel="0" collapsed="false">
      <c r="A5" s="5" t="s">
        <v>552</v>
      </c>
      <c r="C5" s="5" t="str">
        <f aca="false">CHOOSE(Assumptions!$C$30,Assumptions!$A$53,Assumptions!$A$54,Assumptions!$A$55,Assumptions!$A$56)&amp;" @ "&amp;TEXT(Assumptions!$C$32,"0.0")</f>
        <v>First-Lien Term Loan @ 78.0</v>
      </c>
    </row>
    <row r="6" customFormat="false" ht="15" hidden="false" customHeight="false" outlineLevel="0" collapsed="false">
      <c r="A6" s="5" t="s">
        <v>553</v>
      </c>
      <c r="C6" s="5" t="str">
        <f aca="false">TEXT(Assumptions!$C$31,"0.0")&amp;" / "&amp;TEXT(Assumptions!$C$32,"0.0")&amp;" / "&amp;TEXT(Returns!C10,"0.0")</f>
        <v>100.0 / 78.0 / 78.4</v>
      </c>
    </row>
    <row r="7" customFormat="false" ht="15" hidden="false" customHeight="false" outlineLevel="0" collapsed="false">
      <c r="A7" s="2" t="s">
        <v>360</v>
      </c>
      <c r="C7" s="47" t="n">
        <f aca="false">'Credit Metrics'!$G$45</f>
        <v>30.4510981913506</v>
      </c>
    </row>
    <row r="8" customFormat="false" ht="15" hidden="false" customHeight="false" outlineLevel="0" collapsed="false">
      <c r="A8" s="5" t="s">
        <v>361</v>
      </c>
      <c r="C8" s="6" t="str">
        <f aca="false">'Credit Metrics'!$G$46</f>
        <v>High</v>
      </c>
    </row>
    <row r="9" customFormat="false" ht="15" hidden="false" customHeight="false" outlineLevel="0" collapsed="false">
      <c r="A9" s="2" t="s">
        <v>554</v>
      </c>
      <c r="C9" s="40" t="n">
        <f aca="false">Scenarios!C27</f>
        <v>0.130821524311548</v>
      </c>
    </row>
    <row r="10" customFormat="false" ht="15" hidden="false" customHeight="false" outlineLevel="0" collapsed="false">
      <c r="A10" s="2" t="s">
        <v>555</v>
      </c>
      <c r="C10" s="40" t="n">
        <f aca="false">Scenarios!D27</f>
        <v>0.00688989684099931</v>
      </c>
    </row>
    <row r="11" customFormat="false" ht="15" hidden="false" customHeight="false" outlineLevel="0" collapsed="false">
      <c r="A11" s="2" t="s">
        <v>556</v>
      </c>
      <c r="C11" s="40" t="n">
        <f aca="false">Scenarios!E27</f>
        <v>-0.138534047289136</v>
      </c>
    </row>
    <row r="12" customFormat="false" ht="15" hidden="false" customHeight="false" outlineLevel="0" collapsed="false">
      <c r="A12" s="5" t="s">
        <v>557</v>
      </c>
      <c r="C12" s="5" t="str">
        <f aca="false">TEXT(Scenarios!C28,"0.00x")&amp;" / "&amp;TEXT(Scenarios!D28,"0.00x")&amp;" / "&amp;TEXT(Scenarios!E28,"0.00x")</f>
        <v>1.39x / 1.02x / 0.71x</v>
      </c>
    </row>
    <row r="13" customFormat="false" ht="15" hidden="false" customHeight="false" outlineLevel="0" collapsed="false">
      <c r="A13" s="2" t="s">
        <v>558</v>
      </c>
      <c r="C13" s="40" t="n">
        <f aca="false">Scenarios!$C$31</f>
        <v>0.0641534432819471</v>
      </c>
    </row>
    <row r="14" customFormat="false" ht="15" hidden="false" customHeight="false" outlineLevel="0" collapsed="false">
      <c r="A14" s="5" t="s">
        <v>389</v>
      </c>
      <c r="C14" s="32" t="n">
        <f aca="false">Scenarios!$C$33</f>
        <v>1.17719008650444</v>
      </c>
    </row>
    <row r="15" customFormat="false" ht="15" hidden="false" customHeight="false" outlineLevel="0" collapsed="false">
      <c r="A15" s="5" t="s">
        <v>390</v>
      </c>
      <c r="C15" s="34" t="n">
        <f aca="false">Scenarios!$C$34</f>
        <v>1</v>
      </c>
    </row>
    <row r="16" customFormat="false" ht="15" hidden="false" customHeight="false" outlineLevel="0" collapsed="false">
      <c r="A16" s="5" t="s">
        <v>559</v>
      </c>
      <c r="C16" s="34" t="n">
        <f aca="false">Scenarios!D25</f>
        <v>0.548450942344359</v>
      </c>
    </row>
    <row r="17" customFormat="false" ht="15" hidden="false" customHeight="false" outlineLevel="0" collapsed="false">
      <c r="A17" s="5" t="s">
        <v>560</v>
      </c>
      <c r="C17" s="34" t="n">
        <f aca="false">Scenarios!E25</f>
        <v>0.280871236049474</v>
      </c>
    </row>
    <row r="18" customFormat="false" ht="15" hidden="false" customHeight="false" outlineLevel="0" collapsed="false">
      <c r="A18" s="5" t="s">
        <v>561</v>
      </c>
      <c r="C18" s="34" t="n">
        <f aca="false">Returns!C15</f>
        <v>0.548450942344359</v>
      </c>
    </row>
    <row r="19" customFormat="false" ht="15" hidden="false" customHeight="false" outlineLevel="0" collapsed="false">
      <c r="A19" s="5" t="s">
        <v>562</v>
      </c>
      <c r="C19" s="32" t="n">
        <f aca="false">'Credit Metrics'!F11</f>
        <v>7.72435897435897</v>
      </c>
    </row>
    <row r="20" customFormat="false" ht="15" hidden="false" customHeight="false" outlineLevel="0" collapsed="false">
      <c r="A20" s="5" t="s">
        <v>563</v>
      </c>
      <c r="C20" s="32" t="n">
        <f aca="false">'Credit Metrics'!F12</f>
        <v>1.31048387096774</v>
      </c>
    </row>
    <row r="21" customFormat="false" ht="15" hidden="false" customHeight="false" outlineLevel="0" collapsed="false">
      <c r="A21" s="5" t="s">
        <v>564</v>
      </c>
      <c r="C21" s="32" t="n">
        <f aca="false">'Credit Metrics'!G11</f>
        <v>16.5413800227249</v>
      </c>
    </row>
    <row r="22" customFormat="false" ht="15" hidden="false" customHeight="false" outlineLevel="0" collapsed="false">
      <c r="A22" s="5" t="s">
        <v>565</v>
      </c>
      <c r="C22" s="32" t="n">
        <f aca="false">'Credit Metrics'!G12</f>
        <v>0.597869383974062</v>
      </c>
    </row>
    <row r="23" customFormat="false" ht="15" hidden="false" customHeight="false" outlineLevel="0" collapsed="false">
      <c r="A23" s="5" t="s">
        <v>566</v>
      </c>
      <c r="C23" s="28" t="n">
        <f aca="false">'Credit Metrics'!G16</f>
        <v>83.7032</v>
      </c>
    </row>
    <row r="24" customFormat="false" ht="15" hidden="false" customHeight="false" outlineLevel="0" collapsed="false">
      <c r="A24" s="5" t="s">
        <v>567</v>
      </c>
      <c r="C24" s="26" t="n">
        <f aca="false">'Credit Metrics'!C30</f>
        <v>5</v>
      </c>
    </row>
    <row r="25" customFormat="false" ht="15" hidden="false" customHeight="false" outlineLevel="0" collapsed="false">
      <c r="A25" s="5" t="s">
        <v>436</v>
      </c>
      <c r="C25" s="6" t="str">
        <f aca="false">'Capital Structure'!$C$31</f>
        <v>ALERT: 38% of debt ($480M) due within 2 period(s); liquidity covers 34%</v>
      </c>
    </row>
    <row r="26" customFormat="false" ht="15" hidden="false" customHeight="false" outlineLevel="0" collapsed="false">
      <c r="A26" s="5" t="s">
        <v>434</v>
      </c>
      <c r="C26" s="6" t="str">
        <f aca="false">'Capital Structure'!$C$29</f>
        <v>CONCENTRATED: 42% of debt in FY2028E (period ending 2028)</v>
      </c>
    </row>
    <row r="27" customFormat="false" ht="15" hidden="false" customHeight="false" outlineLevel="0" collapsed="false">
      <c r="A27" s="9" t="s">
        <v>568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7" t="s">
        <v>441</v>
      </c>
      <c r="B28" s="7"/>
      <c r="C28" s="7" t="s">
        <v>569</v>
      </c>
      <c r="D28" s="7" t="s">
        <v>570</v>
      </c>
      <c r="E28" s="7" t="s">
        <v>571</v>
      </c>
      <c r="F28" s="7" t="s">
        <v>572</v>
      </c>
    </row>
    <row r="29" customFormat="false" ht="15" hidden="false" customHeight="false" outlineLevel="0" collapsed="false">
      <c r="A29" s="5" t="s">
        <v>573</v>
      </c>
      <c r="C29" s="34" t="n">
        <f aca="false">Scenarios!C27</f>
        <v>0.130821524311548</v>
      </c>
      <c r="D29" s="34" t="n">
        <f aca="false">Assumptions!$C$37</f>
        <v>0.12</v>
      </c>
      <c r="E29" s="5" t="str">
        <f aca="false">IF(C29&gt;=D29,"PASS","FAIL")</f>
        <v>PASS</v>
      </c>
      <c r="F29" s="5" t="s">
        <v>574</v>
      </c>
    </row>
    <row r="30" customFormat="false" ht="15" hidden="false" customHeight="false" outlineLevel="0" collapsed="false">
      <c r="A30" s="5" t="s">
        <v>575</v>
      </c>
      <c r="C30" s="34" t="n">
        <f aca="false">Scenarios!$C$31</f>
        <v>0.0641534432819471</v>
      </c>
      <c r="D30" s="34" t="n">
        <f aca="false">Assumptions!$C$37</f>
        <v>0.12</v>
      </c>
      <c r="E30" s="5" t="str">
        <f aca="false">IF(C30&gt;=D30,"PASS","FAIL")</f>
        <v>FAIL</v>
      </c>
      <c r="F30" s="5" t="s">
        <v>574</v>
      </c>
    </row>
    <row r="31" customFormat="false" ht="15" hidden="false" customHeight="false" outlineLevel="0" collapsed="false">
      <c r="A31" s="5" t="s">
        <v>576</v>
      </c>
      <c r="C31" s="34" t="n">
        <f aca="false">Scenarios!D27</f>
        <v>0.00688989684099931</v>
      </c>
      <c r="D31" s="34" t="n">
        <f aca="false">Assumptions!$C$38</f>
        <v>0</v>
      </c>
      <c r="E31" s="5" t="str">
        <f aca="false">IF(C31&gt;=D31,"PASS","FAIL")</f>
        <v>PASS</v>
      </c>
      <c r="F31" s="5" t="s">
        <v>574</v>
      </c>
    </row>
    <row r="32" customFormat="false" ht="15" hidden="false" customHeight="false" outlineLevel="0" collapsed="false">
      <c r="A32" s="5" t="s">
        <v>577</v>
      </c>
      <c r="C32" s="34" t="n">
        <f aca="false">Scenarios!D25</f>
        <v>0.548450942344359</v>
      </c>
      <c r="D32" s="34" t="n">
        <f aca="false">Assumptions!$C$41</f>
        <v>0.6</v>
      </c>
      <c r="E32" s="5" t="str">
        <f aca="false">IF(C32&gt;=D32,"PASS","FAIL")</f>
        <v>FAIL</v>
      </c>
      <c r="F32" s="5" t="s">
        <v>574</v>
      </c>
    </row>
    <row r="33" customFormat="false" ht="15" hidden="false" customHeight="false" outlineLevel="0" collapsed="false">
      <c r="A33" s="5" t="s">
        <v>578</v>
      </c>
      <c r="C33" s="26" t="n">
        <f aca="false">Scenarios!C21</f>
        <v>0</v>
      </c>
      <c r="D33" s="20" t="n">
        <f aca="false">0</f>
        <v>0</v>
      </c>
      <c r="E33" s="5" t="str">
        <f aca="false">IF(C33&lt;=D33,"PASS","FAIL")</f>
        <v>PASS</v>
      </c>
      <c r="F33" s="5" t="s">
        <v>574</v>
      </c>
    </row>
    <row r="34" customFormat="false" ht="15" hidden="false" customHeight="false" outlineLevel="0" collapsed="false">
      <c r="A34" s="5" t="s">
        <v>579</v>
      </c>
      <c r="C34" s="21" t="n">
        <f aca="false">IFERROR(RATE(YEARFRAC(Assumptions!$C$8,CHOOSE(Assumptions!$C$30,Assumptions!$J$53,Assumptions!$J$54,Assumptions!$J$55,Assumptions!$J$56)),'Calc Engine'!D341*100,-Assumptions!$C$32,100),0)</f>
        <v>0.257017643255468</v>
      </c>
      <c r="D34" s="34" t="n">
        <f aca="false">Assumptions!$C$39</f>
        <v>0.09</v>
      </c>
      <c r="E34" s="5" t="str">
        <f aca="false">IF(C34&gt;=D34,"PASS","FAIL")</f>
        <v>PASS</v>
      </c>
      <c r="F34" s="5"/>
    </row>
    <row r="35" customFormat="false" ht="15" hidden="false" customHeight="false" outlineLevel="0" collapsed="false">
      <c r="A35" s="5" t="s">
        <v>580</v>
      </c>
      <c r="C35" s="32" t="n">
        <f aca="false">'Credit Metrics'!F11</f>
        <v>7.72435897435897</v>
      </c>
      <c r="D35" s="32" t="n">
        <f aca="false">Assumptions!$C$40</f>
        <v>6</v>
      </c>
      <c r="E35" s="5" t="str">
        <f aca="false">IF(C35&lt;=D35,"PASS","FAIL")</f>
        <v>FAIL</v>
      </c>
      <c r="F35" s="5"/>
    </row>
    <row r="36" customFormat="false" ht="15" hidden="false" customHeight="false" outlineLevel="0" collapsed="false">
      <c r="A36" s="5" t="s">
        <v>581</v>
      </c>
      <c r="C36" s="34" t="n">
        <f aca="false">'Calc Engine'!C166</f>
        <v>0.0750338985633103</v>
      </c>
      <c r="D36" s="34" t="n">
        <f aca="false">Assumptions!$C$42</f>
        <v>0.15</v>
      </c>
      <c r="E36" s="5" t="str">
        <f aca="false">IF(C36&gt;=D36,"PASS","FAIL")</f>
        <v>FAIL</v>
      </c>
      <c r="F36" s="5"/>
    </row>
    <row r="37" customFormat="false" ht="15" hidden="false" customHeight="false" outlineLevel="0" collapsed="false">
      <c r="A37" s="5" t="s">
        <v>582</v>
      </c>
      <c r="C37" s="33" t="n">
        <f aca="false">Scenarios!E25*100</f>
        <v>28.0871236049474</v>
      </c>
      <c r="D37" s="39" t="n">
        <f aca="false">Assumptions!$C$32</f>
        <v>78</v>
      </c>
      <c r="E37" s="5" t="str">
        <f aca="false">IF(C37&gt;=D37,"PASS","FAIL")</f>
        <v>FAIL</v>
      </c>
      <c r="F37" s="5"/>
    </row>
    <row r="38" customFormat="false" ht="15" hidden="false" customHeight="false" outlineLevel="0" collapsed="false">
      <c r="A38" s="5" t="s">
        <v>583</v>
      </c>
      <c r="C38" s="26" t="n">
        <f aca="false">Assumptions!$C$45</f>
        <v>4</v>
      </c>
      <c r="D38" s="20" t="n">
        <f aca="false">0</f>
        <v>0</v>
      </c>
      <c r="E38" s="5" t="str">
        <f aca="false">IF(C38&lt;=D38,"PASS","FAIL")</f>
        <v>FAIL</v>
      </c>
      <c r="F38" s="5"/>
    </row>
    <row r="39" customFormat="false" ht="15" hidden="false" customHeight="false" outlineLevel="0" collapsed="false">
      <c r="A39" s="2" t="s">
        <v>584</v>
      </c>
      <c r="C39" s="19" t="n">
        <f aca="false">COUNTIF(E29:E33,"FAIL")</f>
        <v>2</v>
      </c>
    </row>
    <row r="40" customFormat="false" ht="15" hidden="false" customHeight="false" outlineLevel="0" collapsed="false">
      <c r="A40" s="2" t="s">
        <v>585</v>
      </c>
      <c r="C40" s="19" t="n">
        <f aca="false">COUNTIF(E34:E38,"FAIL")</f>
        <v>4</v>
      </c>
    </row>
    <row r="41" customFormat="false" ht="15" hidden="false" customHeight="false" outlineLevel="0" collapsed="false">
      <c r="A41" s="2" t="s">
        <v>586</v>
      </c>
      <c r="C41" s="2" t="str">
        <f aca="false">IF(AND(C39=0,C40&lt;=Assumptions!$C$43),"PROCEED",IF(OR(AND(E29="FAIL",E31="FAIL"),C39&gt;=Assumptions!$C$44),"PASS","HOLD"))</f>
        <v>HOLD</v>
      </c>
    </row>
    <row r="44" customFormat="false" ht="15" hidden="false" customHeight="false" outlineLevel="0" collapsed="false">
      <c r="A44" s="9" t="s">
        <v>587</v>
      </c>
      <c r="B44" s="10"/>
      <c r="C44" s="10"/>
      <c r="D44" s="10"/>
      <c r="E44" s="10"/>
      <c r="F44" s="10"/>
    </row>
    <row r="45" customFormat="false" ht="15" hidden="false" customHeight="false" outlineLevel="0" collapsed="false">
      <c r="A45" s="7" t="s">
        <v>588</v>
      </c>
      <c r="B45" s="7"/>
      <c r="C45" s="7" t="s">
        <v>344</v>
      </c>
      <c r="D45" s="7" t="s">
        <v>589</v>
      </c>
    </row>
    <row r="46" customFormat="false" ht="15" hidden="false" customHeight="false" outlineLevel="0" collapsed="false">
      <c r="A46" s="5" t="s">
        <v>590</v>
      </c>
      <c r="C46" s="34" t="n">
        <f aca="false">Assumptions!$C$121</f>
        <v>1</v>
      </c>
      <c r="D46" s="5" t="str">
        <f aca="false">IF(ABS(C46-1)&lt;0.0001,"OK","ERROR")</f>
        <v>OK</v>
      </c>
    </row>
    <row r="47" customFormat="false" ht="15" hidden="false" customHeight="false" outlineLevel="0" collapsed="false">
      <c r="A47" s="5" t="s">
        <v>591</v>
      </c>
      <c r="C47" s="26" t="n">
        <f aca="false">Assumptions!$C$135</f>
        <v>100</v>
      </c>
      <c r="D47" s="5" t="str">
        <f aca="false">IF(ABS(C47-100)&lt;0.0001,"OK","ERROR")</f>
        <v>OK</v>
      </c>
    </row>
    <row r="48" customFormat="false" ht="15" hidden="false" customHeight="false" outlineLevel="0" collapsed="false">
      <c r="A48" s="5" t="s">
        <v>592</v>
      </c>
      <c r="C48" s="25" t="n">
        <f aca="false">SUMPRODUCT(ABS('Cash Flow'!$G$23:$K$23))</f>
        <v>6.82121026329696E-013</v>
      </c>
      <c r="D48" s="5" t="str">
        <f aca="false">IF(C48&lt;0.001,"OK","ERROR")</f>
        <v>OK</v>
      </c>
    </row>
    <row r="49" customFormat="false" ht="15" hidden="false" customHeight="false" outlineLevel="0" collapsed="false">
      <c r="A49" s="5" t="s">
        <v>593</v>
      </c>
      <c r="C49" s="28" t="n">
        <f aca="false">Recovery!C89</f>
        <v>0</v>
      </c>
      <c r="D49" s="5" t="str">
        <f aca="false">IF(ABS(C49)&lt;0.001,"OK","ERROR")</f>
        <v>OK</v>
      </c>
    </row>
    <row r="50" customFormat="false" ht="15" hidden="false" customHeight="false" outlineLevel="0" collapsed="false">
      <c r="A50" s="5" t="s">
        <v>594</v>
      </c>
      <c r="C50" s="25" t="n">
        <f aca="false">SUMPRODUCT(ABS(Scenarios!$E$41:$E$48))</f>
        <v>0</v>
      </c>
      <c r="D50" s="5" t="str">
        <f aca="false">IF(C50&lt;0.001,"OK","ERROR")</f>
        <v>OK</v>
      </c>
    </row>
    <row r="51" customFormat="false" ht="15" hidden="false" customHeight="false" outlineLevel="0" collapsed="false">
      <c r="A51" s="5" t="s">
        <v>595</v>
      </c>
      <c r="C51" s="20" t="n">
        <f aca="false">SUMPRODUCT(--ISERROR('Operating Model'!$C$5:$K$60))+SUMPRODUCT(--ISERROR('Debt Schedule'!$C$5:$K$300))+SUMPRODUCT(--ISERROR('Cash Flow'!$C$5:$K$40))+SUMPRODUCT(--ISERROR('Credit Metrics'!$C$5:$K$120))+SUMPRODUCT(--ISERROR(Recovery!$C$5:$K$300))+SUMPRODUCT(--ISERROR(Returns!$C$5:$K$300))+SUMPRODUCT(--ISERROR(Scenarios!$C$4:$F$60))+SUMPRODUCT(--ISERROR('Capital Structure'!$A$4:$L$60))+SUMPRODUCT(--ISERROR(Sensitivities!$A$4:$J$200))+SUMPRODUCT(--ISERROR('Calc Engine'!$C$5:$K$22254))</f>
        <v>0</v>
      </c>
      <c r="D51" s="5" t="str">
        <f aca="false">IF(C51=0,"OK","ERROR")</f>
        <v>OK</v>
      </c>
    </row>
    <row r="52" customFormat="false" ht="15" hidden="false" customHeight="false" outlineLevel="0" collapsed="false">
      <c r="A52" s="2" t="s">
        <v>596</v>
      </c>
      <c r="D52" s="2" t="str">
        <f aca="false">IF(COUNTIF(D46:D51,"OK")=ROWS(D46:D51),"ALL CHECKS PASS","CHECK MODEL")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38"/>
    <col collapsed="false" customWidth="true" hidden="false" outlineLevel="0" max="11" min="11" style="0" width="54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1" t="s">
        <v>597</v>
      </c>
    </row>
    <row r="2" customFormat="false" ht="15" hidden="false" customHeight="false" outlineLevel="0" collapsed="false">
      <c r="A2" s="5" t="s">
        <v>598</v>
      </c>
    </row>
    <row r="4" customFormat="false" ht="15" hidden="false" customHeight="false" outlineLevel="0" collapsed="false">
      <c r="A4" s="7" t="s">
        <v>599</v>
      </c>
      <c r="B4" s="7" t="s">
        <v>600</v>
      </c>
      <c r="C4" s="7" t="s">
        <v>424</v>
      </c>
      <c r="D4" s="7" t="s">
        <v>601</v>
      </c>
      <c r="E4" s="7" t="s">
        <v>602</v>
      </c>
      <c r="F4" s="7" t="s">
        <v>603</v>
      </c>
      <c r="G4" s="7" t="s">
        <v>604</v>
      </c>
      <c r="H4" s="7" t="s">
        <v>605</v>
      </c>
      <c r="I4" s="7" t="s">
        <v>589</v>
      </c>
    </row>
    <row r="5" customFormat="false" ht="15" hidden="false" customHeight="false" outlineLevel="0" collapsed="false">
      <c r="A5" s="5" t="s">
        <v>606</v>
      </c>
      <c r="B5" s="5" t="s">
        <v>607</v>
      </c>
      <c r="C5" s="5" t="s">
        <v>608</v>
      </c>
      <c r="D5" s="5"/>
      <c r="E5" s="5" t="s">
        <v>609</v>
      </c>
      <c r="F5" s="5"/>
      <c r="G5" s="5" t="s">
        <v>609</v>
      </c>
      <c r="H5" s="5" t="s">
        <v>607</v>
      </c>
      <c r="I5" s="5" t="s">
        <v>610</v>
      </c>
    </row>
    <row r="6" customFormat="false" ht="15" hidden="false" customHeight="false" outlineLevel="0" collapsed="false">
      <c r="A6" s="5" t="s">
        <v>611</v>
      </c>
      <c r="B6" s="5" t="s">
        <v>612</v>
      </c>
      <c r="C6" s="5" t="s">
        <v>613</v>
      </c>
      <c r="D6" s="5"/>
      <c r="E6" s="5" t="s">
        <v>609</v>
      </c>
      <c r="F6" s="5"/>
      <c r="G6" s="5" t="s">
        <v>609</v>
      </c>
      <c r="H6" s="5" t="s">
        <v>612</v>
      </c>
      <c r="I6" s="5" t="s">
        <v>610</v>
      </c>
    </row>
    <row r="7" customFormat="false" ht="15" hidden="false" customHeight="false" outlineLevel="0" collapsed="false">
      <c r="A7" s="5" t="s">
        <v>614</v>
      </c>
      <c r="B7" s="5" t="s">
        <v>615</v>
      </c>
      <c r="C7" s="5" t="s">
        <v>609</v>
      </c>
      <c r="D7" s="5"/>
      <c r="E7" s="5" t="s">
        <v>609</v>
      </c>
      <c r="F7" s="5"/>
      <c r="G7" s="5" t="s">
        <v>609</v>
      </c>
      <c r="H7" s="5" t="s">
        <v>615</v>
      </c>
      <c r="I7" s="5" t="s">
        <v>610</v>
      </c>
    </row>
    <row r="9" customFormat="false" ht="15" hidden="false" customHeight="false" outlineLevel="0" collapsed="false">
      <c r="A9" s="2" t="s">
        <v>616</v>
      </c>
    </row>
    <row r="10" customFormat="false" ht="15" hidden="false" customHeight="false" outlineLevel="0" collapsed="false">
      <c r="A10" s="5" t="s">
        <v>617</v>
      </c>
    </row>
    <row r="11" customFormat="false" ht="15" hidden="false" customHeight="false" outlineLevel="0" collapsed="false">
      <c r="A11" s="5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2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619</v>
      </c>
    </row>
    <row r="2" customFormat="false" ht="15" hidden="false" customHeight="false" outlineLevel="0" collapsed="false">
      <c r="A2" s="5" t="s">
        <v>620</v>
      </c>
    </row>
    <row r="5" customFormat="false" ht="15" hidden="false" customHeight="false" outlineLevel="0" collapsed="false">
      <c r="A5" s="9" t="s">
        <v>621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customFormat="false" ht="15" hidden="false" customHeight="false" outlineLevel="0" collapsed="false">
      <c r="A6" s="5" t="s">
        <v>622</v>
      </c>
      <c r="C6" s="11" t="n">
        <v>1</v>
      </c>
    </row>
    <row r="7" customFormat="false" ht="15" hidden="false" customHeight="false" outlineLevel="0" collapsed="false">
      <c r="A7" s="5" t="s">
        <v>623</v>
      </c>
      <c r="C7" s="18" t="n">
        <v>0</v>
      </c>
    </row>
    <row r="8" customFormat="false" ht="15" hidden="false" customHeight="false" outlineLevel="0" collapsed="false">
      <c r="A8" s="5" t="s">
        <v>624</v>
      </c>
      <c r="C8" s="18" t="n">
        <v>0</v>
      </c>
    </row>
    <row r="9" customFormat="false" ht="15" hidden="false" customHeight="false" outlineLevel="0" collapsed="false">
      <c r="A9" s="5" t="s">
        <v>625</v>
      </c>
      <c r="C9" s="18" t="n">
        <v>0</v>
      </c>
    </row>
    <row r="10" customFormat="false" ht="15" hidden="false" customHeight="false" outlineLevel="0" collapsed="false">
      <c r="A10" s="5" t="s">
        <v>626</v>
      </c>
      <c r="C10" s="15" t="n">
        <v>0</v>
      </c>
    </row>
    <row r="12" customFormat="false" ht="15" hidden="false" customHeight="false" outlineLevel="0" collapsed="false">
      <c r="A12" s="23" t="s">
        <v>237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5" t="s">
        <v>238</v>
      </c>
      <c r="F13" s="26" t="n">
        <f aca="false">Assumptions!$C$6</f>
        <v>2025</v>
      </c>
      <c r="G13" s="20" t="n">
        <f aca="false">F13+1</f>
        <v>2026</v>
      </c>
      <c r="H13" s="20" t="n">
        <f aca="false">G13+1</f>
        <v>2027</v>
      </c>
      <c r="I13" s="20" t="n">
        <f aca="false">H13+1</f>
        <v>2028</v>
      </c>
      <c r="J13" s="20" t="n">
        <f aca="false">I13+1</f>
        <v>2029</v>
      </c>
      <c r="K13" s="20" t="n">
        <f aca="false">J13+1</f>
        <v>2030</v>
      </c>
    </row>
    <row r="14" customFormat="false" ht="15" hidden="false" customHeight="false" outlineLevel="0" collapsed="false">
      <c r="A14" s="5" t="s">
        <v>239</v>
      </c>
      <c r="G14" s="20" t="n">
        <f aca="false">G13-Assumptions!$C$6</f>
        <v>1</v>
      </c>
      <c r="H14" s="20" t="n">
        <f aca="false">H13-Assumptions!$C$6</f>
        <v>2</v>
      </c>
      <c r="I14" s="20" t="n">
        <f aca="false">I13-Assumptions!$C$6</f>
        <v>3</v>
      </c>
      <c r="J14" s="20" t="n">
        <f aca="false">J13-Assumptions!$C$6</f>
        <v>4</v>
      </c>
      <c r="K14" s="20" t="n">
        <f aca="false">K13-Assumptions!$C$6</f>
        <v>5</v>
      </c>
    </row>
    <row r="15" customFormat="false" ht="15" hidden="false" customHeight="false" outlineLevel="0" collapsed="false">
      <c r="A15" s="5" t="s">
        <v>149</v>
      </c>
      <c r="G15" s="21" t="n">
        <f aca="false">CHOOSE($C$6,Assumptions!$G$65,Assumptions!$G$84,Assumptions!$G$103)+$C$7</f>
        <v>-0.01</v>
      </c>
      <c r="H15" s="21" t="n">
        <f aca="false">CHOOSE($C$6,Assumptions!$H$65,Assumptions!$H$84,Assumptions!$H$103)+$C$7</f>
        <v>-0.01</v>
      </c>
      <c r="I15" s="21" t="n">
        <f aca="false">CHOOSE($C$6,Assumptions!$I$65,Assumptions!$I$84,Assumptions!$I$103)+$C$7</f>
        <v>-0.01</v>
      </c>
      <c r="J15" s="21" t="n">
        <f aca="false">CHOOSE($C$6,Assumptions!$J$65,Assumptions!$J$84,Assumptions!$J$103)+$C$7</f>
        <v>-0.01</v>
      </c>
      <c r="K15" s="21" t="n">
        <f aca="false">CHOOSE($C$6,Assumptions!$K$65,Assumptions!$K$84,Assumptions!$K$103)+$C$7</f>
        <v>-0.01</v>
      </c>
    </row>
    <row r="16" customFormat="false" ht="15" hidden="false" customHeight="false" outlineLevel="0" collapsed="false">
      <c r="A16" s="5" t="s">
        <v>150</v>
      </c>
      <c r="G16" s="21" t="n">
        <f aca="false">CHOOSE($C$6,Assumptions!$G$66,Assumptions!$G$85,Assumptions!$G$104)</f>
        <v>0.36</v>
      </c>
      <c r="H16" s="21" t="n">
        <f aca="false">CHOOSE($C$6,Assumptions!$H$66,Assumptions!$H$85,Assumptions!$H$104)</f>
        <v>0.362</v>
      </c>
      <c r="I16" s="21" t="n">
        <f aca="false">CHOOSE($C$6,Assumptions!$I$66,Assumptions!$I$85,Assumptions!$I$104)</f>
        <v>0.364</v>
      </c>
      <c r="J16" s="21" t="n">
        <f aca="false">CHOOSE($C$6,Assumptions!$J$66,Assumptions!$J$85,Assumptions!$J$104)</f>
        <v>0.366</v>
      </c>
      <c r="K16" s="21" t="n">
        <f aca="false">CHOOSE($C$6,Assumptions!$K$66,Assumptions!$K$85,Assumptions!$K$104)</f>
        <v>0.368</v>
      </c>
    </row>
    <row r="17" customFormat="false" ht="15" hidden="false" customHeight="false" outlineLevel="0" collapsed="false">
      <c r="A17" s="5" t="s">
        <v>151</v>
      </c>
      <c r="G17" s="21" t="n">
        <f aca="false">CHOOSE($C$6,Assumptions!$G$67,Assumptions!$G$86,Assumptions!$G$105)+$C$8</f>
        <v>0.065</v>
      </c>
      <c r="H17" s="21" t="n">
        <f aca="false">CHOOSE($C$6,Assumptions!$H$67,Assumptions!$H$86,Assumptions!$H$105)+$C$8</f>
        <v>0.067</v>
      </c>
      <c r="I17" s="21" t="n">
        <f aca="false">CHOOSE($C$6,Assumptions!$I$67,Assumptions!$I$86,Assumptions!$I$105)+$C$8</f>
        <v>0.069</v>
      </c>
      <c r="J17" s="21" t="n">
        <f aca="false">CHOOSE($C$6,Assumptions!$J$67,Assumptions!$J$86,Assumptions!$J$105)+$C$8</f>
        <v>0.071</v>
      </c>
      <c r="K17" s="21" t="n">
        <f aca="false">CHOOSE($C$6,Assumptions!$K$67,Assumptions!$K$86,Assumptions!$K$105)+$C$8</f>
        <v>0.073</v>
      </c>
    </row>
    <row r="18" customFormat="false" ht="15" hidden="false" customHeight="false" outlineLevel="0" collapsed="false">
      <c r="A18" s="23" t="s">
        <v>240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customFormat="false" ht="15" hidden="false" customHeight="false" outlineLevel="0" collapsed="false">
      <c r="A19" s="2" t="s">
        <v>207</v>
      </c>
      <c r="F19" s="27" t="n">
        <f aca="false">'Historical Financials'!E17</f>
        <v>2400</v>
      </c>
      <c r="G19" s="16" t="n">
        <f aca="false">F19*(1+G15)</f>
        <v>2376</v>
      </c>
      <c r="H19" s="16" t="n">
        <f aca="false">G19*(1+H15)</f>
        <v>2352.24</v>
      </c>
      <c r="I19" s="16" t="n">
        <f aca="false">H19*(1+I15)</f>
        <v>2328.7176</v>
      </c>
      <c r="J19" s="16" t="n">
        <f aca="false">I19*(1+J15)</f>
        <v>2305.430424</v>
      </c>
      <c r="K19" s="16" t="n">
        <f aca="false">J19*(1+K15)</f>
        <v>2282.37611976</v>
      </c>
    </row>
    <row r="20" customFormat="false" ht="15" hidden="false" customHeight="false" outlineLevel="0" collapsed="false">
      <c r="A20" s="5" t="s">
        <v>217</v>
      </c>
      <c r="G20" s="25" t="n">
        <f aca="false">G19*(1-G16)</f>
        <v>1520.64</v>
      </c>
      <c r="H20" s="25" t="n">
        <f aca="false">H19*(1-H16)</f>
        <v>1500.72912</v>
      </c>
      <c r="I20" s="25" t="n">
        <f aca="false">I19*(1-I16)</f>
        <v>1481.0643936</v>
      </c>
      <c r="J20" s="25" t="n">
        <f aca="false">J19*(1-J16)</f>
        <v>1461.642888816</v>
      </c>
      <c r="K20" s="25" t="n">
        <f aca="false">K19*(1-K16)</f>
        <v>1442.46170768832</v>
      </c>
    </row>
    <row r="21" customFormat="false" ht="15" hidden="false" customHeight="false" outlineLevel="0" collapsed="false">
      <c r="A21" s="2" t="s">
        <v>218</v>
      </c>
      <c r="G21" s="16" t="n">
        <f aca="false">G19-G20</f>
        <v>855.36</v>
      </c>
      <c r="H21" s="16" t="n">
        <f aca="false">H19-H20</f>
        <v>851.51088</v>
      </c>
      <c r="I21" s="16" t="n">
        <f aca="false">I19-I20</f>
        <v>847.6532064</v>
      </c>
      <c r="J21" s="16" t="n">
        <f aca="false">J19-J20</f>
        <v>843.787535184</v>
      </c>
      <c r="K21" s="16" t="n">
        <f aca="false">K19-K20</f>
        <v>839.91441207168</v>
      </c>
    </row>
    <row r="22" customFormat="false" ht="15" hidden="false" customHeight="false" outlineLevel="0" collapsed="false">
      <c r="A22" s="5" t="s">
        <v>241</v>
      </c>
      <c r="G22" s="25" t="n">
        <f aca="false">G21-G23</f>
        <v>700.92</v>
      </c>
      <c r="H22" s="25" t="n">
        <f aca="false">H21-H23</f>
        <v>693.9108</v>
      </c>
      <c r="I22" s="25" t="n">
        <f aca="false">I21-I23</f>
        <v>686.971692</v>
      </c>
      <c r="J22" s="25" t="n">
        <f aca="false">J21-J23</f>
        <v>680.10197508</v>
      </c>
      <c r="K22" s="25" t="n">
        <f aca="false">K21-K23</f>
        <v>673.3009553292</v>
      </c>
    </row>
    <row r="23" customFormat="false" ht="15" hidden="false" customHeight="false" outlineLevel="0" collapsed="false">
      <c r="A23" s="2" t="s">
        <v>242</v>
      </c>
      <c r="G23" s="16" t="n">
        <f aca="false">G19*G17</f>
        <v>154.44</v>
      </c>
      <c r="H23" s="16" t="n">
        <f aca="false">H19*H17</f>
        <v>157.60008</v>
      </c>
      <c r="I23" s="16" t="n">
        <f aca="false">I19*I17</f>
        <v>160.6815144</v>
      </c>
      <c r="J23" s="16" t="n">
        <f aca="false">J19*J17</f>
        <v>163.685560104</v>
      </c>
      <c r="K23" s="16" t="n">
        <f aca="false">K19*K17</f>
        <v>166.61345674248</v>
      </c>
    </row>
    <row r="24" customFormat="false" ht="15" hidden="false" customHeight="false" outlineLevel="0" collapsed="false">
      <c r="A24" s="5" t="s">
        <v>243</v>
      </c>
      <c r="G24" s="25" t="n">
        <f aca="false">G19*'Historical Financials'!E22/'Historical Financials'!E17</f>
        <v>52.272</v>
      </c>
      <c r="H24" s="25" t="n">
        <f aca="false">H19*'Historical Financials'!E22/'Historical Financials'!E17</f>
        <v>51.74928</v>
      </c>
      <c r="I24" s="25" t="n">
        <f aca="false">I19*'Historical Financials'!E22/'Historical Financials'!E17</f>
        <v>51.2317872</v>
      </c>
      <c r="J24" s="25" t="n">
        <f aca="false">J19*'Historical Financials'!E22/'Historical Financials'!E17</f>
        <v>50.719469328</v>
      </c>
      <c r="K24" s="25" t="n">
        <f aca="false">K19*'Historical Financials'!E22/'Historical Financials'!E17</f>
        <v>50.21227463472</v>
      </c>
    </row>
    <row r="25" customFormat="false" ht="15" hidden="false" customHeight="false" outlineLevel="0" collapsed="false">
      <c r="A25" s="5" t="s">
        <v>244</v>
      </c>
      <c r="G25" s="25" t="n">
        <f aca="false">G19*'Historical Financials'!E23/'Historical Financials'!E17</f>
        <v>0</v>
      </c>
      <c r="H25" s="25" t="n">
        <f aca="false">H19*'Historical Financials'!E23/'Historical Financials'!E17</f>
        <v>0</v>
      </c>
      <c r="I25" s="25" t="n">
        <f aca="false">I19*'Historical Financials'!E23/'Historical Financials'!E17</f>
        <v>0</v>
      </c>
      <c r="J25" s="25" t="n">
        <f aca="false">J19*'Historical Financials'!E23/'Historical Financials'!E17</f>
        <v>0</v>
      </c>
      <c r="K25" s="25" t="n">
        <f aca="false">K19*'Historical Financials'!E23/'Historical Financials'!E17</f>
        <v>0</v>
      </c>
    </row>
    <row r="26" customFormat="false" ht="15" hidden="false" customHeight="false" outlineLevel="0" collapsed="false">
      <c r="A26" s="2" t="s">
        <v>245</v>
      </c>
      <c r="G26" s="16" t="n">
        <f aca="false">G23-G24-G25</f>
        <v>102.168</v>
      </c>
      <c r="H26" s="16" t="n">
        <f aca="false">H23-H24-H25</f>
        <v>105.8508</v>
      </c>
      <c r="I26" s="16" t="n">
        <f aca="false">I23-I24-I25</f>
        <v>109.4497272</v>
      </c>
      <c r="J26" s="16" t="n">
        <f aca="false">J23-J24-J25</f>
        <v>112.966090776</v>
      </c>
      <c r="K26" s="16" t="n">
        <f aca="false">K23-K24-K25</f>
        <v>116.40118210776</v>
      </c>
    </row>
    <row r="27" customFormat="false" ht="15" hidden="false" customHeight="false" outlineLevel="0" collapsed="false">
      <c r="A27" s="5" t="s">
        <v>246</v>
      </c>
      <c r="G27" s="25" t="n">
        <f aca="false">G53+G66+G79+G92</f>
        <v>119.04</v>
      </c>
      <c r="H27" s="25" t="n">
        <f aca="false">H53+H66+H79+H92</f>
        <v>114.21564</v>
      </c>
      <c r="I27" s="25" t="n">
        <f aca="false">I53+I66+I79+I92</f>
        <v>126.8792</v>
      </c>
      <c r="J27" s="25" t="n">
        <f aca="false">J53+J66+J79+J92</f>
        <v>134.749836056</v>
      </c>
      <c r="K27" s="25" t="n">
        <f aca="false">K53+K66+K79+K92</f>
        <v>136.33146262032</v>
      </c>
    </row>
    <row r="28" customFormat="false" ht="15" hidden="false" customHeight="false" outlineLevel="0" collapsed="false">
      <c r="A28" s="5" t="s">
        <v>247</v>
      </c>
      <c r="G28" s="25" t="n">
        <f aca="false">G54+G67+G80+G93</f>
        <v>0</v>
      </c>
      <c r="H28" s="25" t="n">
        <f aca="false">H54+H67+H80+H93</f>
        <v>0</v>
      </c>
      <c r="I28" s="25" t="n">
        <f aca="false">I54+I67+I80+I93</f>
        <v>0</v>
      </c>
      <c r="J28" s="25" t="n">
        <f aca="false">J54+J67+J80+J93</f>
        <v>0</v>
      </c>
      <c r="K28" s="25" t="n">
        <f aca="false">K54+K67+K80+K93</f>
        <v>0</v>
      </c>
    </row>
    <row r="29" customFormat="false" ht="15" hidden="false" customHeight="false" outlineLevel="0" collapsed="false">
      <c r="A29" s="5" t="s">
        <v>212</v>
      </c>
      <c r="G29" s="25" t="n">
        <f aca="false">G27+G28</f>
        <v>119.04</v>
      </c>
      <c r="H29" s="25" t="n">
        <f aca="false">H27+H28</f>
        <v>114.21564</v>
      </c>
      <c r="I29" s="25" t="n">
        <f aca="false">I27+I28</f>
        <v>126.8792</v>
      </c>
      <c r="J29" s="25" t="n">
        <f aca="false">J27+J28</f>
        <v>134.749836056</v>
      </c>
      <c r="K29" s="25" t="n">
        <f aca="false">K27+K28</f>
        <v>136.33146262032</v>
      </c>
    </row>
    <row r="30" customFormat="false" ht="15" hidden="false" customHeight="false" outlineLevel="0" collapsed="false">
      <c r="A30" s="2" t="s">
        <v>223</v>
      </c>
      <c r="G30" s="16" t="n">
        <f aca="false">G26-G29</f>
        <v>-16.872</v>
      </c>
      <c r="H30" s="16" t="n">
        <f aca="false">H26-H29</f>
        <v>-8.36484</v>
      </c>
      <c r="I30" s="16" t="n">
        <f aca="false">I26-I29</f>
        <v>-17.4294728</v>
      </c>
      <c r="J30" s="16" t="n">
        <f aca="false">J26-J29</f>
        <v>-21.78374528</v>
      </c>
      <c r="K30" s="16" t="n">
        <f aca="false">K26-K29</f>
        <v>-19.93028051256</v>
      </c>
    </row>
    <row r="31" customFormat="false" ht="15" hidden="false" customHeight="false" outlineLevel="0" collapsed="false">
      <c r="A31" s="5" t="s">
        <v>213</v>
      </c>
      <c r="G31" s="25" t="n">
        <f aca="false">MAX(0,G30)*Assumptions!$C$9</f>
        <v>0</v>
      </c>
      <c r="H31" s="25" t="n">
        <f aca="false">MAX(0,H30)*Assumptions!$C$9</f>
        <v>0</v>
      </c>
      <c r="I31" s="25" t="n">
        <f aca="false">MAX(0,I30)*Assumptions!$C$9</f>
        <v>0</v>
      </c>
      <c r="J31" s="25" t="n">
        <f aca="false">MAX(0,J30)*Assumptions!$C$9</f>
        <v>0</v>
      </c>
      <c r="K31" s="25" t="n">
        <f aca="false">MAX(0,K30)*Assumptions!$C$9</f>
        <v>0</v>
      </c>
    </row>
    <row r="32" customFormat="false" ht="15" hidden="false" customHeight="false" outlineLevel="0" collapsed="false">
      <c r="A32" s="2" t="s">
        <v>248</v>
      </c>
      <c r="G32" s="16" t="n">
        <f aca="false">G30-G31</f>
        <v>-16.872</v>
      </c>
      <c r="H32" s="16" t="n">
        <f aca="false">H30-H31</f>
        <v>-8.36484</v>
      </c>
      <c r="I32" s="16" t="n">
        <f aca="false">I30-I31</f>
        <v>-17.4294728</v>
      </c>
      <c r="J32" s="16" t="n">
        <f aca="false">J30-J31</f>
        <v>-21.78374528</v>
      </c>
      <c r="K32" s="16" t="n">
        <f aca="false">K30-K31</f>
        <v>-19.93028051256</v>
      </c>
    </row>
    <row r="33" customFormat="false" ht="15" hidden="false" customHeight="false" outlineLevel="0" collapsed="false">
      <c r="A33" s="23" t="s">
        <v>249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customFormat="false" ht="15" hidden="false" customHeight="false" outlineLevel="0" collapsed="false">
      <c r="A34" s="5" t="s">
        <v>153</v>
      </c>
      <c r="G34" s="25" t="n">
        <f aca="false">G19*CHOOSE($C$6,Assumptions!$C$69,Assumptions!$C$88,Assumptions!$C$107)</f>
        <v>47.52</v>
      </c>
      <c r="H34" s="25" t="n">
        <f aca="false">H19*CHOOSE($C$6,Assumptions!$C$69,Assumptions!$C$88,Assumptions!$C$107)</f>
        <v>47.0448</v>
      </c>
      <c r="I34" s="25" t="n">
        <f aca="false">I19*CHOOSE($C$6,Assumptions!$C$69,Assumptions!$C$88,Assumptions!$C$107)</f>
        <v>46.574352</v>
      </c>
      <c r="J34" s="25" t="n">
        <f aca="false">J19*CHOOSE($C$6,Assumptions!$C$69,Assumptions!$C$88,Assumptions!$C$107)</f>
        <v>46.10860848</v>
      </c>
      <c r="K34" s="25" t="n">
        <f aca="false">K19*CHOOSE($C$6,Assumptions!$C$69,Assumptions!$C$88,Assumptions!$C$107)</f>
        <v>45.6475223952</v>
      </c>
    </row>
    <row r="35" customFormat="false" ht="15" hidden="false" customHeight="false" outlineLevel="0" collapsed="false">
      <c r="A35" s="5" t="s">
        <v>250</v>
      </c>
      <c r="G35" s="25" t="n">
        <f aca="false">CHOOSE($C$6,Assumptions!$C$70,Assumptions!$C$89,Assumptions!$C$108)*(G19-F19)+CHOOSE($C$6,Assumptions!$C$71,Assumptions!$C$90,Assumptions!$C$109)*G19</f>
        <v>-2.88</v>
      </c>
      <c r="H35" s="25" t="n">
        <f aca="false">CHOOSE($C$6,Assumptions!$C$70,Assumptions!$C$89,Assumptions!$C$108)*(H19-G19)+CHOOSE($C$6,Assumptions!$C$71,Assumptions!$C$90,Assumptions!$C$109)*H19</f>
        <v>-2.85120000000003</v>
      </c>
      <c r="I35" s="25" t="n">
        <f aca="false">CHOOSE($C$6,Assumptions!$C$70,Assumptions!$C$89,Assumptions!$C$108)*(I19-H19)+CHOOSE($C$6,Assumptions!$C$71,Assumptions!$C$90,Assumptions!$C$109)*I19</f>
        <v>-2.82268799999998</v>
      </c>
      <c r="J35" s="25" t="n">
        <f aca="false">CHOOSE($C$6,Assumptions!$C$70,Assumptions!$C$89,Assumptions!$C$108)*(J19-I19)+CHOOSE($C$6,Assumptions!$C$71,Assumptions!$C$90,Assumptions!$C$109)*J19</f>
        <v>-2.79446111999998</v>
      </c>
      <c r="K35" s="25" t="n">
        <f aca="false">CHOOSE($C$6,Assumptions!$C$70,Assumptions!$C$89,Assumptions!$C$108)*(K19-J19)+CHOOSE($C$6,Assumptions!$C$71,Assumptions!$C$90,Assumptions!$C$109)*K19</f>
        <v>-2.7665165088</v>
      </c>
    </row>
    <row r="36" customFormat="false" ht="15" hidden="false" customHeight="false" outlineLevel="0" collapsed="false">
      <c r="A36" s="2" t="s">
        <v>251</v>
      </c>
      <c r="G36" s="16" t="n">
        <f aca="false">G32+G24+G25+G28-G34-G35</f>
        <v>-9.24000000000001</v>
      </c>
      <c r="H36" s="16" t="n">
        <f aca="false">H32+H24+H25+H28-H34-H35</f>
        <v>-0.809159999999978</v>
      </c>
      <c r="I36" s="16" t="n">
        <f aca="false">I32+I24+I25+I28-I34-I35</f>
        <v>-9.94934960000002</v>
      </c>
      <c r="J36" s="16" t="n">
        <f aca="false">J32+J24+J25+J28-J34-J35</f>
        <v>-14.378423312</v>
      </c>
      <c r="K36" s="16" t="n">
        <f aca="false">K32+K24+K25+K28-K34-K35</f>
        <v>-12.59901176424</v>
      </c>
    </row>
    <row r="38" customFormat="false" ht="15" hidden="false" customHeight="false" outlineLevel="0" collapsed="false">
      <c r="A38" s="23" t="s">
        <v>253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customFormat="false" ht="15" hidden="false" customHeight="false" outlineLevel="0" collapsed="false">
      <c r="A39" s="5" t="s">
        <v>254</v>
      </c>
      <c r="G39" s="29" t="n">
        <f aca="false">Assumptions!$G$49</f>
        <v>0.0425</v>
      </c>
      <c r="H39" s="29" t="n">
        <f aca="false">Assumptions!$H$49</f>
        <v>0.04</v>
      </c>
      <c r="I39" s="29" t="n">
        <f aca="false">Assumptions!$I$49</f>
        <v>0.0375</v>
      </c>
      <c r="J39" s="29" t="n">
        <f aca="false">Assumptions!$J$49</f>
        <v>0.0375</v>
      </c>
      <c r="K39" s="29" t="n">
        <f aca="false">Assumptions!$K$49</f>
        <v>0.0375</v>
      </c>
    </row>
    <row r="40" customFormat="false" ht="15" hidden="false" customHeight="false" outlineLevel="0" collapsed="false">
      <c r="A40" s="5" t="s">
        <v>255</v>
      </c>
      <c r="C40" s="30" t="n">
        <f aca="false">CHOOSE($C$6,Assumptions!$C$72,Assumptions!$C$91,Assumptions!$C$110)+$C$9</f>
        <v>0</v>
      </c>
    </row>
    <row r="41" customFormat="false" ht="15" hidden="false" customHeight="false" outlineLevel="0" collapsed="false">
      <c r="A41" s="5" t="s">
        <v>256</v>
      </c>
      <c r="C41" s="30" t="n">
        <f aca="false">CHOOSE($C$6,Assumptions!$C$73,Assumptions!$C$92,Assumptions!$C$111)</f>
        <v>0.11</v>
      </c>
    </row>
    <row r="42" customFormat="false" ht="15" hidden="false" customHeight="false" outlineLevel="0" collapsed="false">
      <c r="A42" s="5" t="s">
        <v>257</v>
      </c>
      <c r="C42" s="31" t="n">
        <f aca="false">CHOOSE($C$6,Assumptions!$C$74,Assumptions!$C$93,Assumptions!$C$112)</f>
        <v>8.5</v>
      </c>
    </row>
    <row r="43" customFormat="false" ht="15" hidden="false" customHeight="false" outlineLevel="0" collapsed="false">
      <c r="A43" s="5" t="s">
        <v>258</v>
      </c>
      <c r="C43" s="31" t="n">
        <f aca="false">CHOOSE($C$6,Assumptions!$C$75,Assumptions!$C$94,Assumptions!$C$113)</f>
        <v>1.2</v>
      </c>
    </row>
    <row r="44" customFormat="false" ht="15" hidden="false" customHeight="false" outlineLevel="0" collapsed="false">
      <c r="A44" s="5" t="s">
        <v>259</v>
      </c>
      <c r="G44" s="25" t="n">
        <f aca="false">G49+G62+G75+G88</f>
        <v>1250</v>
      </c>
      <c r="H44" s="25" t="n">
        <f aca="false">H49+H62+H75+H88</f>
        <v>1214.24</v>
      </c>
      <c r="I44" s="25" t="n">
        <f aca="false">I49+I62+I75+I88</f>
        <v>1209.04</v>
      </c>
      <c r="J44" s="25" t="n">
        <f aca="false">J49+J62+J75+J88</f>
        <v>1224.9985096</v>
      </c>
      <c r="K44" s="25" t="n">
        <f aca="false">K49+K62+K75+K88</f>
        <v>1239.376932912</v>
      </c>
    </row>
    <row r="45" customFormat="false" ht="15" hidden="false" customHeight="false" outlineLevel="0" collapsed="false">
      <c r="A45" s="5" t="s">
        <v>260</v>
      </c>
      <c r="G45" s="25" t="n">
        <f aca="false">F135</f>
        <v>45</v>
      </c>
      <c r="H45" s="25" t="n">
        <f aca="false">G135</f>
        <v>0</v>
      </c>
      <c r="I45" s="25" t="n">
        <f aca="false">H135</f>
        <v>-6.00915999999998</v>
      </c>
      <c r="J45" s="25" t="n">
        <f aca="false">I135</f>
        <v>0</v>
      </c>
      <c r="K45" s="25" t="n">
        <f aca="false">J135</f>
        <v>0</v>
      </c>
    </row>
    <row r="46" customFormat="false" ht="15" hidden="false" customHeight="false" outlineLevel="0" collapsed="false">
      <c r="A46" s="5" t="s">
        <v>261</v>
      </c>
      <c r="G46" s="25" t="n">
        <f aca="false">G49*IF(G50=1,$C$41,IF(Assumptions!$I$53=1,MAX(G39,Assumptions!$G$53)+Assumptions!$F$53+$C$40,Assumptions!$E$53))+G62*IF(G63=1,$C$41,IF(Assumptions!$I$54=1,MAX(G39,Assumptions!$G$54)+Assumptions!$F$54+$C$40,Assumptions!$E$54))+G75*IF(G76=1,$C$41,IF(Assumptions!$I$55=1,MAX(G39,Assumptions!$G$55)+Assumptions!$F$55+$C$40,Assumptions!$E$55))+G88*IF(G89=1,$C$41,IF(Assumptions!$I$56=1,MAX(G39,Assumptions!$G$56)+Assumptions!$F$56+$C$40,Assumptions!$E$56))</f>
        <v>119.04</v>
      </c>
      <c r="H46" s="25" t="n">
        <f aca="false">H49*IF(OR(H50=1,G201=1),$C$41,IF(Assumptions!$I$53=1,MAX(H39,Assumptions!$G$53)+Assumptions!$F$53+$C$40,Assumptions!$E$53))+H62*IF(OR(H63=1,G202=1),$C$41,IF(Assumptions!$I$54=1,MAX(H39,Assumptions!$G$54)+Assumptions!$F$54+$C$40,Assumptions!$E$54))+H75*IF(OR(H76=1,G203=1),$C$41,IF(Assumptions!$I$55=1,MAX(H39,Assumptions!$G$55)+Assumptions!$F$55+$C$40,Assumptions!$E$55))+H88*IF(OR(H89=1,G204=1),$C$41,IF(Assumptions!$I$56=1,MAX(H39,Assumptions!$G$56)+Assumptions!$F$56+$C$40,Assumptions!$E$56))</f>
        <v>128.6758</v>
      </c>
      <c r="I46" s="25" t="n">
        <f aca="false">I49*IF(OR(I50=1,H201=1),$C$41,IF(Assumptions!$I$53=1,MAX(I39,Assumptions!$G$53)+Assumptions!$F$53+$C$40,Assumptions!$E$53))+I62*IF(OR(I63=1,H202=1),$C$41,IF(Assumptions!$I$54=1,MAX(I39,Assumptions!$G$54)+Assumptions!$F$54+$C$40,Assumptions!$E$54))+I75*IF(OR(I76=1,H203=1),$C$41,IF(Assumptions!$I$55=1,MAX(I39,Assumptions!$G$55)+Assumptions!$F$55+$C$40,Assumptions!$E$55))+I88*IF(OR(I89=1,H204=1),$C$41,IF(Assumptions!$I$56=1,MAX(I39,Assumptions!$G$56)+Assumptions!$F$56+$C$40,Assumptions!$E$56))</f>
        <v>132.9944</v>
      </c>
      <c r="J46" s="25" t="n">
        <f aca="false">J49*IF(OR(J50=1,I201=1),$C$41,IF(Assumptions!$I$53=1,MAX(J39,Assumptions!$G$53)+Assumptions!$F$53+$C$40,Assumptions!$E$53))+J62*IF(OR(J63=1,I202=1),$C$41,IF(Assumptions!$I$54=1,MAX(J39,Assumptions!$G$54)+Assumptions!$F$54+$C$40,Assumptions!$E$54))+J75*IF(OR(J76=1,I203=1),$C$41,IF(Assumptions!$I$55=1,MAX(J39,Assumptions!$G$55)+Assumptions!$F$55+$C$40,Assumptions!$E$55))+J88*IF(OR(J89=1,I204=1),$C$41,IF(Assumptions!$I$56=1,MAX(J39,Assumptions!$G$56)+Assumptions!$F$56+$C$40,Assumptions!$E$56))</f>
        <v>134.749836056</v>
      </c>
      <c r="K46" s="25" t="n">
        <f aca="false">K49*IF(OR(K50=1,J201=1),$C$41,IF(Assumptions!$I$53=1,MAX(K39,Assumptions!$G$53)+Assumptions!$F$53+$C$40,Assumptions!$E$53))+K62*IF(OR(K63=1,J202=1),$C$41,IF(Assumptions!$I$54=1,MAX(K39,Assumptions!$G$54)+Assumptions!$F$54+$C$40,Assumptions!$E$54))+K75*IF(OR(K76=1,J203=1),$C$41,IF(Assumptions!$I$55=1,MAX(K39,Assumptions!$G$55)+Assumptions!$F$55+$C$40,Assumptions!$E$55))+K88*IF(OR(K89=1,J204=1),$C$41,IF(Assumptions!$I$56=1,MAX(K39,Assumptions!$G$56)+Assumptions!$F$56+$C$40,Assumptions!$E$56))</f>
        <v>136.33146262032</v>
      </c>
    </row>
    <row r="47" customFormat="false" ht="15" hidden="false" customHeight="false" outlineLevel="0" collapsed="false">
      <c r="A47" s="5" t="s">
        <v>262</v>
      </c>
      <c r="G47" s="20" t="n">
        <f aca="false">IF(G23&lt;=0,0,IF(AND((G44-G45)/G23&lt;=$C$42,G23/G46&gt;=$C$43),1,0))</f>
        <v>1</v>
      </c>
      <c r="H47" s="20" t="n">
        <f aca="false">IF(H23&lt;=0,0,IF(AND((H44-H45)/H23&lt;=$C$42,H23/H46&gt;=$C$43),1,0))</f>
        <v>1</v>
      </c>
      <c r="I47" s="20" t="n">
        <f aca="false">IF(I23&lt;=0,0,IF(AND((I44-I45)/I23&lt;=$C$42,I23/I46&gt;=$C$43),1,0))</f>
        <v>1</v>
      </c>
      <c r="J47" s="20" t="n">
        <f aca="false">IF(J23&lt;=0,0,IF(AND((J44-J45)/J23&lt;=$C$42,J23/J46&gt;=$C$43),1,0))</f>
        <v>1</v>
      </c>
      <c r="K47" s="20" t="n">
        <f aca="false">IF(K23&lt;=0,0,IF(AND((K44-K45)/K23&lt;=$C$42,K23/K46&gt;=$C$43),1,0))</f>
        <v>1</v>
      </c>
    </row>
    <row r="48" customFormat="false" ht="15" hidden="false" customHeight="false" outlineLevel="0" collapsed="false">
      <c r="A48" s="23" t="s">
        <v>263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customFormat="false" ht="15" hidden="false" customHeight="false" outlineLevel="0" collapsed="false">
      <c r="A49" s="5" t="s">
        <v>264</v>
      </c>
      <c r="G49" s="25" t="n">
        <f aca="false">F60</f>
        <v>180</v>
      </c>
      <c r="H49" s="25" t="n">
        <f aca="false">G60</f>
        <v>149.44</v>
      </c>
      <c r="I49" s="25" t="n">
        <f aca="false">H60</f>
        <v>149.44</v>
      </c>
      <c r="J49" s="25" t="n">
        <f aca="false">I60</f>
        <v>170.5985096</v>
      </c>
      <c r="K49" s="25" t="n">
        <f aca="false">J60</f>
        <v>190.176932912</v>
      </c>
    </row>
    <row r="50" customFormat="false" ht="15" hidden="false" customHeight="false" outlineLevel="0" collapsed="false">
      <c r="A50" s="5" t="s">
        <v>265</v>
      </c>
      <c r="G50" s="20" t="n">
        <f aca="false">IF(G13=Assumptions!$K$53,1,0)</f>
        <v>0</v>
      </c>
      <c r="H50" s="20" t="n">
        <f aca="false">IF(H13=Assumptions!$K$53,1,0)</f>
        <v>1</v>
      </c>
      <c r="I50" s="20" t="n">
        <f aca="false">IF(I13=Assumptions!$K$53,1,0)</f>
        <v>0</v>
      </c>
      <c r="J50" s="20" t="n">
        <f aca="false">IF(J13=Assumptions!$K$53,1,0)</f>
        <v>0</v>
      </c>
      <c r="K50" s="20" t="n">
        <f aca="false">IF(K13=Assumptions!$K$53,1,0)</f>
        <v>0</v>
      </c>
    </row>
    <row r="52" customFormat="false" ht="15" hidden="false" customHeight="false" outlineLevel="0" collapsed="false">
      <c r="A52" s="5" t="s">
        <v>266</v>
      </c>
      <c r="G52" s="30" t="n">
        <f aca="false">IF(Assumptions!$I$53=1,MAX(G39,Assumptions!$G$53)+Assumptions!$F$53+$C$40,Assumptions!$E$53)</f>
        <v>0.086</v>
      </c>
      <c r="H52" s="30" t="n">
        <f aca="false">IF(G201=1,$C$41,IF(Assumptions!$I$53=1,MAX(H39,Assumptions!$G$53)+Assumptions!$F$53+$C$40,Assumptions!$E$53))</f>
        <v>0.0835</v>
      </c>
      <c r="I52" s="30" t="n">
        <f aca="false">IF(H201=1,$C$41,IF(Assumptions!$I$53=1,MAX(I39,Assumptions!$G$53)+Assumptions!$F$53+$C$40,Assumptions!$E$53))</f>
        <v>0.11</v>
      </c>
      <c r="J52" s="30" t="n">
        <f aca="false">IF(I201=1,$C$41,IF(Assumptions!$I$53=1,MAX(J39,Assumptions!$G$53)+Assumptions!$F$53+$C$40,Assumptions!$E$53))</f>
        <v>0.11</v>
      </c>
      <c r="K52" s="30" t="n">
        <f aca="false">IF(J201=1,$C$41,IF(Assumptions!$I$53=1,MAX(K39,Assumptions!$G$53)+Assumptions!$F$53+$C$40,Assumptions!$E$53))</f>
        <v>0.11</v>
      </c>
    </row>
    <row r="53" customFormat="false" ht="15" hidden="false" customHeight="false" outlineLevel="0" collapsed="false">
      <c r="A53" s="5" t="s">
        <v>267</v>
      </c>
      <c r="G53" s="25" t="n">
        <f aca="false">G49*G52</f>
        <v>15.48</v>
      </c>
      <c r="H53" s="25" t="n">
        <f aca="false">H49*H52</f>
        <v>12.47824</v>
      </c>
      <c r="I53" s="25" t="n">
        <f aca="false">I49*I52</f>
        <v>16.4384</v>
      </c>
      <c r="J53" s="25" t="n">
        <f aca="false">J49*J52</f>
        <v>18.765836056</v>
      </c>
      <c r="K53" s="25" t="n">
        <f aca="false">K49*K52</f>
        <v>20.91946262032</v>
      </c>
    </row>
    <row r="54" customFormat="false" ht="15" hidden="false" customHeight="false" outlineLevel="0" collapsed="false">
      <c r="A54" s="5" t="s">
        <v>268</v>
      </c>
      <c r="G54" s="25" t="n">
        <f aca="false">G49*Assumptions!$H$53</f>
        <v>0</v>
      </c>
      <c r="H54" s="25" t="n">
        <f aca="false">H49*Assumptions!$H$53</f>
        <v>0</v>
      </c>
      <c r="I54" s="25" t="n">
        <f aca="false">I49*Assumptions!$H$53</f>
        <v>0</v>
      </c>
      <c r="J54" s="25" t="n">
        <f aca="false">J49*Assumptions!$H$53</f>
        <v>0</v>
      </c>
      <c r="K54" s="25" t="n">
        <f aca="false">K49*Assumptions!$H$53</f>
        <v>0</v>
      </c>
    </row>
    <row r="55" customFormat="false" ht="15" hidden="false" customHeight="false" outlineLevel="0" collapsed="false">
      <c r="A55" s="5" t="s">
        <v>269</v>
      </c>
      <c r="G55" s="25" t="n">
        <f aca="false">MIN(G49,Assumptions!$L$53*Assumptions!$C$53)</f>
        <v>0</v>
      </c>
      <c r="H55" s="25" t="n">
        <f aca="false">MIN(H49,Assumptions!$L$53*Assumptions!$C$53)</f>
        <v>0</v>
      </c>
      <c r="I55" s="25" t="n">
        <f aca="false">MIN(I49,Assumptions!$L$53*Assumptions!$C$53)</f>
        <v>0</v>
      </c>
      <c r="J55" s="25" t="n">
        <f aca="false">MIN(J49,Assumptions!$L$53*Assumptions!$C$53)</f>
        <v>0</v>
      </c>
      <c r="K55" s="25" t="n">
        <f aca="false">MIN(K49,Assumptions!$L$53*Assumptions!$C$53)</f>
        <v>0</v>
      </c>
    </row>
    <row r="56" customFormat="false" ht="15" hidden="false" customHeight="false" outlineLevel="0" collapsed="false">
      <c r="A56" s="5" t="s">
        <v>270</v>
      </c>
      <c r="G56" s="25" t="n">
        <f aca="false">IF(AND(Assumptions!$P$53=1,G13&lt;Assumptions!$K$53),MIN(MAX(0,-G127),MAX(0,Assumptions!$D$53-G49)),0)</f>
        <v>0</v>
      </c>
      <c r="H56" s="25" t="n">
        <f aca="false">IF(AND(Assumptions!$P$53=1,OR(H13&lt;Assumptions!$K$53,G201=1)),MIN(MAX(0,-H127),MAX(0,Assumptions!$D$53-H49)),0)</f>
        <v>0</v>
      </c>
      <c r="I56" s="25" t="n">
        <f aca="false">IF(AND(Assumptions!$P$53=1,OR(I13&lt;Assumptions!$K$53,H201=1)),MIN(MAX(0,-I127),MAX(0,Assumptions!$D$53-I49)),0)</f>
        <v>21.1585096</v>
      </c>
      <c r="J56" s="25" t="n">
        <f aca="false">IF(AND(Assumptions!$P$53=1,OR(J13&lt;Assumptions!$K$53,I201=1)),MIN(MAX(0,-J127),MAX(0,Assumptions!$D$53-J49)),0)</f>
        <v>19.578423312</v>
      </c>
      <c r="K56" s="25" t="n">
        <f aca="false">IF(AND(Assumptions!$P$53=1,OR(K13&lt;Assumptions!$K$53,J201=1)),MIN(MAX(0,-K127),MAX(0,Assumptions!$D$53-K49)),0)</f>
        <v>17.79901176424</v>
      </c>
    </row>
    <row r="57" customFormat="false" ht="15" hidden="false" customHeight="false" outlineLevel="0" collapsed="false">
      <c r="A57" s="5" t="s">
        <v>271</v>
      </c>
      <c r="G57" s="25" t="n">
        <f aca="false">G50*MIN(G49-G55+G54,MAX(0,G129-Assumptions!$C$12*G47))</f>
        <v>0</v>
      </c>
      <c r="H57" s="25" t="n">
        <f aca="false">H50*MIN(H49-H55+H54,MAX(0,H129-Assumptions!$C$12*H47))</f>
        <v>0</v>
      </c>
      <c r="I57" s="25" t="n">
        <f aca="false">I50*MIN(I49-I55+I54,MAX(0,I129-Assumptions!$C$12*I47))</f>
        <v>0</v>
      </c>
      <c r="J57" s="25" t="n">
        <f aca="false">J50*MIN(J49-J55+J54,MAX(0,J129-Assumptions!$C$12*J47))</f>
        <v>0</v>
      </c>
      <c r="K57" s="25" t="n">
        <f aca="false">K50*MIN(K49-K55+K54,MAX(0,K129-Assumptions!$C$12*K47))</f>
        <v>0</v>
      </c>
    </row>
    <row r="58" customFormat="false" ht="15" hidden="false" customHeight="false" outlineLevel="0" collapsed="false">
      <c r="A58" s="5" t="s">
        <v>272</v>
      </c>
      <c r="G58" s="25" t="n">
        <f aca="false">Assumptions!$N$53*MIN(G49+G56+G54-G55-G57,MAX(0,G133))</f>
        <v>30.56</v>
      </c>
      <c r="H58" s="25" t="n">
        <f aca="false">Assumptions!$N$53*MIN(H49+H56+H54-H55-H57,MAX(0,H133))</f>
        <v>0</v>
      </c>
      <c r="I58" s="25" t="n">
        <f aca="false">Assumptions!$N$53*MIN(I49+I56+I54-I55-I57,MAX(0,I133))</f>
        <v>0</v>
      </c>
      <c r="J58" s="25" t="n">
        <f aca="false">Assumptions!$N$53*MIN(J49+J56+J54-J55-J57,MAX(0,J133))</f>
        <v>0</v>
      </c>
      <c r="K58" s="25" t="n">
        <f aca="false">Assumptions!$N$53*MIN(K49+K56+K54-K55-K57,MAX(0,K133))</f>
        <v>0</v>
      </c>
    </row>
    <row r="59" customFormat="false" ht="15" hidden="false" customHeight="false" outlineLevel="0" collapsed="false">
      <c r="A59" s="5" t="s">
        <v>273</v>
      </c>
      <c r="G59" s="25" t="n">
        <f aca="false">G50*(1-G47)*(G49-G55+G54-G57)</f>
        <v>0</v>
      </c>
      <c r="H59" s="25" t="n">
        <f aca="false">H50*(1-H47)*(H49-H55+H54-H57)</f>
        <v>0</v>
      </c>
      <c r="I59" s="25" t="n">
        <f aca="false">I50*(1-I47)*(I49-I55+I54-I57)</f>
        <v>0</v>
      </c>
      <c r="J59" s="25" t="n">
        <f aca="false">J50*(1-J47)*(J49-J55+J54-J57)</f>
        <v>0</v>
      </c>
      <c r="K59" s="25" t="n">
        <f aca="false">K50*(1-K47)*(K49-K55+K54-K57)</f>
        <v>0</v>
      </c>
    </row>
    <row r="60" customFormat="false" ht="15" hidden="false" customHeight="false" outlineLevel="0" collapsed="false">
      <c r="A60" s="2" t="s">
        <v>274</v>
      </c>
      <c r="F60" s="27" t="n">
        <f aca="false">Assumptions!$C$53</f>
        <v>180</v>
      </c>
      <c r="G60" s="16" t="n">
        <f aca="false">G49+G56+G54-G55-G57-G58</f>
        <v>149.44</v>
      </c>
      <c r="H60" s="16" t="n">
        <f aca="false">H49+H56+H54-H55-H57-H58</f>
        <v>149.44</v>
      </c>
      <c r="I60" s="16" t="n">
        <f aca="false">I49+I56+I54-I55-I57-I58</f>
        <v>170.5985096</v>
      </c>
      <c r="J60" s="16" t="n">
        <f aca="false">J49+J56+J54-J55-J57-J58</f>
        <v>190.176932912</v>
      </c>
      <c r="K60" s="16" t="n">
        <f aca="false">K49+K56+K54-K55-K57-K58</f>
        <v>207.97594467624</v>
      </c>
    </row>
    <row r="61" customFormat="false" ht="15" hidden="false" customHeight="false" outlineLevel="0" collapsed="false">
      <c r="A61" s="23" t="s">
        <v>275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customFormat="false" ht="15" hidden="false" customHeight="false" outlineLevel="0" collapsed="false">
      <c r="A62" s="5" t="s">
        <v>264</v>
      </c>
      <c r="G62" s="25" t="n">
        <f aca="false">F73</f>
        <v>520</v>
      </c>
      <c r="H62" s="25" t="n">
        <f aca="false">G73</f>
        <v>514.8</v>
      </c>
      <c r="I62" s="25" t="n">
        <f aca="false">H73</f>
        <v>509.6</v>
      </c>
      <c r="J62" s="25" t="n">
        <f aca="false">I73</f>
        <v>504.4</v>
      </c>
      <c r="K62" s="25" t="n">
        <f aca="false">J73</f>
        <v>499.2</v>
      </c>
    </row>
    <row r="63" customFormat="false" ht="15" hidden="false" customHeight="false" outlineLevel="0" collapsed="false">
      <c r="A63" s="5" t="s">
        <v>265</v>
      </c>
      <c r="G63" s="20" t="n">
        <f aca="false">IF(G13=Assumptions!$K$54,1,0)</f>
        <v>0</v>
      </c>
      <c r="H63" s="20" t="n">
        <f aca="false">IF(H13=Assumptions!$K$54,1,0)</f>
        <v>0</v>
      </c>
      <c r="I63" s="20" t="n">
        <f aca="false">IF(I13=Assumptions!$K$54,1,0)</f>
        <v>1</v>
      </c>
      <c r="J63" s="20" t="n">
        <f aca="false">IF(J13=Assumptions!$K$54,1,0)</f>
        <v>0</v>
      </c>
      <c r="K63" s="20" t="n">
        <f aca="false">IF(K13=Assumptions!$K$54,1,0)</f>
        <v>0</v>
      </c>
    </row>
    <row r="65" customFormat="false" ht="15" hidden="false" customHeight="false" outlineLevel="0" collapsed="false">
      <c r="A65" s="5" t="s">
        <v>266</v>
      </c>
      <c r="G65" s="30" t="n">
        <f aca="false">IF(Assumptions!$I$54=1,MAX(G39,Assumptions!$G$54)+Assumptions!$F$54+$C$40,Assumptions!$E$54)</f>
        <v>0.103</v>
      </c>
      <c r="H65" s="30" t="n">
        <f aca="false">IF(G202=1,$C$41,IF(Assumptions!$I$54=1,MAX(H39,Assumptions!$G$54)+Assumptions!$F$54+$C$40,Assumptions!$E$54))</f>
        <v>0.1005</v>
      </c>
      <c r="I65" s="30" t="n">
        <f aca="false">IF(H202=1,$C$41,IF(Assumptions!$I$54=1,MAX(I39,Assumptions!$G$54)+Assumptions!$F$54+$C$40,Assumptions!$E$54))</f>
        <v>0.098</v>
      </c>
      <c r="J65" s="30" t="n">
        <f aca="false">IF(I202=1,$C$41,IF(Assumptions!$I$54=1,MAX(J39,Assumptions!$G$54)+Assumptions!$F$54+$C$40,Assumptions!$E$54))</f>
        <v>0.11</v>
      </c>
      <c r="K65" s="30" t="n">
        <f aca="false">IF(J202=1,$C$41,IF(Assumptions!$I$54=1,MAX(K39,Assumptions!$G$54)+Assumptions!$F$54+$C$40,Assumptions!$E$54))</f>
        <v>0.11</v>
      </c>
    </row>
    <row r="66" customFormat="false" ht="15" hidden="false" customHeight="false" outlineLevel="0" collapsed="false">
      <c r="A66" s="5" t="s">
        <v>267</v>
      </c>
      <c r="G66" s="25" t="n">
        <f aca="false">G62*G65</f>
        <v>53.56</v>
      </c>
      <c r="H66" s="25" t="n">
        <f aca="false">H62*H65</f>
        <v>51.7374</v>
      </c>
      <c r="I66" s="25" t="n">
        <f aca="false">I62*I65</f>
        <v>49.9408</v>
      </c>
      <c r="J66" s="25" t="n">
        <f aca="false">J62*J65</f>
        <v>55.484</v>
      </c>
      <c r="K66" s="25" t="n">
        <f aca="false">K62*K65</f>
        <v>54.912</v>
      </c>
    </row>
    <row r="67" customFormat="false" ht="15" hidden="false" customHeight="false" outlineLevel="0" collapsed="false">
      <c r="A67" s="5" t="s">
        <v>268</v>
      </c>
      <c r="G67" s="25" t="n">
        <f aca="false">G62*Assumptions!$H$54</f>
        <v>0</v>
      </c>
      <c r="H67" s="25" t="n">
        <f aca="false">H62*Assumptions!$H$54</f>
        <v>0</v>
      </c>
      <c r="I67" s="25" t="n">
        <f aca="false">I62*Assumptions!$H$54</f>
        <v>0</v>
      </c>
      <c r="J67" s="25" t="n">
        <f aca="false">J62*Assumptions!$H$54</f>
        <v>0</v>
      </c>
      <c r="K67" s="25" t="n">
        <f aca="false">K62*Assumptions!$H$54</f>
        <v>0</v>
      </c>
    </row>
    <row r="68" customFormat="false" ht="15" hidden="false" customHeight="false" outlineLevel="0" collapsed="false">
      <c r="A68" s="5" t="s">
        <v>269</v>
      </c>
      <c r="G68" s="25" t="n">
        <f aca="false">MIN(G62,Assumptions!$L$54*Assumptions!$C$54)</f>
        <v>5.2</v>
      </c>
      <c r="H68" s="25" t="n">
        <f aca="false">MIN(H62,Assumptions!$L$54*Assumptions!$C$54)</f>
        <v>5.2</v>
      </c>
      <c r="I68" s="25" t="n">
        <f aca="false">MIN(I62,Assumptions!$L$54*Assumptions!$C$54)</f>
        <v>5.2</v>
      </c>
      <c r="J68" s="25" t="n">
        <f aca="false">MIN(J62,Assumptions!$L$54*Assumptions!$C$54)</f>
        <v>5.2</v>
      </c>
      <c r="K68" s="25" t="n">
        <f aca="false">MIN(K62,Assumptions!$L$54*Assumptions!$C$54)</f>
        <v>5.2</v>
      </c>
    </row>
    <row r="69" customFormat="false" ht="15" hidden="false" customHeight="false" outlineLevel="0" collapsed="false">
      <c r="A69" s="5" t="s">
        <v>270</v>
      </c>
      <c r="G69" s="25" t="n">
        <f aca="false">IF(AND(Assumptions!$P$54=1,G13&lt;Assumptions!$K$54),MIN(MAX(0,-G127),MAX(0,Assumptions!$D$54-G62)),0)</f>
        <v>0</v>
      </c>
      <c r="H69" s="25" t="n">
        <f aca="false">IF(AND(Assumptions!$P$54=1,OR(H13&lt;Assumptions!$K$54,G202=1)),MIN(MAX(0,-H127),MAX(0,Assumptions!$D$54-H62)),0)</f>
        <v>0</v>
      </c>
      <c r="I69" s="25" t="n">
        <f aca="false">IF(AND(Assumptions!$P$54=1,OR(I13&lt;Assumptions!$K$54,H202=1)),MIN(MAX(0,-I127),MAX(0,Assumptions!$D$54-I62)),0)</f>
        <v>0</v>
      </c>
      <c r="J69" s="25" t="n">
        <f aca="false">IF(AND(Assumptions!$P$54=1,OR(J13&lt;Assumptions!$K$54,I202=1)),MIN(MAX(0,-J127),MAX(0,Assumptions!$D$54-J62)),0)</f>
        <v>0</v>
      </c>
      <c r="K69" s="25" t="n">
        <f aca="false">IF(AND(Assumptions!$P$54=1,OR(K13&lt;Assumptions!$K$54,J202=1)),MIN(MAX(0,-K127),MAX(0,Assumptions!$D$54-K62)),0)</f>
        <v>0</v>
      </c>
    </row>
    <row r="70" customFormat="false" ht="15" hidden="false" customHeight="false" outlineLevel="0" collapsed="false">
      <c r="A70" s="5" t="s">
        <v>271</v>
      </c>
      <c r="G70" s="25" t="n">
        <f aca="false">G63*MIN(G62-G68+G67,MAX(0,G129-Assumptions!$C$12*G47-G57))</f>
        <v>0</v>
      </c>
      <c r="H70" s="25" t="n">
        <f aca="false">H63*MIN(H62-H68+H67,MAX(0,H129-Assumptions!$C$12*H47-H57))</f>
        <v>0</v>
      </c>
      <c r="I70" s="25" t="n">
        <f aca="false">I63*MIN(I62-I68+I67,MAX(0,I129-Assumptions!$C$12*I47-I57))</f>
        <v>0</v>
      </c>
      <c r="J70" s="25" t="n">
        <f aca="false">J63*MIN(J62-J68+J67,MAX(0,J129-Assumptions!$C$12*J47-J57))</f>
        <v>0</v>
      </c>
      <c r="K70" s="25" t="n">
        <f aca="false">K63*MIN(K62-K68+K67,MAX(0,K129-Assumptions!$C$12*K47-K57))</f>
        <v>0</v>
      </c>
    </row>
    <row r="71" customFormat="false" ht="15" hidden="false" customHeight="false" outlineLevel="0" collapsed="false">
      <c r="A71" s="5" t="s">
        <v>272</v>
      </c>
      <c r="G71" s="25" t="n">
        <f aca="false">Assumptions!$N$54*MIN(G62+G69+G67-G68-G70,MAX(0,G133-G58))</f>
        <v>0</v>
      </c>
      <c r="H71" s="25" t="n">
        <f aca="false">Assumptions!$N$54*MIN(H62+H69+H67-H68-H70,MAX(0,H133-H58))</f>
        <v>0</v>
      </c>
      <c r="I71" s="25" t="n">
        <f aca="false">Assumptions!$N$54*MIN(I62+I69+I67-I68-I70,MAX(0,I133-I58))</f>
        <v>0</v>
      </c>
      <c r="J71" s="25" t="n">
        <f aca="false">Assumptions!$N$54*MIN(J62+J69+J67-J68-J70,MAX(0,J133-J58))</f>
        <v>0</v>
      </c>
      <c r="K71" s="25" t="n">
        <f aca="false">Assumptions!$N$54*MIN(K62+K69+K67-K68-K70,MAX(0,K133-K58))</f>
        <v>0</v>
      </c>
    </row>
    <row r="72" customFormat="false" ht="15" hidden="false" customHeight="false" outlineLevel="0" collapsed="false">
      <c r="A72" s="5" t="s">
        <v>273</v>
      </c>
      <c r="G72" s="25" t="n">
        <f aca="false">G63*(1-G47)*(G62-G68+G67-G70)</f>
        <v>0</v>
      </c>
      <c r="H72" s="25" t="n">
        <f aca="false">H63*(1-H47)*(H62-H68+H67-H70)</f>
        <v>0</v>
      </c>
      <c r="I72" s="25" t="n">
        <f aca="false">I63*(1-I47)*(I62-I68+I67-I70)</f>
        <v>0</v>
      </c>
      <c r="J72" s="25" t="n">
        <f aca="false">J63*(1-J47)*(J62-J68+J67-J70)</f>
        <v>0</v>
      </c>
      <c r="K72" s="25" t="n">
        <f aca="false">K63*(1-K47)*(K62-K68+K67-K70)</f>
        <v>0</v>
      </c>
    </row>
    <row r="73" customFormat="false" ht="15" hidden="false" customHeight="false" outlineLevel="0" collapsed="false">
      <c r="A73" s="2" t="s">
        <v>274</v>
      </c>
      <c r="F73" s="27" t="n">
        <f aca="false">Assumptions!$C$54</f>
        <v>520</v>
      </c>
      <c r="G73" s="16" t="n">
        <f aca="false">G62+G69+G67-G68-G70-G71</f>
        <v>514.8</v>
      </c>
      <c r="H73" s="16" t="n">
        <f aca="false">H62+H69+H67-H68-H70-H71</f>
        <v>509.6</v>
      </c>
      <c r="I73" s="16" t="n">
        <f aca="false">I62+I69+I67-I68-I70-I71</f>
        <v>504.4</v>
      </c>
      <c r="J73" s="16" t="n">
        <f aca="false">J62+J69+J67-J68-J70-J71</f>
        <v>499.2</v>
      </c>
      <c r="K73" s="16" t="n">
        <f aca="false">K62+K69+K67-K68-K70-K71</f>
        <v>494</v>
      </c>
    </row>
    <row r="74" customFormat="false" ht="15" hidden="false" customHeight="false" outlineLevel="0" collapsed="false">
      <c r="A74" s="23" t="s">
        <v>276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customFormat="false" ht="15" hidden="false" customHeight="false" outlineLevel="0" collapsed="false">
      <c r="A75" s="5" t="s">
        <v>264</v>
      </c>
      <c r="G75" s="25" t="n">
        <f aca="false">F86</f>
        <v>250</v>
      </c>
      <c r="H75" s="25" t="n">
        <f aca="false">G86</f>
        <v>250</v>
      </c>
      <c r="I75" s="25" t="n">
        <f aca="false">H86</f>
        <v>250</v>
      </c>
      <c r="J75" s="25" t="n">
        <f aca="false">I86</f>
        <v>250</v>
      </c>
      <c r="K75" s="25" t="n">
        <f aca="false">J86</f>
        <v>250</v>
      </c>
    </row>
    <row r="76" customFormat="false" ht="15" hidden="false" customHeight="false" outlineLevel="0" collapsed="false">
      <c r="A76" s="5" t="s">
        <v>265</v>
      </c>
      <c r="G76" s="20" t="n">
        <f aca="false">IF(G13=Assumptions!$K$55,1,0)</f>
        <v>0</v>
      </c>
      <c r="H76" s="20" t="n">
        <f aca="false">IF(H13=Assumptions!$K$55,1,0)</f>
        <v>0</v>
      </c>
      <c r="I76" s="20" t="n">
        <f aca="false">IF(I13=Assumptions!$K$55,1,0)</f>
        <v>0</v>
      </c>
      <c r="J76" s="20" t="n">
        <f aca="false">IF(J13=Assumptions!$K$55,1,0)</f>
        <v>1</v>
      </c>
      <c r="K76" s="20" t="n">
        <f aca="false">IF(K13=Assumptions!$K$55,1,0)</f>
        <v>0</v>
      </c>
    </row>
    <row r="78" customFormat="false" ht="15" hidden="false" customHeight="false" outlineLevel="0" collapsed="false">
      <c r="A78" s="5" t="s">
        <v>266</v>
      </c>
      <c r="G78" s="30" t="n">
        <f aca="false">IF(Assumptions!$I$55=1,MAX(G39,Assumptions!$G$55)+Assumptions!$F$55+$C$40,Assumptions!$E$55)</f>
        <v>0.11</v>
      </c>
      <c r="H78" s="30" t="n">
        <f aca="false">IF(G203=1,$C$41,IF(Assumptions!$I$55=1,MAX(H39,Assumptions!$G$55)+Assumptions!$F$55+$C$40,Assumptions!$E$55))</f>
        <v>0.11</v>
      </c>
      <c r="I78" s="30" t="n">
        <f aca="false">IF(H203=1,$C$41,IF(Assumptions!$I$55=1,MAX(I39,Assumptions!$G$55)+Assumptions!$F$55+$C$40,Assumptions!$E$55))</f>
        <v>0.11</v>
      </c>
      <c r="J78" s="30" t="n">
        <f aca="false">IF(I203=1,$C$41,IF(Assumptions!$I$55=1,MAX(J39,Assumptions!$G$55)+Assumptions!$F$55+$C$40,Assumptions!$E$55))</f>
        <v>0.11</v>
      </c>
      <c r="K78" s="30" t="n">
        <f aca="false">IF(J203=1,$C$41,IF(Assumptions!$I$55=1,MAX(K39,Assumptions!$G$55)+Assumptions!$F$55+$C$40,Assumptions!$E$55))</f>
        <v>0.11</v>
      </c>
    </row>
    <row r="79" customFormat="false" ht="15" hidden="false" customHeight="false" outlineLevel="0" collapsed="false">
      <c r="A79" s="5" t="s">
        <v>267</v>
      </c>
      <c r="G79" s="25" t="n">
        <f aca="false">G75*G78</f>
        <v>27.5</v>
      </c>
      <c r="H79" s="25" t="n">
        <f aca="false">H75*H78</f>
        <v>27.5</v>
      </c>
      <c r="I79" s="25" t="n">
        <f aca="false">I75*I78</f>
        <v>27.5</v>
      </c>
      <c r="J79" s="25" t="n">
        <f aca="false">J75*J78</f>
        <v>27.5</v>
      </c>
      <c r="K79" s="25" t="n">
        <f aca="false">K75*K78</f>
        <v>27.5</v>
      </c>
    </row>
    <row r="80" customFormat="false" ht="15" hidden="false" customHeight="false" outlineLevel="0" collapsed="false">
      <c r="A80" s="5" t="s">
        <v>268</v>
      </c>
      <c r="G80" s="25" t="n">
        <f aca="false">G75*Assumptions!$H$55</f>
        <v>0</v>
      </c>
      <c r="H80" s="25" t="n">
        <f aca="false">H75*Assumptions!$H$55</f>
        <v>0</v>
      </c>
      <c r="I80" s="25" t="n">
        <f aca="false">I75*Assumptions!$H$55</f>
        <v>0</v>
      </c>
      <c r="J80" s="25" t="n">
        <f aca="false">J75*Assumptions!$H$55</f>
        <v>0</v>
      </c>
      <c r="K80" s="25" t="n">
        <f aca="false">K75*Assumptions!$H$55</f>
        <v>0</v>
      </c>
    </row>
    <row r="81" customFormat="false" ht="15" hidden="false" customHeight="false" outlineLevel="0" collapsed="false">
      <c r="A81" s="5" t="s">
        <v>269</v>
      </c>
      <c r="G81" s="25" t="n">
        <f aca="false">MIN(G75,Assumptions!$L$55*Assumptions!$C$55)</f>
        <v>0</v>
      </c>
      <c r="H81" s="25" t="n">
        <f aca="false">MIN(H75,Assumptions!$L$55*Assumptions!$C$55)</f>
        <v>0</v>
      </c>
      <c r="I81" s="25" t="n">
        <f aca="false">MIN(I75,Assumptions!$L$55*Assumptions!$C$55)</f>
        <v>0</v>
      </c>
      <c r="J81" s="25" t="n">
        <f aca="false">MIN(J75,Assumptions!$L$55*Assumptions!$C$55)</f>
        <v>0</v>
      </c>
      <c r="K81" s="25" t="n">
        <f aca="false">MIN(K75,Assumptions!$L$55*Assumptions!$C$55)</f>
        <v>0</v>
      </c>
    </row>
    <row r="82" customFormat="false" ht="15" hidden="false" customHeight="false" outlineLevel="0" collapsed="false">
      <c r="A82" s="5" t="s">
        <v>270</v>
      </c>
      <c r="G82" s="25" t="n">
        <f aca="false">IF(AND(Assumptions!$P$55=1,G13&lt;Assumptions!$K$55),MIN(MAX(0,-G127),MAX(0,Assumptions!$D$55-G75)),0)</f>
        <v>0</v>
      </c>
      <c r="H82" s="25" t="n">
        <f aca="false">IF(AND(Assumptions!$P$55=1,OR(H13&lt;Assumptions!$K$55,G203=1)),MIN(MAX(0,-H127),MAX(0,Assumptions!$D$55-H75)),0)</f>
        <v>0</v>
      </c>
      <c r="I82" s="25" t="n">
        <f aca="false">IF(AND(Assumptions!$P$55=1,OR(I13&lt;Assumptions!$K$55,H203=1)),MIN(MAX(0,-I127),MAX(0,Assumptions!$D$55-I75)),0)</f>
        <v>0</v>
      </c>
      <c r="J82" s="25" t="n">
        <f aca="false">IF(AND(Assumptions!$P$55=1,OR(J13&lt;Assumptions!$K$55,I203=1)),MIN(MAX(0,-J127),MAX(0,Assumptions!$D$55-J75)),0)</f>
        <v>0</v>
      </c>
      <c r="K82" s="25" t="n">
        <f aca="false">IF(AND(Assumptions!$P$55=1,OR(K13&lt;Assumptions!$K$55,J203=1)),MIN(MAX(0,-K127),MAX(0,Assumptions!$D$55-K75)),0)</f>
        <v>0</v>
      </c>
    </row>
    <row r="83" customFormat="false" ht="15" hidden="false" customHeight="false" outlineLevel="0" collapsed="false">
      <c r="A83" s="5" t="s">
        <v>271</v>
      </c>
      <c r="G83" s="25" t="n">
        <f aca="false">G76*MIN(G75-G81+G80,MAX(0,G129-Assumptions!$C$12*G47-G57-G70))</f>
        <v>0</v>
      </c>
      <c r="H83" s="25" t="n">
        <f aca="false">H76*MIN(H75-H81+H80,MAX(0,H129-Assumptions!$C$12*H47-H57-H70))</f>
        <v>0</v>
      </c>
      <c r="I83" s="25" t="n">
        <f aca="false">I76*MIN(I75-I81+I80,MAX(0,I129-Assumptions!$C$12*I47-I57-I70))</f>
        <v>0</v>
      </c>
      <c r="J83" s="25" t="n">
        <f aca="false">J76*MIN(J75-J81+J80,MAX(0,J129-Assumptions!$C$12*J47-J57-J70))</f>
        <v>0</v>
      </c>
      <c r="K83" s="25" t="n">
        <f aca="false">K76*MIN(K75-K81+K80,MAX(0,K129-Assumptions!$C$12*K47-K57-K70))</f>
        <v>0</v>
      </c>
    </row>
    <row r="84" customFormat="false" ht="15" hidden="false" customHeight="false" outlineLevel="0" collapsed="false">
      <c r="A84" s="5" t="s">
        <v>272</v>
      </c>
      <c r="G84" s="25" t="n">
        <f aca="false">Assumptions!$N$55*MIN(G75+G82+G80-G81-G83,MAX(0,G133-G58-G71))</f>
        <v>0</v>
      </c>
      <c r="H84" s="25" t="n">
        <f aca="false">Assumptions!$N$55*MIN(H75+H82+H80-H81-H83,MAX(0,H133-H58-H71))</f>
        <v>0</v>
      </c>
      <c r="I84" s="25" t="n">
        <f aca="false">Assumptions!$N$55*MIN(I75+I82+I80-I81-I83,MAX(0,I133-I58-I71))</f>
        <v>0</v>
      </c>
      <c r="J84" s="25" t="n">
        <f aca="false">Assumptions!$N$55*MIN(J75+J82+J80-J81-J83,MAX(0,J133-J58-J71))</f>
        <v>0</v>
      </c>
      <c r="K84" s="25" t="n">
        <f aca="false">Assumptions!$N$55*MIN(K75+K82+K80-K81-K83,MAX(0,K133-K58-K71))</f>
        <v>0</v>
      </c>
    </row>
    <row r="85" customFormat="false" ht="15" hidden="false" customHeight="false" outlineLevel="0" collapsed="false">
      <c r="A85" s="5" t="s">
        <v>273</v>
      </c>
      <c r="G85" s="25" t="n">
        <f aca="false">G76*(1-G47)*(G75-G81+G80-G83)</f>
        <v>0</v>
      </c>
      <c r="H85" s="25" t="n">
        <f aca="false">H76*(1-H47)*(H75-H81+H80-H83)</f>
        <v>0</v>
      </c>
      <c r="I85" s="25" t="n">
        <f aca="false">I76*(1-I47)*(I75-I81+I80-I83)</f>
        <v>0</v>
      </c>
      <c r="J85" s="25" t="n">
        <f aca="false">J76*(1-J47)*(J75-J81+J80-J83)</f>
        <v>0</v>
      </c>
      <c r="K85" s="25" t="n">
        <f aca="false">K76*(1-K47)*(K75-K81+K80-K83)</f>
        <v>0</v>
      </c>
    </row>
    <row r="86" customFormat="false" ht="15" hidden="false" customHeight="false" outlineLevel="0" collapsed="false">
      <c r="A86" s="2" t="s">
        <v>274</v>
      </c>
      <c r="F86" s="27" t="n">
        <f aca="false">Assumptions!$C$55</f>
        <v>250</v>
      </c>
      <c r="G86" s="16" t="n">
        <f aca="false">G75+G82+G80-G81-G83-G84</f>
        <v>250</v>
      </c>
      <c r="H86" s="16" t="n">
        <f aca="false">H75+H82+H80-H81-H83-H84</f>
        <v>250</v>
      </c>
      <c r="I86" s="16" t="n">
        <f aca="false">I75+I82+I80-I81-I83-I84</f>
        <v>250</v>
      </c>
      <c r="J86" s="16" t="n">
        <f aca="false">J75+J82+J80-J81-J83-J84</f>
        <v>250</v>
      </c>
      <c r="K86" s="16" t="n">
        <f aca="false">K75+K82+K80-K81-K83-K84</f>
        <v>250</v>
      </c>
    </row>
    <row r="87" customFormat="false" ht="15" hidden="false" customHeight="false" outlineLevel="0" collapsed="false">
      <c r="A87" s="23" t="s">
        <v>277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</row>
    <row r="88" customFormat="false" ht="15" hidden="false" customHeight="false" outlineLevel="0" collapsed="false">
      <c r="A88" s="5" t="s">
        <v>264</v>
      </c>
      <c r="G88" s="25" t="n">
        <f aca="false">F99</f>
        <v>300</v>
      </c>
      <c r="H88" s="25" t="n">
        <f aca="false">G99</f>
        <v>300</v>
      </c>
      <c r="I88" s="25" t="n">
        <f aca="false">H99</f>
        <v>300</v>
      </c>
      <c r="J88" s="25" t="n">
        <f aca="false">I99</f>
        <v>300</v>
      </c>
      <c r="K88" s="25" t="n">
        <f aca="false">J99</f>
        <v>300</v>
      </c>
    </row>
    <row r="89" customFormat="false" ht="15" hidden="false" customHeight="false" outlineLevel="0" collapsed="false">
      <c r="A89" s="5" t="s">
        <v>265</v>
      </c>
      <c r="G89" s="20" t="n">
        <f aca="false">IF(G13=Assumptions!$K$56,1,0)</f>
        <v>0</v>
      </c>
      <c r="H89" s="20" t="n">
        <f aca="false">IF(H13=Assumptions!$K$56,1,0)</f>
        <v>1</v>
      </c>
      <c r="I89" s="20" t="n">
        <f aca="false">IF(I13=Assumptions!$K$56,1,0)</f>
        <v>0</v>
      </c>
      <c r="J89" s="20" t="n">
        <f aca="false">IF(J13=Assumptions!$K$56,1,0)</f>
        <v>0</v>
      </c>
      <c r="K89" s="20" t="n">
        <f aca="false">IF(K13=Assumptions!$K$56,1,0)</f>
        <v>0</v>
      </c>
    </row>
    <row r="91" customFormat="false" ht="15" hidden="false" customHeight="false" outlineLevel="0" collapsed="false">
      <c r="A91" s="5" t="s">
        <v>266</v>
      </c>
      <c r="G91" s="30" t="n">
        <f aca="false">IF(Assumptions!$I$56=1,MAX(G39,Assumptions!$G$56)+Assumptions!$F$56+$C$40,Assumptions!$E$56)</f>
        <v>0.075</v>
      </c>
      <c r="H91" s="30" t="n">
        <f aca="false">IF(G204=1,$C$41,IF(Assumptions!$I$56=1,MAX(H39,Assumptions!$G$56)+Assumptions!$F$56+$C$40,Assumptions!$E$56))</f>
        <v>0.075</v>
      </c>
      <c r="I91" s="30" t="n">
        <f aca="false">IF(H204=1,$C$41,IF(Assumptions!$I$56=1,MAX(I39,Assumptions!$G$56)+Assumptions!$F$56+$C$40,Assumptions!$E$56))</f>
        <v>0.11</v>
      </c>
      <c r="J91" s="30" t="n">
        <f aca="false">IF(I204=1,$C$41,IF(Assumptions!$I$56=1,MAX(J39,Assumptions!$G$56)+Assumptions!$F$56+$C$40,Assumptions!$E$56))</f>
        <v>0.11</v>
      </c>
      <c r="K91" s="30" t="n">
        <f aca="false">IF(J204=1,$C$41,IF(Assumptions!$I$56=1,MAX(K39,Assumptions!$G$56)+Assumptions!$F$56+$C$40,Assumptions!$E$56))</f>
        <v>0.11</v>
      </c>
    </row>
    <row r="92" customFormat="false" ht="15" hidden="false" customHeight="false" outlineLevel="0" collapsed="false">
      <c r="A92" s="5" t="s">
        <v>267</v>
      </c>
      <c r="G92" s="25" t="n">
        <f aca="false">G88*G91</f>
        <v>22.5</v>
      </c>
      <c r="H92" s="25" t="n">
        <f aca="false">H88*H91</f>
        <v>22.5</v>
      </c>
      <c r="I92" s="25" t="n">
        <f aca="false">I88*I91</f>
        <v>33</v>
      </c>
      <c r="J92" s="25" t="n">
        <f aca="false">J88*J91</f>
        <v>33</v>
      </c>
      <c r="K92" s="25" t="n">
        <f aca="false">K88*K91</f>
        <v>33</v>
      </c>
    </row>
    <row r="93" customFormat="false" ht="15" hidden="false" customHeight="false" outlineLevel="0" collapsed="false">
      <c r="A93" s="5" t="s">
        <v>268</v>
      </c>
      <c r="G93" s="25" t="n">
        <f aca="false">G88*Assumptions!$H$56</f>
        <v>0</v>
      </c>
      <c r="H93" s="25" t="n">
        <f aca="false">H88*Assumptions!$H$56</f>
        <v>0</v>
      </c>
      <c r="I93" s="25" t="n">
        <f aca="false">I88*Assumptions!$H$56</f>
        <v>0</v>
      </c>
      <c r="J93" s="25" t="n">
        <f aca="false">J88*Assumptions!$H$56</f>
        <v>0</v>
      </c>
      <c r="K93" s="25" t="n">
        <f aca="false">K88*Assumptions!$H$56</f>
        <v>0</v>
      </c>
    </row>
    <row r="94" customFormat="false" ht="15" hidden="false" customHeight="false" outlineLevel="0" collapsed="false">
      <c r="A94" s="5" t="s">
        <v>269</v>
      </c>
      <c r="G94" s="25" t="n">
        <f aca="false">MIN(G88,Assumptions!$L$56*Assumptions!$C$56)</f>
        <v>0</v>
      </c>
      <c r="H94" s="25" t="n">
        <f aca="false">MIN(H88,Assumptions!$L$56*Assumptions!$C$56)</f>
        <v>0</v>
      </c>
      <c r="I94" s="25" t="n">
        <f aca="false">MIN(I88,Assumptions!$L$56*Assumptions!$C$56)</f>
        <v>0</v>
      </c>
      <c r="J94" s="25" t="n">
        <f aca="false">MIN(J88,Assumptions!$L$56*Assumptions!$C$56)</f>
        <v>0</v>
      </c>
      <c r="K94" s="25" t="n">
        <f aca="false">MIN(K88,Assumptions!$L$56*Assumptions!$C$56)</f>
        <v>0</v>
      </c>
    </row>
    <row r="95" customFormat="false" ht="15" hidden="false" customHeight="false" outlineLevel="0" collapsed="false">
      <c r="A95" s="5" t="s">
        <v>270</v>
      </c>
      <c r="G95" s="25" t="n">
        <f aca="false">IF(AND(Assumptions!$P$56=1,G13&lt;Assumptions!$K$56),MIN(MAX(0,-G127),MAX(0,Assumptions!$D$56-G88)),0)</f>
        <v>0</v>
      </c>
      <c r="H95" s="25" t="n">
        <f aca="false">IF(AND(Assumptions!$P$56=1,OR(H13&lt;Assumptions!$K$56,G204=1)),MIN(MAX(0,-H127),MAX(0,Assumptions!$D$56-H88)),0)</f>
        <v>0</v>
      </c>
      <c r="I95" s="25" t="n">
        <f aca="false">IF(AND(Assumptions!$P$56=1,OR(I13&lt;Assumptions!$K$56,H204=1)),MIN(MAX(0,-I127),MAX(0,Assumptions!$D$56-I88)),0)</f>
        <v>0</v>
      </c>
      <c r="J95" s="25" t="n">
        <f aca="false">IF(AND(Assumptions!$P$56=1,OR(J13&lt;Assumptions!$K$56,I204=1)),MIN(MAX(0,-J127),MAX(0,Assumptions!$D$56-J88)),0)</f>
        <v>0</v>
      </c>
      <c r="K95" s="25" t="n">
        <f aca="false">IF(AND(Assumptions!$P$56=1,OR(K13&lt;Assumptions!$K$56,J204=1)),MIN(MAX(0,-K127),MAX(0,Assumptions!$D$56-K88)),0)</f>
        <v>0</v>
      </c>
    </row>
    <row r="96" customFormat="false" ht="15" hidden="false" customHeight="false" outlineLevel="0" collapsed="false">
      <c r="A96" s="5" t="s">
        <v>271</v>
      </c>
      <c r="G96" s="25" t="n">
        <f aca="false">G89*MIN(G88-G94+G93,MAX(0,G129-Assumptions!$C$12*G47-G57-G70-G83))</f>
        <v>0</v>
      </c>
      <c r="H96" s="25" t="n">
        <f aca="false">H89*MIN(H88-H94+H93,MAX(0,H129-Assumptions!$C$12*H47-H57-H70-H83))</f>
        <v>0</v>
      </c>
      <c r="I96" s="25" t="n">
        <f aca="false">I89*MIN(I88-I94+I93,MAX(0,I129-Assumptions!$C$12*I47-I57-I70-I83))</f>
        <v>0</v>
      </c>
      <c r="J96" s="25" t="n">
        <f aca="false">J89*MIN(J88-J94+J93,MAX(0,J129-Assumptions!$C$12*J47-J57-J70-J83))</f>
        <v>0</v>
      </c>
      <c r="K96" s="25" t="n">
        <f aca="false">K89*MIN(K88-K94+K93,MAX(0,K129-Assumptions!$C$12*K47-K57-K70-K83))</f>
        <v>0</v>
      </c>
    </row>
    <row r="97" customFormat="false" ht="15" hidden="false" customHeight="false" outlineLevel="0" collapsed="false">
      <c r="A97" s="5" t="s">
        <v>272</v>
      </c>
      <c r="G97" s="25" t="n">
        <f aca="false">Assumptions!$N$56*MIN(G88+G95+G93-G94-G96,MAX(0,G133-G58-G71-G84))</f>
        <v>0</v>
      </c>
      <c r="H97" s="25" t="n">
        <f aca="false">Assumptions!$N$56*MIN(H88+H95+H93-H94-H96,MAX(0,H133-H58-H71-H84))</f>
        <v>0</v>
      </c>
      <c r="I97" s="25" t="n">
        <f aca="false">Assumptions!$N$56*MIN(I88+I95+I93-I94-I96,MAX(0,I133-I58-I71-I84))</f>
        <v>0</v>
      </c>
      <c r="J97" s="25" t="n">
        <f aca="false">Assumptions!$N$56*MIN(J88+J95+J93-J94-J96,MAX(0,J133-J58-J71-J84))</f>
        <v>0</v>
      </c>
      <c r="K97" s="25" t="n">
        <f aca="false">Assumptions!$N$56*MIN(K88+K95+K93-K94-K96,MAX(0,K133-K58-K71-K84))</f>
        <v>0</v>
      </c>
    </row>
    <row r="98" customFormat="false" ht="15" hidden="false" customHeight="false" outlineLevel="0" collapsed="false">
      <c r="A98" s="5" t="s">
        <v>273</v>
      </c>
      <c r="G98" s="25" t="n">
        <f aca="false">G89*(1-G47)*(G88-G94+G93-G96)</f>
        <v>0</v>
      </c>
      <c r="H98" s="25" t="n">
        <f aca="false">H89*(1-H47)*(H88-H94+H93-H96)</f>
        <v>0</v>
      </c>
      <c r="I98" s="25" t="n">
        <f aca="false">I89*(1-I47)*(I88-I94+I93-I96)</f>
        <v>0</v>
      </c>
      <c r="J98" s="25" t="n">
        <f aca="false">J89*(1-J47)*(J88-J94+J93-J96)</f>
        <v>0</v>
      </c>
      <c r="K98" s="25" t="n">
        <f aca="false">K89*(1-K47)*(K88-K94+K93-K96)</f>
        <v>0</v>
      </c>
    </row>
    <row r="99" customFormat="false" ht="15" hidden="false" customHeight="false" outlineLevel="0" collapsed="false">
      <c r="A99" s="2" t="s">
        <v>274</v>
      </c>
      <c r="F99" s="27" t="n">
        <f aca="false">Assumptions!$C$56</f>
        <v>300</v>
      </c>
      <c r="G99" s="16" t="n">
        <f aca="false">G88+G95+G93-G94-G96-G97</f>
        <v>300</v>
      </c>
      <c r="H99" s="16" t="n">
        <f aca="false">H88+H95+H93-H94-H96-H97</f>
        <v>300</v>
      </c>
      <c r="I99" s="16" t="n">
        <f aca="false">I88+I95+I93-I94-I96-I97</f>
        <v>300</v>
      </c>
      <c r="J99" s="16" t="n">
        <f aca="false">J88+J95+J93-J94-J96-J97</f>
        <v>300</v>
      </c>
      <c r="K99" s="16" t="n">
        <f aca="false">K88+K95+K93-K94-K96-K97</f>
        <v>300</v>
      </c>
    </row>
    <row r="100" customFormat="false" ht="15" hidden="false" customHeight="false" outlineLevel="0" collapsed="false">
      <c r="A100" s="23" t="s">
        <v>278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</row>
    <row r="101" customFormat="false" ht="15" hidden="false" customHeight="false" outlineLevel="0" collapsed="false">
      <c r="A101" s="2" t="s">
        <v>279</v>
      </c>
      <c r="F101" s="16" t="n">
        <f aca="false">F60+F73+F86+F99</f>
        <v>1250</v>
      </c>
      <c r="G101" s="16" t="n">
        <f aca="false">G60+G73+G86+G99</f>
        <v>1214.24</v>
      </c>
      <c r="H101" s="16" t="n">
        <f aca="false">H60+H73+H86+H99</f>
        <v>1209.04</v>
      </c>
      <c r="I101" s="16" t="n">
        <f aca="false">I60+I73+I86+I99</f>
        <v>1224.9985096</v>
      </c>
      <c r="J101" s="16" t="n">
        <f aca="false">J60+J73+J86+J99</f>
        <v>1239.376932912</v>
      </c>
      <c r="K101" s="16" t="n">
        <f aca="false">K60+K73+K86+K99</f>
        <v>1251.97594467624</v>
      </c>
    </row>
    <row r="102" customFormat="false" ht="15" hidden="false" customHeight="false" outlineLevel="0" collapsed="false">
      <c r="A102" s="5" t="s">
        <v>280</v>
      </c>
      <c r="G102" s="25" t="n">
        <f aca="false">G50*Assumptions!$C$53+G63*Assumptions!$C$54+G76*Assumptions!$C$55+G89*Assumptions!$C$56</f>
        <v>0</v>
      </c>
      <c r="H102" s="25" t="n">
        <f aca="false">H50*Assumptions!$C$53+H63*Assumptions!$C$54+H76*Assumptions!$C$55+H89*Assumptions!$C$56</f>
        <v>480</v>
      </c>
      <c r="I102" s="25" t="n">
        <f aca="false">I50*Assumptions!$C$53+I63*Assumptions!$C$54+I76*Assumptions!$C$55+I89*Assumptions!$C$56</f>
        <v>520</v>
      </c>
      <c r="J102" s="25" t="n">
        <f aca="false">J50*Assumptions!$C$53+J63*Assumptions!$C$54+J76*Assumptions!$C$55+J89*Assumptions!$C$56</f>
        <v>250</v>
      </c>
      <c r="K102" s="25" t="n">
        <f aca="false">K50*Assumptions!$C$53+K63*Assumptions!$C$54+K76*Assumptions!$C$55+K89*Assumptions!$C$56</f>
        <v>0</v>
      </c>
    </row>
    <row r="103" customFormat="false" ht="15" hidden="false" customHeight="false" outlineLevel="0" collapsed="false">
      <c r="A103" s="23" t="s">
        <v>281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</row>
    <row r="104" customFormat="false" ht="15" hidden="false" customHeight="false" outlineLevel="0" collapsed="false">
      <c r="A104" s="5" t="s">
        <v>282</v>
      </c>
      <c r="C104" s="25" t="n">
        <f aca="false">SUMPRODUCT($G$50:$K$50,$G$49:$K$49-$G$55:$K$55+$G$54:$K$54)</f>
        <v>149.44</v>
      </c>
    </row>
    <row r="105" customFormat="false" ht="15" hidden="false" customHeight="false" outlineLevel="0" collapsed="false">
      <c r="A105" s="5" t="s">
        <v>283</v>
      </c>
      <c r="C105" s="25" t="n">
        <f aca="false">SUMPRODUCT($G$50:$K$50,$G$57:$K$57)</f>
        <v>0</v>
      </c>
    </row>
    <row r="106" customFormat="false" ht="15" hidden="false" customHeight="false" outlineLevel="0" collapsed="false">
      <c r="A106" s="5" t="s">
        <v>284</v>
      </c>
      <c r="C106" s="5" t="str">
        <f aca="false">IF(SUM($G$50:$K$50)=0,"n/a (beyond horizon)",IF(SUMPRODUCT($G$50:$K$50,$G$47:$K$47)&gt;0,"REFINANCING PASS","REFINANCING FAILURE"))</f>
        <v>REFINANCING PASS</v>
      </c>
    </row>
    <row r="107" customFormat="false" ht="15" hidden="false" customHeight="false" outlineLevel="0" collapsed="false">
      <c r="A107" s="5" t="s">
        <v>285</v>
      </c>
      <c r="C107" s="5" t="str">
        <f aca="false">IF(SUM($G$50:$K$50)=0,"n/a",IF(C105&gt;=C104-0.001,"Repaid from cash",IF(SUMPRODUCT($G$50:$K$50,$G$47:$K$47)&gt;0,IF(C105&gt;0,"Partly repaid; remainder refinanced","Refinanced"),IF(SUM($G$59:$K$59)&gt;0.001,IF(C105&gt;0,"Partial repayment; PAYMENT DEFAULT","PAYMENT DEFAULT"),"Repaid from cash"))))</f>
        <v>Refinanced</v>
      </c>
    </row>
    <row r="108" customFormat="false" ht="15" hidden="false" customHeight="false" outlineLevel="0" collapsed="false">
      <c r="A108" s="5" t="s">
        <v>286</v>
      </c>
      <c r="C108" s="25" t="n">
        <f aca="false">SUMPRODUCT($G$63:$K$63,$G$62:$K$62-$G$68:$K$68+$G$67:$K$67)</f>
        <v>504.4</v>
      </c>
    </row>
    <row r="109" customFormat="false" ht="15" hidden="false" customHeight="false" outlineLevel="0" collapsed="false">
      <c r="A109" s="5" t="s">
        <v>287</v>
      </c>
      <c r="C109" s="25" t="n">
        <f aca="false">SUMPRODUCT($G$63:$K$63,$G$70:$K$70)</f>
        <v>0</v>
      </c>
    </row>
    <row r="110" customFormat="false" ht="15" hidden="false" customHeight="false" outlineLevel="0" collapsed="false">
      <c r="A110" s="5" t="s">
        <v>288</v>
      </c>
      <c r="C110" s="5" t="str">
        <f aca="false">IF(SUM($G$63:$K$63)=0,"n/a (beyond horizon)",IF(SUMPRODUCT($G$63:$K$63,$G$47:$K$47)&gt;0,"REFINANCING PASS","REFINANCING FAILURE"))</f>
        <v>REFINANCING PASS</v>
      </c>
    </row>
    <row r="111" customFormat="false" ht="15" hidden="false" customHeight="false" outlineLevel="0" collapsed="false">
      <c r="A111" s="5" t="s">
        <v>289</v>
      </c>
      <c r="C111" s="5" t="str">
        <f aca="false">IF(SUM($G$63:$K$63)=0,"n/a",IF(C109&gt;=C108-0.001,"Repaid from cash",IF(SUMPRODUCT($G$63:$K$63,$G$47:$K$47)&gt;0,IF(C109&gt;0,"Partly repaid; remainder refinanced","Refinanced"),IF(SUM($G$72:$K$72)&gt;0.001,IF(C109&gt;0,"Partial repayment; PAYMENT DEFAULT","PAYMENT DEFAULT"),"Repaid from cash"))))</f>
        <v>Refinanced</v>
      </c>
    </row>
    <row r="112" customFormat="false" ht="15" hidden="false" customHeight="false" outlineLevel="0" collapsed="false">
      <c r="A112" s="5" t="s">
        <v>290</v>
      </c>
      <c r="C112" s="25" t="n">
        <f aca="false">SUMPRODUCT($G$76:$K$76,$G$75:$K$75-$G$81:$K$81+$G$80:$K$80)</f>
        <v>250</v>
      </c>
    </row>
    <row r="113" customFormat="false" ht="15" hidden="false" customHeight="false" outlineLevel="0" collapsed="false">
      <c r="A113" s="5" t="s">
        <v>291</v>
      </c>
      <c r="C113" s="25" t="n">
        <f aca="false">SUMPRODUCT($G$76:$K$76,$G$83:$K$83)</f>
        <v>0</v>
      </c>
    </row>
    <row r="114" customFormat="false" ht="15" hidden="false" customHeight="false" outlineLevel="0" collapsed="false">
      <c r="A114" s="5" t="s">
        <v>292</v>
      </c>
      <c r="C114" s="5" t="str">
        <f aca="false">IF(SUM($G$76:$K$76)=0,"n/a (beyond horizon)",IF(SUMPRODUCT($G$76:$K$76,$G$47:$K$47)&gt;0,"REFINANCING PASS","REFINANCING FAILURE"))</f>
        <v>REFINANCING PASS</v>
      </c>
    </row>
    <row r="115" customFormat="false" ht="15" hidden="false" customHeight="false" outlineLevel="0" collapsed="false">
      <c r="A115" s="5" t="s">
        <v>293</v>
      </c>
      <c r="C115" s="5" t="str">
        <f aca="false">IF(SUM($G$76:$K$76)=0,"n/a",IF(C113&gt;=C112-0.001,"Repaid from cash",IF(SUMPRODUCT($G$76:$K$76,$G$47:$K$47)&gt;0,IF(C113&gt;0,"Partly repaid; remainder refinanced","Refinanced"),IF(SUM($G$85:$K$85)&gt;0.001,IF(C113&gt;0,"Partial repayment; PAYMENT DEFAULT","PAYMENT DEFAULT"),"Repaid from cash"))))</f>
        <v>Refinanced</v>
      </c>
    </row>
    <row r="116" customFormat="false" ht="15" hidden="false" customHeight="false" outlineLevel="0" collapsed="false">
      <c r="A116" s="5" t="s">
        <v>294</v>
      </c>
      <c r="C116" s="25" t="n">
        <f aca="false">SUMPRODUCT($G$89:$K$89,$G$88:$K$88-$G$94:$K$94+$G$93:$K$93)</f>
        <v>300</v>
      </c>
    </row>
    <row r="117" customFormat="false" ht="15" hidden="false" customHeight="false" outlineLevel="0" collapsed="false">
      <c r="A117" s="5" t="s">
        <v>295</v>
      </c>
      <c r="C117" s="25" t="n">
        <f aca="false">SUMPRODUCT($G$89:$K$89,$G$96:$K$96)</f>
        <v>0</v>
      </c>
    </row>
    <row r="118" customFormat="false" ht="15" hidden="false" customHeight="false" outlineLevel="0" collapsed="false">
      <c r="A118" s="5" t="s">
        <v>296</v>
      </c>
      <c r="C118" s="5" t="str">
        <f aca="false">IF(SUM($G$89:$K$89)=0,"n/a (beyond horizon)",IF(SUMPRODUCT($G$89:$K$89,$G$47:$K$47)&gt;0,"REFINANCING PASS","REFINANCING FAILURE"))</f>
        <v>REFINANCING PASS</v>
      </c>
    </row>
    <row r="119" customFormat="false" ht="15" hidden="false" customHeight="false" outlineLevel="0" collapsed="false">
      <c r="A119" s="5" t="s">
        <v>297</v>
      </c>
      <c r="C119" s="5" t="str">
        <f aca="false">IF(SUM($G$89:$K$89)=0,"n/a",IF(C117&gt;=C116-0.001,"Repaid from cash",IF(SUMPRODUCT($G$89:$K$89,$G$47:$K$47)&gt;0,IF(C117&gt;0,"Partly repaid; remainder refinanced","Refinanced"),IF(SUM($G$98:$K$98)&gt;0.001,IF(C117&gt;0,"Partial repayment; PAYMENT DEFAULT","PAYMENT DEFAULT"),"Repaid from cash"))))</f>
        <v>Refinanced</v>
      </c>
    </row>
    <row r="120" customFormat="false" ht="15" hidden="false" customHeight="false" outlineLevel="0" collapsed="false">
      <c r="A120" s="5" t="s">
        <v>298</v>
      </c>
      <c r="C120" s="20" t="n">
        <f aca="false">IF(C106="REFINANCING FAILURE",1,0)+IF(C110="REFINANCING FAILURE",1,0)+IF(C114="REFINANCING FAILURE",1,0)+IF(C118="REFINANCING FAILURE",1,0)</f>
        <v>0</v>
      </c>
    </row>
    <row r="122" customFormat="false" ht="15" hidden="false" customHeight="false" outlineLevel="0" collapsed="false">
      <c r="A122" s="23" t="s">
        <v>300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</row>
    <row r="123" customFormat="false" ht="15" hidden="false" customHeight="false" outlineLevel="0" collapsed="false">
      <c r="A123" s="5" t="s">
        <v>260</v>
      </c>
      <c r="G123" s="25" t="n">
        <f aca="false">F135</f>
        <v>45</v>
      </c>
      <c r="H123" s="25" t="n">
        <f aca="false">G135</f>
        <v>0</v>
      </c>
      <c r="I123" s="25" t="n">
        <f aca="false">H135</f>
        <v>-6.00915999999998</v>
      </c>
      <c r="J123" s="25" t="n">
        <f aca="false">I135</f>
        <v>0</v>
      </c>
      <c r="K123" s="25" t="n">
        <f aca="false">J135</f>
        <v>0</v>
      </c>
    </row>
    <row r="124" customFormat="false" ht="15" hidden="false" customHeight="false" outlineLevel="0" collapsed="false">
      <c r="A124" s="5" t="s">
        <v>301</v>
      </c>
      <c r="G124" s="25" t="n">
        <f aca="false">G36</f>
        <v>-9.24000000000001</v>
      </c>
      <c r="H124" s="25" t="n">
        <f aca="false">H36</f>
        <v>-0.809159999999978</v>
      </c>
      <c r="I124" s="25" t="n">
        <f aca="false">I36</f>
        <v>-9.94934960000002</v>
      </c>
      <c r="J124" s="25" t="n">
        <f aca="false">J36</f>
        <v>-14.378423312</v>
      </c>
      <c r="K124" s="25" t="n">
        <f aca="false">K36</f>
        <v>-12.59901176424</v>
      </c>
    </row>
    <row r="125" customFormat="false" ht="15" hidden="false" customHeight="false" outlineLevel="0" collapsed="false">
      <c r="A125" s="5" t="s">
        <v>302</v>
      </c>
      <c r="G125" s="25" t="n">
        <f aca="false">CHOOSE($C$6,Assumptions!$G$68,Assumptions!$G$87,Assumptions!$G$106)</f>
        <v>0</v>
      </c>
      <c r="H125" s="25" t="n">
        <f aca="false">CHOOSE($C$6,Assumptions!$H$68,Assumptions!$H$87,Assumptions!$H$106)</f>
        <v>0</v>
      </c>
      <c r="I125" s="25" t="n">
        <f aca="false">CHOOSE($C$6,Assumptions!$I$68,Assumptions!$I$87,Assumptions!$I$106)</f>
        <v>0</v>
      </c>
      <c r="J125" s="25" t="n">
        <f aca="false">CHOOSE($C$6,Assumptions!$J$68,Assumptions!$J$87,Assumptions!$J$106)</f>
        <v>0</v>
      </c>
      <c r="K125" s="25" t="n">
        <f aca="false">CHOOSE($C$6,Assumptions!$K$68,Assumptions!$K$87,Assumptions!$K$106)</f>
        <v>0</v>
      </c>
    </row>
    <row r="126" customFormat="false" ht="15" hidden="false" customHeight="false" outlineLevel="0" collapsed="false">
      <c r="A126" s="5" t="s">
        <v>303</v>
      </c>
      <c r="G126" s="25" t="n">
        <f aca="false">G55+G68+G81+G94</f>
        <v>5.2</v>
      </c>
      <c r="H126" s="25" t="n">
        <f aca="false">H55+H68+H81+H94</f>
        <v>5.2</v>
      </c>
      <c r="I126" s="25" t="n">
        <f aca="false">I55+I68+I81+I94</f>
        <v>5.2</v>
      </c>
      <c r="J126" s="25" t="n">
        <f aca="false">J55+J68+J81+J94</f>
        <v>5.2</v>
      </c>
      <c r="K126" s="25" t="n">
        <f aca="false">K55+K68+K81+K94</f>
        <v>5.2</v>
      </c>
    </row>
    <row r="127" customFormat="false" ht="15" hidden="false" customHeight="false" outlineLevel="0" collapsed="false">
      <c r="A127" s="2" t="s">
        <v>304</v>
      </c>
      <c r="G127" s="16" t="n">
        <f aca="false">G123+G124+G125-G126</f>
        <v>30.56</v>
      </c>
      <c r="H127" s="16" t="n">
        <f aca="false">H123+H124+H125-H126</f>
        <v>-6.00915999999998</v>
      </c>
      <c r="I127" s="16" t="n">
        <f aca="false">I123+I124+I125-I126</f>
        <v>-21.1585096</v>
      </c>
      <c r="J127" s="16" t="n">
        <f aca="false">J123+J124+J125-J126</f>
        <v>-19.578423312</v>
      </c>
      <c r="K127" s="16" t="n">
        <f aca="false">K123+K124+K125-K126</f>
        <v>-17.79901176424</v>
      </c>
    </row>
    <row r="128" customFormat="false" ht="15" hidden="false" customHeight="false" outlineLevel="0" collapsed="false">
      <c r="A128" s="5" t="s">
        <v>305</v>
      </c>
      <c r="G128" s="25" t="n">
        <f aca="false">G56+G69+G82+G95</f>
        <v>0</v>
      </c>
      <c r="H128" s="25" t="n">
        <f aca="false">H56+H69+H82+H95</f>
        <v>0</v>
      </c>
      <c r="I128" s="25" t="n">
        <f aca="false">I56+I69+I82+I95</f>
        <v>21.1585096</v>
      </c>
      <c r="J128" s="25" t="n">
        <f aca="false">J56+J69+J82+J95</f>
        <v>19.578423312</v>
      </c>
      <c r="K128" s="25" t="n">
        <f aca="false">K56+K69+K82+K95</f>
        <v>17.79901176424</v>
      </c>
    </row>
    <row r="129" customFormat="false" ht="15" hidden="false" customHeight="false" outlineLevel="0" collapsed="false">
      <c r="A129" s="2" t="s">
        <v>306</v>
      </c>
      <c r="G129" s="16" t="n">
        <f aca="false">G127+G128</f>
        <v>30.56</v>
      </c>
      <c r="H129" s="16" t="n">
        <f aca="false">H127+H128</f>
        <v>-6.00915999999998</v>
      </c>
      <c r="I129" s="16" t="n">
        <f aca="false">I127+I128</f>
        <v>0</v>
      </c>
      <c r="J129" s="16" t="n">
        <f aca="false">J127+J128</f>
        <v>0</v>
      </c>
      <c r="K129" s="16" t="n">
        <f aca="false">K127+K128</f>
        <v>0</v>
      </c>
    </row>
    <row r="130" customFormat="false" ht="15" hidden="false" customHeight="false" outlineLevel="0" collapsed="false">
      <c r="A130" s="5" t="s">
        <v>307</v>
      </c>
      <c r="G130" s="25" t="n">
        <f aca="false">G57+G70+G83+G96</f>
        <v>0</v>
      </c>
      <c r="H130" s="25" t="n">
        <f aca="false">H57+H70+H83+H96</f>
        <v>0</v>
      </c>
      <c r="I130" s="25" t="n">
        <f aca="false">I57+I70+I83+I96</f>
        <v>0</v>
      </c>
      <c r="J130" s="25" t="n">
        <f aca="false">J57+J70+J83+J96</f>
        <v>0</v>
      </c>
      <c r="K130" s="25" t="n">
        <f aca="false">K57+K70+K83+K96</f>
        <v>0</v>
      </c>
    </row>
    <row r="131" customFormat="false" ht="15" hidden="false" customHeight="false" outlineLevel="0" collapsed="false">
      <c r="A131" s="2" t="s">
        <v>308</v>
      </c>
      <c r="G131" s="16" t="n">
        <f aca="false">G129-G130</f>
        <v>30.56</v>
      </c>
      <c r="H131" s="16" t="n">
        <f aca="false">H129-H130</f>
        <v>-6.00915999999998</v>
      </c>
      <c r="I131" s="16" t="n">
        <f aca="false">I129-I130</f>
        <v>0</v>
      </c>
      <c r="J131" s="16" t="n">
        <f aca="false">J129-J130</f>
        <v>0</v>
      </c>
      <c r="K131" s="16" t="n">
        <f aca="false">K129-K130</f>
        <v>0</v>
      </c>
    </row>
    <row r="132" customFormat="false" ht="15" hidden="false" customHeight="false" outlineLevel="0" collapsed="false">
      <c r="A132" s="5" t="s">
        <v>309</v>
      </c>
      <c r="G132" s="25" t="n">
        <f aca="false">MAX(0,-G131)</f>
        <v>0</v>
      </c>
      <c r="H132" s="25" t="n">
        <f aca="false">MAX(0,-H131)</f>
        <v>6.00915999999998</v>
      </c>
      <c r="I132" s="25" t="n">
        <f aca="false">MAX(0,-I131)</f>
        <v>-0</v>
      </c>
      <c r="J132" s="25" t="n">
        <f aca="false">MAX(0,-J131)</f>
        <v>-0</v>
      </c>
      <c r="K132" s="25" t="n">
        <f aca="false">MAX(0,-K131)</f>
        <v>-0</v>
      </c>
    </row>
    <row r="133" customFormat="false" ht="15" hidden="false" customHeight="false" outlineLevel="0" collapsed="false">
      <c r="A133" s="5" t="s">
        <v>310</v>
      </c>
      <c r="G133" s="25" t="n">
        <f aca="false">MAX(0,G131-Assumptions!$C$12)*Assumptions!$C$13</f>
        <v>30.56</v>
      </c>
      <c r="H133" s="25" t="n">
        <f aca="false">MAX(0,H131-Assumptions!$C$12)*Assumptions!$C$13</f>
        <v>0</v>
      </c>
      <c r="I133" s="25" t="n">
        <f aca="false">MAX(0,I131-Assumptions!$C$12)*Assumptions!$C$13</f>
        <v>0</v>
      </c>
      <c r="J133" s="25" t="n">
        <f aca="false">MAX(0,J131-Assumptions!$C$12)*Assumptions!$C$13</f>
        <v>0</v>
      </c>
      <c r="K133" s="25" t="n">
        <f aca="false">MAX(0,K131-Assumptions!$C$12)*Assumptions!$C$13</f>
        <v>0</v>
      </c>
    </row>
    <row r="134" customFormat="false" ht="15" hidden="false" customHeight="false" outlineLevel="0" collapsed="false">
      <c r="A134" s="5" t="s">
        <v>311</v>
      </c>
      <c r="G134" s="25" t="n">
        <f aca="false">G58+G71+G84+G97</f>
        <v>30.56</v>
      </c>
      <c r="H134" s="25" t="n">
        <f aca="false">H58+H71+H84+H97</f>
        <v>0</v>
      </c>
      <c r="I134" s="25" t="n">
        <f aca="false">I58+I71+I84+I97</f>
        <v>0</v>
      </c>
      <c r="J134" s="25" t="n">
        <f aca="false">J58+J71+J84+J97</f>
        <v>0</v>
      </c>
      <c r="K134" s="25" t="n">
        <f aca="false">K58+K71+K84+K97</f>
        <v>0</v>
      </c>
    </row>
    <row r="135" customFormat="false" ht="15" hidden="false" customHeight="false" outlineLevel="0" collapsed="false">
      <c r="A135" s="2" t="s">
        <v>312</v>
      </c>
      <c r="F135" s="27" t="n">
        <f aca="false">Assumptions!$C$11</f>
        <v>45</v>
      </c>
      <c r="G135" s="16" t="n">
        <f aca="false">G131-G134</f>
        <v>0</v>
      </c>
      <c r="H135" s="16" t="n">
        <f aca="false">H131-H134</f>
        <v>-6.00915999999998</v>
      </c>
      <c r="I135" s="16" t="n">
        <f aca="false">I131-I134</f>
        <v>0</v>
      </c>
      <c r="J135" s="16" t="n">
        <f aca="false">J131-J134</f>
        <v>0</v>
      </c>
      <c r="K135" s="16" t="n">
        <f aca="false">K131-K134</f>
        <v>0</v>
      </c>
    </row>
    <row r="136" customFormat="false" ht="15" hidden="false" customHeight="false" outlineLevel="0" collapsed="false">
      <c r="A136" s="5" t="s">
        <v>313</v>
      </c>
      <c r="G136" s="25" t="n">
        <f aca="false">G59+G72+G85+G98</f>
        <v>0</v>
      </c>
      <c r="H136" s="25" t="n">
        <f aca="false">H59+H72+H85+H98</f>
        <v>0</v>
      </c>
      <c r="I136" s="25" t="n">
        <f aca="false">I59+I72+I85+I98</f>
        <v>0</v>
      </c>
      <c r="J136" s="25" t="n">
        <f aca="false">J59+J72+J85+J98</f>
        <v>0</v>
      </c>
      <c r="K136" s="25" t="n">
        <f aca="false">K59+K72+K85+K98</f>
        <v>0</v>
      </c>
    </row>
    <row r="137" customFormat="false" ht="15" hidden="false" customHeight="false" outlineLevel="0" collapsed="false">
      <c r="A137" s="5" t="s">
        <v>314</v>
      </c>
      <c r="G137" s="20" t="n">
        <f aca="false">IF(OR(G132&gt;0.001,G136&gt;0.001),1,0)</f>
        <v>0</v>
      </c>
      <c r="H137" s="20" t="n">
        <f aca="false">IF(OR(H132&gt;0.001,H136&gt;0.001),1,0)</f>
        <v>1</v>
      </c>
      <c r="I137" s="20" t="n">
        <f aca="false">IF(OR(I132&gt;0.001,I136&gt;0.001),1,0)</f>
        <v>0</v>
      </c>
      <c r="J137" s="20" t="n">
        <f aca="false">IF(OR(J132&gt;0.001,J136&gt;0.001),1,0)</f>
        <v>0</v>
      </c>
      <c r="K137" s="20" t="n">
        <f aca="false">IF(OR(K132&gt;0.001,K136&gt;0.001),1,0)</f>
        <v>0</v>
      </c>
    </row>
    <row r="138" customFormat="false" ht="15" hidden="false" customHeight="false" outlineLevel="0" collapsed="false">
      <c r="A138" s="5" t="s">
        <v>315</v>
      </c>
      <c r="G138" s="20" t="n">
        <f aca="false">IF(G137=1,1,0)</f>
        <v>0</v>
      </c>
      <c r="H138" s="20" t="n">
        <f aca="false">IF(AND(H137=1,SUM($G$137:G137)=0),1,0)</f>
        <v>1</v>
      </c>
      <c r="I138" s="20" t="n">
        <f aca="false">IF(AND(I137=1,SUM($G$137:H137)=0),1,0)</f>
        <v>0</v>
      </c>
      <c r="J138" s="20" t="n">
        <f aca="false">IF(AND(J137=1,SUM($G$137:I137)=0),1,0)</f>
        <v>0</v>
      </c>
      <c r="K138" s="20" t="n">
        <f aca="false">IF(AND(K137=1,SUM($G$137:J137)=0),1,0)</f>
        <v>0</v>
      </c>
    </row>
    <row r="139" customFormat="false" ht="15" hidden="false" customHeight="false" outlineLevel="0" collapsed="false">
      <c r="A139" s="5" t="s">
        <v>316</v>
      </c>
      <c r="G139" s="25" t="n">
        <f aca="false">(G101-F101)-(G128+G28-G126-G130-G134)</f>
        <v>0</v>
      </c>
      <c r="H139" s="25" t="n">
        <f aca="false">(H101-G101)-(H128+H28-H126-H130-H134)</f>
        <v>-4.52970994047064E-014</v>
      </c>
      <c r="I139" s="25" t="n">
        <f aca="false">(I101-H101)-(I128+I28-I126-I130-I134)</f>
        <v>7.46069872548105E-014</v>
      </c>
      <c r="J139" s="25" t="n">
        <f aca="false">(J101-I101)-(J128+J28-J126-J130-J134)</f>
        <v>0</v>
      </c>
      <c r="K139" s="25" t="n">
        <f aca="false">(K101-J101)-(K128+K28-K126-K130-K134)</f>
        <v>0</v>
      </c>
    </row>
    <row r="141" customFormat="false" ht="15" hidden="false" customHeight="false" outlineLevel="0" collapsed="false">
      <c r="A141" s="23" t="s">
        <v>318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</row>
    <row r="142" customFormat="false" ht="15" hidden="false" customHeight="false" outlineLevel="0" collapsed="false">
      <c r="A142" s="5" t="s">
        <v>319</v>
      </c>
      <c r="G142" s="25" t="n">
        <f aca="false">G101</f>
        <v>1214.24</v>
      </c>
      <c r="H142" s="25" t="n">
        <f aca="false">H101</f>
        <v>1209.04</v>
      </c>
      <c r="I142" s="25" t="n">
        <f aca="false">I101</f>
        <v>1224.9985096</v>
      </c>
      <c r="J142" s="25" t="n">
        <f aca="false">J101</f>
        <v>1239.376932912</v>
      </c>
      <c r="K142" s="25" t="n">
        <f aca="false">K101</f>
        <v>1251.97594467624</v>
      </c>
    </row>
    <row r="143" customFormat="false" ht="15" hidden="false" customHeight="false" outlineLevel="0" collapsed="false">
      <c r="A143" s="5" t="s">
        <v>320</v>
      </c>
      <c r="G143" s="25" t="n">
        <f aca="false">Assumptions!$O$53*G60+Assumptions!$O$54*G73+Assumptions!$O$55*G86+Assumptions!$O$56*G99</f>
        <v>914.24</v>
      </c>
      <c r="H143" s="25" t="n">
        <f aca="false">Assumptions!$O$53*H60+Assumptions!$O$54*H73+Assumptions!$O$55*H86+Assumptions!$O$56*H99</f>
        <v>909.04</v>
      </c>
      <c r="I143" s="25" t="n">
        <f aca="false">Assumptions!$O$53*I60+Assumptions!$O$54*I73+Assumptions!$O$55*I86+Assumptions!$O$56*I99</f>
        <v>924.9985096</v>
      </c>
      <c r="J143" s="25" t="n">
        <f aca="false">Assumptions!$O$53*J60+Assumptions!$O$54*J73+Assumptions!$O$55*J86+Assumptions!$O$56*J99</f>
        <v>939.376932912</v>
      </c>
      <c r="K143" s="25" t="n">
        <f aca="false">Assumptions!$O$53*K60+Assumptions!$O$54*K73+Assumptions!$O$55*K86+Assumptions!$O$56*K99</f>
        <v>951.97594467624</v>
      </c>
    </row>
    <row r="144" customFormat="false" ht="15" hidden="false" customHeight="false" outlineLevel="0" collapsed="false">
      <c r="A144" s="5" t="s">
        <v>321</v>
      </c>
      <c r="G144" s="25" t="n">
        <f aca="false">G142-G135</f>
        <v>1214.24</v>
      </c>
      <c r="H144" s="25" t="n">
        <f aca="false">H142-H135</f>
        <v>1215.04916</v>
      </c>
      <c r="I144" s="25" t="n">
        <f aca="false">I142-I135</f>
        <v>1224.9985096</v>
      </c>
      <c r="J144" s="25" t="n">
        <f aca="false">J142-J135</f>
        <v>1239.376932912</v>
      </c>
      <c r="K144" s="25" t="n">
        <f aca="false">K142-K135</f>
        <v>1251.97594467624</v>
      </c>
    </row>
    <row r="145" customFormat="false" ht="15" hidden="false" customHeight="false" outlineLevel="0" collapsed="false">
      <c r="A145" s="5" t="s">
        <v>322</v>
      </c>
      <c r="G145" s="31" t="n">
        <f aca="false">IF(G23&gt;0,G142/G23,0)</f>
        <v>7.86221186221186</v>
      </c>
      <c r="H145" s="31" t="n">
        <f aca="false">IF(H23&gt;0,H142/H23,0)</f>
        <v>7.67156970986309</v>
      </c>
      <c r="I145" s="31" t="n">
        <f aca="false">IF(I23&gt;0,I142/I23,0)</f>
        <v>7.62376751410553</v>
      </c>
      <c r="J145" s="31" t="n">
        <f aca="false">IF(J23&gt;0,J142/J23,0)</f>
        <v>7.5716937530992</v>
      </c>
      <c r="K145" s="31" t="n">
        <f aca="false">IF(K23&gt;0,K142/K23,0)</f>
        <v>7.51425466558389</v>
      </c>
    </row>
    <row r="146" customFormat="false" ht="15" hidden="false" customHeight="false" outlineLevel="0" collapsed="false">
      <c r="A146" s="5" t="s">
        <v>323</v>
      </c>
      <c r="G146" s="31" t="n">
        <f aca="false">IF(G23&gt;0,G144/G23,0)</f>
        <v>7.86221186221186</v>
      </c>
      <c r="H146" s="31" t="n">
        <f aca="false">IF(H23&gt;0,H144/H23,0)</f>
        <v>7.70969887832544</v>
      </c>
      <c r="I146" s="31" t="n">
        <f aca="false">IF(I23&gt;0,I144/I23,0)</f>
        <v>7.62376751410553</v>
      </c>
      <c r="J146" s="31" t="n">
        <f aca="false">IF(J23&gt;0,J144/J23,0)</f>
        <v>7.5716937530992</v>
      </c>
      <c r="K146" s="31" t="n">
        <f aca="false">IF(K23&gt;0,K144/K23,0)</f>
        <v>7.51425466558389</v>
      </c>
    </row>
    <row r="147" customFormat="false" ht="15" hidden="false" customHeight="false" outlineLevel="0" collapsed="false">
      <c r="A147" s="5" t="s">
        <v>324</v>
      </c>
      <c r="G147" s="31" t="n">
        <f aca="false">IF(G27&gt;0,G23/G27,0)</f>
        <v>1.29737903225806</v>
      </c>
      <c r="H147" s="31" t="n">
        <f aca="false">IF(H27&gt;0,H23/H27,0)</f>
        <v>1.37984675303662</v>
      </c>
      <c r="I147" s="31" t="n">
        <f aca="false">IF(I27&gt;0,I23/I27,0)</f>
        <v>1.26641336326206</v>
      </c>
      <c r="J147" s="31" t="n">
        <f aca="false">IF(J27&gt;0,J23/J27,0)</f>
        <v>1.21473661783139</v>
      </c>
      <c r="K147" s="31" t="n">
        <f aca="false">IF(K27&gt;0,K23/K27,0)</f>
        <v>1.22212036414877</v>
      </c>
    </row>
    <row r="148" customFormat="false" ht="15" hidden="false" customHeight="false" outlineLevel="0" collapsed="false">
      <c r="A148" s="5" t="s">
        <v>325</v>
      </c>
      <c r="G148" s="31" t="n">
        <f aca="false">IF(G27&gt;0,G26/G27,0)</f>
        <v>0.858266129032258</v>
      </c>
      <c r="H148" s="31" t="n">
        <f aca="false">IF(H27&gt;0,H26/H27,0)</f>
        <v>0.926762744576837</v>
      </c>
      <c r="I148" s="31" t="n">
        <f aca="false">IF(I27&gt;0,I26/I27,0)</f>
        <v>0.862629392366913</v>
      </c>
      <c r="J148" s="31" t="n">
        <f aca="false">IF(J27&gt;0,J26/J27,0)</f>
        <v>0.838339355968144</v>
      </c>
      <c r="K148" s="31" t="n">
        <f aca="false">IF(K27&gt;0,K26/K27,0)</f>
        <v>0.853810117419004</v>
      </c>
    </row>
    <row r="149" customFormat="false" ht="15" hidden="false" customHeight="false" outlineLevel="0" collapsed="false">
      <c r="A149" s="5" t="s">
        <v>182</v>
      </c>
      <c r="G149" s="21" t="n">
        <f aca="false">IF(G142&gt;0,G36/G142,0)</f>
        <v>-0.00760969824746344</v>
      </c>
      <c r="H149" s="21" t="n">
        <f aca="false">IF(H142&gt;0,H36/H142,0)</f>
        <v>-0.000669258254482877</v>
      </c>
      <c r="I149" s="21" t="n">
        <f aca="false">IF(I142&gt;0,I36/I142,0)</f>
        <v>-0.00812192792238481</v>
      </c>
      <c r="J149" s="21" t="n">
        <f aca="false">IF(J142&gt;0,J36/J142,0)</f>
        <v>-0.0116013320323922</v>
      </c>
      <c r="K149" s="21" t="n">
        <f aca="false">IF(K142&gt;0,K36/K142,0)</f>
        <v>-0.0100633017893152</v>
      </c>
    </row>
    <row r="150" customFormat="false" ht="15" hidden="false" customHeight="false" outlineLevel="0" collapsed="false">
      <c r="A150" s="5" t="s">
        <v>326</v>
      </c>
      <c r="G150" s="31" t="n">
        <f aca="false">IF(G27+G126&gt;0,(G23-G34-G31)/(G27+G126),0)</f>
        <v>0.860592401802962</v>
      </c>
      <c r="H150" s="31" t="n">
        <f aca="false">IF(H27+H126&gt;0,(H23-H34-H31)/(H27+H126),0)</f>
        <v>0.925802348838058</v>
      </c>
      <c r="I150" s="31" t="n">
        <f aca="false">IF(I27+I126&gt;0,(I23-I34-I31)/(I27+I126),0)</f>
        <v>0.863929842094743</v>
      </c>
      <c r="J150" s="31" t="n">
        <f aca="false">IF(J27+J126&gt;0,(J23-J34-J31)/(J27+J126),0)</f>
        <v>0.840136401281331</v>
      </c>
      <c r="K150" s="31" t="n">
        <f aca="false">IF(K27+K126&gt;0,(K23-K34-K31)/(K27+K126),0)</f>
        <v>0.854692886710214</v>
      </c>
    </row>
    <row r="151" customFormat="false" ht="15" hidden="false" customHeight="false" outlineLevel="0" collapsed="false">
      <c r="A151" s="5" t="s">
        <v>327</v>
      </c>
      <c r="G151" s="25" t="n">
        <f aca="false">MAX(0,G135)+Assumptions!$P$53*MAX(0,Assumptions!$D$53-G60)+Assumptions!$P$54*MAX(0,Assumptions!$D$54-G73)+Assumptions!$P$55*MAX(0,Assumptions!$D$55-G86)+Assumptions!$P$56*MAX(0,Assumptions!$D$56-G99)</f>
        <v>150.56</v>
      </c>
      <c r="H151" s="25" t="n">
        <f aca="false">MAX(0,H135)+Assumptions!$P$53*MAX(0,Assumptions!$D$53-H60)+Assumptions!$P$54*MAX(0,Assumptions!$D$54-H73)+Assumptions!$P$55*MAX(0,Assumptions!$D$55-H86)+Assumptions!$P$56*MAX(0,Assumptions!$D$56-H99)</f>
        <v>150.56</v>
      </c>
      <c r="I151" s="25" t="n">
        <f aca="false">MAX(0,I135)+Assumptions!$P$53*MAX(0,Assumptions!$D$53-I60)+Assumptions!$P$54*MAX(0,Assumptions!$D$54-I73)+Assumptions!$P$55*MAX(0,Assumptions!$D$55-I86)+Assumptions!$P$56*MAX(0,Assumptions!$D$56-I99)</f>
        <v>129.4014904</v>
      </c>
      <c r="J151" s="25" t="n">
        <f aca="false">MAX(0,J135)+Assumptions!$P$53*MAX(0,Assumptions!$D$53-J60)+Assumptions!$P$54*MAX(0,Assumptions!$D$54-J73)+Assumptions!$P$55*MAX(0,Assumptions!$D$55-J86)+Assumptions!$P$56*MAX(0,Assumptions!$D$56-J99)</f>
        <v>109.823067088</v>
      </c>
      <c r="K151" s="25" t="n">
        <f aca="false">MAX(0,K135)+Assumptions!$P$53*MAX(0,Assumptions!$D$53-K60)+Assumptions!$P$54*MAX(0,Assumptions!$D$54-K73)+Assumptions!$P$55*MAX(0,Assumptions!$D$55-K86)+Assumptions!$P$56*MAX(0,Assumptions!$D$56-K99)</f>
        <v>92.02405532376</v>
      </c>
    </row>
    <row r="152" customFormat="false" ht="15" hidden="false" customHeight="false" outlineLevel="0" collapsed="false">
      <c r="A152" s="5" t="s">
        <v>328</v>
      </c>
      <c r="G152" s="21" t="n">
        <f aca="false">IF(G142&gt;0,G142/(G142+MAX(0,G23*CHOOSE($C$6,Assumptions!$C$76,Assumptions!$C$95,Assumptions!$C$114)-G144)),0)</f>
        <v>1</v>
      </c>
      <c r="H152" s="21" t="n">
        <f aca="false">IF(H142&gt;0,H142/(H142+MAX(0,H23*CHOOSE($C$6,Assumptions!$C$76,Assumptions!$C$95,Assumptions!$C$114)-H144)),0)</f>
        <v>1</v>
      </c>
      <c r="I152" s="21" t="n">
        <f aca="false">IF(I142&gt;0,I142/(I142+MAX(0,I23*CHOOSE($C$6,Assumptions!$C$76,Assumptions!$C$95,Assumptions!$C$114)-I144)),0)</f>
        <v>1</v>
      </c>
      <c r="J152" s="21" t="n">
        <f aca="false">IF(J142&gt;0,J142/(J142+MAX(0,J23*CHOOSE($C$6,Assumptions!$C$76,Assumptions!$C$95,Assumptions!$C$114)-J144)),0)</f>
        <v>1</v>
      </c>
      <c r="K152" s="21" t="n">
        <f aca="false">IF(K142&gt;0,K142/(K142+MAX(0,K23*CHOOSE($C$6,Assumptions!$C$76,Assumptions!$C$95,Assumptions!$C$114)-K144)),0)</f>
        <v>1</v>
      </c>
    </row>
    <row r="153" customFormat="false" ht="15" hidden="false" customHeight="false" outlineLevel="0" collapsed="false">
      <c r="A153" s="5" t="s">
        <v>329</v>
      </c>
      <c r="G153" s="21" t="n">
        <f aca="false">IF(G142&gt;0,MAX(0,G135)/G142,0)</f>
        <v>0</v>
      </c>
      <c r="H153" s="21" t="n">
        <f aca="false">IF(H142&gt;0,MAX(0,H135)/H142,0)</f>
        <v>0</v>
      </c>
      <c r="I153" s="21" t="n">
        <f aca="false">IF(I142&gt;0,MAX(0,I135)/I142,0)</f>
        <v>0</v>
      </c>
      <c r="J153" s="21" t="n">
        <f aca="false">IF(J142&gt;0,MAX(0,J135)/J142,0)</f>
        <v>0</v>
      </c>
      <c r="K153" s="21" t="n">
        <f aca="false">IF(K142&gt;0,MAX(0,K135)/K142,0)</f>
        <v>0</v>
      </c>
    </row>
    <row r="154" customFormat="false" ht="15" hidden="false" customHeight="false" outlineLevel="0" collapsed="false">
      <c r="A154" s="5" t="s">
        <v>330</v>
      </c>
      <c r="G154" s="25" t="n">
        <f aca="false">Assumptions!$C$27*(1-CHOOSE($C$6,Assumptions!$C$79,Assumptions!$C$98,Assumptions!$C$117))</f>
        <v>1040</v>
      </c>
      <c r="H154" s="25" t="n">
        <f aca="false">Assumptions!$C$27*(1-CHOOSE($C$6,Assumptions!$C$79,Assumptions!$C$98,Assumptions!$C$117))</f>
        <v>1040</v>
      </c>
      <c r="I154" s="25" t="n">
        <f aca="false">Assumptions!$C$27*(1-CHOOSE($C$6,Assumptions!$C$79,Assumptions!$C$98,Assumptions!$C$117))</f>
        <v>1040</v>
      </c>
      <c r="J154" s="25" t="n">
        <f aca="false">Assumptions!$C$27*(1-CHOOSE($C$6,Assumptions!$C$79,Assumptions!$C$98,Assumptions!$C$117))</f>
        <v>1040</v>
      </c>
      <c r="K154" s="25" t="n">
        <f aca="false">Assumptions!$C$27*(1-CHOOSE($C$6,Assumptions!$C$79,Assumptions!$C$98,Assumptions!$C$117))</f>
        <v>1040</v>
      </c>
    </row>
    <row r="155" customFormat="false" ht="15" hidden="false" customHeight="false" outlineLevel="0" collapsed="false">
      <c r="A155" s="23" t="s">
        <v>331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</row>
    <row r="156" customFormat="false" ht="15" hidden="false" customHeight="false" outlineLevel="0" collapsed="false">
      <c r="A156" s="23" t="s">
        <v>332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</row>
    <row r="157" customFormat="false" ht="15" hidden="false" customHeight="false" outlineLevel="0" collapsed="false">
      <c r="A157" s="5" t="s">
        <v>333</v>
      </c>
      <c r="G157" s="31" t="n">
        <f aca="false">IF(G23&gt;0,G144/G23,99)</f>
        <v>7.86221186221186</v>
      </c>
      <c r="H157" s="31" t="n">
        <f aca="false">IF(H23&gt;0,H144/H23,99)</f>
        <v>7.70969887832544</v>
      </c>
      <c r="I157" s="31" t="n">
        <f aca="false">IF(I23&gt;0,I144/I23,99)</f>
        <v>7.62376751410553</v>
      </c>
      <c r="J157" s="31" t="n">
        <f aca="false">IF(J23&gt;0,J144/J23,99)</f>
        <v>7.5716937530992</v>
      </c>
      <c r="K157" s="31" t="n">
        <f aca="false">IF(K23&gt;0,K144/K23,99)</f>
        <v>7.51425466558389</v>
      </c>
    </row>
    <row r="158" customFormat="false" ht="15" hidden="false" customHeight="false" outlineLevel="0" collapsed="false">
      <c r="A158" s="5" t="s">
        <v>334</v>
      </c>
      <c r="G158" s="32" t="n">
        <f aca="false">Assumptions!$G$61</f>
        <v>8.5</v>
      </c>
      <c r="H158" s="32" t="n">
        <f aca="false">Assumptions!$H$61</f>
        <v>8.5</v>
      </c>
      <c r="I158" s="32" t="n">
        <f aca="false">Assumptions!$I$61</f>
        <v>8.5</v>
      </c>
      <c r="J158" s="32" t="n">
        <f aca="false">Assumptions!$J$61</f>
        <v>8.5</v>
      </c>
      <c r="K158" s="32" t="n">
        <f aca="false">Assumptions!$K$61</f>
        <v>8.5</v>
      </c>
    </row>
    <row r="159" customFormat="false" ht="15" hidden="false" customHeight="false" outlineLevel="0" collapsed="false">
      <c r="A159" s="5" t="s">
        <v>335</v>
      </c>
      <c r="G159" s="31" t="n">
        <f aca="false">G158-G157</f>
        <v>0.637788137788138</v>
      </c>
      <c r="H159" s="31" t="n">
        <f aca="false">H158-H157</f>
        <v>0.790301121674557</v>
      </c>
      <c r="I159" s="31" t="n">
        <f aca="false">I158-I157</f>
        <v>0.876232485894469</v>
      </c>
      <c r="J159" s="31" t="n">
        <f aca="false">J158-J157</f>
        <v>0.928306246900803</v>
      </c>
      <c r="K159" s="31" t="n">
        <f aca="false">K158-K157</f>
        <v>0.985745334416111</v>
      </c>
    </row>
    <row r="160" customFormat="false" ht="15" hidden="false" customHeight="false" outlineLevel="0" collapsed="false">
      <c r="A160" s="5" t="s">
        <v>336</v>
      </c>
      <c r="G160" s="21" t="n">
        <f aca="false">IF(G158=0,0,G159/ABS(G158))</f>
        <v>0.0750338985633103</v>
      </c>
      <c r="H160" s="21" t="n">
        <f aca="false">IF(H158=0,0,H159/ABS(H158))</f>
        <v>0.0929766025499479</v>
      </c>
      <c r="I160" s="21" t="n">
        <f aca="false">IF(I158=0,0,I159/ABS(I158))</f>
        <v>0.103086174811114</v>
      </c>
      <c r="J160" s="21" t="n">
        <f aca="false">IF(J158=0,0,J159/ABS(J158))</f>
        <v>0.109212499635389</v>
      </c>
      <c r="K160" s="21" t="n">
        <f aca="false">IF(K158=0,0,K159/ABS(K158))</f>
        <v>0.115970039343072</v>
      </c>
    </row>
    <row r="161" customFormat="false" ht="15" hidden="false" customHeight="false" outlineLevel="0" collapsed="false">
      <c r="A161" s="5" t="s">
        <v>337</v>
      </c>
      <c r="G161" s="20" t="n">
        <f aca="false">IF(G159&lt;0,1,0)</f>
        <v>0</v>
      </c>
      <c r="H161" s="20" t="n">
        <f aca="false">IF(H159&lt;0,1,0)</f>
        <v>0</v>
      </c>
      <c r="I161" s="20" t="n">
        <f aca="false">IF(I159&lt;0,1,0)</f>
        <v>0</v>
      </c>
      <c r="J161" s="20" t="n">
        <f aca="false">IF(J159&lt;0,1,0)</f>
        <v>0</v>
      </c>
      <c r="K161" s="20" t="n">
        <f aca="false">IF(K159&lt;0,1,0)</f>
        <v>0</v>
      </c>
    </row>
    <row r="162" customFormat="false" ht="15" hidden="false" customHeight="false" outlineLevel="0" collapsed="false">
      <c r="A162" s="5" t="s">
        <v>338</v>
      </c>
      <c r="C162" s="20" t="n">
        <f aca="false">IFERROR(INDEX($G$13:$K$13,MATCH(1,$G$161:$K$161,0)),0)</f>
        <v>0</v>
      </c>
    </row>
    <row r="163" customFormat="false" ht="15" hidden="false" customHeight="false" outlineLevel="0" collapsed="false">
      <c r="A163" s="5" t="s">
        <v>339</v>
      </c>
      <c r="C163" s="21" t="n">
        <f aca="false">MIN($G$160:$K$160)</f>
        <v>0.0750338985633103</v>
      </c>
    </row>
    <row r="164" customFormat="false" ht="15" hidden="false" customHeight="false" outlineLevel="0" collapsed="false">
      <c r="A164" s="5" t="s">
        <v>340</v>
      </c>
      <c r="G164" s="20" t="n">
        <f aca="false">G161</f>
        <v>0</v>
      </c>
      <c r="H164" s="20" t="n">
        <f aca="false">H161</f>
        <v>0</v>
      </c>
      <c r="I164" s="20" t="n">
        <f aca="false">I161</f>
        <v>0</v>
      </c>
      <c r="J164" s="20" t="n">
        <f aca="false">J161</f>
        <v>0</v>
      </c>
      <c r="K164" s="20" t="n">
        <f aca="false">K161</f>
        <v>0</v>
      </c>
    </row>
    <row r="165" customFormat="false" ht="15" hidden="false" customHeight="false" outlineLevel="0" collapsed="false">
      <c r="A165" s="5" t="s">
        <v>341</v>
      </c>
      <c r="C165" s="20" t="n">
        <f aca="false">SUM($G$164:$K$164)</f>
        <v>0</v>
      </c>
    </row>
    <row r="166" customFormat="false" ht="15" hidden="false" customHeight="false" outlineLevel="0" collapsed="false">
      <c r="A166" s="5" t="s">
        <v>342</v>
      </c>
      <c r="C166" s="21" t="n">
        <f aca="false">MIN(C163)</f>
        <v>0.0750338985633103</v>
      </c>
    </row>
    <row r="168" customFormat="false" ht="15" hidden="false" customHeight="false" outlineLevel="0" collapsed="false">
      <c r="A168" s="23" t="s">
        <v>444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</row>
    <row r="169" customFormat="false" ht="15" hidden="false" customHeight="false" outlineLevel="0" collapsed="false">
      <c r="A169" s="5" t="s">
        <v>445</v>
      </c>
      <c r="G169" s="20" t="n">
        <f aca="false">IF($C$170=1,G138,IF(G23=MIN($G$23:$K$23),1,0))</f>
        <v>0</v>
      </c>
      <c r="H169" s="20" t="n">
        <f aca="false">IF($C$170=1,H138,IF(AND(H23=MIN($G$23:$K$23),SUM($G$169:G169)=0),1,0))</f>
        <v>1</v>
      </c>
      <c r="I169" s="20" t="n">
        <f aca="false">IF($C$170=1,I138,IF(AND(I23=MIN($G$23:$K$23),SUM($G$169:H169)=0),1,0))</f>
        <v>0</v>
      </c>
      <c r="J169" s="20" t="n">
        <f aca="false">IF($C$170=1,J138,IF(AND(J23=MIN($G$23:$K$23),SUM($G$169:I169)=0),1,0))</f>
        <v>0</v>
      </c>
      <c r="K169" s="20" t="n">
        <f aca="false">IF($C$170=1,K138,IF(AND(K23=MIN($G$23:$K$23),SUM($G$169:J169)=0),1,0))</f>
        <v>0</v>
      </c>
    </row>
    <row r="170" customFormat="false" ht="15" hidden="false" customHeight="false" outlineLevel="0" collapsed="false">
      <c r="A170" s="5" t="s">
        <v>446</v>
      </c>
      <c r="C170" s="20" t="n">
        <f aca="false">IF(SUM($G$138:$K$138)&gt;0,1,0)</f>
        <v>1</v>
      </c>
    </row>
    <row r="171" customFormat="false" ht="15" hidden="false" customHeight="false" outlineLevel="0" collapsed="false">
      <c r="A171" s="5" t="s">
        <v>447</v>
      </c>
      <c r="C171" s="20" t="n">
        <f aca="false">SUMPRODUCT($G$169:$K$169,$G$13:$K$13)</f>
        <v>2027</v>
      </c>
    </row>
    <row r="172" customFormat="false" ht="15" hidden="false" customHeight="false" outlineLevel="0" collapsed="false">
      <c r="A172" s="5" t="s">
        <v>448</v>
      </c>
      <c r="C172" s="25" t="n">
        <f aca="false">SUMPRODUCT($G$169:$K$169,$G$23:$K$23)</f>
        <v>157.60008</v>
      </c>
    </row>
    <row r="173" customFormat="false" ht="15" hidden="false" customHeight="false" outlineLevel="0" collapsed="false">
      <c r="A173" s="5" t="s">
        <v>449</v>
      </c>
      <c r="C173" s="25" t="n">
        <f aca="false">MAX(0,SUMPRODUCT($G$169:$K$169,$G$135:$K$135))</f>
        <v>0</v>
      </c>
    </row>
    <row r="174" customFormat="false" ht="15" hidden="false" customHeight="false" outlineLevel="0" collapsed="false">
      <c r="A174" s="5" t="s">
        <v>450</v>
      </c>
      <c r="C174" s="25" t="n">
        <f aca="false">(CHOOSE($C$6,Assumptions!$C$78,Assumptions!$C$97,Assumptions!$C$116)+$C$10)*C172</f>
        <v>630.40032</v>
      </c>
    </row>
    <row r="175" customFormat="false" ht="15" hidden="false" customHeight="false" outlineLevel="0" collapsed="false">
      <c r="A175" s="5" t="s">
        <v>451</v>
      </c>
      <c r="C175" s="25" t="n">
        <f aca="false">Assumptions!$C$27*(1-CHOOSE($C$6,Assumptions!$C$79,Assumptions!$C$98,Assumptions!$C$117))*CHOOSE($C$6,Assumptions!$C$80,Assumptions!$C$99,Assumptions!$C$118)</f>
        <v>624</v>
      </c>
    </row>
    <row r="176" customFormat="false" ht="15" hidden="false" customHeight="false" outlineLevel="0" collapsed="false">
      <c r="A176" s="5" t="s">
        <v>452</v>
      </c>
      <c r="C176" s="25" t="n">
        <f aca="false">MAX(C174,C175)+C173</f>
        <v>630.40032</v>
      </c>
    </row>
    <row r="177" customFormat="false" ht="15" hidden="false" customHeight="false" outlineLevel="0" collapsed="false">
      <c r="A177" s="2" t="s">
        <v>453</v>
      </c>
      <c r="C177" s="16" t="n">
        <f aca="false">IF(ISNUMBER(Assumptions!$C$14),Assumptions!$C$14,C176)</f>
        <v>630.40032</v>
      </c>
    </row>
    <row r="178" customFormat="false" ht="15" hidden="false" customHeight="false" outlineLevel="0" collapsed="false">
      <c r="A178" s="5" t="s">
        <v>454</v>
      </c>
      <c r="C178" s="25" t="n">
        <f aca="false">C177*Assumptions!$C$15</f>
        <v>25.2160128</v>
      </c>
    </row>
    <row r="179" customFormat="false" ht="15" hidden="false" customHeight="false" outlineLevel="0" collapsed="false">
      <c r="A179" s="2" t="s">
        <v>455</v>
      </c>
      <c r="C179" s="16" t="n">
        <f aca="false">C177-C178</f>
        <v>605.1843072</v>
      </c>
    </row>
    <row r="180" customFormat="false" ht="15" hidden="false" customHeight="false" outlineLevel="0" collapsed="false">
      <c r="A180" s="23" t="s">
        <v>456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</row>
    <row r="181" customFormat="false" ht="15" hidden="false" customHeight="false" outlineLevel="0" collapsed="false">
      <c r="A181" s="5" t="s">
        <v>457</v>
      </c>
      <c r="C181" s="25" t="n">
        <f aca="false">SUMPRODUCT($G$169:$K$169,$G$60:$K$60)*(1+SUMPRODUCT($G$169:$K$169,$G$52:$K$52)*Assumptions!$C$16/12)</f>
        <v>152.55956</v>
      </c>
    </row>
    <row r="182" customFormat="false" ht="15" hidden="false" customHeight="false" outlineLevel="0" collapsed="false">
      <c r="A182" s="5" t="s">
        <v>458</v>
      </c>
      <c r="C182" s="25" t="n">
        <f aca="false">SUMPRODUCT($G$169:$K$169,$G$73:$K$73)*(1+SUMPRODUCT($G$169:$K$169,$G$65:$K$65)*Assumptions!$C$16/12)</f>
        <v>522.4037</v>
      </c>
    </row>
    <row r="183" customFormat="false" ht="15" hidden="false" customHeight="false" outlineLevel="0" collapsed="false">
      <c r="A183" s="5" t="s">
        <v>459</v>
      </c>
      <c r="C183" s="25" t="n">
        <f aca="false">SUMPRODUCT($G$169:$K$169,$G$86:$K$86)*(1+SUMPRODUCT($G$169:$K$169,$G$78:$K$78)*Assumptions!$C$16/12)</f>
        <v>256.875</v>
      </c>
    </row>
    <row r="184" customFormat="false" ht="15" hidden="false" customHeight="false" outlineLevel="0" collapsed="false">
      <c r="A184" s="5" t="s">
        <v>460</v>
      </c>
      <c r="C184" s="25" t="n">
        <f aca="false">SUMPRODUCT($G$169:$K$169,$G$99:$K$99)*(1+SUMPRODUCT($G$169:$K$169,$G$91:$K$91)*Assumptions!$C$16/12)</f>
        <v>305.625</v>
      </c>
    </row>
    <row r="185" customFormat="false" ht="15" hidden="false" customHeight="false" outlineLevel="0" collapsed="false">
      <c r="A185" s="23" t="s">
        <v>461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</row>
    <row r="186" customFormat="false" ht="15" hidden="false" customHeight="false" outlineLevel="0" collapsed="false">
      <c r="A186" s="5" t="s">
        <v>457</v>
      </c>
      <c r="C186" s="26" t="n">
        <f aca="false">Assumptions!$M$53</f>
        <v>1</v>
      </c>
    </row>
    <row r="187" customFormat="false" ht="15" hidden="false" customHeight="false" outlineLevel="0" collapsed="false">
      <c r="A187" s="5" t="s">
        <v>458</v>
      </c>
      <c r="C187" s="26" t="n">
        <f aca="false">Assumptions!$M$54</f>
        <v>2</v>
      </c>
    </row>
    <row r="188" customFormat="false" ht="15" hidden="false" customHeight="false" outlineLevel="0" collapsed="false">
      <c r="A188" s="5" t="s">
        <v>459</v>
      </c>
      <c r="C188" s="26" t="n">
        <f aca="false">Assumptions!$M$55</f>
        <v>3</v>
      </c>
    </row>
    <row r="189" customFormat="false" ht="15" hidden="false" customHeight="false" outlineLevel="0" collapsed="false">
      <c r="A189" s="5" t="s">
        <v>460</v>
      </c>
      <c r="C189" s="26" t="n">
        <f aca="false">Assumptions!$M$56</f>
        <v>4</v>
      </c>
    </row>
    <row r="190" customFormat="false" ht="15" hidden="false" customHeight="false" outlineLevel="0" collapsed="false">
      <c r="A190" s="23" t="s">
        <v>462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</row>
    <row r="191" customFormat="false" ht="15" hidden="false" customHeight="false" outlineLevel="0" collapsed="false">
      <c r="A191" s="5" t="s">
        <v>457</v>
      </c>
      <c r="C191" s="34" t="n">
        <f aca="false">Assumptions!$Q$53</f>
        <v>0</v>
      </c>
    </row>
    <row r="192" customFormat="false" ht="15" hidden="false" customHeight="false" outlineLevel="0" collapsed="false">
      <c r="A192" s="5" t="s">
        <v>458</v>
      </c>
      <c r="C192" s="34" t="n">
        <f aca="false">Assumptions!$Q$54</f>
        <v>0</v>
      </c>
    </row>
    <row r="193" customFormat="false" ht="15" hidden="false" customHeight="false" outlineLevel="0" collapsed="false">
      <c r="A193" s="5" t="s">
        <v>459</v>
      </c>
      <c r="C193" s="34" t="n">
        <f aca="false">Assumptions!$Q$55</f>
        <v>0</v>
      </c>
    </row>
    <row r="194" customFormat="false" ht="15" hidden="false" customHeight="false" outlineLevel="0" collapsed="false">
      <c r="A194" s="5" t="s">
        <v>460</v>
      </c>
      <c r="C194" s="34" t="n">
        <f aca="false">Assumptions!$Q$56</f>
        <v>0</v>
      </c>
    </row>
    <row r="195" customFormat="false" ht="15" hidden="false" customHeight="false" outlineLevel="0" collapsed="false">
      <c r="A195" s="23" t="s">
        <v>463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</row>
    <row r="196" customFormat="false" ht="15" hidden="false" customHeight="false" outlineLevel="0" collapsed="false">
      <c r="A196" s="5" t="s">
        <v>457</v>
      </c>
      <c r="C196" s="25" t="n">
        <f aca="false">IF(C191&gt;0,MIN(C181,C191*$C$179),0)</f>
        <v>0</v>
      </c>
    </row>
    <row r="197" customFormat="false" ht="15" hidden="false" customHeight="false" outlineLevel="0" collapsed="false">
      <c r="A197" s="5" t="s">
        <v>458</v>
      </c>
      <c r="C197" s="25" t="n">
        <f aca="false">IF(C192&gt;0,MIN(C182,C192*$C$179),0)</f>
        <v>0</v>
      </c>
    </row>
    <row r="198" customFormat="false" ht="15" hidden="false" customHeight="false" outlineLevel="0" collapsed="false">
      <c r="A198" s="5" t="s">
        <v>459</v>
      </c>
      <c r="C198" s="25" t="n">
        <f aca="false">IF(C193&gt;0,MIN(C183,C193*$C$179),0)</f>
        <v>0</v>
      </c>
    </row>
    <row r="199" customFormat="false" ht="15" hidden="false" customHeight="false" outlineLevel="0" collapsed="false">
      <c r="A199" s="5" t="s">
        <v>460</v>
      </c>
      <c r="C199" s="25" t="n">
        <f aca="false">IF(C194&gt;0,MIN(C184,C194*$C$179),0)</f>
        <v>0</v>
      </c>
    </row>
    <row r="200" customFormat="false" ht="15" hidden="false" customHeight="false" outlineLevel="0" collapsed="false">
      <c r="A200" s="23" t="s">
        <v>464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customFormat="false" ht="15" hidden="false" customHeight="false" outlineLevel="0" collapsed="false">
      <c r="A201" s="5" t="s">
        <v>457</v>
      </c>
      <c r="C201" s="25" t="n">
        <f aca="false">IF(C191&gt;0,C181-C196,0)</f>
        <v>0</v>
      </c>
      <c r="G201" s="20" t="n">
        <f aca="false">IF(AND(G50=1,G47=1),1,0)</f>
        <v>0</v>
      </c>
      <c r="H201" s="20" t="n">
        <f aca="false">IF(G201=1,1,IF(AND(H50=1,H47=1),1,0))</f>
        <v>1</v>
      </c>
      <c r="I201" s="20" t="n">
        <f aca="false">IF(H201=1,1,IF(AND(I50=1,I47=1),1,0))</f>
        <v>1</v>
      </c>
      <c r="J201" s="20" t="n">
        <f aca="false">IF(I201=1,1,IF(AND(J50=1,J47=1),1,0))</f>
        <v>1</v>
      </c>
      <c r="K201" s="20" t="n">
        <f aca="false">IF(J201=1,1,IF(AND(K50=1,K47=1),1,0))</f>
        <v>1</v>
      </c>
    </row>
    <row r="202" customFormat="false" ht="15" hidden="false" customHeight="false" outlineLevel="0" collapsed="false">
      <c r="A202" s="5" t="s">
        <v>458</v>
      </c>
      <c r="C202" s="25" t="n">
        <f aca="false">IF(C192&gt;0,C182-C197,0)</f>
        <v>0</v>
      </c>
      <c r="G202" s="20" t="n">
        <f aca="false">IF(AND(G63=1,G47=1),1,0)</f>
        <v>0</v>
      </c>
      <c r="H202" s="20" t="n">
        <f aca="false">IF(G202=1,1,IF(AND(H63=1,H47=1),1,0))</f>
        <v>0</v>
      </c>
      <c r="I202" s="20" t="n">
        <f aca="false">IF(H202=1,1,IF(AND(I63=1,I47=1),1,0))</f>
        <v>1</v>
      </c>
      <c r="J202" s="20" t="n">
        <f aca="false">IF(I202=1,1,IF(AND(J63=1,J47=1),1,0))</f>
        <v>1</v>
      </c>
      <c r="K202" s="20" t="n">
        <f aca="false">IF(J202=1,1,IF(AND(K63=1,K47=1),1,0))</f>
        <v>1</v>
      </c>
    </row>
    <row r="203" customFormat="false" ht="15" hidden="false" customHeight="false" outlineLevel="0" collapsed="false">
      <c r="A203" s="5" t="s">
        <v>459</v>
      </c>
      <c r="C203" s="25" t="n">
        <f aca="false">IF(C193&gt;0,C183-C198,0)</f>
        <v>0</v>
      </c>
      <c r="G203" s="20" t="n">
        <f aca="false">IF(AND(G76=1,G47=1),1,0)</f>
        <v>0</v>
      </c>
      <c r="H203" s="20" t="n">
        <f aca="false">IF(G203=1,1,IF(AND(H76=1,H47=1),1,0))</f>
        <v>0</v>
      </c>
      <c r="I203" s="20" t="n">
        <f aca="false">IF(H203=1,1,IF(AND(I76=1,I47=1),1,0))</f>
        <v>0</v>
      </c>
      <c r="J203" s="20" t="n">
        <f aca="false">IF(I203=1,1,IF(AND(J76=1,J47=1),1,0))</f>
        <v>1</v>
      </c>
      <c r="K203" s="20" t="n">
        <f aca="false">IF(J203=1,1,IF(AND(K76=1,K47=1),1,0))</f>
        <v>1</v>
      </c>
    </row>
    <row r="204" customFormat="false" ht="15" hidden="false" customHeight="false" outlineLevel="0" collapsed="false">
      <c r="A204" s="5" t="s">
        <v>460</v>
      </c>
      <c r="C204" s="25" t="n">
        <f aca="false">IF(C194&gt;0,C184-C199,0)</f>
        <v>0</v>
      </c>
      <c r="G204" s="20" t="n">
        <f aca="false">IF(AND(G89=1,G47=1),1,0)</f>
        <v>0</v>
      </c>
      <c r="H204" s="20" t="n">
        <f aca="false">IF(G204=1,1,IF(AND(H89=1,H47=1),1,0))</f>
        <v>1</v>
      </c>
      <c r="I204" s="20" t="n">
        <f aca="false">IF(H204=1,1,IF(AND(I89=1,I47=1),1,0))</f>
        <v>1</v>
      </c>
      <c r="J204" s="20" t="n">
        <f aca="false">IF(I204=1,1,IF(AND(J89=1,J47=1),1,0))</f>
        <v>1</v>
      </c>
      <c r="K204" s="20" t="n">
        <f aca="false">IF(J204=1,1,IF(AND(K89=1,K47=1),1,0))</f>
        <v>1</v>
      </c>
    </row>
    <row r="205" customFormat="false" ht="15" hidden="false" customHeight="false" outlineLevel="0" collapsed="false">
      <c r="A205" s="23" t="s">
        <v>465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customFormat="false" ht="15" hidden="false" customHeight="false" outlineLevel="0" collapsed="false">
      <c r="A206" s="5" t="s">
        <v>457</v>
      </c>
      <c r="C206" s="25" t="n">
        <f aca="false">IF(C191&gt;0,C201,C181)</f>
        <v>152.55956</v>
      </c>
    </row>
    <row r="207" customFormat="false" ht="15" hidden="false" customHeight="false" outlineLevel="0" collapsed="false">
      <c r="A207" s="5" t="s">
        <v>458</v>
      </c>
      <c r="C207" s="25" t="n">
        <f aca="false">IF(C192&gt;0,C202,C182)</f>
        <v>522.4037</v>
      </c>
    </row>
    <row r="208" customFormat="false" ht="15" hidden="false" customHeight="false" outlineLevel="0" collapsed="false">
      <c r="A208" s="5" t="s">
        <v>459</v>
      </c>
      <c r="C208" s="25" t="n">
        <f aca="false">IF(C193&gt;0,C203,C183)</f>
        <v>256.875</v>
      </c>
    </row>
    <row r="209" customFormat="false" ht="15" hidden="false" customHeight="false" outlineLevel="0" collapsed="false">
      <c r="A209" s="5" t="s">
        <v>460</v>
      </c>
      <c r="C209" s="25" t="n">
        <f aca="false">IF(C194&gt;0,C204,C184)</f>
        <v>305.625</v>
      </c>
    </row>
    <row r="210" customFormat="false" ht="15" hidden="false" customHeight="false" outlineLevel="0" collapsed="false">
      <c r="A210" s="23" t="s">
        <v>466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</row>
    <row r="211" customFormat="false" ht="15" hidden="false" customHeight="false" outlineLevel="0" collapsed="false">
      <c r="A211" s="5" t="s">
        <v>457</v>
      </c>
      <c r="C211" s="20" t="n">
        <f aca="false">IF(C191&gt;0,Assumptions!$C$17,C186)</f>
        <v>1</v>
      </c>
    </row>
    <row r="212" customFormat="false" ht="15" hidden="false" customHeight="false" outlineLevel="0" collapsed="false">
      <c r="A212" s="5" t="s">
        <v>458</v>
      </c>
      <c r="C212" s="20" t="n">
        <f aca="false">IF(C192&gt;0,Assumptions!$C$17,C187)</f>
        <v>2</v>
      </c>
    </row>
    <row r="213" customFormat="false" ht="15" hidden="false" customHeight="false" outlineLevel="0" collapsed="false">
      <c r="A213" s="5" t="s">
        <v>459</v>
      </c>
      <c r="C213" s="20" t="n">
        <f aca="false">IF(C193&gt;0,Assumptions!$C$17,C188)</f>
        <v>3</v>
      </c>
    </row>
    <row r="214" customFormat="false" ht="15" hidden="false" customHeight="false" outlineLevel="0" collapsed="false">
      <c r="A214" s="5" t="s">
        <v>460</v>
      </c>
      <c r="C214" s="20" t="n">
        <f aca="false">IF(C194&gt;0,Assumptions!$C$17,C189)</f>
        <v>4</v>
      </c>
    </row>
    <row r="215" customFormat="false" ht="15" hidden="false" customHeight="false" outlineLevel="0" collapsed="false">
      <c r="A215" s="23" t="s">
        <v>467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</row>
    <row r="216" customFormat="false" ht="15" hidden="false" customHeight="false" outlineLevel="0" collapsed="false">
      <c r="A216" s="5" t="s">
        <v>457</v>
      </c>
      <c r="C216" s="25" t="n">
        <f aca="false">SUMPRODUCT(($C$211:$C$214&lt;C211)*$C$206:$C$209)</f>
        <v>0</v>
      </c>
    </row>
    <row r="217" customFormat="false" ht="15" hidden="false" customHeight="false" outlineLevel="0" collapsed="false">
      <c r="A217" s="5" t="s">
        <v>458</v>
      </c>
      <c r="C217" s="25" t="n">
        <f aca="false">SUMPRODUCT(($C$211:$C$214&lt;C212)*$C$206:$C$209)</f>
        <v>152.55956</v>
      </c>
    </row>
    <row r="218" customFormat="false" ht="15" hidden="false" customHeight="false" outlineLevel="0" collapsed="false">
      <c r="A218" s="5" t="s">
        <v>459</v>
      </c>
      <c r="C218" s="25" t="n">
        <f aca="false">SUMPRODUCT(($C$211:$C$214&lt;C213)*$C$206:$C$209)</f>
        <v>674.96326</v>
      </c>
    </row>
    <row r="219" customFormat="false" ht="15" hidden="false" customHeight="false" outlineLevel="0" collapsed="false">
      <c r="A219" s="5" t="s">
        <v>460</v>
      </c>
      <c r="C219" s="25" t="n">
        <f aca="false">SUMPRODUCT(($C$211:$C$214&lt;C214)*$C$206:$C$209)</f>
        <v>931.83826</v>
      </c>
    </row>
    <row r="220" customFormat="false" ht="15" hidden="false" customHeight="false" outlineLevel="0" collapsed="false">
      <c r="A220" s="23" t="s">
        <v>468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</row>
    <row r="221" customFormat="false" ht="15" hidden="false" customHeight="false" outlineLevel="0" collapsed="false">
      <c r="A221" s="5" t="s">
        <v>457</v>
      </c>
      <c r="C221" s="25" t="n">
        <f aca="false">SUMPRODUCT(($C$211:$C$214=C211)*$C$206:$C$209)</f>
        <v>152.55956</v>
      </c>
    </row>
    <row r="222" customFormat="false" ht="15" hidden="false" customHeight="false" outlineLevel="0" collapsed="false">
      <c r="A222" s="5" t="s">
        <v>458</v>
      </c>
      <c r="C222" s="25" t="n">
        <f aca="false">SUMPRODUCT(($C$211:$C$214=C212)*$C$206:$C$209)</f>
        <v>522.4037</v>
      </c>
    </row>
    <row r="223" customFormat="false" ht="15" hidden="false" customHeight="false" outlineLevel="0" collapsed="false">
      <c r="A223" s="5" t="s">
        <v>459</v>
      </c>
      <c r="C223" s="25" t="n">
        <f aca="false">SUMPRODUCT(($C$211:$C$214=C213)*$C$206:$C$209)</f>
        <v>256.875</v>
      </c>
    </row>
    <row r="224" customFormat="false" ht="15" hidden="false" customHeight="false" outlineLevel="0" collapsed="false">
      <c r="A224" s="5" t="s">
        <v>460</v>
      </c>
      <c r="C224" s="25" t="n">
        <f aca="false">SUMPRODUCT(($C$211:$C$214=C214)*$C$206:$C$209)</f>
        <v>305.625</v>
      </c>
    </row>
    <row r="225" customFormat="false" ht="15" hidden="false" customHeight="false" outlineLevel="0" collapsed="false">
      <c r="A225" s="23" t="s">
        <v>469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</row>
    <row r="226" customFormat="false" ht="15" hidden="false" customHeight="false" outlineLevel="0" collapsed="false">
      <c r="A226" s="5" t="s">
        <v>457</v>
      </c>
      <c r="C226" s="25" t="n">
        <f aca="false">IF(C221=0,0,C206/C221*MAX(0,MIN(C221,$C$179-SUM($C$196:$C$199)-C216)))</f>
        <v>152.55956</v>
      </c>
    </row>
    <row r="227" customFormat="false" ht="15" hidden="false" customHeight="false" outlineLevel="0" collapsed="false">
      <c r="A227" s="5" t="s">
        <v>458</v>
      </c>
      <c r="C227" s="25" t="n">
        <f aca="false">IF(C222=0,0,C207/C222*MAX(0,MIN(C222,$C$179-SUM($C$196:$C$199)-C217)))</f>
        <v>452.6247472</v>
      </c>
    </row>
    <row r="228" customFormat="false" ht="15" hidden="false" customHeight="false" outlineLevel="0" collapsed="false">
      <c r="A228" s="5" t="s">
        <v>459</v>
      </c>
      <c r="C228" s="25" t="n">
        <f aca="false">IF(C223=0,0,C208/C223*MAX(0,MIN(C223,$C$179-SUM($C$196:$C$199)-C218)))</f>
        <v>0</v>
      </c>
    </row>
    <row r="229" customFormat="false" ht="15" hidden="false" customHeight="false" outlineLevel="0" collapsed="false">
      <c r="A229" s="5" t="s">
        <v>460</v>
      </c>
      <c r="C229" s="25" t="n">
        <f aca="false">IF(C224=0,0,C209/C224*MAX(0,MIN(C224,$C$179-SUM($C$196:$C$199)-C219)))</f>
        <v>0</v>
      </c>
    </row>
    <row r="230" customFormat="false" ht="15" hidden="false" customHeight="false" outlineLevel="0" collapsed="false">
      <c r="A230" s="23" t="s">
        <v>470</v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</row>
    <row r="231" customFormat="false" ht="15" hidden="false" customHeight="false" outlineLevel="0" collapsed="false">
      <c r="A231" s="2" t="s">
        <v>457</v>
      </c>
      <c r="C231" s="16" t="n">
        <f aca="false">C196+C226</f>
        <v>152.55956</v>
      </c>
    </row>
    <row r="232" customFormat="false" ht="15" hidden="false" customHeight="false" outlineLevel="0" collapsed="false">
      <c r="A232" s="2" t="s">
        <v>458</v>
      </c>
      <c r="C232" s="16" t="n">
        <f aca="false">C197+C227</f>
        <v>452.6247472</v>
      </c>
    </row>
    <row r="233" customFormat="false" ht="15" hidden="false" customHeight="false" outlineLevel="0" collapsed="false">
      <c r="A233" s="2" t="s">
        <v>459</v>
      </c>
      <c r="C233" s="16" t="n">
        <f aca="false">C198+C228</f>
        <v>0</v>
      </c>
    </row>
    <row r="234" customFormat="false" ht="15" hidden="false" customHeight="false" outlineLevel="0" collapsed="false">
      <c r="A234" s="2" t="s">
        <v>460</v>
      </c>
      <c r="C234" s="16" t="n">
        <f aca="false">C199+C229</f>
        <v>0</v>
      </c>
    </row>
    <row r="235" customFormat="false" ht="15" hidden="false" customHeight="false" outlineLevel="0" collapsed="false">
      <c r="A235" s="23" t="s">
        <v>471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</row>
    <row r="236" customFormat="false" ht="15" hidden="false" customHeight="false" outlineLevel="0" collapsed="false">
      <c r="A236" s="5" t="s">
        <v>457</v>
      </c>
      <c r="C236" s="21" t="n">
        <f aca="false">IF(C181=0,1,C231/C181)</f>
        <v>1</v>
      </c>
    </row>
    <row r="237" customFormat="false" ht="15" hidden="false" customHeight="false" outlineLevel="0" collapsed="false">
      <c r="A237" s="5" t="s">
        <v>458</v>
      </c>
      <c r="C237" s="21" t="n">
        <f aca="false">IF(C182=0,1,C232/C182)</f>
        <v>0.866427146668372</v>
      </c>
    </row>
    <row r="238" customFormat="false" ht="15" hidden="false" customHeight="false" outlineLevel="0" collapsed="false">
      <c r="A238" s="5" t="s">
        <v>459</v>
      </c>
      <c r="C238" s="21" t="n">
        <f aca="false">IF(C183=0,1,C233/C183)</f>
        <v>0</v>
      </c>
    </row>
    <row r="239" customFormat="false" ht="15" hidden="false" customHeight="false" outlineLevel="0" collapsed="false">
      <c r="A239" s="5" t="s">
        <v>460</v>
      </c>
      <c r="C239" s="21" t="n">
        <f aca="false">IF(C184=0,1,C234/C184)</f>
        <v>0</v>
      </c>
    </row>
    <row r="240" customFormat="false" ht="15" hidden="false" customHeight="false" outlineLevel="0" collapsed="false">
      <c r="A240" s="23" t="s">
        <v>472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</row>
    <row r="241" customFormat="false" ht="15" hidden="false" customHeight="false" outlineLevel="0" collapsed="false">
      <c r="A241" s="5" t="s">
        <v>457</v>
      </c>
      <c r="C241" s="25" t="n">
        <f aca="false">C181-C231</f>
        <v>0</v>
      </c>
    </row>
    <row r="242" customFormat="false" ht="15" hidden="false" customHeight="false" outlineLevel="0" collapsed="false">
      <c r="A242" s="5" t="s">
        <v>458</v>
      </c>
      <c r="C242" s="25" t="n">
        <f aca="false">C182-C232</f>
        <v>69.7789528000001</v>
      </c>
    </row>
    <row r="243" customFormat="false" ht="15" hidden="false" customHeight="false" outlineLevel="0" collapsed="false">
      <c r="A243" s="5" t="s">
        <v>459</v>
      </c>
      <c r="C243" s="25" t="n">
        <f aca="false">C183-C233</f>
        <v>256.875</v>
      </c>
    </row>
    <row r="244" customFormat="false" ht="15" hidden="false" customHeight="false" outlineLevel="0" collapsed="false">
      <c r="A244" s="5" t="s">
        <v>460</v>
      </c>
      <c r="C244" s="25" t="n">
        <f aca="false">C184-C234</f>
        <v>305.625</v>
      </c>
    </row>
    <row r="245" customFormat="false" ht="15" hidden="false" customHeight="false" outlineLevel="0" collapsed="false">
      <c r="A245" s="23" t="s">
        <v>473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</row>
    <row r="246" customFormat="false" ht="15" hidden="false" customHeight="false" outlineLevel="0" collapsed="false">
      <c r="A246" s="5" t="s">
        <v>457</v>
      </c>
      <c r="C246" s="21" t="n">
        <f aca="false">IF(C181=0,0,C241/C181)</f>
        <v>0</v>
      </c>
    </row>
    <row r="247" customFormat="false" ht="15" hidden="false" customHeight="false" outlineLevel="0" collapsed="false">
      <c r="A247" s="5" t="s">
        <v>458</v>
      </c>
      <c r="C247" s="21" t="n">
        <f aca="false">IF(C182=0,0,C242/C182)</f>
        <v>0.133572853331629</v>
      </c>
    </row>
    <row r="248" customFormat="false" ht="15" hidden="false" customHeight="false" outlineLevel="0" collapsed="false">
      <c r="A248" s="5" t="s">
        <v>459</v>
      </c>
      <c r="C248" s="21" t="n">
        <f aca="false">IF(C183=0,0,C243/C183)</f>
        <v>1</v>
      </c>
    </row>
    <row r="249" customFormat="false" ht="15" hidden="false" customHeight="false" outlineLevel="0" collapsed="false">
      <c r="A249" s="5" t="s">
        <v>460</v>
      </c>
      <c r="C249" s="21" t="n">
        <f aca="false">IF(C184=0,0,C244/C184)</f>
        <v>1</v>
      </c>
    </row>
    <row r="250" customFormat="false" ht="15" hidden="false" customHeight="false" outlineLevel="0" collapsed="false">
      <c r="A250" s="2" t="s">
        <v>474</v>
      </c>
      <c r="C250" s="16" t="n">
        <f aca="false">MAX(0,$C$179-SUM($C$196:$C$199)-SUM($C$206:$C$209))</f>
        <v>0</v>
      </c>
    </row>
    <row r="251" customFormat="false" ht="15" hidden="false" customHeight="false" outlineLevel="0" collapsed="false">
      <c r="A251" s="5" t="s">
        <v>475</v>
      </c>
      <c r="C251" s="25" t="n">
        <f aca="false">SUM($C$231:$C$234)+C250+C178-C177</f>
        <v>0</v>
      </c>
    </row>
    <row r="253" customFormat="false" ht="15" hidden="false" customHeight="false" outlineLevel="0" collapsed="false">
      <c r="A253" s="23" t="s">
        <v>478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</row>
    <row r="254" customFormat="false" ht="15" hidden="false" customHeight="false" outlineLevel="0" collapsed="false">
      <c r="A254" s="5" t="s">
        <v>479</v>
      </c>
      <c r="C254" s="26" t="n">
        <f aca="false">Assumptions!$C$30</f>
        <v>2</v>
      </c>
    </row>
    <row r="255" customFormat="false" ht="15" hidden="false" customHeight="false" outlineLevel="0" collapsed="false">
      <c r="A255" s="5" t="s">
        <v>480</v>
      </c>
      <c r="C255" s="28" t="n">
        <f aca="false">Assumptions!$C$31</f>
        <v>100</v>
      </c>
    </row>
    <row r="256" customFormat="false" ht="15" hidden="false" customHeight="false" outlineLevel="0" collapsed="false">
      <c r="A256" s="5" t="s">
        <v>481</v>
      </c>
      <c r="C256" s="39" t="n">
        <f aca="false">Assumptions!$C$32</f>
        <v>78</v>
      </c>
    </row>
    <row r="257" customFormat="false" ht="15" hidden="false" customHeight="false" outlineLevel="0" collapsed="false">
      <c r="A257" s="5" t="s">
        <v>482</v>
      </c>
      <c r="C257" s="25" t="n">
        <f aca="false">C255*C256/100*(1+Assumptions!$C$33)</f>
        <v>78.39</v>
      </c>
    </row>
    <row r="258" customFormat="false" ht="15" hidden="false" customHeight="false" outlineLevel="0" collapsed="false">
      <c r="A258" s="5" t="s">
        <v>483</v>
      </c>
      <c r="C258" s="26" t="n">
        <f aca="false">Assumptions!$C$34</f>
        <v>2</v>
      </c>
    </row>
    <row r="259" customFormat="false" ht="15" hidden="false" customHeight="false" outlineLevel="0" collapsed="false">
      <c r="A259" s="5" t="s">
        <v>484</v>
      </c>
      <c r="C259" s="20" t="n">
        <f aca="false">IF(C170=1,SUMPRODUCT($G$138:$K$138,$G$14:$K$14),0)</f>
        <v>2</v>
      </c>
    </row>
    <row r="260" customFormat="false" ht="15" hidden="false" customHeight="false" outlineLevel="0" collapsed="false">
      <c r="A260" s="5" t="s">
        <v>485</v>
      </c>
      <c r="C260" s="21" t="n">
        <f aca="false">IFERROR(C255/CHOOSE(C254,SUMPRODUCT($G$169:$K$169,$G$60:$K$60),SUMPRODUCT($G$169:$K$169,$G$73:$K$73),SUMPRODUCT($G$169:$K$169,$G$86:$K$86),SUMPRODUCT($G$169:$K$169,$G$99:$K$99)),0)</f>
        <v>0.196232339089482</v>
      </c>
    </row>
    <row r="261" customFormat="false" ht="15" hidden="false" customHeight="false" outlineLevel="0" collapsed="false">
      <c r="A261" s="5" t="s">
        <v>486</v>
      </c>
      <c r="C261" s="25" t="n">
        <f aca="false">CHOOSE(C254,C231,C232,C233,C234)*C260</f>
        <v>88.8196128728414</v>
      </c>
    </row>
    <row r="262" customFormat="false" ht="15" hidden="false" customHeight="false" outlineLevel="0" collapsed="false">
      <c r="A262" s="5" t="s">
        <v>487</v>
      </c>
      <c r="C262" s="21" t="n">
        <f aca="false">CHOOSE(C254,C236,C237,C238,C239)</f>
        <v>0.866427146668372</v>
      </c>
    </row>
    <row r="263" customFormat="false" ht="15" hidden="false" customHeight="false" outlineLevel="0" collapsed="false">
      <c r="A263" s="5" t="s">
        <v>488</v>
      </c>
      <c r="C263" s="20" t="n">
        <f aca="false">IF(C170=1,C259,C258)</f>
        <v>2</v>
      </c>
    </row>
    <row r="264" customFormat="false" ht="15" hidden="false" customHeight="false" outlineLevel="0" collapsed="false">
      <c r="A264" s="5" t="s">
        <v>489</v>
      </c>
      <c r="C264" s="33" t="n">
        <f aca="false">CHOOSE($C$6,Assumptions!$C$77,Assumptions!$C$96,Assumptions!$C$115)</f>
        <v>100</v>
      </c>
    </row>
    <row r="265" customFormat="false" ht="15" hidden="false" customHeight="false" outlineLevel="0" collapsed="false">
      <c r="A265" s="5" t="s">
        <v>490</v>
      </c>
      <c r="C265" s="25" t="n">
        <f aca="false">INDEX($G$23:$K$23,C258)*CHOOSE($C$6,Assumptions!$C$76,Assumptions!$C$95,Assumptions!$C$114)+MAX(0,INDEX($G$135:$K$135,C258))</f>
        <v>1024.40052</v>
      </c>
    </row>
    <row r="266" customFormat="false" ht="15" hidden="false" customHeight="false" outlineLevel="0" collapsed="false">
      <c r="A266" s="23" t="s">
        <v>491</v>
      </c>
      <c r="B266" s="24"/>
      <c r="C266" s="24"/>
      <c r="D266" s="24"/>
      <c r="E266" s="24"/>
      <c r="F266" s="24"/>
      <c r="G266" s="24"/>
      <c r="H266" s="24"/>
      <c r="I266" s="24"/>
      <c r="J266" s="24"/>
      <c r="K266" s="24"/>
    </row>
    <row r="267" customFormat="false" ht="15" hidden="false" customHeight="false" outlineLevel="0" collapsed="false">
      <c r="A267" s="5" t="s">
        <v>457</v>
      </c>
      <c r="C267" s="25" t="n">
        <f aca="false">INDEX($G$60:$K$60,C258)</f>
        <v>149.44</v>
      </c>
    </row>
    <row r="268" customFormat="false" ht="15" hidden="false" customHeight="false" outlineLevel="0" collapsed="false">
      <c r="A268" s="5" t="s">
        <v>458</v>
      </c>
      <c r="C268" s="25" t="n">
        <f aca="false">INDEX($G$73:$K$73,C258)</f>
        <v>509.6</v>
      </c>
    </row>
    <row r="269" customFormat="false" ht="15" hidden="false" customHeight="false" outlineLevel="0" collapsed="false">
      <c r="A269" s="5" t="s">
        <v>459</v>
      </c>
      <c r="C269" s="25" t="n">
        <f aca="false">INDEX($G$86:$K$86,C258)</f>
        <v>250</v>
      </c>
    </row>
    <row r="270" customFormat="false" ht="15" hidden="false" customHeight="false" outlineLevel="0" collapsed="false">
      <c r="A270" s="5" t="s">
        <v>460</v>
      </c>
      <c r="C270" s="25" t="n">
        <f aca="false">INDEX($G$99:$K$99,C258)</f>
        <v>300</v>
      </c>
    </row>
    <row r="271" customFormat="false" ht="15" hidden="false" customHeight="false" outlineLevel="0" collapsed="false">
      <c r="A271" s="23" t="s">
        <v>461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</row>
    <row r="272" customFormat="false" ht="15" hidden="false" customHeight="false" outlineLevel="0" collapsed="false">
      <c r="A272" s="5" t="s">
        <v>457</v>
      </c>
      <c r="C272" s="26" t="n">
        <f aca="false">Assumptions!$M$53</f>
        <v>1</v>
      </c>
    </row>
    <row r="273" customFormat="false" ht="15" hidden="false" customHeight="false" outlineLevel="0" collapsed="false">
      <c r="A273" s="5" t="s">
        <v>458</v>
      </c>
      <c r="C273" s="26" t="n">
        <f aca="false">Assumptions!$M$54</f>
        <v>2</v>
      </c>
    </row>
    <row r="274" customFormat="false" ht="15" hidden="false" customHeight="false" outlineLevel="0" collapsed="false">
      <c r="A274" s="5" t="s">
        <v>459</v>
      </c>
      <c r="C274" s="26" t="n">
        <f aca="false">Assumptions!$M$55</f>
        <v>3</v>
      </c>
    </row>
    <row r="275" customFormat="false" ht="15" hidden="false" customHeight="false" outlineLevel="0" collapsed="false">
      <c r="A275" s="5" t="s">
        <v>460</v>
      </c>
      <c r="C275" s="26" t="n">
        <f aca="false">Assumptions!$M$56</f>
        <v>4</v>
      </c>
    </row>
    <row r="276" customFormat="false" ht="15" hidden="false" customHeight="false" outlineLevel="0" collapsed="false">
      <c r="A276" s="23" t="s">
        <v>462</v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</row>
    <row r="277" customFormat="false" ht="15" hidden="false" customHeight="false" outlineLevel="0" collapsed="false">
      <c r="A277" s="5" t="s">
        <v>457</v>
      </c>
      <c r="C277" s="34" t="n">
        <f aca="false">Assumptions!$Q$53</f>
        <v>0</v>
      </c>
    </row>
    <row r="278" customFormat="false" ht="15" hidden="false" customHeight="false" outlineLevel="0" collapsed="false">
      <c r="A278" s="5" t="s">
        <v>458</v>
      </c>
      <c r="C278" s="34" t="n">
        <f aca="false">Assumptions!$Q$54</f>
        <v>0</v>
      </c>
    </row>
    <row r="279" customFormat="false" ht="15" hidden="false" customHeight="false" outlineLevel="0" collapsed="false">
      <c r="A279" s="5" t="s">
        <v>459</v>
      </c>
      <c r="C279" s="34" t="n">
        <f aca="false">Assumptions!$Q$55</f>
        <v>0</v>
      </c>
    </row>
    <row r="280" customFormat="false" ht="15" hidden="false" customHeight="false" outlineLevel="0" collapsed="false">
      <c r="A280" s="5" t="s">
        <v>460</v>
      </c>
      <c r="C280" s="34" t="n">
        <f aca="false">Assumptions!$Q$56</f>
        <v>0</v>
      </c>
    </row>
    <row r="281" customFormat="false" ht="15" hidden="false" customHeight="false" outlineLevel="0" collapsed="false">
      <c r="A281" s="23" t="s">
        <v>463</v>
      </c>
      <c r="B281" s="24"/>
      <c r="C281" s="24"/>
      <c r="D281" s="24"/>
      <c r="E281" s="24"/>
      <c r="F281" s="24"/>
      <c r="G281" s="24"/>
      <c r="H281" s="24"/>
      <c r="I281" s="24"/>
      <c r="J281" s="24"/>
      <c r="K281" s="24"/>
    </row>
    <row r="282" customFormat="false" ht="15" hidden="false" customHeight="false" outlineLevel="0" collapsed="false">
      <c r="A282" s="5" t="s">
        <v>457</v>
      </c>
      <c r="C282" s="25" t="n">
        <f aca="false">IF(C277&gt;0,MIN(C267,C277*$C$265),0)</f>
        <v>0</v>
      </c>
    </row>
    <row r="283" customFormat="false" ht="15" hidden="false" customHeight="false" outlineLevel="0" collapsed="false">
      <c r="A283" s="5" t="s">
        <v>458</v>
      </c>
      <c r="C283" s="25" t="n">
        <f aca="false">IF(C278&gt;0,MIN(C268,C278*$C$265),0)</f>
        <v>0</v>
      </c>
    </row>
    <row r="284" customFormat="false" ht="15" hidden="false" customHeight="false" outlineLevel="0" collapsed="false">
      <c r="A284" s="5" t="s">
        <v>459</v>
      </c>
      <c r="C284" s="25" t="n">
        <f aca="false">IF(C279&gt;0,MIN(C269,C279*$C$265),0)</f>
        <v>0</v>
      </c>
    </row>
    <row r="285" customFormat="false" ht="15" hidden="false" customHeight="false" outlineLevel="0" collapsed="false">
      <c r="A285" s="5" t="s">
        <v>460</v>
      </c>
      <c r="C285" s="25" t="n">
        <f aca="false">IF(C280&gt;0,MIN(C270,C280*$C$265),0)</f>
        <v>0</v>
      </c>
    </row>
    <row r="286" customFormat="false" ht="15" hidden="false" customHeight="false" outlineLevel="0" collapsed="false">
      <c r="A286" s="23" t="s">
        <v>464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</row>
    <row r="287" customFormat="false" ht="15" hidden="false" customHeight="false" outlineLevel="0" collapsed="false">
      <c r="A287" s="5" t="s">
        <v>457</v>
      </c>
      <c r="C287" s="25" t="n">
        <f aca="false">IF(C277&gt;0,C267-C282,0)</f>
        <v>0</v>
      </c>
    </row>
    <row r="288" customFormat="false" ht="15" hidden="false" customHeight="false" outlineLevel="0" collapsed="false">
      <c r="A288" s="5" t="s">
        <v>458</v>
      </c>
      <c r="C288" s="25" t="n">
        <f aca="false">IF(C278&gt;0,C268-C283,0)</f>
        <v>0</v>
      </c>
    </row>
    <row r="289" customFormat="false" ht="15" hidden="false" customHeight="false" outlineLevel="0" collapsed="false">
      <c r="A289" s="5" t="s">
        <v>459</v>
      </c>
      <c r="C289" s="25" t="n">
        <f aca="false">IF(C279&gt;0,C269-C284,0)</f>
        <v>0</v>
      </c>
    </row>
    <row r="290" customFormat="false" ht="15" hidden="false" customHeight="false" outlineLevel="0" collapsed="false">
      <c r="A290" s="5" t="s">
        <v>460</v>
      </c>
      <c r="C290" s="25" t="n">
        <f aca="false">IF(C280&gt;0,C270-C285,0)</f>
        <v>0</v>
      </c>
    </row>
    <row r="291" customFormat="false" ht="15" hidden="false" customHeight="false" outlineLevel="0" collapsed="false">
      <c r="A291" s="23" t="s">
        <v>465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</row>
    <row r="292" customFormat="false" ht="15" hidden="false" customHeight="false" outlineLevel="0" collapsed="false">
      <c r="A292" s="5" t="s">
        <v>457</v>
      </c>
      <c r="C292" s="25" t="n">
        <f aca="false">IF(C277&gt;0,C287,C267)</f>
        <v>149.44</v>
      </c>
    </row>
    <row r="293" customFormat="false" ht="15" hidden="false" customHeight="false" outlineLevel="0" collapsed="false">
      <c r="A293" s="5" t="s">
        <v>458</v>
      </c>
      <c r="C293" s="25" t="n">
        <f aca="false">IF(C278&gt;0,C288,C268)</f>
        <v>509.6</v>
      </c>
    </row>
    <row r="294" customFormat="false" ht="15" hidden="false" customHeight="false" outlineLevel="0" collapsed="false">
      <c r="A294" s="5" t="s">
        <v>459</v>
      </c>
      <c r="C294" s="25" t="n">
        <f aca="false">IF(C279&gt;0,C289,C269)</f>
        <v>250</v>
      </c>
    </row>
    <row r="295" customFormat="false" ht="15" hidden="false" customHeight="false" outlineLevel="0" collapsed="false">
      <c r="A295" s="5" t="s">
        <v>460</v>
      </c>
      <c r="C295" s="25" t="n">
        <f aca="false">IF(C280&gt;0,C290,C270)</f>
        <v>300</v>
      </c>
    </row>
    <row r="296" customFormat="false" ht="15" hidden="false" customHeight="false" outlineLevel="0" collapsed="false">
      <c r="A296" s="23" t="s">
        <v>466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</row>
    <row r="297" customFormat="false" ht="15" hidden="false" customHeight="false" outlineLevel="0" collapsed="false">
      <c r="A297" s="5" t="s">
        <v>457</v>
      </c>
      <c r="C297" s="20" t="n">
        <f aca="false">IF(C277&gt;0,Assumptions!$C$17,C272)</f>
        <v>1</v>
      </c>
    </row>
    <row r="298" customFormat="false" ht="15" hidden="false" customHeight="false" outlineLevel="0" collapsed="false">
      <c r="A298" s="5" t="s">
        <v>458</v>
      </c>
      <c r="C298" s="20" t="n">
        <f aca="false">IF(C278&gt;0,Assumptions!$C$17,C273)</f>
        <v>2</v>
      </c>
    </row>
    <row r="299" customFormat="false" ht="15" hidden="false" customHeight="false" outlineLevel="0" collapsed="false">
      <c r="A299" s="5" t="s">
        <v>459</v>
      </c>
      <c r="C299" s="20" t="n">
        <f aca="false">IF(C279&gt;0,Assumptions!$C$17,C274)</f>
        <v>3</v>
      </c>
    </row>
    <row r="300" customFormat="false" ht="15" hidden="false" customHeight="false" outlineLevel="0" collapsed="false">
      <c r="A300" s="5" t="s">
        <v>460</v>
      </c>
      <c r="C300" s="20" t="n">
        <f aca="false">IF(C280&gt;0,Assumptions!$C$17,C275)</f>
        <v>4</v>
      </c>
    </row>
    <row r="301" customFormat="false" ht="15" hidden="false" customHeight="false" outlineLevel="0" collapsed="false">
      <c r="A301" s="23" t="s">
        <v>467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</row>
    <row r="302" customFormat="false" ht="15" hidden="false" customHeight="false" outlineLevel="0" collapsed="false">
      <c r="A302" s="5" t="s">
        <v>457</v>
      </c>
      <c r="C302" s="25" t="n">
        <f aca="false">SUMPRODUCT(($C$297:$C$300&lt;C297)*$C$292:$C$295)</f>
        <v>0</v>
      </c>
    </row>
    <row r="303" customFormat="false" ht="15" hidden="false" customHeight="false" outlineLevel="0" collapsed="false">
      <c r="A303" s="5" t="s">
        <v>458</v>
      </c>
      <c r="C303" s="25" t="n">
        <f aca="false">SUMPRODUCT(($C$297:$C$300&lt;C298)*$C$292:$C$295)</f>
        <v>149.44</v>
      </c>
    </row>
    <row r="304" customFormat="false" ht="15" hidden="false" customHeight="false" outlineLevel="0" collapsed="false">
      <c r="A304" s="5" t="s">
        <v>459</v>
      </c>
      <c r="C304" s="25" t="n">
        <f aca="false">SUMPRODUCT(($C$297:$C$300&lt;C299)*$C$292:$C$295)</f>
        <v>659.04</v>
      </c>
    </row>
    <row r="305" customFormat="false" ht="15" hidden="false" customHeight="false" outlineLevel="0" collapsed="false">
      <c r="A305" s="5" t="s">
        <v>460</v>
      </c>
      <c r="C305" s="25" t="n">
        <f aca="false">SUMPRODUCT(($C$297:$C$300&lt;C300)*$C$292:$C$295)</f>
        <v>909.04</v>
      </c>
    </row>
    <row r="306" customFormat="false" ht="15" hidden="false" customHeight="false" outlineLevel="0" collapsed="false">
      <c r="A306" s="23" t="s">
        <v>468</v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</row>
    <row r="307" customFormat="false" ht="15" hidden="false" customHeight="false" outlineLevel="0" collapsed="false">
      <c r="A307" s="5" t="s">
        <v>457</v>
      </c>
      <c r="C307" s="25" t="n">
        <f aca="false">SUMPRODUCT(($C$297:$C$300=C297)*$C$292:$C$295)</f>
        <v>149.44</v>
      </c>
    </row>
    <row r="308" customFormat="false" ht="15" hidden="false" customHeight="false" outlineLevel="0" collapsed="false">
      <c r="A308" s="5" t="s">
        <v>458</v>
      </c>
      <c r="C308" s="25" t="n">
        <f aca="false">SUMPRODUCT(($C$297:$C$300=C298)*$C$292:$C$295)</f>
        <v>509.6</v>
      </c>
    </row>
    <row r="309" customFormat="false" ht="15" hidden="false" customHeight="false" outlineLevel="0" collapsed="false">
      <c r="A309" s="5" t="s">
        <v>459</v>
      </c>
      <c r="C309" s="25" t="n">
        <f aca="false">SUMPRODUCT(($C$297:$C$300=C299)*$C$292:$C$295)</f>
        <v>250</v>
      </c>
    </row>
    <row r="310" customFormat="false" ht="15" hidden="false" customHeight="false" outlineLevel="0" collapsed="false">
      <c r="A310" s="5" t="s">
        <v>460</v>
      </c>
      <c r="C310" s="25" t="n">
        <f aca="false">SUMPRODUCT(($C$297:$C$300=C300)*$C$292:$C$295)</f>
        <v>300</v>
      </c>
    </row>
    <row r="311" customFormat="false" ht="15" hidden="false" customHeight="false" outlineLevel="0" collapsed="false">
      <c r="A311" s="23" t="s">
        <v>469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</row>
    <row r="312" customFormat="false" ht="15" hidden="false" customHeight="false" outlineLevel="0" collapsed="false">
      <c r="A312" s="5" t="s">
        <v>457</v>
      </c>
      <c r="C312" s="25" t="n">
        <f aca="false">IF(C307=0,0,C292/C307*MAX(0,MIN(C307,$C$265-SUM($C$282:$C$285)-C302)))</f>
        <v>149.44</v>
      </c>
    </row>
    <row r="313" customFormat="false" ht="15" hidden="false" customHeight="false" outlineLevel="0" collapsed="false">
      <c r="A313" s="5" t="s">
        <v>458</v>
      </c>
      <c r="C313" s="25" t="n">
        <f aca="false">IF(C308=0,0,C293/C308*MAX(0,MIN(C308,$C$265-SUM($C$282:$C$285)-C303)))</f>
        <v>509.6</v>
      </c>
    </row>
    <row r="314" customFormat="false" ht="15" hidden="false" customHeight="false" outlineLevel="0" collapsed="false">
      <c r="A314" s="5" t="s">
        <v>459</v>
      </c>
      <c r="C314" s="25" t="n">
        <f aca="false">IF(C309=0,0,C294/C309*MAX(0,MIN(C309,$C$265-SUM($C$282:$C$285)-C304)))</f>
        <v>250</v>
      </c>
    </row>
    <row r="315" customFormat="false" ht="15" hidden="false" customHeight="false" outlineLevel="0" collapsed="false">
      <c r="A315" s="5" t="s">
        <v>460</v>
      </c>
      <c r="C315" s="25" t="n">
        <f aca="false">IF(C310=0,0,C295/C310*MAX(0,MIN(C310,$C$265-SUM($C$282:$C$285)-C305)))</f>
        <v>115.36052</v>
      </c>
    </row>
    <row r="316" customFormat="false" ht="15" hidden="false" customHeight="false" outlineLevel="0" collapsed="false">
      <c r="A316" s="23" t="s">
        <v>470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  <row r="317" customFormat="false" ht="15" hidden="false" customHeight="false" outlineLevel="0" collapsed="false">
      <c r="A317" s="2" t="s">
        <v>457</v>
      </c>
      <c r="C317" s="16" t="n">
        <f aca="false">C282+C312</f>
        <v>149.44</v>
      </c>
    </row>
    <row r="318" customFormat="false" ht="15" hidden="false" customHeight="false" outlineLevel="0" collapsed="false">
      <c r="A318" s="2" t="s">
        <v>458</v>
      </c>
      <c r="C318" s="16" t="n">
        <f aca="false">C283+C313</f>
        <v>509.6</v>
      </c>
    </row>
    <row r="319" customFormat="false" ht="15" hidden="false" customHeight="false" outlineLevel="0" collapsed="false">
      <c r="A319" s="2" t="s">
        <v>459</v>
      </c>
      <c r="C319" s="16" t="n">
        <f aca="false">C284+C314</f>
        <v>250</v>
      </c>
    </row>
    <row r="320" customFormat="false" ht="15" hidden="false" customHeight="false" outlineLevel="0" collapsed="false">
      <c r="A320" s="2" t="s">
        <v>460</v>
      </c>
      <c r="C320" s="16" t="n">
        <f aca="false">C285+C315</f>
        <v>115.36052</v>
      </c>
    </row>
    <row r="321" customFormat="false" ht="15" hidden="false" customHeight="false" outlineLevel="0" collapsed="false">
      <c r="A321" s="23" t="s">
        <v>471</v>
      </c>
      <c r="B321" s="24"/>
      <c r="C321" s="24"/>
      <c r="D321" s="24"/>
      <c r="E321" s="24"/>
      <c r="F321" s="24"/>
      <c r="G321" s="24"/>
      <c r="H321" s="24"/>
      <c r="I321" s="24"/>
      <c r="J321" s="24"/>
      <c r="K321" s="24"/>
    </row>
    <row r="322" customFormat="false" ht="15" hidden="false" customHeight="false" outlineLevel="0" collapsed="false">
      <c r="A322" s="5" t="s">
        <v>457</v>
      </c>
      <c r="C322" s="21" t="n">
        <f aca="false">IF(C267=0,1,C317/C267)</f>
        <v>1</v>
      </c>
    </row>
    <row r="323" customFormat="false" ht="15" hidden="false" customHeight="false" outlineLevel="0" collapsed="false">
      <c r="A323" s="5" t="s">
        <v>458</v>
      </c>
      <c r="C323" s="21" t="n">
        <f aca="false">IF(C268=0,1,C318/C268)</f>
        <v>1</v>
      </c>
    </row>
    <row r="324" customFormat="false" ht="15" hidden="false" customHeight="false" outlineLevel="0" collapsed="false">
      <c r="A324" s="5" t="s">
        <v>459</v>
      </c>
      <c r="C324" s="21" t="n">
        <f aca="false">IF(C269=0,1,C319/C269)</f>
        <v>1</v>
      </c>
    </row>
    <row r="325" customFormat="false" ht="15" hidden="false" customHeight="false" outlineLevel="0" collapsed="false">
      <c r="A325" s="5" t="s">
        <v>460</v>
      </c>
      <c r="C325" s="21" t="n">
        <f aca="false">IF(C270=0,1,C320/C270)</f>
        <v>0.384535066666667</v>
      </c>
    </row>
    <row r="326" customFormat="false" ht="15" hidden="false" customHeight="false" outlineLevel="0" collapsed="false">
      <c r="A326" s="23" t="s">
        <v>472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</row>
    <row r="327" customFormat="false" ht="15" hidden="false" customHeight="false" outlineLevel="0" collapsed="false">
      <c r="A327" s="5" t="s">
        <v>457</v>
      </c>
      <c r="C327" s="25" t="n">
        <f aca="false">C267-C317</f>
        <v>0</v>
      </c>
    </row>
    <row r="328" customFormat="false" ht="15" hidden="false" customHeight="false" outlineLevel="0" collapsed="false">
      <c r="A328" s="5" t="s">
        <v>458</v>
      </c>
      <c r="C328" s="25" t="n">
        <f aca="false">C268-C318</f>
        <v>0</v>
      </c>
    </row>
    <row r="329" customFormat="false" ht="15" hidden="false" customHeight="false" outlineLevel="0" collapsed="false">
      <c r="A329" s="5" t="s">
        <v>459</v>
      </c>
      <c r="C329" s="25" t="n">
        <f aca="false">C269-C319</f>
        <v>0</v>
      </c>
    </row>
    <row r="330" customFormat="false" ht="15" hidden="false" customHeight="false" outlineLevel="0" collapsed="false">
      <c r="A330" s="5" t="s">
        <v>460</v>
      </c>
      <c r="C330" s="25" t="n">
        <f aca="false">C270-C320</f>
        <v>184.63948</v>
      </c>
    </row>
    <row r="331" customFormat="false" ht="15" hidden="false" customHeight="false" outlineLevel="0" collapsed="false">
      <c r="A331" s="23" t="s">
        <v>473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</row>
    <row r="332" customFormat="false" ht="15" hidden="false" customHeight="false" outlineLevel="0" collapsed="false">
      <c r="A332" s="5" t="s">
        <v>457</v>
      </c>
      <c r="C332" s="21" t="n">
        <f aca="false">IF(C267=0,0,C327/C267)</f>
        <v>0</v>
      </c>
    </row>
    <row r="333" customFormat="false" ht="15" hidden="false" customHeight="false" outlineLevel="0" collapsed="false">
      <c r="A333" s="5" t="s">
        <v>458</v>
      </c>
      <c r="C333" s="21" t="n">
        <f aca="false">IF(C268=0,0,C328/C268)</f>
        <v>0</v>
      </c>
    </row>
    <row r="334" customFormat="false" ht="15" hidden="false" customHeight="false" outlineLevel="0" collapsed="false">
      <c r="A334" s="5" t="s">
        <v>459</v>
      </c>
      <c r="C334" s="21" t="n">
        <f aca="false">IF(C269=0,0,C329/C269)</f>
        <v>0</v>
      </c>
    </row>
    <row r="335" customFormat="false" ht="15" hidden="false" customHeight="false" outlineLevel="0" collapsed="false">
      <c r="A335" s="5" t="s">
        <v>460</v>
      </c>
      <c r="C335" s="21" t="n">
        <f aca="false">IF(C270=0,0,C330/C270)</f>
        <v>0.615464933333334</v>
      </c>
    </row>
    <row r="336" customFormat="false" ht="15" hidden="false" customHeight="false" outlineLevel="0" collapsed="false">
      <c r="A336" s="2" t="s">
        <v>474</v>
      </c>
      <c r="C336" s="16" t="n">
        <f aca="false">MAX(0,$C$265-SUM($C$282:$C$285)-SUM($C$292:$C$295))</f>
        <v>0</v>
      </c>
    </row>
    <row r="337" customFormat="false" ht="15" hidden="false" customHeight="false" outlineLevel="0" collapsed="false">
      <c r="A337" s="5" t="s">
        <v>492</v>
      </c>
      <c r="C337" s="33" t="n">
        <f aca="false">MIN(C264,100*CHOOSE(C254,C322,C323,C324,C325))</f>
        <v>100</v>
      </c>
    </row>
    <row r="338" customFormat="false" ht="15" hidden="false" customHeight="false" outlineLevel="0" collapsed="false">
      <c r="A338" s="5" t="s">
        <v>493</v>
      </c>
      <c r="C338" s="20" t="n">
        <f aca="false">IF(C170=1,C259+Assumptions!$C$36,C258)</f>
        <v>3</v>
      </c>
    </row>
    <row r="339" customFormat="false" ht="15" hidden="false" customHeight="false" outlineLevel="0" collapsed="false">
      <c r="A339" s="23" t="s">
        <v>494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</row>
    <row r="340" customFormat="false" ht="15" hidden="false" customHeight="false" outlineLevel="0" collapsed="false">
      <c r="A340" s="5" t="s">
        <v>495</v>
      </c>
      <c r="C340" s="20" t="n">
        <f aca="false">COLUMN()-COLUMN($C$1)</f>
        <v>0</v>
      </c>
      <c r="D340" s="20" t="n">
        <f aca="false">COLUMN()-COLUMN($C$1)</f>
        <v>1</v>
      </c>
      <c r="E340" s="20" t="n">
        <f aca="false">COLUMN()-COLUMN($C$1)</f>
        <v>2</v>
      </c>
      <c r="F340" s="20" t="n">
        <f aca="false">COLUMN()-COLUMN($C$1)</f>
        <v>3</v>
      </c>
      <c r="G340" s="20" t="n">
        <f aca="false">COLUMN()-COLUMN($C$1)</f>
        <v>4</v>
      </c>
      <c r="H340" s="20" t="n">
        <f aca="false">COLUMN()-COLUMN($C$1)</f>
        <v>5</v>
      </c>
      <c r="I340" s="20" t="n">
        <f aca="false">COLUMN()-COLUMN($C$1)</f>
        <v>6</v>
      </c>
    </row>
    <row r="341" customFormat="false" ht="15" hidden="false" customHeight="false" outlineLevel="0" collapsed="false">
      <c r="A341" s="5" t="s">
        <v>496</v>
      </c>
      <c r="D341" s="30" t="n">
        <f aca="false">CHOOSE($C$254,G52,G65,G78,G91)</f>
        <v>0.103</v>
      </c>
      <c r="E341" s="30" t="n">
        <f aca="false">CHOOSE($C$254,H52,H65,H78,H91)</f>
        <v>0.1005</v>
      </c>
      <c r="F341" s="30" t="n">
        <f aca="false">CHOOSE($C$254,I52,I65,I78,I91)</f>
        <v>0.098</v>
      </c>
      <c r="G341" s="30" t="n">
        <f aca="false">CHOOSE($C$254,J52,J65,J78,J91)</f>
        <v>0.11</v>
      </c>
      <c r="H341" s="30" t="n">
        <f aca="false">CHOOSE($C$254,K52,K65,K78,K91)</f>
        <v>0.11</v>
      </c>
    </row>
    <row r="342" customFormat="false" ht="15" hidden="false" customHeight="false" outlineLevel="0" collapsed="false">
      <c r="A342" s="5" t="s">
        <v>497</v>
      </c>
      <c r="D342" s="25" t="n">
        <f aca="false">IF(D340&lt;=$C$263,$C$255*D341,0)</f>
        <v>10.3</v>
      </c>
      <c r="E342" s="25" t="n">
        <f aca="false">IF(E340&lt;=$C$263,$C$255*E341,0)</f>
        <v>10.05</v>
      </c>
      <c r="F342" s="25" t="n">
        <f aca="false">IF(F340&lt;=$C$263,$C$255*F341,0)</f>
        <v>0</v>
      </c>
      <c r="G342" s="25" t="n">
        <f aca="false">IF(G340&lt;=$C$263,$C$255*G341,0)</f>
        <v>0</v>
      </c>
      <c r="H342" s="25" t="n">
        <f aca="false">IF(H340&lt;=$C$263,$C$255*H341,0)</f>
        <v>0</v>
      </c>
    </row>
    <row r="343" customFormat="false" ht="15" hidden="false" customHeight="false" outlineLevel="0" collapsed="false">
      <c r="A343" s="5" t="s">
        <v>498</v>
      </c>
      <c r="D343" s="25" t="n">
        <f aca="false">IF(AND($C$170=0,D340=$C$258),$C$255*$C$337/100,0)+IF(AND($C$170=1,D340=$C$338),$C$261,0)</f>
        <v>0</v>
      </c>
      <c r="E343" s="25" t="n">
        <f aca="false">IF(AND($C$170=0,E340=$C$258),$C$255*$C$337/100,0)+IF(AND($C$170=1,E340=$C$338),$C$261,0)</f>
        <v>0</v>
      </c>
      <c r="F343" s="25" t="n">
        <f aca="false">IF(AND($C$170=0,F340=$C$258),$C$255*$C$337/100,0)+IF(AND($C$170=1,F340=$C$338),$C$261,0)</f>
        <v>88.8196128728414</v>
      </c>
      <c r="G343" s="25" t="n">
        <f aca="false">IF(AND($C$170=0,G340=$C$258),$C$255*$C$337/100,0)+IF(AND($C$170=1,G340=$C$338),$C$261,0)</f>
        <v>0</v>
      </c>
      <c r="H343" s="25" t="n">
        <f aca="false">IF(AND($C$170=0,H340=$C$258),$C$255*$C$337/100,0)+IF(AND($C$170=1,H340=$C$338),$C$261,0)</f>
        <v>0</v>
      </c>
      <c r="I343" s="25" t="n">
        <f aca="false">IF(AND($C$170=0,I340=$C$258),$C$255*$C$337/100,0)+IF(AND($C$170=1,I340=$C$338),$C$261,0)</f>
        <v>0</v>
      </c>
    </row>
    <row r="344" customFormat="false" ht="15" hidden="false" customHeight="false" outlineLevel="0" collapsed="false">
      <c r="A344" s="2" t="s">
        <v>499</v>
      </c>
      <c r="C344" s="16" t="n">
        <f aca="false">-$C$257</f>
        <v>-78.39</v>
      </c>
      <c r="D344" s="16" t="n">
        <f aca="false">D342+D343</f>
        <v>10.3</v>
      </c>
      <c r="E344" s="16" t="n">
        <f aca="false">E342+E343</f>
        <v>10.05</v>
      </c>
      <c r="F344" s="16" t="n">
        <f aca="false">F342+F343</f>
        <v>88.8196128728414</v>
      </c>
      <c r="G344" s="16" t="n">
        <f aca="false">G342+G343</f>
        <v>0</v>
      </c>
      <c r="H344" s="16" t="n">
        <f aca="false">H342+H343</f>
        <v>0</v>
      </c>
      <c r="I344" s="16" t="n">
        <f aca="false">I342+I343</f>
        <v>0</v>
      </c>
    </row>
    <row r="345" customFormat="false" ht="15" hidden="false" customHeight="false" outlineLevel="0" collapsed="false">
      <c r="A345" s="5" t="s">
        <v>500</v>
      </c>
      <c r="C345" s="25" t="n">
        <f aca="false">SUM($C$342:$I$342)</f>
        <v>20.35</v>
      </c>
    </row>
    <row r="346" customFormat="false" ht="15" hidden="false" customHeight="false" outlineLevel="0" collapsed="false">
      <c r="A346" s="5" t="s">
        <v>501</v>
      </c>
      <c r="C346" s="25" t="n">
        <f aca="false">SUM($C$343:$I$343)</f>
        <v>88.8196128728414</v>
      </c>
    </row>
    <row r="347" customFormat="false" ht="15" hidden="false" customHeight="false" outlineLevel="0" collapsed="false">
      <c r="A347" s="5" t="s">
        <v>502</v>
      </c>
      <c r="C347" s="25" t="n">
        <f aca="false">C345+C346</f>
        <v>109.169612872841</v>
      </c>
    </row>
    <row r="348" customFormat="false" ht="15" hidden="false" customHeight="false" outlineLevel="0" collapsed="false">
      <c r="A348" s="5" t="s">
        <v>503</v>
      </c>
      <c r="C348" s="25" t="n">
        <f aca="false">C346-C255*C256/100</f>
        <v>10.8196128728414</v>
      </c>
    </row>
    <row r="349" customFormat="false" ht="15" hidden="false" customHeight="false" outlineLevel="0" collapsed="false">
      <c r="A349" s="5" t="s">
        <v>504</v>
      </c>
      <c r="C349" s="25" t="n">
        <f aca="false">C347-C257</f>
        <v>30.7796128728415</v>
      </c>
    </row>
    <row r="350" customFormat="false" ht="15" hidden="false" customHeight="false" outlineLevel="0" collapsed="false">
      <c r="A350" s="2" t="s">
        <v>385</v>
      </c>
      <c r="C350" s="43" t="n">
        <f aca="false">C347/C257</f>
        <v>1.39264718551909</v>
      </c>
    </row>
    <row r="351" customFormat="false" ht="15" hidden="false" customHeight="false" outlineLevel="0" collapsed="false">
      <c r="A351" s="2" t="s">
        <v>384</v>
      </c>
      <c r="C351" s="41" t="n">
        <f aca="false">IF(C347&lt;=0,-1,IFERROR(IRR($C$344:$I$344,MAX(-0.9,C350^(1/C338)-1)),IRR($C$344:$I$344,0.1)))</f>
        <v>0.130821524311548</v>
      </c>
    </row>
    <row r="352" customFormat="false" ht="15" hidden="false" customHeight="false" outlineLevel="0" collapsed="false">
      <c r="A352" s="5" t="s">
        <v>505</v>
      </c>
      <c r="C352" s="31" t="n">
        <f aca="false">MAX($G$146:$K$146)</f>
        <v>7.86221186221186</v>
      </c>
    </row>
    <row r="353" customFormat="false" ht="15" hidden="false" customHeight="false" outlineLevel="0" collapsed="false">
      <c r="A353" s="5" t="s">
        <v>506</v>
      </c>
      <c r="C353" s="31" t="n">
        <f aca="false">MIN($G$147:$K$147)</f>
        <v>1.21473661783139</v>
      </c>
    </row>
    <row r="354" customFormat="false" ht="15" hidden="false" customHeight="false" outlineLevel="0" collapsed="false">
      <c r="A354" s="5" t="s">
        <v>507</v>
      </c>
      <c r="C354" s="25" t="n">
        <f aca="false">SUM($G$36:$K$36)</f>
        <v>-46.97594467624</v>
      </c>
    </row>
    <row r="358" customFormat="false" ht="15" hidden="false" customHeight="false" outlineLevel="0" collapsed="false">
      <c r="A358" s="9" t="s">
        <v>627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customFormat="false" ht="15" hidden="false" customHeight="false" outlineLevel="0" collapsed="false">
      <c r="A359" s="5" t="s">
        <v>622</v>
      </c>
      <c r="C359" s="11" t="n">
        <v>2</v>
      </c>
    </row>
    <row r="360" customFormat="false" ht="15" hidden="false" customHeight="false" outlineLevel="0" collapsed="false">
      <c r="A360" s="5" t="s">
        <v>623</v>
      </c>
      <c r="C360" s="18" t="n">
        <v>0</v>
      </c>
    </row>
    <row r="361" customFormat="false" ht="15" hidden="false" customHeight="false" outlineLevel="0" collapsed="false">
      <c r="A361" s="5" t="s">
        <v>624</v>
      </c>
      <c r="C361" s="18" t="n">
        <v>0</v>
      </c>
    </row>
    <row r="362" customFormat="false" ht="15" hidden="false" customHeight="false" outlineLevel="0" collapsed="false">
      <c r="A362" s="5" t="s">
        <v>625</v>
      </c>
      <c r="C362" s="18" t="n">
        <v>0</v>
      </c>
    </row>
    <row r="363" customFormat="false" ht="15" hidden="false" customHeight="false" outlineLevel="0" collapsed="false">
      <c r="A363" s="5" t="s">
        <v>626</v>
      </c>
      <c r="C363" s="15" t="n">
        <v>0</v>
      </c>
    </row>
    <row r="365" customFormat="false" ht="15" hidden="false" customHeight="false" outlineLevel="0" collapsed="false">
      <c r="A365" s="23" t="s">
        <v>237</v>
      </c>
      <c r="B365" s="24"/>
      <c r="C365" s="24"/>
      <c r="D365" s="24"/>
      <c r="E365" s="24"/>
      <c r="F365" s="24"/>
      <c r="G365" s="24"/>
      <c r="H365" s="24"/>
      <c r="I365" s="24"/>
      <c r="J365" s="24"/>
      <c r="K365" s="24"/>
    </row>
    <row r="366" customFormat="false" ht="15" hidden="false" customHeight="false" outlineLevel="0" collapsed="false">
      <c r="A366" s="5" t="s">
        <v>238</v>
      </c>
      <c r="F366" s="26" t="n">
        <f aca="false">Assumptions!$C$6</f>
        <v>2025</v>
      </c>
      <c r="G366" s="20" t="n">
        <f aca="false">F366+1</f>
        <v>2026</v>
      </c>
      <c r="H366" s="20" t="n">
        <f aca="false">G366+1</f>
        <v>2027</v>
      </c>
      <c r="I366" s="20" t="n">
        <f aca="false">H366+1</f>
        <v>2028</v>
      </c>
      <c r="J366" s="20" t="n">
        <f aca="false">I366+1</f>
        <v>2029</v>
      </c>
      <c r="K366" s="20" t="n">
        <f aca="false">J366+1</f>
        <v>2030</v>
      </c>
    </row>
    <row r="367" customFormat="false" ht="15" hidden="false" customHeight="false" outlineLevel="0" collapsed="false">
      <c r="A367" s="5" t="s">
        <v>239</v>
      </c>
      <c r="G367" s="20" t="n">
        <f aca="false">G366-Assumptions!$C$6</f>
        <v>1</v>
      </c>
      <c r="H367" s="20" t="n">
        <f aca="false">H366-Assumptions!$C$6</f>
        <v>2</v>
      </c>
      <c r="I367" s="20" t="n">
        <f aca="false">I366-Assumptions!$C$6</f>
        <v>3</v>
      </c>
      <c r="J367" s="20" t="n">
        <f aca="false">J366-Assumptions!$C$6</f>
        <v>4</v>
      </c>
      <c r="K367" s="20" t="n">
        <f aca="false">K366-Assumptions!$C$6</f>
        <v>5</v>
      </c>
    </row>
    <row r="368" customFormat="false" ht="15" hidden="false" customHeight="false" outlineLevel="0" collapsed="false">
      <c r="A368" s="5" t="s">
        <v>149</v>
      </c>
      <c r="G368" s="21" t="n">
        <f aca="false">CHOOSE($C$359,Assumptions!$G$65,Assumptions!$G$84,Assumptions!$G$103)+$C$360</f>
        <v>-0.078</v>
      </c>
      <c r="H368" s="21" t="n">
        <f aca="false">CHOOSE($C$359,Assumptions!$H$65,Assumptions!$H$84,Assumptions!$H$103)+$C$360</f>
        <v>-0.039</v>
      </c>
      <c r="I368" s="21" t="n">
        <f aca="false">CHOOSE($C$359,Assumptions!$I$65,Assumptions!$I$84,Assumptions!$I$103)+$C$360</f>
        <v>-0.005</v>
      </c>
      <c r="J368" s="21" t="n">
        <f aca="false">CHOOSE($C$359,Assumptions!$J$65,Assumptions!$J$84,Assumptions!$J$103)+$C$360</f>
        <v>-0.01</v>
      </c>
      <c r="K368" s="21" t="n">
        <f aca="false">CHOOSE($C$359,Assumptions!$K$65,Assumptions!$K$84,Assumptions!$K$103)+$C$360</f>
        <v>-0.01</v>
      </c>
    </row>
    <row r="369" customFormat="false" ht="15" hidden="false" customHeight="false" outlineLevel="0" collapsed="false">
      <c r="A369" s="5" t="s">
        <v>150</v>
      </c>
      <c r="G369" s="21" t="n">
        <f aca="false">CHOOSE($C$359,Assumptions!$G$66,Assumptions!$G$85,Assumptions!$G$104)</f>
        <v>0.33</v>
      </c>
      <c r="H369" s="21" t="n">
        <f aca="false">CHOOSE($C$359,Assumptions!$H$66,Assumptions!$H$85,Assumptions!$H$104)</f>
        <v>0.318</v>
      </c>
      <c r="I369" s="21" t="n">
        <f aca="false">CHOOSE($C$359,Assumptions!$I$66,Assumptions!$I$85,Assumptions!$I$104)</f>
        <v>0.324</v>
      </c>
      <c r="J369" s="21" t="n">
        <f aca="false">CHOOSE($C$359,Assumptions!$J$66,Assumptions!$J$85,Assumptions!$J$104)</f>
        <v>0.33</v>
      </c>
      <c r="K369" s="21" t="n">
        <f aca="false">CHOOSE($C$359,Assumptions!$K$66,Assumptions!$K$85,Assumptions!$K$104)</f>
        <v>0.336</v>
      </c>
    </row>
    <row r="370" customFormat="false" ht="15" hidden="false" customHeight="false" outlineLevel="0" collapsed="false">
      <c r="A370" s="5" t="s">
        <v>151</v>
      </c>
      <c r="G370" s="21" t="n">
        <f aca="false">CHOOSE($C$359,Assumptions!$G$67,Assumptions!$G$86,Assumptions!$G$105)+$C$361</f>
        <v>0.035</v>
      </c>
      <c r="H370" s="21" t="n">
        <f aca="false">CHOOSE($C$359,Assumptions!$H$67,Assumptions!$H$86,Assumptions!$H$105)+$C$361</f>
        <v>0.023</v>
      </c>
      <c r="I370" s="21" t="n">
        <f aca="false">CHOOSE($C$359,Assumptions!$I$67,Assumptions!$I$86,Assumptions!$I$105)+$C$361</f>
        <v>0.029</v>
      </c>
      <c r="J370" s="21" t="n">
        <f aca="false">CHOOSE($C$359,Assumptions!$J$67,Assumptions!$J$86,Assumptions!$J$105)+$C$361</f>
        <v>0.035</v>
      </c>
      <c r="K370" s="21" t="n">
        <f aca="false">CHOOSE($C$359,Assumptions!$K$67,Assumptions!$K$86,Assumptions!$K$105)+$C$361</f>
        <v>0.041</v>
      </c>
    </row>
    <row r="371" customFormat="false" ht="15" hidden="false" customHeight="false" outlineLevel="0" collapsed="false">
      <c r="A371" s="23" t="s">
        <v>240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</row>
    <row r="372" customFormat="false" ht="15" hidden="false" customHeight="false" outlineLevel="0" collapsed="false">
      <c r="A372" s="2" t="s">
        <v>207</v>
      </c>
      <c r="F372" s="27" t="n">
        <f aca="false">'Historical Financials'!E17</f>
        <v>2400</v>
      </c>
      <c r="G372" s="16" t="n">
        <f aca="false">F372*(1+G368)</f>
        <v>2212.8</v>
      </c>
      <c r="H372" s="16" t="n">
        <f aca="false">G372*(1+H368)</f>
        <v>2126.5008</v>
      </c>
      <c r="I372" s="16" t="n">
        <f aca="false">H372*(1+I368)</f>
        <v>2115.868296</v>
      </c>
      <c r="J372" s="16" t="n">
        <f aca="false">I372*(1+J368)</f>
        <v>2094.70961304</v>
      </c>
      <c r="K372" s="16" t="n">
        <f aca="false">J372*(1+K368)</f>
        <v>2073.7625169096</v>
      </c>
    </row>
    <row r="373" customFormat="false" ht="15" hidden="false" customHeight="false" outlineLevel="0" collapsed="false">
      <c r="A373" s="5" t="s">
        <v>217</v>
      </c>
      <c r="G373" s="25" t="n">
        <f aca="false">G372*(1-G369)</f>
        <v>1482.576</v>
      </c>
      <c r="H373" s="25" t="n">
        <f aca="false">H372*(1-H369)</f>
        <v>1450.2735456</v>
      </c>
      <c r="I373" s="25" t="n">
        <f aca="false">I372*(1-I369)</f>
        <v>1430.326968096</v>
      </c>
      <c r="J373" s="25" t="n">
        <f aca="false">J372*(1-J369)</f>
        <v>1403.4554407368</v>
      </c>
      <c r="K373" s="25" t="n">
        <f aca="false">K372*(1-K369)</f>
        <v>1376.97831122797</v>
      </c>
    </row>
    <row r="374" customFormat="false" ht="15" hidden="false" customHeight="false" outlineLevel="0" collapsed="false">
      <c r="A374" s="2" t="s">
        <v>218</v>
      </c>
      <c r="G374" s="16" t="n">
        <f aca="false">G372-G373</f>
        <v>730.224</v>
      </c>
      <c r="H374" s="16" t="n">
        <f aca="false">H372-H373</f>
        <v>676.2272544</v>
      </c>
      <c r="I374" s="16" t="n">
        <f aca="false">I372-I373</f>
        <v>685.541327904</v>
      </c>
      <c r="J374" s="16" t="n">
        <f aca="false">J372-J373</f>
        <v>691.2541723032</v>
      </c>
      <c r="K374" s="16" t="n">
        <f aca="false">K372-K373</f>
        <v>696.784205681626</v>
      </c>
    </row>
    <row r="375" customFormat="false" ht="15" hidden="false" customHeight="false" outlineLevel="0" collapsed="false">
      <c r="A375" s="5" t="s">
        <v>241</v>
      </c>
      <c r="G375" s="25" t="n">
        <f aca="false">G374-G376</f>
        <v>652.776</v>
      </c>
      <c r="H375" s="25" t="n">
        <f aca="false">H374-H376</f>
        <v>627.317736</v>
      </c>
      <c r="I375" s="25" t="n">
        <f aca="false">I374-I376</f>
        <v>624.18114732</v>
      </c>
      <c r="J375" s="25" t="n">
        <f aca="false">J374-J376</f>
        <v>617.9393358468</v>
      </c>
      <c r="K375" s="25" t="n">
        <f aca="false">K374-K376</f>
        <v>611.759942488332</v>
      </c>
    </row>
    <row r="376" customFormat="false" ht="15" hidden="false" customHeight="false" outlineLevel="0" collapsed="false">
      <c r="A376" s="2" t="s">
        <v>242</v>
      </c>
      <c r="G376" s="16" t="n">
        <f aca="false">G372*G370</f>
        <v>77.448</v>
      </c>
      <c r="H376" s="16" t="n">
        <f aca="false">H372*H370</f>
        <v>48.9095184</v>
      </c>
      <c r="I376" s="16" t="n">
        <f aca="false">I372*I370</f>
        <v>61.360180584</v>
      </c>
      <c r="J376" s="16" t="n">
        <f aca="false">J372*J370</f>
        <v>73.3148364564</v>
      </c>
      <c r="K376" s="16" t="n">
        <f aca="false">K372*K370</f>
        <v>85.0242631932936</v>
      </c>
    </row>
    <row r="377" customFormat="false" ht="15" hidden="false" customHeight="false" outlineLevel="0" collapsed="false">
      <c r="A377" s="5" t="s">
        <v>243</v>
      </c>
      <c r="G377" s="25" t="n">
        <f aca="false">G372*'Historical Financials'!E22/'Historical Financials'!E17</f>
        <v>48.6816</v>
      </c>
      <c r="H377" s="25" t="n">
        <f aca="false">H372*'Historical Financials'!E22/'Historical Financials'!E17</f>
        <v>46.7830176</v>
      </c>
      <c r="I377" s="25" t="n">
        <f aca="false">I372*'Historical Financials'!E22/'Historical Financials'!E17</f>
        <v>46.549102512</v>
      </c>
      <c r="J377" s="25" t="n">
        <f aca="false">J372*'Historical Financials'!E22/'Historical Financials'!E17</f>
        <v>46.08361148688</v>
      </c>
      <c r="K377" s="25" t="n">
        <f aca="false">K372*'Historical Financials'!E22/'Historical Financials'!E17</f>
        <v>45.6227753720112</v>
      </c>
    </row>
    <row r="378" customFormat="false" ht="15" hidden="false" customHeight="false" outlineLevel="0" collapsed="false">
      <c r="A378" s="5" t="s">
        <v>244</v>
      </c>
      <c r="G378" s="25" t="n">
        <f aca="false">G372*'Historical Financials'!E23/'Historical Financials'!E17</f>
        <v>0</v>
      </c>
      <c r="H378" s="25" t="n">
        <f aca="false">H372*'Historical Financials'!E23/'Historical Financials'!E17</f>
        <v>0</v>
      </c>
      <c r="I378" s="25" t="n">
        <f aca="false">I372*'Historical Financials'!E23/'Historical Financials'!E17</f>
        <v>0</v>
      </c>
      <c r="J378" s="25" t="n">
        <f aca="false">J372*'Historical Financials'!E23/'Historical Financials'!E17</f>
        <v>0</v>
      </c>
      <c r="K378" s="25" t="n">
        <f aca="false">K372*'Historical Financials'!E23/'Historical Financials'!E17</f>
        <v>0</v>
      </c>
    </row>
    <row r="379" customFormat="false" ht="15" hidden="false" customHeight="false" outlineLevel="0" collapsed="false">
      <c r="A379" s="2" t="s">
        <v>245</v>
      </c>
      <c r="G379" s="16" t="n">
        <f aca="false">G376-G377-G378</f>
        <v>28.7664</v>
      </c>
      <c r="H379" s="16" t="n">
        <f aca="false">H376-H377-H378</f>
        <v>2.12650079999998</v>
      </c>
      <c r="I379" s="16" t="n">
        <f aca="false">I376-I377-I378</f>
        <v>14.811078072</v>
      </c>
      <c r="J379" s="16" t="n">
        <f aca="false">J376-J377-J378</f>
        <v>27.23122496952</v>
      </c>
      <c r="K379" s="16" t="n">
        <f aca="false">K376-K377-K378</f>
        <v>39.4014878212824</v>
      </c>
    </row>
    <row r="380" customFormat="false" ht="15" hidden="false" customHeight="false" outlineLevel="0" collapsed="false">
      <c r="A380" s="5" t="s">
        <v>246</v>
      </c>
      <c r="G380" s="25" t="n">
        <f aca="false">G406+G419+G432+G445</f>
        <v>129.54</v>
      </c>
      <c r="H380" s="25" t="n">
        <f aca="false">H406+H419+H432+H445</f>
        <v>130.7646348</v>
      </c>
      <c r="I380" s="25" t="n">
        <f aca="false">I406+I419+I432+I445</f>
        <v>128.3492928</v>
      </c>
      <c r="J380" s="25" t="n">
        <f aca="false">J406+J419+J432+J445</f>
        <v>127.7616928</v>
      </c>
      <c r="K380" s="25" t="n">
        <f aca="false">K406+K419+K432+K445</f>
        <v>127.1740928</v>
      </c>
    </row>
    <row r="381" customFormat="false" ht="15" hidden="false" customHeight="false" outlineLevel="0" collapsed="false">
      <c r="A381" s="5" t="s">
        <v>247</v>
      </c>
      <c r="G381" s="25" t="n">
        <f aca="false">G407+G420+G433+G446</f>
        <v>0</v>
      </c>
      <c r="H381" s="25" t="n">
        <f aca="false">H407+H420+H433+H446</f>
        <v>0</v>
      </c>
      <c r="I381" s="25" t="n">
        <f aca="false">I407+I420+I433+I446</f>
        <v>0</v>
      </c>
      <c r="J381" s="25" t="n">
        <f aca="false">J407+J420+J433+J446</f>
        <v>0</v>
      </c>
      <c r="K381" s="25" t="n">
        <f aca="false">K407+K420+K433+K446</f>
        <v>0</v>
      </c>
    </row>
    <row r="382" customFormat="false" ht="15" hidden="false" customHeight="false" outlineLevel="0" collapsed="false">
      <c r="A382" s="5" t="s">
        <v>212</v>
      </c>
      <c r="G382" s="25" t="n">
        <f aca="false">G380+G381</f>
        <v>129.54</v>
      </c>
      <c r="H382" s="25" t="n">
        <f aca="false">H380+H381</f>
        <v>130.7646348</v>
      </c>
      <c r="I382" s="25" t="n">
        <f aca="false">I380+I381</f>
        <v>128.3492928</v>
      </c>
      <c r="J382" s="25" t="n">
        <f aca="false">J380+J381</f>
        <v>127.7616928</v>
      </c>
      <c r="K382" s="25" t="n">
        <f aca="false">K380+K381</f>
        <v>127.1740928</v>
      </c>
    </row>
    <row r="383" customFormat="false" ht="15" hidden="false" customHeight="false" outlineLevel="0" collapsed="false">
      <c r="A383" s="2" t="s">
        <v>223</v>
      </c>
      <c r="G383" s="16" t="n">
        <f aca="false">G379-G382</f>
        <v>-100.7736</v>
      </c>
      <c r="H383" s="16" t="n">
        <f aca="false">H379-H382</f>
        <v>-128.638134</v>
      </c>
      <c r="I383" s="16" t="n">
        <f aca="false">I379-I382</f>
        <v>-113.538214728</v>
      </c>
      <c r="J383" s="16" t="n">
        <f aca="false">J379-J382</f>
        <v>-100.53046783048</v>
      </c>
      <c r="K383" s="16" t="n">
        <f aca="false">K379-K382</f>
        <v>-87.7726049787176</v>
      </c>
    </row>
    <row r="384" customFormat="false" ht="15" hidden="false" customHeight="false" outlineLevel="0" collapsed="false">
      <c r="A384" s="5" t="s">
        <v>213</v>
      </c>
      <c r="G384" s="25" t="n">
        <f aca="false">MAX(0,G383)*Assumptions!$C$9</f>
        <v>0</v>
      </c>
      <c r="H384" s="25" t="n">
        <f aca="false">MAX(0,H383)*Assumptions!$C$9</f>
        <v>0</v>
      </c>
      <c r="I384" s="25" t="n">
        <f aca="false">MAX(0,I383)*Assumptions!$C$9</f>
        <v>0</v>
      </c>
      <c r="J384" s="25" t="n">
        <f aca="false">MAX(0,J383)*Assumptions!$C$9</f>
        <v>0</v>
      </c>
      <c r="K384" s="25" t="n">
        <f aca="false">MAX(0,K383)*Assumptions!$C$9</f>
        <v>0</v>
      </c>
    </row>
    <row r="385" customFormat="false" ht="15" hidden="false" customHeight="false" outlineLevel="0" collapsed="false">
      <c r="A385" s="2" t="s">
        <v>248</v>
      </c>
      <c r="G385" s="16" t="n">
        <f aca="false">G383-G384</f>
        <v>-100.7736</v>
      </c>
      <c r="H385" s="16" t="n">
        <f aca="false">H383-H384</f>
        <v>-128.638134</v>
      </c>
      <c r="I385" s="16" t="n">
        <f aca="false">I383-I384</f>
        <v>-113.538214728</v>
      </c>
      <c r="J385" s="16" t="n">
        <f aca="false">J383-J384</f>
        <v>-100.53046783048</v>
      </c>
      <c r="K385" s="16" t="n">
        <f aca="false">K383-K384</f>
        <v>-87.7726049787176</v>
      </c>
    </row>
    <row r="386" customFormat="false" ht="15" hidden="false" customHeight="false" outlineLevel="0" collapsed="false">
      <c r="A386" s="23" t="s">
        <v>249</v>
      </c>
      <c r="B386" s="24"/>
      <c r="C386" s="24"/>
      <c r="D386" s="24"/>
      <c r="E386" s="24"/>
      <c r="F386" s="24"/>
      <c r="G386" s="24"/>
      <c r="H386" s="24"/>
      <c r="I386" s="24"/>
      <c r="J386" s="24"/>
      <c r="K386" s="24"/>
    </row>
    <row r="387" customFormat="false" ht="15" hidden="false" customHeight="false" outlineLevel="0" collapsed="false">
      <c r="A387" s="5" t="s">
        <v>153</v>
      </c>
      <c r="G387" s="25" t="n">
        <f aca="false">G372*CHOOSE($C$359,Assumptions!$C$69,Assumptions!$C$88,Assumptions!$C$107)</f>
        <v>42.0432</v>
      </c>
      <c r="H387" s="25" t="n">
        <f aca="false">H372*CHOOSE($C$359,Assumptions!$C$69,Assumptions!$C$88,Assumptions!$C$107)</f>
        <v>40.4035152</v>
      </c>
      <c r="I387" s="25" t="n">
        <f aca="false">I372*CHOOSE($C$359,Assumptions!$C$69,Assumptions!$C$88,Assumptions!$C$107)</f>
        <v>40.201497624</v>
      </c>
      <c r="J387" s="25" t="n">
        <f aca="false">J372*CHOOSE($C$359,Assumptions!$C$69,Assumptions!$C$88,Assumptions!$C$107)</f>
        <v>39.79948264776</v>
      </c>
      <c r="K387" s="25" t="n">
        <f aca="false">K372*CHOOSE($C$359,Assumptions!$C$69,Assumptions!$C$88,Assumptions!$C$107)</f>
        <v>39.4014878212824</v>
      </c>
    </row>
    <row r="388" customFormat="false" ht="15" hidden="false" customHeight="false" outlineLevel="0" collapsed="false">
      <c r="A388" s="5" t="s">
        <v>250</v>
      </c>
      <c r="G388" s="25" t="n">
        <f aca="false">CHOOSE($C$359,Assumptions!$C$70,Assumptions!$C$89,Assumptions!$C$108)*(G372-F372)+CHOOSE($C$359,Assumptions!$C$71,Assumptions!$C$90,Assumptions!$C$109)*G372</f>
        <v>-18.0384</v>
      </c>
      <c r="H388" s="25" t="n">
        <f aca="false">CHOOSE($C$359,Assumptions!$C$70,Assumptions!$C$89,Assumptions!$C$108)*(H372-G372)+CHOOSE($C$359,Assumptions!$C$71,Assumptions!$C$90,Assumptions!$C$109)*H372</f>
        <v>-6.10290239999999</v>
      </c>
      <c r="I388" s="25" t="n">
        <f aca="false">CHOOSE($C$359,Assumptions!$C$70,Assumptions!$C$89,Assumptions!$C$108)*(I372-H372)+CHOOSE($C$359,Assumptions!$C$71,Assumptions!$C$90,Assumptions!$C$109)*I372</f>
        <v>2.95583611199998</v>
      </c>
      <c r="J388" s="25" t="n">
        <f aca="false">CHOOSE($C$359,Assumptions!$C$70,Assumptions!$C$89,Assumptions!$C$108)*(J372-I372)+CHOOSE($C$359,Assumptions!$C$71,Assumptions!$C$90,Assumptions!$C$109)*J372</f>
        <v>1.65037727087999</v>
      </c>
      <c r="K388" s="25" t="n">
        <f aca="false">CHOOSE($C$359,Assumptions!$C$70,Assumptions!$C$89,Assumptions!$C$108)*(K372-J372)+CHOOSE($C$359,Assumptions!$C$71,Assumptions!$C$90,Assumptions!$C$109)*K372</f>
        <v>1.63387349817119</v>
      </c>
    </row>
    <row r="389" customFormat="false" ht="15" hidden="false" customHeight="false" outlineLevel="0" collapsed="false">
      <c r="A389" s="2" t="s">
        <v>251</v>
      </c>
      <c r="G389" s="16" t="n">
        <f aca="false">G385+G377+G378+G381-G387-G388</f>
        <v>-76.0968</v>
      </c>
      <c r="H389" s="16" t="n">
        <f aca="false">H385+H377+H378+H381-H387-H388</f>
        <v>-116.1557292</v>
      </c>
      <c r="I389" s="16" t="n">
        <f aca="false">I385+I377+I378+I381-I387-I388</f>
        <v>-110.146445952</v>
      </c>
      <c r="J389" s="16" t="n">
        <f aca="false">J385+J377+J378+J381-J387-J388</f>
        <v>-95.89671626224</v>
      </c>
      <c r="K389" s="16" t="n">
        <f aca="false">K385+K377+K378+K381-K387-K388</f>
        <v>-83.18519092616</v>
      </c>
    </row>
    <row r="391" customFormat="false" ht="15" hidden="false" customHeight="false" outlineLevel="0" collapsed="false">
      <c r="A391" s="23" t="s">
        <v>253</v>
      </c>
      <c r="B391" s="24"/>
      <c r="C391" s="24"/>
      <c r="D391" s="24"/>
      <c r="E391" s="24"/>
      <c r="F391" s="24"/>
      <c r="G391" s="24"/>
      <c r="H391" s="24"/>
      <c r="I391" s="24"/>
      <c r="J391" s="24"/>
      <c r="K391" s="24"/>
    </row>
    <row r="392" customFormat="false" ht="15" hidden="false" customHeight="false" outlineLevel="0" collapsed="false">
      <c r="A392" s="5" t="s">
        <v>254</v>
      </c>
      <c r="G392" s="29" t="n">
        <f aca="false">Assumptions!$G$49</f>
        <v>0.0425</v>
      </c>
      <c r="H392" s="29" t="n">
        <f aca="false">Assumptions!$H$49</f>
        <v>0.04</v>
      </c>
      <c r="I392" s="29" t="n">
        <f aca="false">Assumptions!$I$49</f>
        <v>0.0375</v>
      </c>
      <c r="J392" s="29" t="n">
        <f aca="false">Assumptions!$J$49</f>
        <v>0.0375</v>
      </c>
      <c r="K392" s="29" t="n">
        <f aca="false">Assumptions!$K$49</f>
        <v>0.0375</v>
      </c>
    </row>
    <row r="393" customFormat="false" ht="15" hidden="false" customHeight="false" outlineLevel="0" collapsed="false">
      <c r="A393" s="5" t="s">
        <v>255</v>
      </c>
      <c r="C393" s="30" t="n">
        <f aca="false">CHOOSE($C$359,Assumptions!$C$72,Assumptions!$C$91,Assumptions!$C$110)+$C$362</f>
        <v>0.015</v>
      </c>
    </row>
    <row r="394" customFormat="false" ht="15" hidden="false" customHeight="false" outlineLevel="0" collapsed="false">
      <c r="A394" s="5" t="s">
        <v>256</v>
      </c>
      <c r="C394" s="30" t="n">
        <f aca="false">CHOOSE($C$359,Assumptions!$C$73,Assumptions!$C$92,Assumptions!$C$111)</f>
        <v>0.135</v>
      </c>
    </row>
    <row r="395" customFormat="false" ht="15" hidden="false" customHeight="false" outlineLevel="0" collapsed="false">
      <c r="A395" s="5" t="s">
        <v>257</v>
      </c>
      <c r="C395" s="31" t="n">
        <f aca="false">CHOOSE($C$359,Assumptions!$C$74,Assumptions!$C$93,Assumptions!$C$112)</f>
        <v>5.5</v>
      </c>
    </row>
    <row r="396" customFormat="false" ht="15" hidden="false" customHeight="false" outlineLevel="0" collapsed="false">
      <c r="A396" s="5" t="s">
        <v>258</v>
      </c>
      <c r="C396" s="31" t="n">
        <f aca="false">CHOOSE($C$359,Assumptions!$C$75,Assumptions!$C$94,Assumptions!$C$113)</f>
        <v>1.8</v>
      </c>
    </row>
    <row r="397" customFormat="false" ht="15" hidden="false" customHeight="false" outlineLevel="0" collapsed="false">
      <c r="A397" s="5" t="s">
        <v>259</v>
      </c>
      <c r="G397" s="25" t="n">
        <f aca="false">G402+G415+G428+G441</f>
        <v>1250</v>
      </c>
      <c r="H397" s="25" t="n">
        <f aca="false">H402+H415+H428+H441</f>
        <v>1281.0968</v>
      </c>
      <c r="I397" s="25" t="n">
        <f aca="false">I402+I415+I428+I441</f>
        <v>1275.8968</v>
      </c>
      <c r="J397" s="25" t="n">
        <f aca="false">J402+J415+J428+J441</f>
        <v>1270.6968</v>
      </c>
      <c r="K397" s="25" t="n">
        <f aca="false">K402+K415+K428+K441</f>
        <v>1265.4968</v>
      </c>
    </row>
    <row r="398" customFormat="false" ht="15" hidden="false" customHeight="false" outlineLevel="0" collapsed="false">
      <c r="A398" s="5" t="s">
        <v>260</v>
      </c>
      <c r="G398" s="25" t="n">
        <f aca="false">F488</f>
        <v>45</v>
      </c>
      <c r="H398" s="25" t="n">
        <f aca="false">G488</f>
        <v>0</v>
      </c>
      <c r="I398" s="25" t="n">
        <f aca="false">H488</f>
        <v>-121.3557292</v>
      </c>
      <c r="J398" s="25" t="n">
        <f aca="false">I488</f>
        <v>-236.702175152</v>
      </c>
      <c r="K398" s="25" t="n">
        <f aca="false">J488</f>
        <v>-337.79889141424</v>
      </c>
    </row>
    <row r="399" customFormat="false" ht="15" hidden="false" customHeight="false" outlineLevel="0" collapsed="false">
      <c r="A399" s="5" t="s">
        <v>261</v>
      </c>
      <c r="G399" s="25" t="n">
        <f aca="false">G402*IF(G403=1,$C$394,IF(Assumptions!$I$53=1,MAX(G392,Assumptions!$G$53)+Assumptions!$F$53+$C$393,Assumptions!$E$53))+G415*IF(G416=1,$C$394,IF(Assumptions!$I$54=1,MAX(G392,Assumptions!$G$54)+Assumptions!$F$54+$C$393,Assumptions!$E$54))+G428*IF(G429=1,$C$394,IF(Assumptions!$I$55=1,MAX(G392,Assumptions!$G$55)+Assumptions!$F$55+$C$393,Assumptions!$E$55))+G441*IF(G442=1,$C$394,IF(Assumptions!$I$56=1,MAX(G392,Assumptions!$G$56)+Assumptions!$F$56+$C$393,Assumptions!$E$56))</f>
        <v>129.54</v>
      </c>
      <c r="H399" s="25" t="n">
        <f aca="false">H402*IF(OR(H403=1,G554=1),$C$394,IF(Assumptions!$I$53=1,MAX(H392,Assumptions!$G$53)+Assumptions!$F$53+$C$393,Assumptions!$E$53))+H415*IF(OR(H416=1,G555=1),$C$394,IF(Assumptions!$I$54=1,MAX(H392,Assumptions!$G$54)+Assumptions!$F$54+$C$393,Assumptions!$E$54))+H428*IF(OR(H429=1,G556=1),$C$394,IF(Assumptions!$I$55=1,MAX(H392,Assumptions!$G$55)+Assumptions!$F$55+$C$393,Assumptions!$E$55))+H441*IF(OR(H442=1,G557=1),$C$394,IF(Assumptions!$I$56=1,MAX(H392,Assumptions!$G$56)+Assumptions!$F$56+$C$393,Assumptions!$E$56))</f>
        <v>156.659468</v>
      </c>
      <c r="I399" s="25" t="n">
        <f aca="false">I402*IF(OR(I403=1,H554=1),$C$394,IF(Assumptions!$I$53=1,MAX(I392,Assumptions!$G$53)+Assumptions!$F$53+$C$393,Assumptions!$E$53))+I415*IF(OR(I416=1,H555=1),$C$394,IF(Assumptions!$I$54=1,MAX(I392,Assumptions!$G$54)+Assumptions!$F$54+$C$393,Assumptions!$E$54))+I428*IF(OR(I429=1,H556=1),$C$394,IF(Assumptions!$I$55=1,MAX(I392,Assumptions!$G$55)+Assumptions!$F$55+$C$393,Assumptions!$E$55))+I441*IF(OR(I442=1,H557=1),$C$394,IF(Assumptions!$I$56=1,MAX(I392,Assumptions!$G$56)+Assumptions!$F$56+$C$393,Assumptions!$E$56))</f>
        <v>139.5604928</v>
      </c>
      <c r="J399" s="25" t="n">
        <f aca="false">J402*IF(OR(J403=1,I554=1),$C$394,IF(Assumptions!$I$53=1,MAX(J392,Assumptions!$G$53)+Assumptions!$F$53+$C$393,Assumptions!$E$53))+J415*IF(OR(J416=1,I555=1),$C$394,IF(Assumptions!$I$54=1,MAX(J392,Assumptions!$G$54)+Assumptions!$F$54+$C$393,Assumptions!$E$54))+J428*IF(OR(J429=1,I556=1),$C$394,IF(Assumptions!$I$55=1,MAX(J392,Assumptions!$G$55)+Assumptions!$F$55+$C$393,Assumptions!$E$55))+J441*IF(OR(J442=1,I557=1),$C$394,IF(Assumptions!$I$56=1,MAX(J392,Assumptions!$G$56)+Assumptions!$F$56+$C$393,Assumptions!$E$56))</f>
        <v>134.0116928</v>
      </c>
      <c r="K399" s="25" t="n">
        <f aca="false">K402*IF(OR(K403=1,J554=1),$C$394,IF(Assumptions!$I$53=1,MAX(K392,Assumptions!$G$53)+Assumptions!$F$53+$C$393,Assumptions!$E$53))+K415*IF(OR(K416=1,J555=1),$C$394,IF(Assumptions!$I$54=1,MAX(K392,Assumptions!$G$54)+Assumptions!$F$54+$C$393,Assumptions!$E$54))+K428*IF(OR(K429=1,J556=1),$C$394,IF(Assumptions!$I$55=1,MAX(K392,Assumptions!$G$55)+Assumptions!$F$55+$C$393,Assumptions!$E$55))+K441*IF(OR(K442=1,J557=1),$C$394,IF(Assumptions!$I$56=1,MAX(K392,Assumptions!$G$56)+Assumptions!$F$56+$C$393,Assumptions!$E$56))</f>
        <v>127.1740928</v>
      </c>
    </row>
    <row r="400" customFormat="false" ht="15" hidden="false" customHeight="false" outlineLevel="0" collapsed="false">
      <c r="A400" s="5" t="s">
        <v>262</v>
      </c>
      <c r="G400" s="20" t="n">
        <f aca="false">IF(G376&lt;=0,0,IF(AND((G397-G398)/G376&lt;=$C$395,G376/G399&gt;=$C$396),1,0))</f>
        <v>0</v>
      </c>
      <c r="H400" s="20" t="n">
        <f aca="false">IF(H376&lt;=0,0,IF(AND((H397-H398)/H376&lt;=$C$395,H376/H399&gt;=$C$396),1,0))</f>
        <v>0</v>
      </c>
      <c r="I400" s="20" t="n">
        <f aca="false">IF(I376&lt;=0,0,IF(AND((I397-I398)/I376&lt;=$C$395,I376/I399&gt;=$C$396),1,0))</f>
        <v>0</v>
      </c>
      <c r="J400" s="20" t="n">
        <f aca="false">IF(J376&lt;=0,0,IF(AND((J397-J398)/J376&lt;=$C$395,J376/J399&gt;=$C$396),1,0))</f>
        <v>0</v>
      </c>
      <c r="K400" s="20" t="n">
        <f aca="false">IF(K376&lt;=0,0,IF(AND((K397-K398)/K376&lt;=$C$395,K376/K399&gt;=$C$396),1,0))</f>
        <v>0</v>
      </c>
    </row>
    <row r="401" customFormat="false" ht="15" hidden="false" customHeight="false" outlineLevel="0" collapsed="false">
      <c r="A401" s="23" t="s">
        <v>263</v>
      </c>
      <c r="B401" s="24"/>
      <c r="C401" s="24"/>
      <c r="D401" s="24"/>
      <c r="E401" s="24"/>
      <c r="F401" s="24"/>
      <c r="G401" s="24"/>
      <c r="H401" s="24"/>
      <c r="I401" s="24"/>
      <c r="J401" s="24"/>
      <c r="K401" s="24"/>
    </row>
    <row r="402" customFormat="false" ht="15" hidden="false" customHeight="false" outlineLevel="0" collapsed="false">
      <c r="A402" s="5" t="s">
        <v>264</v>
      </c>
      <c r="G402" s="25" t="n">
        <f aca="false">F413</f>
        <v>180</v>
      </c>
      <c r="H402" s="25" t="n">
        <f aca="false">G413</f>
        <v>216.2968</v>
      </c>
      <c r="I402" s="25" t="n">
        <f aca="false">H413</f>
        <v>216.2968</v>
      </c>
      <c r="J402" s="25" t="n">
        <f aca="false">I413</f>
        <v>216.2968</v>
      </c>
      <c r="K402" s="25" t="n">
        <f aca="false">J413</f>
        <v>216.2968</v>
      </c>
    </row>
    <row r="403" customFormat="false" ht="15" hidden="false" customHeight="false" outlineLevel="0" collapsed="false">
      <c r="A403" s="5" t="s">
        <v>265</v>
      </c>
      <c r="G403" s="20" t="n">
        <f aca="false">IF(G366=Assumptions!$K$53,1,0)</f>
        <v>0</v>
      </c>
      <c r="H403" s="20" t="n">
        <f aca="false">IF(H366=Assumptions!$K$53,1,0)</f>
        <v>1</v>
      </c>
      <c r="I403" s="20" t="n">
        <f aca="false">IF(I366=Assumptions!$K$53,1,0)</f>
        <v>0</v>
      </c>
      <c r="J403" s="20" t="n">
        <f aca="false">IF(J366=Assumptions!$K$53,1,0)</f>
        <v>0</v>
      </c>
      <c r="K403" s="20" t="n">
        <f aca="false">IF(K366=Assumptions!$K$53,1,0)</f>
        <v>0</v>
      </c>
    </row>
    <row r="405" customFormat="false" ht="15" hidden="false" customHeight="false" outlineLevel="0" collapsed="false">
      <c r="A405" s="5" t="s">
        <v>266</v>
      </c>
      <c r="G405" s="30" t="n">
        <f aca="false">IF(Assumptions!$I$53=1,MAX(G392,Assumptions!$G$53)+Assumptions!$F$53+$C$393,Assumptions!$E$53)</f>
        <v>0.101</v>
      </c>
      <c r="H405" s="30" t="n">
        <f aca="false">IF(G554=1,$C$394,IF(Assumptions!$I$53=1,MAX(H392,Assumptions!$G$53)+Assumptions!$F$53+$C$393,Assumptions!$E$53))</f>
        <v>0.0985</v>
      </c>
      <c r="I405" s="30" t="n">
        <f aca="false">IF(H554=1,$C$394,IF(Assumptions!$I$53=1,MAX(I392,Assumptions!$G$53)+Assumptions!$F$53+$C$393,Assumptions!$E$53))</f>
        <v>0.096</v>
      </c>
      <c r="J405" s="30" t="n">
        <f aca="false">IF(I554=1,$C$394,IF(Assumptions!$I$53=1,MAX(J392,Assumptions!$G$53)+Assumptions!$F$53+$C$393,Assumptions!$E$53))</f>
        <v>0.096</v>
      </c>
      <c r="K405" s="30" t="n">
        <f aca="false">IF(J554=1,$C$394,IF(Assumptions!$I$53=1,MAX(K392,Assumptions!$G$53)+Assumptions!$F$53+$C$393,Assumptions!$E$53))</f>
        <v>0.096</v>
      </c>
    </row>
    <row r="406" customFormat="false" ht="15" hidden="false" customHeight="false" outlineLevel="0" collapsed="false">
      <c r="A406" s="5" t="s">
        <v>267</v>
      </c>
      <c r="G406" s="25" t="n">
        <f aca="false">G402*G405</f>
        <v>18.18</v>
      </c>
      <c r="H406" s="25" t="n">
        <f aca="false">H402*H405</f>
        <v>21.3052348</v>
      </c>
      <c r="I406" s="25" t="n">
        <f aca="false">I402*I405</f>
        <v>20.7644928</v>
      </c>
      <c r="J406" s="25" t="n">
        <f aca="false">J402*J405</f>
        <v>20.7644928</v>
      </c>
      <c r="K406" s="25" t="n">
        <f aca="false">K402*K405</f>
        <v>20.7644928</v>
      </c>
    </row>
    <row r="407" customFormat="false" ht="15" hidden="false" customHeight="false" outlineLevel="0" collapsed="false">
      <c r="A407" s="5" t="s">
        <v>268</v>
      </c>
      <c r="G407" s="25" t="n">
        <f aca="false">G402*Assumptions!$H$53</f>
        <v>0</v>
      </c>
      <c r="H407" s="25" t="n">
        <f aca="false">H402*Assumptions!$H$53</f>
        <v>0</v>
      </c>
      <c r="I407" s="25" t="n">
        <f aca="false">I402*Assumptions!$H$53</f>
        <v>0</v>
      </c>
      <c r="J407" s="25" t="n">
        <f aca="false">J402*Assumptions!$H$53</f>
        <v>0</v>
      </c>
      <c r="K407" s="25" t="n">
        <f aca="false">K402*Assumptions!$H$53</f>
        <v>0</v>
      </c>
    </row>
    <row r="408" customFormat="false" ht="15" hidden="false" customHeight="false" outlineLevel="0" collapsed="false">
      <c r="A408" s="5" t="s">
        <v>269</v>
      </c>
      <c r="G408" s="25" t="n">
        <f aca="false">MIN(G402,Assumptions!$L$53*Assumptions!$C$53)</f>
        <v>0</v>
      </c>
      <c r="H408" s="25" t="n">
        <f aca="false">MIN(H402,Assumptions!$L$53*Assumptions!$C$53)</f>
        <v>0</v>
      </c>
      <c r="I408" s="25" t="n">
        <f aca="false">MIN(I402,Assumptions!$L$53*Assumptions!$C$53)</f>
        <v>0</v>
      </c>
      <c r="J408" s="25" t="n">
        <f aca="false">MIN(J402,Assumptions!$L$53*Assumptions!$C$53)</f>
        <v>0</v>
      </c>
      <c r="K408" s="25" t="n">
        <f aca="false">MIN(K402,Assumptions!$L$53*Assumptions!$C$53)</f>
        <v>0</v>
      </c>
    </row>
    <row r="409" customFormat="false" ht="15" hidden="false" customHeight="false" outlineLevel="0" collapsed="false">
      <c r="A409" s="5" t="s">
        <v>270</v>
      </c>
      <c r="G409" s="25" t="n">
        <f aca="false">IF(AND(Assumptions!$P$53=1,G366&lt;Assumptions!$K$53),MIN(MAX(0,-G480),MAX(0,Assumptions!$D$53-G402)),0)</f>
        <v>36.2968000000001</v>
      </c>
      <c r="H409" s="25" t="n">
        <f aca="false">IF(AND(Assumptions!$P$53=1,OR(H366&lt;Assumptions!$K$53,G554=1)),MIN(MAX(0,-H480),MAX(0,Assumptions!$D$53-H402)),0)</f>
        <v>0</v>
      </c>
      <c r="I409" s="25" t="n">
        <f aca="false">IF(AND(Assumptions!$P$53=1,OR(I366&lt;Assumptions!$K$53,H554=1)),MIN(MAX(0,-I480),MAX(0,Assumptions!$D$53-I402)),0)</f>
        <v>0</v>
      </c>
      <c r="J409" s="25" t="n">
        <f aca="false">IF(AND(Assumptions!$P$53=1,OR(J366&lt;Assumptions!$K$53,I554=1)),MIN(MAX(0,-J480),MAX(0,Assumptions!$D$53-J402)),0)</f>
        <v>0</v>
      </c>
      <c r="K409" s="25" t="n">
        <f aca="false">IF(AND(Assumptions!$P$53=1,OR(K366&lt;Assumptions!$K$53,J554=1)),MIN(MAX(0,-K480),MAX(0,Assumptions!$D$53-K402)),0)</f>
        <v>0</v>
      </c>
    </row>
    <row r="410" customFormat="false" ht="15" hidden="false" customHeight="false" outlineLevel="0" collapsed="false">
      <c r="A410" s="5" t="s">
        <v>271</v>
      </c>
      <c r="G410" s="25" t="n">
        <f aca="false">G403*MIN(G402-G408+G407,MAX(0,G482-Assumptions!$C$12*G400))</f>
        <v>0</v>
      </c>
      <c r="H410" s="25" t="n">
        <f aca="false">H403*MIN(H402-H408+H407,MAX(0,H482-Assumptions!$C$12*H400))</f>
        <v>0</v>
      </c>
      <c r="I410" s="25" t="n">
        <f aca="false">I403*MIN(I402-I408+I407,MAX(0,I482-Assumptions!$C$12*I400))</f>
        <v>0</v>
      </c>
      <c r="J410" s="25" t="n">
        <f aca="false">J403*MIN(J402-J408+J407,MAX(0,J482-Assumptions!$C$12*J400))</f>
        <v>0</v>
      </c>
      <c r="K410" s="25" t="n">
        <f aca="false">K403*MIN(K402-K408+K407,MAX(0,K482-Assumptions!$C$12*K400))</f>
        <v>0</v>
      </c>
    </row>
    <row r="411" customFormat="false" ht="15" hidden="false" customHeight="false" outlineLevel="0" collapsed="false">
      <c r="A411" s="5" t="s">
        <v>272</v>
      </c>
      <c r="G411" s="25" t="n">
        <f aca="false">Assumptions!$N$53*MIN(G402+G409+G407-G408-G410,MAX(0,G486))</f>
        <v>0</v>
      </c>
      <c r="H411" s="25" t="n">
        <f aca="false">Assumptions!$N$53*MIN(H402+H409+H407-H408-H410,MAX(0,H486))</f>
        <v>0</v>
      </c>
      <c r="I411" s="25" t="n">
        <f aca="false">Assumptions!$N$53*MIN(I402+I409+I407-I408-I410,MAX(0,I486))</f>
        <v>0</v>
      </c>
      <c r="J411" s="25" t="n">
        <f aca="false">Assumptions!$N$53*MIN(J402+J409+J407-J408-J410,MAX(0,J486))</f>
        <v>0</v>
      </c>
      <c r="K411" s="25" t="n">
        <f aca="false">Assumptions!$N$53*MIN(K402+K409+K407-K408-K410,MAX(0,K486))</f>
        <v>0</v>
      </c>
    </row>
    <row r="412" customFormat="false" ht="15" hidden="false" customHeight="false" outlineLevel="0" collapsed="false">
      <c r="A412" s="5" t="s">
        <v>273</v>
      </c>
      <c r="G412" s="25" t="n">
        <f aca="false">G403*(1-G400)*(G402-G408+G407-G410)</f>
        <v>0</v>
      </c>
      <c r="H412" s="25" t="n">
        <f aca="false">H403*(1-H400)*(H402-H408+H407-H410)</f>
        <v>216.2968</v>
      </c>
      <c r="I412" s="25" t="n">
        <f aca="false">I403*(1-I400)*(I402-I408+I407-I410)</f>
        <v>0</v>
      </c>
      <c r="J412" s="25" t="n">
        <f aca="false">J403*(1-J400)*(J402-J408+J407-J410)</f>
        <v>0</v>
      </c>
      <c r="K412" s="25" t="n">
        <f aca="false">K403*(1-K400)*(K402-K408+K407-K410)</f>
        <v>0</v>
      </c>
    </row>
    <row r="413" customFormat="false" ht="15" hidden="false" customHeight="false" outlineLevel="0" collapsed="false">
      <c r="A413" s="2" t="s">
        <v>274</v>
      </c>
      <c r="F413" s="27" t="n">
        <f aca="false">Assumptions!$C$53</f>
        <v>180</v>
      </c>
      <c r="G413" s="16" t="n">
        <f aca="false">G402+G409+G407-G408-G410-G411</f>
        <v>216.2968</v>
      </c>
      <c r="H413" s="16" t="n">
        <f aca="false">H402+H409+H407-H408-H410-H411</f>
        <v>216.2968</v>
      </c>
      <c r="I413" s="16" t="n">
        <f aca="false">I402+I409+I407-I408-I410-I411</f>
        <v>216.2968</v>
      </c>
      <c r="J413" s="16" t="n">
        <f aca="false">J402+J409+J407-J408-J410-J411</f>
        <v>216.2968</v>
      </c>
      <c r="K413" s="16" t="n">
        <f aca="false">K402+K409+K407-K408-K410-K411</f>
        <v>216.2968</v>
      </c>
    </row>
    <row r="414" customFormat="false" ht="15" hidden="false" customHeight="false" outlineLevel="0" collapsed="false">
      <c r="A414" s="23" t="s">
        <v>275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</row>
    <row r="415" customFormat="false" ht="15" hidden="false" customHeight="false" outlineLevel="0" collapsed="false">
      <c r="A415" s="5" t="s">
        <v>264</v>
      </c>
      <c r="G415" s="25" t="n">
        <f aca="false">F426</f>
        <v>520</v>
      </c>
      <c r="H415" s="25" t="n">
        <f aca="false">G426</f>
        <v>514.8</v>
      </c>
      <c r="I415" s="25" t="n">
        <f aca="false">H426</f>
        <v>509.6</v>
      </c>
      <c r="J415" s="25" t="n">
        <f aca="false">I426</f>
        <v>504.4</v>
      </c>
      <c r="K415" s="25" t="n">
        <f aca="false">J426</f>
        <v>499.2</v>
      </c>
    </row>
    <row r="416" customFormat="false" ht="15" hidden="false" customHeight="false" outlineLevel="0" collapsed="false">
      <c r="A416" s="5" t="s">
        <v>265</v>
      </c>
      <c r="G416" s="20" t="n">
        <f aca="false">IF(G366=Assumptions!$K$54,1,0)</f>
        <v>0</v>
      </c>
      <c r="H416" s="20" t="n">
        <f aca="false">IF(H366=Assumptions!$K$54,1,0)</f>
        <v>0</v>
      </c>
      <c r="I416" s="20" t="n">
        <f aca="false">IF(I366=Assumptions!$K$54,1,0)</f>
        <v>1</v>
      </c>
      <c r="J416" s="20" t="n">
        <f aca="false">IF(J366=Assumptions!$K$54,1,0)</f>
        <v>0</v>
      </c>
      <c r="K416" s="20" t="n">
        <f aca="false">IF(K366=Assumptions!$K$54,1,0)</f>
        <v>0</v>
      </c>
    </row>
    <row r="418" customFormat="false" ht="15" hidden="false" customHeight="false" outlineLevel="0" collapsed="false">
      <c r="A418" s="5" t="s">
        <v>266</v>
      </c>
      <c r="G418" s="30" t="n">
        <f aca="false">IF(Assumptions!$I$54=1,MAX(G392,Assumptions!$G$54)+Assumptions!$F$54+$C$393,Assumptions!$E$54)</f>
        <v>0.118</v>
      </c>
      <c r="H418" s="30" t="n">
        <f aca="false">IF(G555=1,$C$394,IF(Assumptions!$I$54=1,MAX(H392,Assumptions!$G$54)+Assumptions!$F$54+$C$393,Assumptions!$E$54))</f>
        <v>0.1155</v>
      </c>
      <c r="I418" s="30" t="n">
        <f aca="false">IF(H555=1,$C$394,IF(Assumptions!$I$54=1,MAX(I392,Assumptions!$G$54)+Assumptions!$F$54+$C$393,Assumptions!$E$54))</f>
        <v>0.113</v>
      </c>
      <c r="J418" s="30" t="n">
        <f aca="false">IF(I555=1,$C$394,IF(Assumptions!$I$54=1,MAX(J392,Assumptions!$G$54)+Assumptions!$F$54+$C$393,Assumptions!$E$54))</f>
        <v>0.113</v>
      </c>
      <c r="K418" s="30" t="n">
        <f aca="false">IF(J555=1,$C$394,IF(Assumptions!$I$54=1,MAX(K392,Assumptions!$G$54)+Assumptions!$F$54+$C$393,Assumptions!$E$54))</f>
        <v>0.113</v>
      </c>
    </row>
    <row r="419" customFormat="false" ht="15" hidden="false" customHeight="false" outlineLevel="0" collapsed="false">
      <c r="A419" s="5" t="s">
        <v>267</v>
      </c>
      <c r="G419" s="25" t="n">
        <f aca="false">G415*G418</f>
        <v>61.36</v>
      </c>
      <c r="H419" s="25" t="n">
        <f aca="false">H415*H418</f>
        <v>59.4594</v>
      </c>
      <c r="I419" s="25" t="n">
        <f aca="false">I415*I418</f>
        <v>57.5848</v>
      </c>
      <c r="J419" s="25" t="n">
        <f aca="false">J415*J418</f>
        <v>56.9972</v>
      </c>
      <c r="K419" s="25" t="n">
        <f aca="false">K415*K418</f>
        <v>56.4096</v>
      </c>
    </row>
    <row r="420" customFormat="false" ht="15" hidden="false" customHeight="false" outlineLevel="0" collapsed="false">
      <c r="A420" s="5" t="s">
        <v>268</v>
      </c>
      <c r="G420" s="25" t="n">
        <f aca="false">G415*Assumptions!$H$54</f>
        <v>0</v>
      </c>
      <c r="H420" s="25" t="n">
        <f aca="false">H415*Assumptions!$H$54</f>
        <v>0</v>
      </c>
      <c r="I420" s="25" t="n">
        <f aca="false">I415*Assumptions!$H$54</f>
        <v>0</v>
      </c>
      <c r="J420" s="25" t="n">
        <f aca="false">J415*Assumptions!$H$54</f>
        <v>0</v>
      </c>
      <c r="K420" s="25" t="n">
        <f aca="false">K415*Assumptions!$H$54</f>
        <v>0</v>
      </c>
    </row>
    <row r="421" customFormat="false" ht="15" hidden="false" customHeight="false" outlineLevel="0" collapsed="false">
      <c r="A421" s="5" t="s">
        <v>269</v>
      </c>
      <c r="G421" s="25" t="n">
        <f aca="false">MIN(G415,Assumptions!$L$54*Assumptions!$C$54)</f>
        <v>5.2</v>
      </c>
      <c r="H421" s="25" t="n">
        <f aca="false">MIN(H415,Assumptions!$L$54*Assumptions!$C$54)</f>
        <v>5.2</v>
      </c>
      <c r="I421" s="25" t="n">
        <f aca="false">MIN(I415,Assumptions!$L$54*Assumptions!$C$54)</f>
        <v>5.2</v>
      </c>
      <c r="J421" s="25" t="n">
        <f aca="false">MIN(J415,Assumptions!$L$54*Assumptions!$C$54)</f>
        <v>5.2</v>
      </c>
      <c r="K421" s="25" t="n">
        <f aca="false">MIN(K415,Assumptions!$L$54*Assumptions!$C$54)</f>
        <v>5.2</v>
      </c>
    </row>
    <row r="422" customFormat="false" ht="15" hidden="false" customHeight="false" outlineLevel="0" collapsed="false">
      <c r="A422" s="5" t="s">
        <v>270</v>
      </c>
      <c r="G422" s="25" t="n">
        <f aca="false">IF(AND(Assumptions!$P$54=1,G366&lt;Assumptions!$K$54),MIN(MAX(0,-G480),MAX(0,Assumptions!$D$54-G415)),0)</f>
        <v>0</v>
      </c>
      <c r="H422" s="25" t="n">
        <f aca="false">IF(AND(Assumptions!$P$54=1,OR(H366&lt;Assumptions!$K$54,G555=1)),MIN(MAX(0,-H480),MAX(0,Assumptions!$D$54-H415)),0)</f>
        <v>0</v>
      </c>
      <c r="I422" s="25" t="n">
        <f aca="false">IF(AND(Assumptions!$P$54=1,OR(I366&lt;Assumptions!$K$54,H555=1)),MIN(MAX(0,-I480),MAX(0,Assumptions!$D$54-I415)),0)</f>
        <v>0</v>
      </c>
      <c r="J422" s="25" t="n">
        <f aca="false">IF(AND(Assumptions!$P$54=1,OR(J366&lt;Assumptions!$K$54,I555=1)),MIN(MAX(0,-J480),MAX(0,Assumptions!$D$54-J415)),0)</f>
        <v>0</v>
      </c>
      <c r="K422" s="25" t="n">
        <f aca="false">IF(AND(Assumptions!$P$54=1,OR(K366&lt;Assumptions!$K$54,J555=1)),MIN(MAX(0,-K480),MAX(0,Assumptions!$D$54-K415)),0)</f>
        <v>0</v>
      </c>
    </row>
    <row r="423" customFormat="false" ht="15" hidden="false" customHeight="false" outlineLevel="0" collapsed="false">
      <c r="A423" s="5" t="s">
        <v>271</v>
      </c>
      <c r="G423" s="25" t="n">
        <f aca="false">G416*MIN(G415-G421+G420,MAX(0,G482-Assumptions!$C$12*G400-G410))</f>
        <v>0</v>
      </c>
      <c r="H423" s="25" t="n">
        <f aca="false">H416*MIN(H415-H421+H420,MAX(0,H482-Assumptions!$C$12*H400-H410))</f>
        <v>0</v>
      </c>
      <c r="I423" s="25" t="n">
        <f aca="false">I416*MIN(I415-I421+I420,MAX(0,I482-Assumptions!$C$12*I400-I410))</f>
        <v>0</v>
      </c>
      <c r="J423" s="25" t="n">
        <f aca="false">J416*MIN(J415-J421+J420,MAX(0,J482-Assumptions!$C$12*J400-J410))</f>
        <v>0</v>
      </c>
      <c r="K423" s="25" t="n">
        <f aca="false">K416*MIN(K415-K421+K420,MAX(0,K482-Assumptions!$C$12*K400-K410))</f>
        <v>0</v>
      </c>
    </row>
    <row r="424" customFormat="false" ht="15" hidden="false" customHeight="false" outlineLevel="0" collapsed="false">
      <c r="A424" s="5" t="s">
        <v>272</v>
      </c>
      <c r="G424" s="25" t="n">
        <f aca="false">Assumptions!$N$54*MIN(G415+G422+G420-G421-G423,MAX(0,G486-G411))</f>
        <v>0</v>
      </c>
      <c r="H424" s="25" t="n">
        <f aca="false">Assumptions!$N$54*MIN(H415+H422+H420-H421-H423,MAX(0,H486-H411))</f>
        <v>0</v>
      </c>
      <c r="I424" s="25" t="n">
        <f aca="false">Assumptions!$N$54*MIN(I415+I422+I420-I421-I423,MAX(0,I486-I411))</f>
        <v>0</v>
      </c>
      <c r="J424" s="25" t="n">
        <f aca="false">Assumptions!$N$54*MIN(J415+J422+J420-J421-J423,MAX(0,J486-J411))</f>
        <v>0</v>
      </c>
      <c r="K424" s="25" t="n">
        <f aca="false">Assumptions!$N$54*MIN(K415+K422+K420-K421-K423,MAX(0,K486-K411))</f>
        <v>0</v>
      </c>
    </row>
    <row r="425" customFormat="false" ht="15" hidden="false" customHeight="false" outlineLevel="0" collapsed="false">
      <c r="A425" s="5" t="s">
        <v>273</v>
      </c>
      <c r="G425" s="25" t="n">
        <f aca="false">G416*(1-G400)*(G415-G421+G420-G423)</f>
        <v>0</v>
      </c>
      <c r="H425" s="25" t="n">
        <f aca="false">H416*(1-H400)*(H415-H421+H420-H423)</f>
        <v>0</v>
      </c>
      <c r="I425" s="25" t="n">
        <f aca="false">I416*(1-I400)*(I415-I421+I420-I423)</f>
        <v>504.4</v>
      </c>
      <c r="J425" s="25" t="n">
        <f aca="false">J416*(1-J400)*(J415-J421+J420-J423)</f>
        <v>0</v>
      </c>
      <c r="K425" s="25" t="n">
        <f aca="false">K416*(1-K400)*(K415-K421+K420-K423)</f>
        <v>0</v>
      </c>
    </row>
    <row r="426" customFormat="false" ht="15" hidden="false" customHeight="false" outlineLevel="0" collapsed="false">
      <c r="A426" s="2" t="s">
        <v>274</v>
      </c>
      <c r="F426" s="27" t="n">
        <f aca="false">Assumptions!$C$54</f>
        <v>520</v>
      </c>
      <c r="G426" s="16" t="n">
        <f aca="false">G415+G422+G420-G421-G423-G424</f>
        <v>514.8</v>
      </c>
      <c r="H426" s="16" t="n">
        <f aca="false">H415+H422+H420-H421-H423-H424</f>
        <v>509.6</v>
      </c>
      <c r="I426" s="16" t="n">
        <f aca="false">I415+I422+I420-I421-I423-I424</f>
        <v>504.4</v>
      </c>
      <c r="J426" s="16" t="n">
        <f aca="false">J415+J422+J420-J421-J423-J424</f>
        <v>499.2</v>
      </c>
      <c r="K426" s="16" t="n">
        <f aca="false">K415+K422+K420-K421-K423-K424</f>
        <v>494</v>
      </c>
    </row>
    <row r="427" customFormat="false" ht="15" hidden="false" customHeight="false" outlineLevel="0" collapsed="false">
      <c r="A427" s="23" t="s">
        <v>276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</row>
    <row r="428" customFormat="false" ht="15" hidden="false" customHeight="false" outlineLevel="0" collapsed="false">
      <c r="A428" s="5" t="s">
        <v>264</v>
      </c>
      <c r="G428" s="25" t="n">
        <f aca="false">F439</f>
        <v>250</v>
      </c>
      <c r="H428" s="25" t="n">
        <f aca="false">G439</f>
        <v>250</v>
      </c>
      <c r="I428" s="25" t="n">
        <f aca="false">H439</f>
        <v>250</v>
      </c>
      <c r="J428" s="25" t="n">
        <f aca="false">I439</f>
        <v>250</v>
      </c>
      <c r="K428" s="25" t="n">
        <f aca="false">J439</f>
        <v>250</v>
      </c>
    </row>
    <row r="429" customFormat="false" ht="15" hidden="false" customHeight="false" outlineLevel="0" collapsed="false">
      <c r="A429" s="5" t="s">
        <v>265</v>
      </c>
      <c r="G429" s="20" t="n">
        <f aca="false">IF(G366=Assumptions!$K$55,1,0)</f>
        <v>0</v>
      </c>
      <c r="H429" s="20" t="n">
        <f aca="false">IF(H366=Assumptions!$K$55,1,0)</f>
        <v>0</v>
      </c>
      <c r="I429" s="20" t="n">
        <f aca="false">IF(I366=Assumptions!$K$55,1,0)</f>
        <v>0</v>
      </c>
      <c r="J429" s="20" t="n">
        <f aca="false">IF(J366=Assumptions!$K$55,1,0)</f>
        <v>1</v>
      </c>
      <c r="K429" s="20" t="n">
        <f aca="false">IF(K366=Assumptions!$K$55,1,0)</f>
        <v>0</v>
      </c>
    </row>
    <row r="431" customFormat="false" ht="15" hidden="false" customHeight="false" outlineLevel="0" collapsed="false">
      <c r="A431" s="5" t="s">
        <v>266</v>
      </c>
      <c r="G431" s="30" t="n">
        <f aca="false">IF(Assumptions!$I$55=1,MAX(G392,Assumptions!$G$55)+Assumptions!$F$55+$C$393,Assumptions!$E$55)</f>
        <v>0.11</v>
      </c>
      <c r="H431" s="30" t="n">
        <f aca="false">IF(G556=1,$C$394,IF(Assumptions!$I$55=1,MAX(H392,Assumptions!$G$55)+Assumptions!$F$55+$C$393,Assumptions!$E$55))</f>
        <v>0.11</v>
      </c>
      <c r="I431" s="30" t="n">
        <f aca="false">IF(H556=1,$C$394,IF(Assumptions!$I$55=1,MAX(I392,Assumptions!$G$55)+Assumptions!$F$55+$C$393,Assumptions!$E$55))</f>
        <v>0.11</v>
      </c>
      <c r="J431" s="30" t="n">
        <f aca="false">IF(I556=1,$C$394,IF(Assumptions!$I$55=1,MAX(J392,Assumptions!$G$55)+Assumptions!$F$55+$C$393,Assumptions!$E$55))</f>
        <v>0.11</v>
      </c>
      <c r="K431" s="30" t="n">
        <f aca="false">IF(J556=1,$C$394,IF(Assumptions!$I$55=1,MAX(K392,Assumptions!$G$55)+Assumptions!$F$55+$C$393,Assumptions!$E$55))</f>
        <v>0.11</v>
      </c>
    </row>
    <row r="432" customFormat="false" ht="15" hidden="false" customHeight="false" outlineLevel="0" collapsed="false">
      <c r="A432" s="5" t="s">
        <v>267</v>
      </c>
      <c r="G432" s="25" t="n">
        <f aca="false">G428*G431</f>
        <v>27.5</v>
      </c>
      <c r="H432" s="25" t="n">
        <f aca="false">H428*H431</f>
        <v>27.5</v>
      </c>
      <c r="I432" s="25" t="n">
        <f aca="false">I428*I431</f>
        <v>27.5</v>
      </c>
      <c r="J432" s="25" t="n">
        <f aca="false">J428*J431</f>
        <v>27.5</v>
      </c>
      <c r="K432" s="25" t="n">
        <f aca="false">K428*K431</f>
        <v>27.5</v>
      </c>
    </row>
    <row r="433" customFormat="false" ht="15" hidden="false" customHeight="false" outlineLevel="0" collapsed="false">
      <c r="A433" s="5" t="s">
        <v>268</v>
      </c>
      <c r="G433" s="25" t="n">
        <f aca="false">G428*Assumptions!$H$55</f>
        <v>0</v>
      </c>
      <c r="H433" s="25" t="n">
        <f aca="false">H428*Assumptions!$H$55</f>
        <v>0</v>
      </c>
      <c r="I433" s="25" t="n">
        <f aca="false">I428*Assumptions!$H$55</f>
        <v>0</v>
      </c>
      <c r="J433" s="25" t="n">
        <f aca="false">J428*Assumptions!$H$55</f>
        <v>0</v>
      </c>
      <c r="K433" s="25" t="n">
        <f aca="false">K428*Assumptions!$H$55</f>
        <v>0</v>
      </c>
    </row>
    <row r="434" customFormat="false" ht="15" hidden="false" customHeight="false" outlineLevel="0" collapsed="false">
      <c r="A434" s="5" t="s">
        <v>269</v>
      </c>
      <c r="G434" s="25" t="n">
        <f aca="false">MIN(G428,Assumptions!$L$55*Assumptions!$C$55)</f>
        <v>0</v>
      </c>
      <c r="H434" s="25" t="n">
        <f aca="false">MIN(H428,Assumptions!$L$55*Assumptions!$C$55)</f>
        <v>0</v>
      </c>
      <c r="I434" s="25" t="n">
        <f aca="false">MIN(I428,Assumptions!$L$55*Assumptions!$C$55)</f>
        <v>0</v>
      </c>
      <c r="J434" s="25" t="n">
        <f aca="false">MIN(J428,Assumptions!$L$55*Assumptions!$C$55)</f>
        <v>0</v>
      </c>
      <c r="K434" s="25" t="n">
        <f aca="false">MIN(K428,Assumptions!$L$55*Assumptions!$C$55)</f>
        <v>0</v>
      </c>
    </row>
    <row r="435" customFormat="false" ht="15" hidden="false" customHeight="false" outlineLevel="0" collapsed="false">
      <c r="A435" s="5" t="s">
        <v>270</v>
      </c>
      <c r="G435" s="25" t="n">
        <f aca="false">IF(AND(Assumptions!$P$55=1,G366&lt;Assumptions!$K$55),MIN(MAX(0,-G480),MAX(0,Assumptions!$D$55-G428)),0)</f>
        <v>0</v>
      </c>
      <c r="H435" s="25" t="n">
        <f aca="false">IF(AND(Assumptions!$P$55=1,OR(H366&lt;Assumptions!$K$55,G556=1)),MIN(MAX(0,-H480),MAX(0,Assumptions!$D$55-H428)),0)</f>
        <v>0</v>
      </c>
      <c r="I435" s="25" t="n">
        <f aca="false">IF(AND(Assumptions!$P$55=1,OR(I366&lt;Assumptions!$K$55,H556=1)),MIN(MAX(0,-I480),MAX(0,Assumptions!$D$55-I428)),0)</f>
        <v>0</v>
      </c>
      <c r="J435" s="25" t="n">
        <f aca="false">IF(AND(Assumptions!$P$55=1,OR(J366&lt;Assumptions!$K$55,I556=1)),MIN(MAX(0,-J480),MAX(0,Assumptions!$D$55-J428)),0)</f>
        <v>0</v>
      </c>
      <c r="K435" s="25" t="n">
        <f aca="false">IF(AND(Assumptions!$P$55=1,OR(K366&lt;Assumptions!$K$55,J556=1)),MIN(MAX(0,-K480),MAX(0,Assumptions!$D$55-K428)),0)</f>
        <v>0</v>
      </c>
    </row>
    <row r="436" customFormat="false" ht="15" hidden="false" customHeight="false" outlineLevel="0" collapsed="false">
      <c r="A436" s="5" t="s">
        <v>271</v>
      </c>
      <c r="G436" s="25" t="n">
        <f aca="false">G429*MIN(G428-G434+G433,MAX(0,G482-Assumptions!$C$12*G400-G410-G423))</f>
        <v>0</v>
      </c>
      <c r="H436" s="25" t="n">
        <f aca="false">H429*MIN(H428-H434+H433,MAX(0,H482-Assumptions!$C$12*H400-H410-H423))</f>
        <v>0</v>
      </c>
      <c r="I436" s="25" t="n">
        <f aca="false">I429*MIN(I428-I434+I433,MAX(0,I482-Assumptions!$C$12*I400-I410-I423))</f>
        <v>0</v>
      </c>
      <c r="J436" s="25" t="n">
        <f aca="false">J429*MIN(J428-J434+J433,MAX(0,J482-Assumptions!$C$12*J400-J410-J423))</f>
        <v>0</v>
      </c>
      <c r="K436" s="25" t="n">
        <f aca="false">K429*MIN(K428-K434+K433,MAX(0,K482-Assumptions!$C$12*K400-K410-K423))</f>
        <v>0</v>
      </c>
    </row>
    <row r="437" customFormat="false" ht="15" hidden="false" customHeight="false" outlineLevel="0" collapsed="false">
      <c r="A437" s="5" t="s">
        <v>272</v>
      </c>
      <c r="G437" s="25" t="n">
        <f aca="false">Assumptions!$N$55*MIN(G428+G435+G433-G434-G436,MAX(0,G486-G411-G424))</f>
        <v>0</v>
      </c>
      <c r="H437" s="25" t="n">
        <f aca="false">Assumptions!$N$55*MIN(H428+H435+H433-H434-H436,MAX(0,H486-H411-H424))</f>
        <v>0</v>
      </c>
      <c r="I437" s="25" t="n">
        <f aca="false">Assumptions!$N$55*MIN(I428+I435+I433-I434-I436,MAX(0,I486-I411-I424))</f>
        <v>0</v>
      </c>
      <c r="J437" s="25" t="n">
        <f aca="false">Assumptions!$N$55*MIN(J428+J435+J433-J434-J436,MAX(0,J486-J411-J424))</f>
        <v>0</v>
      </c>
      <c r="K437" s="25" t="n">
        <f aca="false">Assumptions!$N$55*MIN(K428+K435+K433-K434-K436,MAX(0,K486-K411-K424))</f>
        <v>0</v>
      </c>
    </row>
    <row r="438" customFormat="false" ht="15" hidden="false" customHeight="false" outlineLevel="0" collapsed="false">
      <c r="A438" s="5" t="s">
        <v>273</v>
      </c>
      <c r="G438" s="25" t="n">
        <f aca="false">G429*(1-G400)*(G428-G434+G433-G436)</f>
        <v>0</v>
      </c>
      <c r="H438" s="25" t="n">
        <f aca="false">H429*(1-H400)*(H428-H434+H433-H436)</f>
        <v>0</v>
      </c>
      <c r="I438" s="25" t="n">
        <f aca="false">I429*(1-I400)*(I428-I434+I433-I436)</f>
        <v>0</v>
      </c>
      <c r="J438" s="25" t="n">
        <f aca="false">J429*(1-J400)*(J428-J434+J433-J436)</f>
        <v>250</v>
      </c>
      <c r="K438" s="25" t="n">
        <f aca="false">K429*(1-K400)*(K428-K434+K433-K436)</f>
        <v>0</v>
      </c>
    </row>
    <row r="439" customFormat="false" ht="15" hidden="false" customHeight="false" outlineLevel="0" collapsed="false">
      <c r="A439" s="2" t="s">
        <v>274</v>
      </c>
      <c r="F439" s="27" t="n">
        <f aca="false">Assumptions!$C$55</f>
        <v>250</v>
      </c>
      <c r="G439" s="16" t="n">
        <f aca="false">G428+G435+G433-G434-G436-G437</f>
        <v>250</v>
      </c>
      <c r="H439" s="16" t="n">
        <f aca="false">H428+H435+H433-H434-H436-H437</f>
        <v>250</v>
      </c>
      <c r="I439" s="16" t="n">
        <f aca="false">I428+I435+I433-I434-I436-I437</f>
        <v>250</v>
      </c>
      <c r="J439" s="16" t="n">
        <f aca="false">J428+J435+J433-J434-J436-J437</f>
        <v>250</v>
      </c>
      <c r="K439" s="16" t="n">
        <f aca="false">K428+K435+K433-K434-K436-K437</f>
        <v>250</v>
      </c>
    </row>
    <row r="440" customFormat="false" ht="15" hidden="false" customHeight="false" outlineLevel="0" collapsed="false">
      <c r="A440" s="23" t="s">
        <v>277</v>
      </c>
      <c r="B440" s="24"/>
      <c r="C440" s="24"/>
      <c r="D440" s="24"/>
      <c r="E440" s="24"/>
      <c r="F440" s="24"/>
      <c r="G440" s="24"/>
      <c r="H440" s="24"/>
      <c r="I440" s="24"/>
      <c r="J440" s="24"/>
      <c r="K440" s="24"/>
    </row>
    <row r="441" customFormat="false" ht="15" hidden="false" customHeight="false" outlineLevel="0" collapsed="false">
      <c r="A441" s="5" t="s">
        <v>264</v>
      </c>
      <c r="G441" s="25" t="n">
        <f aca="false">F452</f>
        <v>300</v>
      </c>
      <c r="H441" s="25" t="n">
        <f aca="false">G452</f>
        <v>300</v>
      </c>
      <c r="I441" s="25" t="n">
        <f aca="false">H452</f>
        <v>300</v>
      </c>
      <c r="J441" s="25" t="n">
        <f aca="false">I452</f>
        <v>300</v>
      </c>
      <c r="K441" s="25" t="n">
        <f aca="false">J452</f>
        <v>300</v>
      </c>
    </row>
    <row r="442" customFormat="false" ht="15" hidden="false" customHeight="false" outlineLevel="0" collapsed="false">
      <c r="A442" s="5" t="s">
        <v>265</v>
      </c>
      <c r="G442" s="20" t="n">
        <f aca="false">IF(G366=Assumptions!$K$56,1,0)</f>
        <v>0</v>
      </c>
      <c r="H442" s="20" t="n">
        <f aca="false">IF(H366=Assumptions!$K$56,1,0)</f>
        <v>1</v>
      </c>
      <c r="I442" s="20" t="n">
        <f aca="false">IF(I366=Assumptions!$K$56,1,0)</f>
        <v>0</v>
      </c>
      <c r="J442" s="20" t="n">
        <f aca="false">IF(J366=Assumptions!$K$56,1,0)</f>
        <v>0</v>
      </c>
      <c r="K442" s="20" t="n">
        <f aca="false">IF(K366=Assumptions!$K$56,1,0)</f>
        <v>0</v>
      </c>
    </row>
    <row r="444" customFormat="false" ht="15" hidden="false" customHeight="false" outlineLevel="0" collapsed="false">
      <c r="A444" s="5" t="s">
        <v>266</v>
      </c>
      <c r="G444" s="30" t="n">
        <f aca="false">IF(Assumptions!$I$56=1,MAX(G392,Assumptions!$G$56)+Assumptions!$F$56+$C$393,Assumptions!$E$56)</f>
        <v>0.075</v>
      </c>
      <c r="H444" s="30" t="n">
        <f aca="false">IF(G557=1,$C$394,IF(Assumptions!$I$56=1,MAX(H392,Assumptions!$G$56)+Assumptions!$F$56+$C$393,Assumptions!$E$56))</f>
        <v>0.075</v>
      </c>
      <c r="I444" s="30" t="n">
        <f aca="false">IF(H557=1,$C$394,IF(Assumptions!$I$56=1,MAX(I392,Assumptions!$G$56)+Assumptions!$F$56+$C$393,Assumptions!$E$56))</f>
        <v>0.075</v>
      </c>
      <c r="J444" s="30" t="n">
        <f aca="false">IF(I557=1,$C$394,IF(Assumptions!$I$56=1,MAX(J392,Assumptions!$G$56)+Assumptions!$F$56+$C$393,Assumptions!$E$56))</f>
        <v>0.075</v>
      </c>
      <c r="K444" s="30" t="n">
        <f aca="false">IF(J557=1,$C$394,IF(Assumptions!$I$56=1,MAX(K392,Assumptions!$G$56)+Assumptions!$F$56+$C$393,Assumptions!$E$56))</f>
        <v>0.075</v>
      </c>
    </row>
    <row r="445" customFormat="false" ht="15" hidden="false" customHeight="false" outlineLevel="0" collapsed="false">
      <c r="A445" s="5" t="s">
        <v>267</v>
      </c>
      <c r="G445" s="25" t="n">
        <f aca="false">G441*G444</f>
        <v>22.5</v>
      </c>
      <c r="H445" s="25" t="n">
        <f aca="false">H441*H444</f>
        <v>22.5</v>
      </c>
      <c r="I445" s="25" t="n">
        <f aca="false">I441*I444</f>
        <v>22.5</v>
      </c>
      <c r="J445" s="25" t="n">
        <f aca="false">J441*J444</f>
        <v>22.5</v>
      </c>
      <c r="K445" s="25" t="n">
        <f aca="false">K441*K444</f>
        <v>22.5</v>
      </c>
    </row>
    <row r="446" customFormat="false" ht="15" hidden="false" customHeight="false" outlineLevel="0" collapsed="false">
      <c r="A446" s="5" t="s">
        <v>268</v>
      </c>
      <c r="G446" s="25" t="n">
        <f aca="false">G441*Assumptions!$H$56</f>
        <v>0</v>
      </c>
      <c r="H446" s="25" t="n">
        <f aca="false">H441*Assumptions!$H$56</f>
        <v>0</v>
      </c>
      <c r="I446" s="25" t="n">
        <f aca="false">I441*Assumptions!$H$56</f>
        <v>0</v>
      </c>
      <c r="J446" s="25" t="n">
        <f aca="false">J441*Assumptions!$H$56</f>
        <v>0</v>
      </c>
      <c r="K446" s="25" t="n">
        <f aca="false">K441*Assumptions!$H$56</f>
        <v>0</v>
      </c>
    </row>
    <row r="447" customFormat="false" ht="15" hidden="false" customHeight="false" outlineLevel="0" collapsed="false">
      <c r="A447" s="5" t="s">
        <v>269</v>
      </c>
      <c r="G447" s="25" t="n">
        <f aca="false">MIN(G441,Assumptions!$L$56*Assumptions!$C$56)</f>
        <v>0</v>
      </c>
      <c r="H447" s="25" t="n">
        <f aca="false">MIN(H441,Assumptions!$L$56*Assumptions!$C$56)</f>
        <v>0</v>
      </c>
      <c r="I447" s="25" t="n">
        <f aca="false">MIN(I441,Assumptions!$L$56*Assumptions!$C$56)</f>
        <v>0</v>
      </c>
      <c r="J447" s="25" t="n">
        <f aca="false">MIN(J441,Assumptions!$L$56*Assumptions!$C$56)</f>
        <v>0</v>
      </c>
      <c r="K447" s="25" t="n">
        <f aca="false">MIN(K441,Assumptions!$L$56*Assumptions!$C$56)</f>
        <v>0</v>
      </c>
    </row>
    <row r="448" customFormat="false" ht="15" hidden="false" customHeight="false" outlineLevel="0" collapsed="false">
      <c r="A448" s="5" t="s">
        <v>270</v>
      </c>
      <c r="G448" s="25" t="n">
        <f aca="false">IF(AND(Assumptions!$P$56=1,G366&lt;Assumptions!$K$56),MIN(MAX(0,-G480),MAX(0,Assumptions!$D$56-G441)),0)</f>
        <v>0</v>
      </c>
      <c r="H448" s="25" t="n">
        <f aca="false">IF(AND(Assumptions!$P$56=1,OR(H366&lt;Assumptions!$K$56,G557=1)),MIN(MAX(0,-H480),MAX(0,Assumptions!$D$56-H441)),0)</f>
        <v>0</v>
      </c>
      <c r="I448" s="25" t="n">
        <f aca="false">IF(AND(Assumptions!$P$56=1,OR(I366&lt;Assumptions!$K$56,H557=1)),MIN(MAX(0,-I480),MAX(0,Assumptions!$D$56-I441)),0)</f>
        <v>0</v>
      </c>
      <c r="J448" s="25" t="n">
        <f aca="false">IF(AND(Assumptions!$P$56=1,OR(J366&lt;Assumptions!$K$56,I557=1)),MIN(MAX(0,-J480),MAX(0,Assumptions!$D$56-J441)),0)</f>
        <v>0</v>
      </c>
      <c r="K448" s="25" t="n">
        <f aca="false">IF(AND(Assumptions!$P$56=1,OR(K366&lt;Assumptions!$K$56,J557=1)),MIN(MAX(0,-K480),MAX(0,Assumptions!$D$56-K441)),0)</f>
        <v>0</v>
      </c>
    </row>
    <row r="449" customFormat="false" ht="15" hidden="false" customHeight="false" outlineLevel="0" collapsed="false">
      <c r="A449" s="5" t="s">
        <v>271</v>
      </c>
      <c r="G449" s="25" t="n">
        <f aca="false">G442*MIN(G441-G447+G446,MAX(0,G482-Assumptions!$C$12*G400-G410-G423-G436))</f>
        <v>0</v>
      </c>
      <c r="H449" s="25" t="n">
        <f aca="false">H442*MIN(H441-H447+H446,MAX(0,H482-Assumptions!$C$12*H400-H410-H423-H436))</f>
        <v>0</v>
      </c>
      <c r="I449" s="25" t="n">
        <f aca="false">I442*MIN(I441-I447+I446,MAX(0,I482-Assumptions!$C$12*I400-I410-I423-I436))</f>
        <v>0</v>
      </c>
      <c r="J449" s="25" t="n">
        <f aca="false">J442*MIN(J441-J447+J446,MAX(0,J482-Assumptions!$C$12*J400-J410-J423-J436))</f>
        <v>0</v>
      </c>
      <c r="K449" s="25" t="n">
        <f aca="false">K442*MIN(K441-K447+K446,MAX(0,K482-Assumptions!$C$12*K400-K410-K423-K436))</f>
        <v>0</v>
      </c>
    </row>
    <row r="450" customFormat="false" ht="15" hidden="false" customHeight="false" outlineLevel="0" collapsed="false">
      <c r="A450" s="5" t="s">
        <v>272</v>
      </c>
      <c r="G450" s="25" t="n">
        <f aca="false">Assumptions!$N$56*MIN(G441+G448+G446-G447-G449,MAX(0,G486-G411-G424-G437))</f>
        <v>0</v>
      </c>
      <c r="H450" s="25" t="n">
        <f aca="false">Assumptions!$N$56*MIN(H441+H448+H446-H447-H449,MAX(0,H486-H411-H424-H437))</f>
        <v>0</v>
      </c>
      <c r="I450" s="25" t="n">
        <f aca="false">Assumptions!$N$56*MIN(I441+I448+I446-I447-I449,MAX(0,I486-I411-I424-I437))</f>
        <v>0</v>
      </c>
      <c r="J450" s="25" t="n">
        <f aca="false">Assumptions!$N$56*MIN(J441+J448+J446-J447-J449,MAX(0,J486-J411-J424-J437))</f>
        <v>0</v>
      </c>
      <c r="K450" s="25" t="n">
        <f aca="false">Assumptions!$N$56*MIN(K441+K448+K446-K447-K449,MAX(0,K486-K411-K424-K437))</f>
        <v>0</v>
      </c>
    </row>
    <row r="451" customFormat="false" ht="15" hidden="false" customHeight="false" outlineLevel="0" collapsed="false">
      <c r="A451" s="5" t="s">
        <v>273</v>
      </c>
      <c r="G451" s="25" t="n">
        <f aca="false">G442*(1-G400)*(G441-G447+G446-G449)</f>
        <v>0</v>
      </c>
      <c r="H451" s="25" t="n">
        <f aca="false">H442*(1-H400)*(H441-H447+H446-H449)</f>
        <v>300</v>
      </c>
      <c r="I451" s="25" t="n">
        <f aca="false">I442*(1-I400)*(I441-I447+I446-I449)</f>
        <v>0</v>
      </c>
      <c r="J451" s="25" t="n">
        <f aca="false">J442*(1-J400)*(J441-J447+J446-J449)</f>
        <v>0</v>
      </c>
      <c r="K451" s="25" t="n">
        <f aca="false">K442*(1-K400)*(K441-K447+K446-K449)</f>
        <v>0</v>
      </c>
    </row>
    <row r="452" customFormat="false" ht="15" hidden="false" customHeight="false" outlineLevel="0" collapsed="false">
      <c r="A452" s="2" t="s">
        <v>274</v>
      </c>
      <c r="F452" s="27" t="n">
        <f aca="false">Assumptions!$C$56</f>
        <v>300</v>
      </c>
      <c r="G452" s="16" t="n">
        <f aca="false">G441+G448+G446-G447-G449-G450</f>
        <v>300</v>
      </c>
      <c r="H452" s="16" t="n">
        <f aca="false">H441+H448+H446-H447-H449-H450</f>
        <v>300</v>
      </c>
      <c r="I452" s="16" t="n">
        <f aca="false">I441+I448+I446-I447-I449-I450</f>
        <v>300</v>
      </c>
      <c r="J452" s="16" t="n">
        <f aca="false">J441+J448+J446-J447-J449-J450</f>
        <v>300</v>
      </c>
      <c r="K452" s="16" t="n">
        <f aca="false">K441+K448+K446-K447-K449-K450</f>
        <v>300</v>
      </c>
    </row>
    <row r="453" customFormat="false" ht="15" hidden="false" customHeight="false" outlineLevel="0" collapsed="false">
      <c r="A453" s="23" t="s">
        <v>278</v>
      </c>
      <c r="B453" s="24"/>
      <c r="C453" s="24"/>
      <c r="D453" s="24"/>
      <c r="E453" s="24"/>
      <c r="F453" s="24"/>
      <c r="G453" s="24"/>
      <c r="H453" s="24"/>
      <c r="I453" s="24"/>
      <c r="J453" s="24"/>
      <c r="K453" s="24"/>
    </row>
    <row r="454" customFormat="false" ht="15" hidden="false" customHeight="false" outlineLevel="0" collapsed="false">
      <c r="A454" s="2" t="s">
        <v>279</v>
      </c>
      <c r="F454" s="16" t="n">
        <f aca="false">F413+F426+F439+F452</f>
        <v>1250</v>
      </c>
      <c r="G454" s="16" t="n">
        <f aca="false">G413+G426+G439+G452</f>
        <v>1281.0968</v>
      </c>
      <c r="H454" s="16" t="n">
        <f aca="false">H413+H426+H439+H452</f>
        <v>1275.8968</v>
      </c>
      <c r="I454" s="16" t="n">
        <f aca="false">I413+I426+I439+I452</f>
        <v>1270.6968</v>
      </c>
      <c r="J454" s="16" t="n">
        <f aca="false">J413+J426+J439+J452</f>
        <v>1265.4968</v>
      </c>
      <c r="K454" s="16" t="n">
        <f aca="false">K413+K426+K439+K452</f>
        <v>1260.2968</v>
      </c>
    </row>
    <row r="455" customFormat="false" ht="15" hidden="false" customHeight="false" outlineLevel="0" collapsed="false">
      <c r="A455" s="5" t="s">
        <v>280</v>
      </c>
      <c r="G455" s="25" t="n">
        <f aca="false">G403*Assumptions!$C$53+G416*Assumptions!$C$54+G429*Assumptions!$C$55+G442*Assumptions!$C$56</f>
        <v>0</v>
      </c>
      <c r="H455" s="25" t="n">
        <f aca="false">H403*Assumptions!$C$53+H416*Assumptions!$C$54+H429*Assumptions!$C$55+H442*Assumptions!$C$56</f>
        <v>480</v>
      </c>
      <c r="I455" s="25" t="n">
        <f aca="false">I403*Assumptions!$C$53+I416*Assumptions!$C$54+I429*Assumptions!$C$55+I442*Assumptions!$C$56</f>
        <v>520</v>
      </c>
      <c r="J455" s="25" t="n">
        <f aca="false">J403*Assumptions!$C$53+J416*Assumptions!$C$54+J429*Assumptions!$C$55+J442*Assumptions!$C$56</f>
        <v>250</v>
      </c>
      <c r="K455" s="25" t="n">
        <f aca="false">K403*Assumptions!$C$53+K416*Assumptions!$C$54+K429*Assumptions!$C$55+K442*Assumptions!$C$56</f>
        <v>0</v>
      </c>
    </row>
    <row r="456" customFormat="false" ht="15" hidden="false" customHeight="false" outlineLevel="0" collapsed="false">
      <c r="A456" s="23" t="s">
        <v>281</v>
      </c>
      <c r="B456" s="24"/>
      <c r="C456" s="24"/>
      <c r="D456" s="24"/>
      <c r="E456" s="24"/>
      <c r="F456" s="24"/>
      <c r="G456" s="24"/>
      <c r="H456" s="24"/>
      <c r="I456" s="24"/>
      <c r="J456" s="24"/>
      <c r="K456" s="24"/>
    </row>
    <row r="457" customFormat="false" ht="15" hidden="false" customHeight="false" outlineLevel="0" collapsed="false">
      <c r="A457" s="5" t="s">
        <v>282</v>
      </c>
      <c r="C457" s="25" t="n">
        <f aca="false">SUMPRODUCT($G$403:$K$403,$G$402:$K$402-$G$408:$K$408+$G$407:$K$407)</f>
        <v>216.2968</v>
      </c>
    </row>
    <row r="458" customFormat="false" ht="15" hidden="false" customHeight="false" outlineLevel="0" collapsed="false">
      <c r="A458" s="5" t="s">
        <v>283</v>
      </c>
      <c r="C458" s="25" t="n">
        <f aca="false">SUMPRODUCT($G$403:$K$403,$G$410:$K$410)</f>
        <v>0</v>
      </c>
    </row>
    <row r="459" customFormat="false" ht="15" hidden="false" customHeight="false" outlineLevel="0" collapsed="false">
      <c r="A459" s="5" t="s">
        <v>284</v>
      </c>
      <c r="C459" s="5" t="str">
        <f aca="false">IF(SUM($G$403:$K$403)=0,"n/a (beyond horizon)",IF(SUMPRODUCT($G$403:$K$403,$G$400:$K$400)&gt;0,"REFINANCING PASS","REFINANCING FAILURE"))</f>
        <v>REFINANCING FAILURE</v>
      </c>
    </row>
    <row r="460" customFormat="false" ht="15" hidden="false" customHeight="false" outlineLevel="0" collapsed="false">
      <c r="A460" s="5" t="s">
        <v>285</v>
      </c>
      <c r="C460" s="5" t="str">
        <f aca="false">IF(SUM($G$403:$K$403)=0,"n/a",IF(C458&gt;=C457-0.001,"Repaid from cash",IF(SUMPRODUCT($G$403:$K$403,$G$400:$K$400)&gt;0,IF(C458&gt;0,"Partly repaid; remainder refinanced","Refinanced"),IF(SUM($G$412:$K$412)&gt;0.001,IF(C458&gt;0,"Partial repayment; PAYMENT DEFAULT","PAYMENT DEFAULT"),"Repaid from cash"))))</f>
        <v>PAYMENT DEFAULT</v>
      </c>
    </row>
    <row r="461" customFormat="false" ht="15" hidden="false" customHeight="false" outlineLevel="0" collapsed="false">
      <c r="A461" s="5" t="s">
        <v>286</v>
      </c>
      <c r="C461" s="25" t="n">
        <f aca="false">SUMPRODUCT($G$416:$K$416,$G$415:$K$415-$G$421:$K$421+$G$420:$K$420)</f>
        <v>504.4</v>
      </c>
    </row>
    <row r="462" customFormat="false" ht="15" hidden="false" customHeight="false" outlineLevel="0" collapsed="false">
      <c r="A462" s="5" t="s">
        <v>287</v>
      </c>
      <c r="C462" s="25" t="n">
        <f aca="false">SUMPRODUCT($G$416:$K$416,$G$423:$K$423)</f>
        <v>0</v>
      </c>
    </row>
    <row r="463" customFormat="false" ht="15" hidden="false" customHeight="false" outlineLevel="0" collapsed="false">
      <c r="A463" s="5" t="s">
        <v>288</v>
      </c>
      <c r="C463" s="5" t="str">
        <f aca="false">IF(SUM($G$416:$K$416)=0,"n/a (beyond horizon)",IF(SUMPRODUCT($G$416:$K$416,$G$400:$K$400)&gt;0,"REFINANCING PASS","REFINANCING FAILURE"))</f>
        <v>REFINANCING FAILURE</v>
      </c>
    </row>
    <row r="464" customFormat="false" ht="15" hidden="false" customHeight="false" outlineLevel="0" collapsed="false">
      <c r="A464" s="5" t="s">
        <v>289</v>
      </c>
      <c r="C464" s="5" t="str">
        <f aca="false">IF(SUM($G$416:$K$416)=0,"n/a",IF(C462&gt;=C461-0.001,"Repaid from cash",IF(SUMPRODUCT($G$416:$K$416,$G$400:$K$400)&gt;0,IF(C462&gt;0,"Partly repaid; remainder refinanced","Refinanced"),IF(SUM($G$425:$K$425)&gt;0.001,IF(C462&gt;0,"Partial repayment; PAYMENT DEFAULT","PAYMENT DEFAULT"),"Repaid from cash"))))</f>
        <v>PAYMENT DEFAULT</v>
      </c>
    </row>
    <row r="465" customFormat="false" ht="15" hidden="false" customHeight="false" outlineLevel="0" collapsed="false">
      <c r="A465" s="5" t="s">
        <v>290</v>
      </c>
      <c r="C465" s="25" t="n">
        <f aca="false">SUMPRODUCT($G$429:$K$429,$G$428:$K$428-$G$434:$K$434+$G$433:$K$433)</f>
        <v>250</v>
      </c>
    </row>
    <row r="466" customFormat="false" ht="15" hidden="false" customHeight="false" outlineLevel="0" collapsed="false">
      <c r="A466" s="5" t="s">
        <v>291</v>
      </c>
      <c r="C466" s="25" t="n">
        <f aca="false">SUMPRODUCT($G$429:$K$429,$G$436:$K$436)</f>
        <v>0</v>
      </c>
    </row>
    <row r="467" customFormat="false" ht="15" hidden="false" customHeight="false" outlineLevel="0" collapsed="false">
      <c r="A467" s="5" t="s">
        <v>292</v>
      </c>
      <c r="C467" s="5" t="str">
        <f aca="false">IF(SUM($G$429:$K$429)=0,"n/a (beyond horizon)",IF(SUMPRODUCT($G$429:$K$429,$G$400:$K$400)&gt;0,"REFINANCING PASS","REFINANCING FAILURE"))</f>
        <v>REFINANCING FAILURE</v>
      </c>
    </row>
    <row r="468" customFormat="false" ht="15" hidden="false" customHeight="false" outlineLevel="0" collapsed="false">
      <c r="A468" s="5" t="s">
        <v>293</v>
      </c>
      <c r="C468" s="5" t="str">
        <f aca="false">IF(SUM($G$429:$K$429)=0,"n/a",IF(C466&gt;=C465-0.001,"Repaid from cash",IF(SUMPRODUCT($G$429:$K$429,$G$400:$K$400)&gt;0,IF(C466&gt;0,"Partly repaid; remainder refinanced","Refinanced"),IF(SUM($G$438:$K$438)&gt;0.001,IF(C466&gt;0,"Partial repayment; PAYMENT DEFAULT","PAYMENT DEFAULT"),"Repaid from cash"))))</f>
        <v>PAYMENT DEFAULT</v>
      </c>
    </row>
    <row r="469" customFormat="false" ht="15" hidden="false" customHeight="false" outlineLevel="0" collapsed="false">
      <c r="A469" s="5" t="s">
        <v>294</v>
      </c>
      <c r="C469" s="25" t="n">
        <f aca="false">SUMPRODUCT($G$442:$K$442,$G$441:$K$441-$G$447:$K$447+$G$446:$K$446)</f>
        <v>300</v>
      </c>
    </row>
    <row r="470" customFormat="false" ht="15" hidden="false" customHeight="false" outlineLevel="0" collapsed="false">
      <c r="A470" s="5" t="s">
        <v>295</v>
      </c>
      <c r="C470" s="25" t="n">
        <f aca="false">SUMPRODUCT($G$442:$K$442,$G$449:$K$449)</f>
        <v>0</v>
      </c>
    </row>
    <row r="471" customFormat="false" ht="15" hidden="false" customHeight="false" outlineLevel="0" collapsed="false">
      <c r="A471" s="5" t="s">
        <v>296</v>
      </c>
      <c r="C471" s="5" t="str">
        <f aca="false">IF(SUM($G$442:$K$442)=0,"n/a (beyond horizon)",IF(SUMPRODUCT($G$442:$K$442,$G$400:$K$400)&gt;0,"REFINANCING PASS","REFINANCING FAILURE"))</f>
        <v>REFINANCING FAILURE</v>
      </c>
    </row>
    <row r="472" customFormat="false" ht="15" hidden="false" customHeight="false" outlineLevel="0" collapsed="false">
      <c r="A472" s="5" t="s">
        <v>297</v>
      </c>
      <c r="C472" s="5" t="str">
        <f aca="false">IF(SUM($G$442:$K$442)=0,"n/a",IF(C470&gt;=C469-0.001,"Repaid from cash",IF(SUMPRODUCT($G$442:$K$442,$G$400:$K$400)&gt;0,IF(C470&gt;0,"Partly repaid; remainder refinanced","Refinanced"),IF(SUM($G$451:$K$451)&gt;0.001,IF(C470&gt;0,"Partial repayment; PAYMENT DEFAULT","PAYMENT DEFAULT"),"Repaid from cash"))))</f>
        <v>PAYMENT DEFAULT</v>
      </c>
    </row>
    <row r="473" customFormat="false" ht="15" hidden="false" customHeight="false" outlineLevel="0" collapsed="false">
      <c r="A473" s="5" t="s">
        <v>298</v>
      </c>
      <c r="C473" s="20" t="n">
        <f aca="false">IF(C459="REFINANCING FAILURE",1,0)+IF(C463="REFINANCING FAILURE",1,0)+IF(C467="REFINANCING FAILURE",1,0)+IF(C471="REFINANCING FAILURE",1,0)</f>
        <v>4</v>
      </c>
    </row>
    <row r="475" customFormat="false" ht="15" hidden="false" customHeight="false" outlineLevel="0" collapsed="false">
      <c r="A475" s="23" t="s">
        <v>300</v>
      </c>
      <c r="B475" s="24"/>
      <c r="C475" s="24"/>
      <c r="D475" s="24"/>
      <c r="E475" s="24"/>
      <c r="F475" s="24"/>
      <c r="G475" s="24"/>
      <c r="H475" s="24"/>
      <c r="I475" s="24"/>
      <c r="J475" s="24"/>
      <c r="K475" s="24"/>
    </row>
    <row r="476" customFormat="false" ht="15" hidden="false" customHeight="false" outlineLevel="0" collapsed="false">
      <c r="A476" s="5" t="s">
        <v>260</v>
      </c>
      <c r="G476" s="25" t="n">
        <f aca="false">F488</f>
        <v>45</v>
      </c>
      <c r="H476" s="25" t="n">
        <f aca="false">G488</f>
        <v>0</v>
      </c>
      <c r="I476" s="25" t="n">
        <f aca="false">H488</f>
        <v>-121.3557292</v>
      </c>
      <c r="J476" s="25" t="n">
        <f aca="false">I488</f>
        <v>-236.702175152</v>
      </c>
      <c r="K476" s="25" t="n">
        <f aca="false">J488</f>
        <v>-337.79889141424</v>
      </c>
    </row>
    <row r="477" customFormat="false" ht="15" hidden="false" customHeight="false" outlineLevel="0" collapsed="false">
      <c r="A477" s="5" t="s">
        <v>301</v>
      </c>
      <c r="G477" s="25" t="n">
        <f aca="false">G389</f>
        <v>-76.0968</v>
      </c>
      <c r="H477" s="25" t="n">
        <f aca="false">H389</f>
        <v>-116.1557292</v>
      </c>
      <c r="I477" s="25" t="n">
        <f aca="false">I389</f>
        <v>-110.146445952</v>
      </c>
      <c r="J477" s="25" t="n">
        <f aca="false">J389</f>
        <v>-95.89671626224</v>
      </c>
      <c r="K477" s="25" t="n">
        <f aca="false">K389</f>
        <v>-83.18519092616</v>
      </c>
    </row>
    <row r="478" customFormat="false" ht="15" hidden="false" customHeight="false" outlineLevel="0" collapsed="false">
      <c r="A478" s="5" t="s">
        <v>302</v>
      </c>
      <c r="G478" s="25" t="n">
        <f aca="false">CHOOSE($C$359,Assumptions!$G$68,Assumptions!$G$87,Assumptions!$G$106)</f>
        <v>0</v>
      </c>
      <c r="H478" s="25" t="n">
        <f aca="false">CHOOSE($C$359,Assumptions!$H$68,Assumptions!$H$87,Assumptions!$H$106)</f>
        <v>0</v>
      </c>
      <c r="I478" s="25" t="n">
        <f aca="false">CHOOSE($C$359,Assumptions!$I$68,Assumptions!$I$87,Assumptions!$I$106)</f>
        <v>0</v>
      </c>
      <c r="J478" s="25" t="n">
        <f aca="false">CHOOSE($C$359,Assumptions!$J$68,Assumptions!$J$87,Assumptions!$J$106)</f>
        <v>0</v>
      </c>
      <c r="K478" s="25" t="n">
        <f aca="false">CHOOSE($C$359,Assumptions!$K$68,Assumptions!$K$87,Assumptions!$K$106)</f>
        <v>0</v>
      </c>
    </row>
    <row r="479" customFormat="false" ht="15" hidden="false" customHeight="false" outlineLevel="0" collapsed="false">
      <c r="A479" s="5" t="s">
        <v>303</v>
      </c>
      <c r="G479" s="25" t="n">
        <f aca="false">G408+G421+G434+G447</f>
        <v>5.2</v>
      </c>
      <c r="H479" s="25" t="n">
        <f aca="false">H408+H421+H434+H447</f>
        <v>5.2</v>
      </c>
      <c r="I479" s="25" t="n">
        <f aca="false">I408+I421+I434+I447</f>
        <v>5.2</v>
      </c>
      <c r="J479" s="25" t="n">
        <f aca="false">J408+J421+J434+J447</f>
        <v>5.2</v>
      </c>
      <c r="K479" s="25" t="n">
        <f aca="false">K408+K421+K434+K447</f>
        <v>5.2</v>
      </c>
    </row>
    <row r="480" customFormat="false" ht="15" hidden="false" customHeight="false" outlineLevel="0" collapsed="false">
      <c r="A480" s="2" t="s">
        <v>304</v>
      </c>
      <c r="G480" s="16" t="n">
        <f aca="false">G476+G477+G478-G479</f>
        <v>-36.2968000000001</v>
      </c>
      <c r="H480" s="16" t="n">
        <f aca="false">H476+H477+H478-H479</f>
        <v>-121.3557292</v>
      </c>
      <c r="I480" s="16" t="n">
        <f aca="false">I476+I477+I478-I479</f>
        <v>-236.702175152</v>
      </c>
      <c r="J480" s="16" t="n">
        <f aca="false">J476+J477+J478-J479</f>
        <v>-337.79889141424</v>
      </c>
      <c r="K480" s="16" t="n">
        <f aca="false">K476+K477+K478-K479</f>
        <v>-426.1840823404</v>
      </c>
    </row>
    <row r="481" customFormat="false" ht="15" hidden="false" customHeight="false" outlineLevel="0" collapsed="false">
      <c r="A481" s="5" t="s">
        <v>305</v>
      </c>
      <c r="G481" s="25" t="n">
        <f aca="false">G409+G422+G435+G448</f>
        <v>36.2968000000001</v>
      </c>
      <c r="H481" s="25" t="n">
        <f aca="false">H409+H422+H435+H448</f>
        <v>0</v>
      </c>
      <c r="I481" s="25" t="n">
        <f aca="false">I409+I422+I435+I448</f>
        <v>0</v>
      </c>
      <c r="J481" s="25" t="n">
        <f aca="false">J409+J422+J435+J448</f>
        <v>0</v>
      </c>
      <c r="K481" s="25" t="n">
        <f aca="false">K409+K422+K435+K448</f>
        <v>0</v>
      </c>
    </row>
    <row r="482" customFormat="false" ht="15" hidden="false" customHeight="false" outlineLevel="0" collapsed="false">
      <c r="A482" s="2" t="s">
        <v>306</v>
      </c>
      <c r="G482" s="16" t="n">
        <f aca="false">G480+G481</f>
        <v>0</v>
      </c>
      <c r="H482" s="16" t="n">
        <f aca="false">H480+H481</f>
        <v>-121.3557292</v>
      </c>
      <c r="I482" s="16" t="n">
        <f aca="false">I480+I481</f>
        <v>-236.702175152</v>
      </c>
      <c r="J482" s="16" t="n">
        <f aca="false">J480+J481</f>
        <v>-337.79889141424</v>
      </c>
      <c r="K482" s="16" t="n">
        <f aca="false">K480+K481</f>
        <v>-426.1840823404</v>
      </c>
    </row>
    <row r="483" customFormat="false" ht="15" hidden="false" customHeight="false" outlineLevel="0" collapsed="false">
      <c r="A483" s="5" t="s">
        <v>307</v>
      </c>
      <c r="G483" s="25" t="n">
        <f aca="false">G410+G423+G436+G449</f>
        <v>0</v>
      </c>
      <c r="H483" s="25" t="n">
        <f aca="false">H410+H423+H436+H449</f>
        <v>0</v>
      </c>
      <c r="I483" s="25" t="n">
        <f aca="false">I410+I423+I436+I449</f>
        <v>0</v>
      </c>
      <c r="J483" s="25" t="n">
        <f aca="false">J410+J423+J436+J449</f>
        <v>0</v>
      </c>
      <c r="K483" s="25" t="n">
        <f aca="false">K410+K423+K436+K449</f>
        <v>0</v>
      </c>
    </row>
    <row r="484" customFormat="false" ht="15" hidden="false" customHeight="false" outlineLevel="0" collapsed="false">
      <c r="A484" s="2" t="s">
        <v>308</v>
      </c>
      <c r="G484" s="16" t="n">
        <f aca="false">G482-G483</f>
        <v>0</v>
      </c>
      <c r="H484" s="16" t="n">
        <f aca="false">H482-H483</f>
        <v>-121.3557292</v>
      </c>
      <c r="I484" s="16" t="n">
        <f aca="false">I482-I483</f>
        <v>-236.702175152</v>
      </c>
      <c r="J484" s="16" t="n">
        <f aca="false">J482-J483</f>
        <v>-337.79889141424</v>
      </c>
      <c r="K484" s="16" t="n">
        <f aca="false">K482-K483</f>
        <v>-426.1840823404</v>
      </c>
    </row>
    <row r="485" customFormat="false" ht="15" hidden="false" customHeight="false" outlineLevel="0" collapsed="false">
      <c r="A485" s="5" t="s">
        <v>309</v>
      </c>
      <c r="G485" s="25" t="n">
        <f aca="false">MAX(0,-G484)</f>
        <v>-0</v>
      </c>
      <c r="H485" s="25" t="n">
        <f aca="false">MAX(0,-H484)</f>
        <v>121.3557292</v>
      </c>
      <c r="I485" s="25" t="n">
        <f aca="false">MAX(0,-I484)</f>
        <v>236.702175152</v>
      </c>
      <c r="J485" s="25" t="n">
        <f aca="false">MAX(0,-J484)</f>
        <v>337.79889141424</v>
      </c>
      <c r="K485" s="25" t="n">
        <f aca="false">MAX(0,-K484)</f>
        <v>426.1840823404</v>
      </c>
    </row>
    <row r="486" customFormat="false" ht="15" hidden="false" customHeight="false" outlineLevel="0" collapsed="false">
      <c r="A486" s="5" t="s">
        <v>310</v>
      </c>
      <c r="G486" s="25" t="n">
        <f aca="false">MAX(0,G484-Assumptions!$C$12)*Assumptions!$C$13</f>
        <v>0</v>
      </c>
      <c r="H486" s="25" t="n">
        <f aca="false">MAX(0,H484-Assumptions!$C$12)*Assumptions!$C$13</f>
        <v>0</v>
      </c>
      <c r="I486" s="25" t="n">
        <f aca="false">MAX(0,I484-Assumptions!$C$12)*Assumptions!$C$13</f>
        <v>0</v>
      </c>
      <c r="J486" s="25" t="n">
        <f aca="false">MAX(0,J484-Assumptions!$C$12)*Assumptions!$C$13</f>
        <v>0</v>
      </c>
      <c r="K486" s="25" t="n">
        <f aca="false">MAX(0,K484-Assumptions!$C$12)*Assumptions!$C$13</f>
        <v>0</v>
      </c>
    </row>
    <row r="487" customFormat="false" ht="15" hidden="false" customHeight="false" outlineLevel="0" collapsed="false">
      <c r="A487" s="5" t="s">
        <v>311</v>
      </c>
      <c r="G487" s="25" t="n">
        <f aca="false">G411+G424+G437+G450</f>
        <v>0</v>
      </c>
      <c r="H487" s="25" t="n">
        <f aca="false">H411+H424+H437+H450</f>
        <v>0</v>
      </c>
      <c r="I487" s="25" t="n">
        <f aca="false">I411+I424+I437+I450</f>
        <v>0</v>
      </c>
      <c r="J487" s="25" t="n">
        <f aca="false">J411+J424+J437+J450</f>
        <v>0</v>
      </c>
      <c r="K487" s="25" t="n">
        <f aca="false">K411+K424+K437+K450</f>
        <v>0</v>
      </c>
    </row>
    <row r="488" customFormat="false" ht="15" hidden="false" customHeight="false" outlineLevel="0" collapsed="false">
      <c r="A488" s="2" t="s">
        <v>312</v>
      </c>
      <c r="F488" s="27" t="n">
        <f aca="false">Assumptions!$C$11</f>
        <v>45</v>
      </c>
      <c r="G488" s="16" t="n">
        <f aca="false">G484-G487</f>
        <v>0</v>
      </c>
      <c r="H488" s="16" t="n">
        <f aca="false">H484-H487</f>
        <v>-121.3557292</v>
      </c>
      <c r="I488" s="16" t="n">
        <f aca="false">I484-I487</f>
        <v>-236.702175152</v>
      </c>
      <c r="J488" s="16" t="n">
        <f aca="false">J484-J487</f>
        <v>-337.79889141424</v>
      </c>
      <c r="K488" s="16" t="n">
        <f aca="false">K484-K487</f>
        <v>-426.1840823404</v>
      </c>
    </row>
    <row r="489" customFormat="false" ht="15" hidden="false" customHeight="false" outlineLevel="0" collapsed="false">
      <c r="A489" s="5" t="s">
        <v>313</v>
      </c>
      <c r="G489" s="25" t="n">
        <f aca="false">G412+G425+G438+G451</f>
        <v>0</v>
      </c>
      <c r="H489" s="25" t="n">
        <f aca="false">H412+H425+H438+H451</f>
        <v>516.2968</v>
      </c>
      <c r="I489" s="25" t="n">
        <f aca="false">I412+I425+I438+I451</f>
        <v>504.4</v>
      </c>
      <c r="J489" s="25" t="n">
        <f aca="false">J412+J425+J438+J451</f>
        <v>250</v>
      </c>
      <c r="K489" s="25" t="n">
        <f aca="false">K412+K425+K438+K451</f>
        <v>0</v>
      </c>
    </row>
    <row r="490" customFormat="false" ht="15" hidden="false" customHeight="false" outlineLevel="0" collapsed="false">
      <c r="A490" s="5" t="s">
        <v>314</v>
      </c>
      <c r="G490" s="20" t="n">
        <f aca="false">IF(OR(G485&gt;0.001,G489&gt;0.001),1,0)</f>
        <v>0</v>
      </c>
      <c r="H490" s="20" t="n">
        <f aca="false">IF(OR(H485&gt;0.001,H489&gt;0.001),1,0)</f>
        <v>1</v>
      </c>
      <c r="I490" s="20" t="n">
        <f aca="false">IF(OR(I485&gt;0.001,I489&gt;0.001),1,0)</f>
        <v>1</v>
      </c>
      <c r="J490" s="20" t="n">
        <f aca="false">IF(OR(J485&gt;0.001,J489&gt;0.001),1,0)</f>
        <v>1</v>
      </c>
      <c r="K490" s="20" t="n">
        <f aca="false">IF(OR(K485&gt;0.001,K489&gt;0.001),1,0)</f>
        <v>1</v>
      </c>
    </row>
    <row r="491" customFormat="false" ht="15" hidden="false" customHeight="false" outlineLevel="0" collapsed="false">
      <c r="A491" s="5" t="s">
        <v>315</v>
      </c>
      <c r="G491" s="20" t="n">
        <f aca="false">IF(G490=1,1,0)</f>
        <v>0</v>
      </c>
      <c r="H491" s="20" t="n">
        <f aca="false">IF(AND(H490=1,SUM($G$490:G490)=0),1,0)</f>
        <v>1</v>
      </c>
      <c r="I491" s="20" t="n">
        <f aca="false">IF(AND(I490=1,SUM($G$490:H490)=0),1,0)</f>
        <v>0</v>
      </c>
      <c r="J491" s="20" t="n">
        <f aca="false">IF(AND(J490=1,SUM($G$490:I490)=0),1,0)</f>
        <v>0</v>
      </c>
      <c r="K491" s="20" t="n">
        <f aca="false">IF(AND(K490=1,SUM($G$490:J490)=0),1,0)</f>
        <v>0</v>
      </c>
    </row>
    <row r="492" customFormat="false" ht="15" hidden="false" customHeight="false" outlineLevel="0" collapsed="false">
      <c r="A492" s="5" t="s">
        <v>316</v>
      </c>
      <c r="G492" s="25" t="n">
        <f aca="false">(G454-F454)-(G481+G381-G479-G483-G487)</f>
        <v>0</v>
      </c>
      <c r="H492" s="25" t="n">
        <f aca="false">(H454-G454)-(H481+H381-H479-H483-H487)</f>
        <v>-4.52970994047064E-014</v>
      </c>
      <c r="I492" s="25" t="n">
        <f aca="false">(I454-H454)-(I481+I381-I479-I483-I487)</f>
        <v>1.82076576038526E-013</v>
      </c>
      <c r="J492" s="25" t="n">
        <f aca="false">(J454-I454)-(J481+J381-J479-J483-J487)</f>
        <v>-2.72670774847938E-013</v>
      </c>
      <c r="K492" s="25" t="n">
        <f aca="false">(K454-J454)-(K481+K381-K479-K483-K487)</f>
        <v>1.82076576038526E-013</v>
      </c>
    </row>
    <row r="494" customFormat="false" ht="15" hidden="false" customHeight="false" outlineLevel="0" collapsed="false">
      <c r="A494" s="23" t="s">
        <v>318</v>
      </c>
      <c r="B494" s="24"/>
      <c r="C494" s="24"/>
      <c r="D494" s="24"/>
      <c r="E494" s="24"/>
      <c r="F494" s="24"/>
      <c r="G494" s="24"/>
      <c r="H494" s="24"/>
      <c r="I494" s="24"/>
      <c r="J494" s="24"/>
      <c r="K494" s="24"/>
    </row>
    <row r="495" customFormat="false" ht="15" hidden="false" customHeight="false" outlineLevel="0" collapsed="false">
      <c r="A495" s="5" t="s">
        <v>319</v>
      </c>
      <c r="G495" s="25" t="n">
        <f aca="false">G454</f>
        <v>1281.0968</v>
      </c>
      <c r="H495" s="25" t="n">
        <f aca="false">H454</f>
        <v>1275.8968</v>
      </c>
      <c r="I495" s="25" t="n">
        <f aca="false">I454</f>
        <v>1270.6968</v>
      </c>
      <c r="J495" s="25" t="n">
        <f aca="false">J454</f>
        <v>1265.4968</v>
      </c>
      <c r="K495" s="25" t="n">
        <f aca="false">K454</f>
        <v>1260.2968</v>
      </c>
    </row>
    <row r="496" customFormat="false" ht="15" hidden="false" customHeight="false" outlineLevel="0" collapsed="false">
      <c r="A496" s="5" t="s">
        <v>320</v>
      </c>
      <c r="G496" s="25" t="n">
        <f aca="false">Assumptions!$O$53*G413+Assumptions!$O$54*G426+Assumptions!$O$55*G439+Assumptions!$O$56*G452</f>
        <v>981.0968</v>
      </c>
      <c r="H496" s="25" t="n">
        <f aca="false">Assumptions!$O$53*H413+Assumptions!$O$54*H426+Assumptions!$O$55*H439+Assumptions!$O$56*H452</f>
        <v>975.8968</v>
      </c>
      <c r="I496" s="25" t="n">
        <f aca="false">Assumptions!$O$53*I413+Assumptions!$O$54*I426+Assumptions!$O$55*I439+Assumptions!$O$56*I452</f>
        <v>970.6968</v>
      </c>
      <c r="J496" s="25" t="n">
        <f aca="false">Assumptions!$O$53*J413+Assumptions!$O$54*J426+Assumptions!$O$55*J439+Assumptions!$O$56*J452</f>
        <v>965.4968</v>
      </c>
      <c r="K496" s="25" t="n">
        <f aca="false">Assumptions!$O$53*K413+Assumptions!$O$54*K426+Assumptions!$O$55*K439+Assumptions!$O$56*K452</f>
        <v>960.2968</v>
      </c>
    </row>
    <row r="497" customFormat="false" ht="15" hidden="false" customHeight="false" outlineLevel="0" collapsed="false">
      <c r="A497" s="5" t="s">
        <v>321</v>
      </c>
      <c r="G497" s="25" t="n">
        <f aca="false">G495-G488</f>
        <v>1281.0968</v>
      </c>
      <c r="H497" s="25" t="n">
        <f aca="false">H495-H488</f>
        <v>1397.2525292</v>
      </c>
      <c r="I497" s="25" t="n">
        <f aca="false">I495-I488</f>
        <v>1507.398975152</v>
      </c>
      <c r="J497" s="25" t="n">
        <f aca="false">J495-J488</f>
        <v>1603.29569141424</v>
      </c>
      <c r="K497" s="25" t="n">
        <f aca="false">K495-K488</f>
        <v>1686.4808823404</v>
      </c>
    </row>
    <row r="498" customFormat="false" ht="15" hidden="false" customHeight="false" outlineLevel="0" collapsed="false">
      <c r="A498" s="5" t="s">
        <v>322</v>
      </c>
      <c r="G498" s="31" t="n">
        <f aca="false">IF(G376&gt;0,G495/G376,0)</f>
        <v>16.5413800227249</v>
      </c>
      <c r="H498" s="31" t="n">
        <f aca="false">IF(H376&gt;0,H495/H376,0)</f>
        <v>26.0868812807611</v>
      </c>
      <c r="I498" s="31" t="n">
        <f aca="false">IF(I376&gt;0,I495/I376,0)</f>
        <v>20.7088178018065</v>
      </c>
      <c r="J498" s="31" t="n">
        <f aca="false">IF(J376&gt;0,J495/J376,0)</f>
        <v>17.2611283222678</v>
      </c>
      <c r="K498" s="31" t="n">
        <f aca="false">IF(K376&gt;0,K495/K376,0)</f>
        <v>14.8227900209479</v>
      </c>
    </row>
    <row r="499" customFormat="false" ht="15" hidden="false" customHeight="false" outlineLevel="0" collapsed="false">
      <c r="A499" s="5" t="s">
        <v>323</v>
      </c>
      <c r="G499" s="31" t="n">
        <f aca="false">IF(G376&gt;0,G497/G376,0)</f>
        <v>16.5413800227249</v>
      </c>
      <c r="H499" s="31" t="n">
        <f aca="false">IF(H376&gt;0,H497/H376,0)</f>
        <v>28.5681105622991</v>
      </c>
      <c r="I499" s="31" t="n">
        <f aca="false">IF(I376&gt;0,I497/I376,0)</f>
        <v>24.5664038274533</v>
      </c>
      <c r="J499" s="31" t="n">
        <f aca="false">IF(J376&gt;0,J497/J376,0)</f>
        <v>21.8686389946149</v>
      </c>
      <c r="K499" s="31" t="n">
        <f aca="false">IF(K376&gt;0,K497/K376,0)</f>
        <v>19.8352895867661</v>
      </c>
    </row>
    <row r="500" customFormat="false" ht="15" hidden="false" customHeight="false" outlineLevel="0" collapsed="false">
      <c r="A500" s="5" t="s">
        <v>324</v>
      </c>
      <c r="G500" s="31" t="n">
        <f aca="false">IF(G380&gt;0,G376/G380,0)</f>
        <v>0.597869383974062</v>
      </c>
      <c r="H500" s="31" t="n">
        <f aca="false">IF(H380&gt;0,H376/H380,0)</f>
        <v>0.374027109660081</v>
      </c>
      <c r="I500" s="31" t="n">
        <f aca="false">IF(I380&gt;0,I376/I380,0)</f>
        <v>0.478071824514175</v>
      </c>
      <c r="J500" s="31" t="n">
        <f aca="false">IF(J380&gt;0,J376/J380,0)</f>
        <v>0.573840521753012</v>
      </c>
      <c r="K500" s="31" t="n">
        <f aca="false">IF(K380&gt;0,K376/K380,0)</f>
        <v>0.668565910880975</v>
      </c>
    </row>
    <row r="501" customFormat="false" ht="15" hidden="false" customHeight="false" outlineLevel="0" collapsed="false">
      <c r="A501" s="5" t="s">
        <v>325</v>
      </c>
      <c r="G501" s="31" t="n">
        <f aca="false">IF(G380&gt;0,G379/G380,0)</f>
        <v>0.222065771190366</v>
      </c>
      <c r="H501" s="31" t="n">
        <f aca="false">IF(H380&gt;0,H379/H380,0)</f>
        <v>0.0162620482460903</v>
      </c>
      <c r="I501" s="31" t="n">
        <f aca="false">IF(I380&gt;0,I379/I380,0)</f>
        <v>0.115396647296525</v>
      </c>
      <c r="J501" s="31" t="n">
        <f aca="false">IF(J380&gt;0,J379/J380,0)</f>
        <v>0.213140765222547</v>
      </c>
      <c r="K501" s="31" t="n">
        <f aca="false">IF(K380&gt;0,K379/K380,0)</f>
        <v>0.309823226993622</v>
      </c>
    </row>
    <row r="502" customFormat="false" ht="15" hidden="false" customHeight="false" outlineLevel="0" collapsed="false">
      <c r="A502" s="5" t="s">
        <v>182</v>
      </c>
      <c r="G502" s="21" t="n">
        <f aca="false">IF(G495&gt;0,G389/G495,0)</f>
        <v>-0.0593997268590477</v>
      </c>
      <c r="H502" s="21" t="n">
        <f aca="false">IF(H495&gt;0,H389/H495,0)</f>
        <v>-0.0910384987249753</v>
      </c>
      <c r="I502" s="21" t="n">
        <f aca="false">IF(I495&gt;0,I389/I495,0)</f>
        <v>-0.086681925973214</v>
      </c>
      <c r="J502" s="21" t="n">
        <f aca="false">IF(J495&gt;0,J389/J495,0)</f>
        <v>-0.0757779207835532</v>
      </c>
      <c r="K502" s="21" t="n">
        <f aca="false">IF(K495&gt;0,K389/K495,0)</f>
        <v>-0.0660044450848086</v>
      </c>
    </row>
    <row r="503" customFormat="false" ht="15" hidden="false" customHeight="false" outlineLevel="0" collapsed="false">
      <c r="A503" s="5" t="s">
        <v>326</v>
      </c>
      <c r="G503" s="31" t="n">
        <f aca="false">IF(G380+G479&gt;0,(G376-G387-G384)/(G380+G479),0)</f>
        <v>0.262763841472466</v>
      </c>
      <c r="H503" s="31" t="n">
        <f aca="false">IF(H380+H479&gt;0,(H376-H387-H384)/(H380+H479),0)</f>
        <v>0.0625604092748976</v>
      </c>
      <c r="I503" s="31" t="n">
        <f aca="false">IF(I380+I479&gt;0,(I376-I387-I384)/(I380+I479),0)</f>
        <v>0.158433508080696</v>
      </c>
      <c r="J503" s="31" t="n">
        <f aca="false">IF(J380+J479&gt;0,(J376-J387-J384)/(J380+J479),0)</f>
        <v>0.252067742993116</v>
      </c>
      <c r="K503" s="31" t="n">
        <f aca="false">IF(K380+K479&gt;0,(K376-K387-K384)/(K380+K479),0)</f>
        <v>0.344650334570687</v>
      </c>
    </row>
    <row r="504" customFormat="false" ht="15" hidden="false" customHeight="false" outlineLevel="0" collapsed="false">
      <c r="A504" s="5" t="s">
        <v>327</v>
      </c>
      <c r="G504" s="25" t="n">
        <f aca="false">MAX(0,G488)+Assumptions!$P$53*MAX(0,Assumptions!$D$53-G413)+Assumptions!$P$54*MAX(0,Assumptions!$D$54-G426)+Assumptions!$P$55*MAX(0,Assumptions!$D$55-G439)+Assumptions!$P$56*MAX(0,Assumptions!$D$56-G452)</f>
        <v>83.7032</v>
      </c>
      <c r="H504" s="25" t="n">
        <f aca="false">MAX(0,H488)+Assumptions!$P$53*MAX(0,Assumptions!$D$53-H413)+Assumptions!$P$54*MAX(0,Assumptions!$D$54-H426)+Assumptions!$P$55*MAX(0,Assumptions!$D$55-H439)+Assumptions!$P$56*MAX(0,Assumptions!$D$56-H452)</f>
        <v>83.7032</v>
      </c>
      <c r="I504" s="25" t="n">
        <f aca="false">MAX(0,I488)+Assumptions!$P$53*MAX(0,Assumptions!$D$53-I413)+Assumptions!$P$54*MAX(0,Assumptions!$D$54-I426)+Assumptions!$P$55*MAX(0,Assumptions!$D$55-I439)+Assumptions!$P$56*MAX(0,Assumptions!$D$56-I452)</f>
        <v>83.7032</v>
      </c>
      <c r="J504" s="25" t="n">
        <f aca="false">MAX(0,J488)+Assumptions!$P$53*MAX(0,Assumptions!$D$53-J413)+Assumptions!$P$54*MAX(0,Assumptions!$D$54-J426)+Assumptions!$P$55*MAX(0,Assumptions!$D$55-J439)+Assumptions!$P$56*MAX(0,Assumptions!$D$56-J452)</f>
        <v>83.7032</v>
      </c>
      <c r="K504" s="25" t="n">
        <f aca="false">MAX(0,K488)+Assumptions!$P$53*MAX(0,Assumptions!$D$53-K413)+Assumptions!$P$54*MAX(0,Assumptions!$D$54-K426)+Assumptions!$P$55*MAX(0,Assumptions!$D$55-K439)+Assumptions!$P$56*MAX(0,Assumptions!$D$56-K452)</f>
        <v>83.7032</v>
      </c>
    </row>
    <row r="505" customFormat="false" ht="15" hidden="false" customHeight="false" outlineLevel="0" collapsed="false">
      <c r="A505" s="5" t="s">
        <v>328</v>
      </c>
      <c r="G505" s="21" t="n">
        <f aca="false">IF(G495&gt;0,G495/(G495+MAX(0,G376*CHOOSE($C$359,Assumptions!$C$76,Assumptions!$C$95,Assumptions!$C$114)-G497)),0)</f>
        <v>1</v>
      </c>
      <c r="H505" s="21" t="n">
        <f aca="false">IF(H495&gt;0,H495/(H495+MAX(0,H376*CHOOSE($C$359,Assumptions!$C$76,Assumptions!$C$95,Assumptions!$C$114)-H497)),0)</f>
        <v>1</v>
      </c>
      <c r="I505" s="21" t="n">
        <f aca="false">IF(I495&gt;0,I495/(I495+MAX(0,I376*CHOOSE($C$359,Assumptions!$C$76,Assumptions!$C$95,Assumptions!$C$114)-I497)),0)</f>
        <v>1</v>
      </c>
      <c r="J505" s="21" t="n">
        <f aca="false">IF(J495&gt;0,J495/(J495+MAX(0,J376*CHOOSE($C$359,Assumptions!$C$76,Assumptions!$C$95,Assumptions!$C$114)-J497)),0)</f>
        <v>1</v>
      </c>
      <c r="K505" s="21" t="n">
        <f aca="false">IF(K495&gt;0,K495/(K495+MAX(0,K376*CHOOSE($C$359,Assumptions!$C$76,Assumptions!$C$95,Assumptions!$C$114)-K497)),0)</f>
        <v>1</v>
      </c>
    </row>
    <row r="506" customFormat="false" ht="15" hidden="false" customHeight="false" outlineLevel="0" collapsed="false">
      <c r="A506" s="5" t="s">
        <v>329</v>
      </c>
      <c r="G506" s="21" t="n">
        <f aca="false">IF(G495&gt;0,MAX(0,G488)/G495,0)</f>
        <v>0</v>
      </c>
      <c r="H506" s="21" t="n">
        <f aca="false">IF(H495&gt;0,MAX(0,H488)/H495,0)</f>
        <v>0</v>
      </c>
      <c r="I506" s="21" t="n">
        <f aca="false">IF(I495&gt;0,MAX(0,I488)/I495,0)</f>
        <v>0</v>
      </c>
      <c r="J506" s="21" t="n">
        <f aca="false">IF(J495&gt;0,MAX(0,J488)/J495,0)</f>
        <v>0</v>
      </c>
      <c r="K506" s="21" t="n">
        <f aca="false">IF(K495&gt;0,MAX(0,K488)/K495,0)</f>
        <v>0</v>
      </c>
    </row>
    <row r="507" customFormat="false" ht="15" hidden="false" customHeight="false" outlineLevel="0" collapsed="false">
      <c r="A507" s="5" t="s">
        <v>330</v>
      </c>
      <c r="G507" s="25" t="n">
        <f aca="false">Assumptions!$C$27*(1-CHOOSE($C$359,Assumptions!$C$79,Assumptions!$C$98,Assumptions!$C$117))</f>
        <v>884</v>
      </c>
      <c r="H507" s="25" t="n">
        <f aca="false">Assumptions!$C$27*(1-CHOOSE($C$359,Assumptions!$C$79,Assumptions!$C$98,Assumptions!$C$117))</f>
        <v>884</v>
      </c>
      <c r="I507" s="25" t="n">
        <f aca="false">Assumptions!$C$27*(1-CHOOSE($C$359,Assumptions!$C$79,Assumptions!$C$98,Assumptions!$C$117))</f>
        <v>884</v>
      </c>
      <c r="J507" s="25" t="n">
        <f aca="false">Assumptions!$C$27*(1-CHOOSE($C$359,Assumptions!$C$79,Assumptions!$C$98,Assumptions!$C$117))</f>
        <v>884</v>
      </c>
      <c r="K507" s="25" t="n">
        <f aca="false">Assumptions!$C$27*(1-CHOOSE($C$359,Assumptions!$C$79,Assumptions!$C$98,Assumptions!$C$117))</f>
        <v>884</v>
      </c>
    </row>
    <row r="508" customFormat="false" ht="15" hidden="false" customHeight="false" outlineLevel="0" collapsed="false">
      <c r="A508" s="23" t="s">
        <v>331</v>
      </c>
      <c r="B508" s="24"/>
      <c r="C508" s="24"/>
      <c r="D508" s="24"/>
      <c r="E508" s="24"/>
      <c r="F508" s="24"/>
      <c r="G508" s="24"/>
      <c r="H508" s="24"/>
      <c r="I508" s="24"/>
      <c r="J508" s="24"/>
      <c r="K508" s="24"/>
    </row>
    <row r="509" customFormat="false" ht="15" hidden="false" customHeight="false" outlineLevel="0" collapsed="false">
      <c r="A509" s="23" t="s">
        <v>332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</row>
    <row r="510" customFormat="false" ht="15" hidden="false" customHeight="false" outlineLevel="0" collapsed="false">
      <c r="A510" s="5" t="s">
        <v>333</v>
      </c>
      <c r="G510" s="31" t="n">
        <f aca="false">IF(G376&gt;0,G497/G376,99)</f>
        <v>16.5413800227249</v>
      </c>
      <c r="H510" s="31" t="n">
        <f aca="false">IF(H376&gt;0,H497/H376,99)</f>
        <v>28.5681105622991</v>
      </c>
      <c r="I510" s="31" t="n">
        <f aca="false">IF(I376&gt;0,I497/I376,99)</f>
        <v>24.5664038274533</v>
      </c>
      <c r="J510" s="31" t="n">
        <f aca="false">IF(J376&gt;0,J497/J376,99)</f>
        <v>21.8686389946149</v>
      </c>
      <c r="K510" s="31" t="n">
        <f aca="false">IF(K376&gt;0,K497/K376,99)</f>
        <v>19.8352895867661</v>
      </c>
    </row>
    <row r="511" customFormat="false" ht="15" hidden="false" customHeight="false" outlineLevel="0" collapsed="false">
      <c r="A511" s="5" t="s">
        <v>334</v>
      </c>
      <c r="G511" s="32" t="n">
        <f aca="false">Assumptions!$G$61</f>
        <v>8.5</v>
      </c>
      <c r="H511" s="32" t="n">
        <f aca="false">Assumptions!$H$61</f>
        <v>8.5</v>
      </c>
      <c r="I511" s="32" t="n">
        <f aca="false">Assumptions!$I$61</f>
        <v>8.5</v>
      </c>
      <c r="J511" s="32" t="n">
        <f aca="false">Assumptions!$J$61</f>
        <v>8.5</v>
      </c>
      <c r="K511" s="32" t="n">
        <f aca="false">Assumptions!$K$61</f>
        <v>8.5</v>
      </c>
    </row>
    <row r="512" customFormat="false" ht="15" hidden="false" customHeight="false" outlineLevel="0" collapsed="false">
      <c r="A512" s="5" t="s">
        <v>335</v>
      </c>
      <c r="G512" s="31" t="n">
        <f aca="false">G511-G510</f>
        <v>-8.04138002272492</v>
      </c>
      <c r="H512" s="31" t="n">
        <f aca="false">H511-H510</f>
        <v>-20.0681105622991</v>
      </c>
      <c r="I512" s="31" t="n">
        <f aca="false">I511-I510</f>
        <v>-16.0664038274533</v>
      </c>
      <c r="J512" s="31" t="n">
        <f aca="false">J511-J510</f>
        <v>-13.3686389946149</v>
      </c>
      <c r="K512" s="31" t="n">
        <f aca="false">K511-K510</f>
        <v>-11.3352895867661</v>
      </c>
    </row>
    <row r="513" customFormat="false" ht="15" hidden="false" customHeight="false" outlineLevel="0" collapsed="false">
      <c r="A513" s="5" t="s">
        <v>336</v>
      </c>
      <c r="G513" s="21" t="n">
        <f aca="false">IF(G511=0,0,G512/ABS(G511))</f>
        <v>-0.946044708555873</v>
      </c>
      <c r="H513" s="21" t="n">
        <f aca="false">IF(H511=0,0,H512/ABS(H511))</f>
        <v>-2.36095418379989</v>
      </c>
      <c r="I513" s="21" t="n">
        <f aca="false">IF(I511=0,0,I512/ABS(I511))</f>
        <v>-1.89016515617097</v>
      </c>
      <c r="J513" s="21" t="n">
        <f aca="false">IF(J511=0,0,J512/ABS(J511))</f>
        <v>-1.57278105818998</v>
      </c>
      <c r="K513" s="21" t="n">
        <f aca="false">IF(K511=0,0,K512/ABS(K511))</f>
        <v>-1.33356348079602</v>
      </c>
    </row>
    <row r="514" customFormat="false" ht="15" hidden="false" customHeight="false" outlineLevel="0" collapsed="false">
      <c r="A514" s="5" t="s">
        <v>337</v>
      </c>
      <c r="G514" s="20" t="n">
        <f aca="false">IF(G512&lt;0,1,0)</f>
        <v>1</v>
      </c>
      <c r="H514" s="20" t="n">
        <f aca="false">IF(H512&lt;0,1,0)</f>
        <v>1</v>
      </c>
      <c r="I514" s="20" t="n">
        <f aca="false">IF(I512&lt;0,1,0)</f>
        <v>1</v>
      </c>
      <c r="J514" s="20" t="n">
        <f aca="false">IF(J512&lt;0,1,0)</f>
        <v>1</v>
      </c>
      <c r="K514" s="20" t="n">
        <f aca="false">IF(K512&lt;0,1,0)</f>
        <v>1</v>
      </c>
    </row>
    <row r="515" customFormat="false" ht="15" hidden="false" customHeight="false" outlineLevel="0" collapsed="false">
      <c r="A515" s="5" t="s">
        <v>338</v>
      </c>
      <c r="C515" s="20" t="n">
        <f aca="false">IFERROR(INDEX($G$366:$K$366,MATCH(1,$G$514:$K$514,0)),0)</f>
        <v>2026</v>
      </c>
    </row>
    <row r="516" customFormat="false" ht="15" hidden="false" customHeight="false" outlineLevel="0" collapsed="false">
      <c r="A516" s="5" t="s">
        <v>339</v>
      </c>
      <c r="C516" s="21" t="n">
        <f aca="false">MIN($G$513:$K$513)</f>
        <v>-2.36095418379989</v>
      </c>
    </row>
    <row r="517" customFormat="false" ht="15" hidden="false" customHeight="false" outlineLevel="0" collapsed="false">
      <c r="A517" s="5" t="s">
        <v>340</v>
      </c>
      <c r="G517" s="20" t="n">
        <f aca="false">G514</f>
        <v>1</v>
      </c>
      <c r="H517" s="20" t="n">
        <f aca="false">H514</f>
        <v>1</v>
      </c>
      <c r="I517" s="20" t="n">
        <f aca="false">I514</f>
        <v>1</v>
      </c>
      <c r="J517" s="20" t="n">
        <f aca="false">J514</f>
        <v>1</v>
      </c>
      <c r="K517" s="20" t="n">
        <f aca="false">K514</f>
        <v>1</v>
      </c>
    </row>
    <row r="518" customFormat="false" ht="15" hidden="false" customHeight="false" outlineLevel="0" collapsed="false">
      <c r="A518" s="5" t="s">
        <v>341</v>
      </c>
      <c r="C518" s="20" t="n">
        <f aca="false">SUM($G$517:$K$517)</f>
        <v>5</v>
      </c>
    </row>
    <row r="519" customFormat="false" ht="15" hidden="false" customHeight="false" outlineLevel="0" collapsed="false">
      <c r="A519" s="5" t="s">
        <v>342</v>
      </c>
      <c r="C519" s="21" t="n">
        <f aca="false">MIN(C516)</f>
        <v>-2.36095418379989</v>
      </c>
    </row>
    <row r="521" customFormat="false" ht="15" hidden="false" customHeight="false" outlineLevel="0" collapsed="false">
      <c r="A521" s="23" t="s">
        <v>444</v>
      </c>
      <c r="B521" s="24"/>
      <c r="C521" s="24"/>
      <c r="D521" s="24"/>
      <c r="E521" s="24"/>
      <c r="F521" s="24"/>
      <c r="G521" s="24"/>
      <c r="H521" s="24"/>
      <c r="I521" s="24"/>
      <c r="J521" s="24"/>
      <c r="K521" s="24"/>
    </row>
    <row r="522" customFormat="false" ht="15" hidden="false" customHeight="false" outlineLevel="0" collapsed="false">
      <c r="A522" s="5" t="s">
        <v>445</v>
      </c>
      <c r="G522" s="20" t="n">
        <f aca="false">IF($C$523=1,G491,IF(G376=MIN($G$376:$K$376),1,0))</f>
        <v>0</v>
      </c>
      <c r="H522" s="20" t="n">
        <f aca="false">IF($C$523=1,H491,IF(AND(H376=MIN($G$376:$K$376),SUM($G$522:G522)=0),1,0))</f>
        <v>1</v>
      </c>
      <c r="I522" s="20" t="n">
        <f aca="false">IF($C$523=1,I491,IF(AND(I376=MIN($G$376:$K$376),SUM($G$522:H522)=0),1,0))</f>
        <v>0</v>
      </c>
      <c r="J522" s="20" t="n">
        <f aca="false">IF($C$523=1,J491,IF(AND(J376=MIN($G$376:$K$376),SUM($G$522:I522)=0),1,0))</f>
        <v>0</v>
      </c>
      <c r="K522" s="20" t="n">
        <f aca="false">IF($C$523=1,K491,IF(AND(K376=MIN($G$376:$K$376),SUM($G$522:J522)=0),1,0))</f>
        <v>0</v>
      </c>
    </row>
    <row r="523" customFormat="false" ht="15" hidden="false" customHeight="false" outlineLevel="0" collapsed="false">
      <c r="A523" s="5" t="s">
        <v>446</v>
      </c>
      <c r="C523" s="20" t="n">
        <f aca="false">IF(SUM($G$491:$K$491)&gt;0,1,0)</f>
        <v>1</v>
      </c>
    </row>
    <row r="524" customFormat="false" ht="15" hidden="false" customHeight="false" outlineLevel="0" collapsed="false">
      <c r="A524" s="5" t="s">
        <v>447</v>
      </c>
      <c r="C524" s="20" t="n">
        <f aca="false">SUMPRODUCT($G$522:$K$522,$G$366:$K$366)</f>
        <v>2027</v>
      </c>
    </row>
    <row r="525" customFormat="false" ht="15" hidden="false" customHeight="false" outlineLevel="0" collapsed="false">
      <c r="A525" s="5" t="s">
        <v>448</v>
      </c>
      <c r="C525" s="25" t="n">
        <f aca="false">SUMPRODUCT($G$522:$K$522,$G$376:$K$376)</f>
        <v>48.9095184</v>
      </c>
    </row>
    <row r="526" customFormat="false" ht="15" hidden="false" customHeight="false" outlineLevel="0" collapsed="false">
      <c r="A526" s="5" t="s">
        <v>449</v>
      </c>
      <c r="C526" s="25" t="n">
        <f aca="false">MAX(0,SUMPRODUCT($G$522:$K$522,$G$488:$K$488))</f>
        <v>0</v>
      </c>
    </row>
    <row r="527" customFormat="false" ht="15" hidden="false" customHeight="false" outlineLevel="0" collapsed="false">
      <c r="A527" s="5" t="s">
        <v>450</v>
      </c>
      <c r="C527" s="25" t="n">
        <f aca="false">(CHOOSE($C$359,Assumptions!$C$78,Assumptions!$C$97,Assumptions!$C$116)+$C$363)*C525</f>
        <v>195.6380736</v>
      </c>
    </row>
    <row r="528" customFormat="false" ht="15" hidden="false" customHeight="false" outlineLevel="0" collapsed="false">
      <c r="A528" s="5" t="s">
        <v>451</v>
      </c>
      <c r="C528" s="25" t="n">
        <f aca="false">Assumptions!$C$27*(1-CHOOSE($C$359,Assumptions!$C$79,Assumptions!$C$98,Assumptions!$C$117))*CHOOSE($C$359,Assumptions!$C$80,Assumptions!$C$99,Assumptions!$C$118)</f>
        <v>530.4</v>
      </c>
    </row>
    <row r="529" customFormat="false" ht="15" hidden="false" customHeight="false" outlineLevel="0" collapsed="false">
      <c r="A529" s="5" t="s">
        <v>452</v>
      </c>
      <c r="C529" s="25" t="n">
        <f aca="false">MAX(C527,C528)+C526</f>
        <v>530.4</v>
      </c>
    </row>
    <row r="530" customFormat="false" ht="15" hidden="false" customHeight="false" outlineLevel="0" collapsed="false">
      <c r="A530" s="2" t="s">
        <v>453</v>
      </c>
      <c r="C530" s="16" t="n">
        <f aca="false">IF(ISNUMBER(Assumptions!$C$14),Assumptions!$C$14,C529)</f>
        <v>530.4</v>
      </c>
    </row>
    <row r="531" customFormat="false" ht="15" hidden="false" customHeight="false" outlineLevel="0" collapsed="false">
      <c r="A531" s="5" t="s">
        <v>454</v>
      </c>
      <c r="C531" s="25" t="n">
        <f aca="false">C530*Assumptions!$C$15</f>
        <v>21.216</v>
      </c>
    </row>
    <row r="532" customFormat="false" ht="15" hidden="false" customHeight="false" outlineLevel="0" collapsed="false">
      <c r="A532" s="2" t="s">
        <v>455</v>
      </c>
      <c r="C532" s="16" t="n">
        <f aca="false">C530-C531</f>
        <v>509.184</v>
      </c>
    </row>
    <row r="533" customFormat="false" ht="15" hidden="false" customHeight="false" outlineLevel="0" collapsed="false">
      <c r="A533" s="23" t="s">
        <v>456</v>
      </c>
      <c r="B533" s="24"/>
      <c r="C533" s="24"/>
      <c r="D533" s="24"/>
      <c r="E533" s="24"/>
      <c r="F533" s="24"/>
      <c r="G533" s="24"/>
      <c r="H533" s="24"/>
      <c r="I533" s="24"/>
      <c r="J533" s="24"/>
      <c r="K533" s="24"/>
    </row>
    <row r="534" customFormat="false" ht="15" hidden="false" customHeight="false" outlineLevel="0" collapsed="false">
      <c r="A534" s="5" t="s">
        <v>457</v>
      </c>
      <c r="C534" s="25" t="n">
        <f aca="false">SUMPRODUCT($G$522:$K$522,$G$413:$K$413)*(1+SUMPRODUCT($G$522:$K$522,$G$405:$K$405)*Assumptions!$C$16/12)</f>
        <v>221.6231087</v>
      </c>
    </row>
    <row r="535" customFormat="false" ht="15" hidden="false" customHeight="false" outlineLevel="0" collapsed="false">
      <c r="A535" s="5" t="s">
        <v>458</v>
      </c>
      <c r="C535" s="25" t="n">
        <f aca="false">SUMPRODUCT($G$522:$K$522,$G$426:$K$426)*(1+SUMPRODUCT($G$522:$K$522,$G$418:$K$418)*Assumptions!$C$16/12)</f>
        <v>524.3147</v>
      </c>
    </row>
    <row r="536" customFormat="false" ht="15" hidden="false" customHeight="false" outlineLevel="0" collapsed="false">
      <c r="A536" s="5" t="s">
        <v>459</v>
      </c>
      <c r="C536" s="25" t="n">
        <f aca="false">SUMPRODUCT($G$522:$K$522,$G$439:$K$439)*(1+SUMPRODUCT($G$522:$K$522,$G$431:$K$431)*Assumptions!$C$16/12)</f>
        <v>256.875</v>
      </c>
    </row>
    <row r="537" customFormat="false" ht="15" hidden="false" customHeight="false" outlineLevel="0" collapsed="false">
      <c r="A537" s="5" t="s">
        <v>460</v>
      </c>
      <c r="C537" s="25" t="n">
        <f aca="false">SUMPRODUCT($G$522:$K$522,$G$452:$K$452)*(1+SUMPRODUCT($G$522:$K$522,$G$444:$K$444)*Assumptions!$C$16/12)</f>
        <v>305.625</v>
      </c>
    </row>
    <row r="538" customFormat="false" ht="15" hidden="false" customHeight="false" outlineLevel="0" collapsed="false">
      <c r="A538" s="23" t="s">
        <v>461</v>
      </c>
      <c r="B538" s="24"/>
      <c r="C538" s="24"/>
      <c r="D538" s="24"/>
      <c r="E538" s="24"/>
      <c r="F538" s="24"/>
      <c r="G538" s="24"/>
      <c r="H538" s="24"/>
      <c r="I538" s="24"/>
      <c r="J538" s="24"/>
      <c r="K538" s="24"/>
    </row>
    <row r="539" customFormat="false" ht="15" hidden="false" customHeight="false" outlineLevel="0" collapsed="false">
      <c r="A539" s="5" t="s">
        <v>457</v>
      </c>
      <c r="C539" s="26" t="n">
        <f aca="false">Assumptions!$M$53</f>
        <v>1</v>
      </c>
    </row>
    <row r="540" customFormat="false" ht="15" hidden="false" customHeight="false" outlineLevel="0" collapsed="false">
      <c r="A540" s="5" t="s">
        <v>458</v>
      </c>
      <c r="C540" s="26" t="n">
        <f aca="false">Assumptions!$M$54</f>
        <v>2</v>
      </c>
    </row>
    <row r="541" customFormat="false" ht="15" hidden="false" customHeight="false" outlineLevel="0" collapsed="false">
      <c r="A541" s="5" t="s">
        <v>459</v>
      </c>
      <c r="C541" s="26" t="n">
        <f aca="false">Assumptions!$M$55</f>
        <v>3</v>
      </c>
    </row>
    <row r="542" customFormat="false" ht="15" hidden="false" customHeight="false" outlineLevel="0" collapsed="false">
      <c r="A542" s="5" t="s">
        <v>460</v>
      </c>
      <c r="C542" s="26" t="n">
        <f aca="false">Assumptions!$M$56</f>
        <v>4</v>
      </c>
    </row>
    <row r="543" customFormat="false" ht="15" hidden="false" customHeight="false" outlineLevel="0" collapsed="false">
      <c r="A543" s="23" t="s">
        <v>462</v>
      </c>
      <c r="B543" s="24"/>
      <c r="C543" s="24"/>
      <c r="D543" s="24"/>
      <c r="E543" s="24"/>
      <c r="F543" s="24"/>
      <c r="G543" s="24"/>
      <c r="H543" s="24"/>
      <c r="I543" s="24"/>
      <c r="J543" s="24"/>
      <c r="K543" s="24"/>
    </row>
    <row r="544" customFormat="false" ht="15" hidden="false" customHeight="false" outlineLevel="0" collapsed="false">
      <c r="A544" s="5" t="s">
        <v>457</v>
      </c>
      <c r="C544" s="34" t="n">
        <f aca="false">Assumptions!$Q$53</f>
        <v>0</v>
      </c>
    </row>
    <row r="545" customFormat="false" ht="15" hidden="false" customHeight="false" outlineLevel="0" collapsed="false">
      <c r="A545" s="5" t="s">
        <v>458</v>
      </c>
      <c r="C545" s="34" t="n">
        <f aca="false">Assumptions!$Q$54</f>
        <v>0</v>
      </c>
    </row>
    <row r="546" customFormat="false" ht="15" hidden="false" customHeight="false" outlineLevel="0" collapsed="false">
      <c r="A546" s="5" t="s">
        <v>459</v>
      </c>
      <c r="C546" s="34" t="n">
        <f aca="false">Assumptions!$Q$55</f>
        <v>0</v>
      </c>
    </row>
    <row r="547" customFormat="false" ht="15" hidden="false" customHeight="false" outlineLevel="0" collapsed="false">
      <c r="A547" s="5" t="s">
        <v>460</v>
      </c>
      <c r="C547" s="34" t="n">
        <f aca="false">Assumptions!$Q$56</f>
        <v>0</v>
      </c>
    </row>
    <row r="548" customFormat="false" ht="15" hidden="false" customHeight="false" outlineLevel="0" collapsed="false">
      <c r="A548" s="23" t="s">
        <v>463</v>
      </c>
      <c r="B548" s="24"/>
      <c r="C548" s="24"/>
      <c r="D548" s="24"/>
      <c r="E548" s="24"/>
      <c r="F548" s="24"/>
      <c r="G548" s="24"/>
      <c r="H548" s="24"/>
      <c r="I548" s="24"/>
      <c r="J548" s="24"/>
      <c r="K548" s="24"/>
    </row>
    <row r="549" customFormat="false" ht="15" hidden="false" customHeight="false" outlineLevel="0" collapsed="false">
      <c r="A549" s="5" t="s">
        <v>457</v>
      </c>
      <c r="C549" s="25" t="n">
        <f aca="false">IF(C544&gt;0,MIN(C534,C544*$C$532),0)</f>
        <v>0</v>
      </c>
    </row>
    <row r="550" customFormat="false" ht="15" hidden="false" customHeight="false" outlineLevel="0" collapsed="false">
      <c r="A550" s="5" t="s">
        <v>458</v>
      </c>
      <c r="C550" s="25" t="n">
        <f aca="false">IF(C545&gt;0,MIN(C535,C545*$C$532),0)</f>
        <v>0</v>
      </c>
    </row>
    <row r="551" customFormat="false" ht="15" hidden="false" customHeight="false" outlineLevel="0" collapsed="false">
      <c r="A551" s="5" t="s">
        <v>459</v>
      </c>
      <c r="C551" s="25" t="n">
        <f aca="false">IF(C546&gt;0,MIN(C536,C546*$C$532),0)</f>
        <v>0</v>
      </c>
    </row>
    <row r="552" customFormat="false" ht="15" hidden="false" customHeight="false" outlineLevel="0" collapsed="false">
      <c r="A552" s="5" t="s">
        <v>460</v>
      </c>
      <c r="C552" s="25" t="n">
        <f aca="false">IF(C547&gt;0,MIN(C537,C547*$C$532),0)</f>
        <v>0</v>
      </c>
    </row>
    <row r="553" customFormat="false" ht="15" hidden="false" customHeight="false" outlineLevel="0" collapsed="false">
      <c r="A553" s="23" t="s">
        <v>464</v>
      </c>
      <c r="B553" s="24"/>
      <c r="C553" s="24"/>
      <c r="D553" s="24"/>
      <c r="E553" s="24"/>
      <c r="F553" s="24"/>
      <c r="G553" s="24"/>
      <c r="H553" s="24"/>
      <c r="I553" s="24"/>
      <c r="J553" s="24"/>
      <c r="K553" s="24"/>
    </row>
    <row r="554" customFormat="false" ht="15" hidden="false" customHeight="false" outlineLevel="0" collapsed="false">
      <c r="A554" s="5" t="s">
        <v>457</v>
      </c>
      <c r="C554" s="25" t="n">
        <f aca="false">IF(C544&gt;0,C534-C549,0)</f>
        <v>0</v>
      </c>
      <c r="G554" s="20" t="n">
        <f aca="false">IF(AND(G403=1,G400=1),1,0)</f>
        <v>0</v>
      </c>
      <c r="H554" s="20" t="n">
        <f aca="false">IF(G554=1,1,IF(AND(H403=1,H400=1),1,0))</f>
        <v>0</v>
      </c>
      <c r="I554" s="20" t="n">
        <f aca="false">IF(H554=1,1,IF(AND(I403=1,I400=1),1,0))</f>
        <v>0</v>
      </c>
      <c r="J554" s="20" t="n">
        <f aca="false">IF(I554=1,1,IF(AND(J403=1,J400=1),1,0))</f>
        <v>0</v>
      </c>
      <c r="K554" s="20" t="n">
        <f aca="false">IF(J554=1,1,IF(AND(K403=1,K400=1),1,0))</f>
        <v>0</v>
      </c>
    </row>
    <row r="555" customFormat="false" ht="15" hidden="false" customHeight="false" outlineLevel="0" collapsed="false">
      <c r="A555" s="5" t="s">
        <v>458</v>
      </c>
      <c r="C555" s="25" t="n">
        <f aca="false">IF(C545&gt;0,C535-C550,0)</f>
        <v>0</v>
      </c>
      <c r="G555" s="20" t="n">
        <f aca="false">IF(AND(G416=1,G400=1),1,0)</f>
        <v>0</v>
      </c>
      <c r="H555" s="20" t="n">
        <f aca="false">IF(G555=1,1,IF(AND(H416=1,H400=1),1,0))</f>
        <v>0</v>
      </c>
      <c r="I555" s="20" t="n">
        <f aca="false">IF(H555=1,1,IF(AND(I416=1,I400=1),1,0))</f>
        <v>0</v>
      </c>
      <c r="J555" s="20" t="n">
        <f aca="false">IF(I555=1,1,IF(AND(J416=1,J400=1),1,0))</f>
        <v>0</v>
      </c>
      <c r="K555" s="20" t="n">
        <f aca="false">IF(J555=1,1,IF(AND(K416=1,K400=1),1,0))</f>
        <v>0</v>
      </c>
    </row>
    <row r="556" customFormat="false" ht="15" hidden="false" customHeight="false" outlineLevel="0" collapsed="false">
      <c r="A556" s="5" t="s">
        <v>459</v>
      </c>
      <c r="C556" s="25" t="n">
        <f aca="false">IF(C546&gt;0,C536-C551,0)</f>
        <v>0</v>
      </c>
      <c r="G556" s="20" t="n">
        <f aca="false">IF(AND(G429=1,G400=1),1,0)</f>
        <v>0</v>
      </c>
      <c r="H556" s="20" t="n">
        <f aca="false">IF(G556=1,1,IF(AND(H429=1,H400=1),1,0))</f>
        <v>0</v>
      </c>
      <c r="I556" s="20" t="n">
        <f aca="false">IF(H556=1,1,IF(AND(I429=1,I400=1),1,0))</f>
        <v>0</v>
      </c>
      <c r="J556" s="20" t="n">
        <f aca="false">IF(I556=1,1,IF(AND(J429=1,J400=1),1,0))</f>
        <v>0</v>
      </c>
      <c r="K556" s="20" t="n">
        <f aca="false">IF(J556=1,1,IF(AND(K429=1,K400=1),1,0))</f>
        <v>0</v>
      </c>
    </row>
    <row r="557" customFormat="false" ht="15" hidden="false" customHeight="false" outlineLevel="0" collapsed="false">
      <c r="A557" s="5" t="s">
        <v>460</v>
      </c>
      <c r="C557" s="25" t="n">
        <f aca="false">IF(C547&gt;0,C537-C552,0)</f>
        <v>0</v>
      </c>
      <c r="G557" s="20" t="n">
        <f aca="false">IF(AND(G442=1,G400=1),1,0)</f>
        <v>0</v>
      </c>
      <c r="H557" s="20" t="n">
        <f aca="false">IF(G557=1,1,IF(AND(H442=1,H400=1),1,0))</f>
        <v>0</v>
      </c>
      <c r="I557" s="20" t="n">
        <f aca="false">IF(H557=1,1,IF(AND(I442=1,I400=1),1,0))</f>
        <v>0</v>
      </c>
      <c r="J557" s="20" t="n">
        <f aca="false">IF(I557=1,1,IF(AND(J442=1,J400=1),1,0))</f>
        <v>0</v>
      </c>
      <c r="K557" s="20" t="n">
        <f aca="false">IF(J557=1,1,IF(AND(K442=1,K400=1),1,0))</f>
        <v>0</v>
      </c>
    </row>
    <row r="558" customFormat="false" ht="15" hidden="false" customHeight="false" outlineLevel="0" collapsed="false">
      <c r="A558" s="23" t="s">
        <v>465</v>
      </c>
      <c r="B558" s="24"/>
      <c r="C558" s="24"/>
      <c r="D558" s="24"/>
      <c r="E558" s="24"/>
      <c r="F558" s="24"/>
      <c r="G558" s="24"/>
      <c r="H558" s="24"/>
      <c r="I558" s="24"/>
      <c r="J558" s="24"/>
      <c r="K558" s="24"/>
    </row>
    <row r="559" customFormat="false" ht="15" hidden="false" customHeight="false" outlineLevel="0" collapsed="false">
      <c r="A559" s="5" t="s">
        <v>457</v>
      </c>
      <c r="C559" s="25" t="n">
        <f aca="false">IF(C544&gt;0,C554,C534)</f>
        <v>221.6231087</v>
      </c>
    </row>
    <row r="560" customFormat="false" ht="15" hidden="false" customHeight="false" outlineLevel="0" collapsed="false">
      <c r="A560" s="5" t="s">
        <v>458</v>
      </c>
      <c r="C560" s="25" t="n">
        <f aca="false">IF(C545&gt;0,C555,C535)</f>
        <v>524.3147</v>
      </c>
    </row>
    <row r="561" customFormat="false" ht="15" hidden="false" customHeight="false" outlineLevel="0" collapsed="false">
      <c r="A561" s="5" t="s">
        <v>459</v>
      </c>
      <c r="C561" s="25" t="n">
        <f aca="false">IF(C546&gt;0,C556,C536)</f>
        <v>256.875</v>
      </c>
    </row>
    <row r="562" customFormat="false" ht="15" hidden="false" customHeight="false" outlineLevel="0" collapsed="false">
      <c r="A562" s="5" t="s">
        <v>460</v>
      </c>
      <c r="C562" s="25" t="n">
        <f aca="false">IF(C547&gt;0,C557,C537)</f>
        <v>305.625</v>
      </c>
    </row>
    <row r="563" customFormat="false" ht="15" hidden="false" customHeight="false" outlineLevel="0" collapsed="false">
      <c r="A563" s="23" t="s">
        <v>466</v>
      </c>
      <c r="B563" s="24"/>
      <c r="C563" s="24"/>
      <c r="D563" s="24"/>
      <c r="E563" s="24"/>
      <c r="F563" s="24"/>
      <c r="G563" s="24"/>
      <c r="H563" s="24"/>
      <c r="I563" s="24"/>
      <c r="J563" s="24"/>
      <c r="K563" s="24"/>
    </row>
    <row r="564" customFormat="false" ht="15" hidden="false" customHeight="false" outlineLevel="0" collapsed="false">
      <c r="A564" s="5" t="s">
        <v>457</v>
      </c>
      <c r="C564" s="20" t="n">
        <f aca="false">IF(C544&gt;0,Assumptions!$C$17,C539)</f>
        <v>1</v>
      </c>
    </row>
    <row r="565" customFormat="false" ht="15" hidden="false" customHeight="false" outlineLevel="0" collapsed="false">
      <c r="A565" s="5" t="s">
        <v>458</v>
      </c>
      <c r="C565" s="20" t="n">
        <f aca="false">IF(C545&gt;0,Assumptions!$C$17,C540)</f>
        <v>2</v>
      </c>
    </row>
    <row r="566" customFormat="false" ht="15" hidden="false" customHeight="false" outlineLevel="0" collapsed="false">
      <c r="A566" s="5" t="s">
        <v>459</v>
      </c>
      <c r="C566" s="20" t="n">
        <f aca="false">IF(C546&gt;0,Assumptions!$C$17,C541)</f>
        <v>3</v>
      </c>
    </row>
    <row r="567" customFormat="false" ht="15" hidden="false" customHeight="false" outlineLevel="0" collapsed="false">
      <c r="A567" s="5" t="s">
        <v>460</v>
      </c>
      <c r="C567" s="20" t="n">
        <f aca="false">IF(C547&gt;0,Assumptions!$C$17,C542)</f>
        <v>4</v>
      </c>
    </row>
    <row r="568" customFormat="false" ht="15" hidden="false" customHeight="false" outlineLevel="0" collapsed="false">
      <c r="A568" s="23" t="s">
        <v>467</v>
      </c>
      <c r="B568" s="24"/>
      <c r="C568" s="24"/>
      <c r="D568" s="24"/>
      <c r="E568" s="24"/>
      <c r="F568" s="24"/>
      <c r="G568" s="24"/>
      <c r="H568" s="24"/>
      <c r="I568" s="24"/>
      <c r="J568" s="24"/>
      <c r="K568" s="24"/>
    </row>
    <row r="569" customFormat="false" ht="15" hidden="false" customHeight="false" outlineLevel="0" collapsed="false">
      <c r="A569" s="5" t="s">
        <v>457</v>
      </c>
      <c r="C569" s="25" t="n">
        <f aca="false">SUMPRODUCT(($C$564:$C$567&lt;C564)*$C$559:$C$562)</f>
        <v>0</v>
      </c>
    </row>
    <row r="570" customFormat="false" ht="15" hidden="false" customHeight="false" outlineLevel="0" collapsed="false">
      <c r="A570" s="5" t="s">
        <v>458</v>
      </c>
      <c r="C570" s="25" t="n">
        <f aca="false">SUMPRODUCT(($C$564:$C$567&lt;C565)*$C$559:$C$562)</f>
        <v>221.6231087</v>
      </c>
    </row>
    <row r="571" customFormat="false" ht="15" hidden="false" customHeight="false" outlineLevel="0" collapsed="false">
      <c r="A571" s="5" t="s">
        <v>459</v>
      </c>
      <c r="C571" s="25" t="n">
        <f aca="false">SUMPRODUCT(($C$564:$C$567&lt;C566)*$C$559:$C$562)</f>
        <v>745.9378087</v>
      </c>
    </row>
    <row r="572" customFormat="false" ht="15" hidden="false" customHeight="false" outlineLevel="0" collapsed="false">
      <c r="A572" s="5" t="s">
        <v>460</v>
      </c>
      <c r="C572" s="25" t="n">
        <f aca="false">SUMPRODUCT(($C$564:$C$567&lt;C567)*$C$559:$C$562)</f>
        <v>1002.8128087</v>
      </c>
    </row>
    <row r="573" customFormat="false" ht="15" hidden="false" customHeight="false" outlineLevel="0" collapsed="false">
      <c r="A573" s="23" t="s">
        <v>468</v>
      </c>
      <c r="B573" s="24"/>
      <c r="C573" s="24"/>
      <c r="D573" s="24"/>
      <c r="E573" s="24"/>
      <c r="F573" s="24"/>
      <c r="G573" s="24"/>
      <c r="H573" s="24"/>
      <c r="I573" s="24"/>
      <c r="J573" s="24"/>
      <c r="K573" s="24"/>
    </row>
    <row r="574" customFormat="false" ht="15" hidden="false" customHeight="false" outlineLevel="0" collapsed="false">
      <c r="A574" s="5" t="s">
        <v>457</v>
      </c>
      <c r="C574" s="25" t="n">
        <f aca="false">SUMPRODUCT(($C$564:$C$567=C564)*$C$559:$C$562)</f>
        <v>221.6231087</v>
      </c>
    </row>
    <row r="575" customFormat="false" ht="15" hidden="false" customHeight="false" outlineLevel="0" collapsed="false">
      <c r="A575" s="5" t="s">
        <v>458</v>
      </c>
      <c r="C575" s="25" t="n">
        <f aca="false">SUMPRODUCT(($C$564:$C$567=C565)*$C$559:$C$562)</f>
        <v>524.3147</v>
      </c>
    </row>
    <row r="576" customFormat="false" ht="15" hidden="false" customHeight="false" outlineLevel="0" collapsed="false">
      <c r="A576" s="5" t="s">
        <v>459</v>
      </c>
      <c r="C576" s="25" t="n">
        <f aca="false">SUMPRODUCT(($C$564:$C$567=C566)*$C$559:$C$562)</f>
        <v>256.875</v>
      </c>
    </row>
    <row r="577" customFormat="false" ht="15" hidden="false" customHeight="false" outlineLevel="0" collapsed="false">
      <c r="A577" s="5" t="s">
        <v>460</v>
      </c>
      <c r="C577" s="25" t="n">
        <f aca="false">SUMPRODUCT(($C$564:$C$567=C567)*$C$559:$C$562)</f>
        <v>305.625</v>
      </c>
    </row>
    <row r="578" customFormat="false" ht="15" hidden="false" customHeight="false" outlineLevel="0" collapsed="false">
      <c r="A578" s="23" t="s">
        <v>469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</row>
    <row r="579" customFormat="false" ht="15" hidden="false" customHeight="false" outlineLevel="0" collapsed="false">
      <c r="A579" s="5" t="s">
        <v>457</v>
      </c>
      <c r="C579" s="25" t="n">
        <f aca="false">IF(C574=0,0,C559/C574*MAX(0,MIN(C574,$C$532-SUM($C$549:$C$552)-C569)))</f>
        <v>221.6231087</v>
      </c>
    </row>
    <row r="580" customFormat="false" ht="15" hidden="false" customHeight="false" outlineLevel="0" collapsed="false">
      <c r="A580" s="5" t="s">
        <v>458</v>
      </c>
      <c r="C580" s="25" t="n">
        <f aca="false">IF(C575=0,0,C560/C575*MAX(0,MIN(C575,$C$532-SUM($C$549:$C$552)-C570)))</f>
        <v>287.5608913</v>
      </c>
    </row>
    <row r="581" customFormat="false" ht="15" hidden="false" customHeight="false" outlineLevel="0" collapsed="false">
      <c r="A581" s="5" t="s">
        <v>459</v>
      </c>
      <c r="C581" s="25" t="n">
        <f aca="false">IF(C576=0,0,C561/C576*MAX(0,MIN(C576,$C$532-SUM($C$549:$C$552)-C571)))</f>
        <v>0</v>
      </c>
    </row>
    <row r="582" customFormat="false" ht="15" hidden="false" customHeight="false" outlineLevel="0" collapsed="false">
      <c r="A582" s="5" t="s">
        <v>460</v>
      </c>
      <c r="C582" s="25" t="n">
        <f aca="false">IF(C577=0,0,C562/C577*MAX(0,MIN(C577,$C$532-SUM($C$549:$C$552)-C572)))</f>
        <v>0</v>
      </c>
    </row>
    <row r="583" customFormat="false" ht="15" hidden="false" customHeight="false" outlineLevel="0" collapsed="false">
      <c r="A583" s="23" t="s">
        <v>470</v>
      </c>
      <c r="B583" s="24"/>
      <c r="C583" s="24"/>
      <c r="D583" s="24"/>
      <c r="E583" s="24"/>
      <c r="F583" s="24"/>
      <c r="G583" s="24"/>
      <c r="H583" s="24"/>
      <c r="I583" s="24"/>
      <c r="J583" s="24"/>
      <c r="K583" s="24"/>
    </row>
    <row r="584" customFormat="false" ht="15" hidden="false" customHeight="false" outlineLevel="0" collapsed="false">
      <c r="A584" s="2" t="s">
        <v>457</v>
      </c>
      <c r="C584" s="16" t="n">
        <f aca="false">C549+C579</f>
        <v>221.6231087</v>
      </c>
    </row>
    <row r="585" customFormat="false" ht="15" hidden="false" customHeight="false" outlineLevel="0" collapsed="false">
      <c r="A585" s="2" t="s">
        <v>458</v>
      </c>
      <c r="C585" s="16" t="n">
        <f aca="false">C550+C580</f>
        <v>287.5608913</v>
      </c>
    </row>
    <row r="586" customFormat="false" ht="15" hidden="false" customHeight="false" outlineLevel="0" collapsed="false">
      <c r="A586" s="2" t="s">
        <v>459</v>
      </c>
      <c r="C586" s="16" t="n">
        <f aca="false">C551+C581</f>
        <v>0</v>
      </c>
    </row>
    <row r="587" customFormat="false" ht="15" hidden="false" customHeight="false" outlineLevel="0" collapsed="false">
      <c r="A587" s="2" t="s">
        <v>460</v>
      </c>
      <c r="C587" s="16" t="n">
        <f aca="false">C552+C582</f>
        <v>0</v>
      </c>
    </row>
    <row r="588" customFormat="false" ht="15" hidden="false" customHeight="false" outlineLevel="0" collapsed="false">
      <c r="A588" s="23" t="s">
        <v>471</v>
      </c>
      <c r="B588" s="24"/>
      <c r="C588" s="24"/>
      <c r="D588" s="24"/>
      <c r="E588" s="24"/>
      <c r="F588" s="24"/>
      <c r="G588" s="24"/>
      <c r="H588" s="24"/>
      <c r="I588" s="24"/>
      <c r="J588" s="24"/>
      <c r="K588" s="24"/>
    </row>
    <row r="589" customFormat="false" ht="15" hidden="false" customHeight="false" outlineLevel="0" collapsed="false">
      <c r="A589" s="5" t="s">
        <v>457</v>
      </c>
      <c r="C589" s="21" t="n">
        <f aca="false">IF(C534=0,1,C584/C534)</f>
        <v>1</v>
      </c>
    </row>
    <row r="590" customFormat="false" ht="15" hidden="false" customHeight="false" outlineLevel="0" collapsed="false">
      <c r="A590" s="5" t="s">
        <v>458</v>
      </c>
      <c r="C590" s="21" t="n">
        <f aca="false">IF(C535=0,1,C585/C535)</f>
        <v>0.548450942344359</v>
      </c>
    </row>
    <row r="591" customFormat="false" ht="15" hidden="false" customHeight="false" outlineLevel="0" collapsed="false">
      <c r="A591" s="5" t="s">
        <v>459</v>
      </c>
      <c r="C591" s="21" t="n">
        <f aca="false">IF(C536=0,1,C586/C536)</f>
        <v>0</v>
      </c>
    </row>
    <row r="592" customFormat="false" ht="15" hidden="false" customHeight="false" outlineLevel="0" collapsed="false">
      <c r="A592" s="5" t="s">
        <v>460</v>
      </c>
      <c r="C592" s="21" t="n">
        <f aca="false">IF(C537=0,1,C587/C537)</f>
        <v>0</v>
      </c>
    </row>
    <row r="593" customFormat="false" ht="15" hidden="false" customHeight="false" outlineLevel="0" collapsed="false">
      <c r="A593" s="23" t="s">
        <v>472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</row>
    <row r="594" customFormat="false" ht="15" hidden="false" customHeight="false" outlineLevel="0" collapsed="false">
      <c r="A594" s="5" t="s">
        <v>457</v>
      </c>
      <c r="C594" s="25" t="n">
        <f aca="false">C534-C584</f>
        <v>0</v>
      </c>
    </row>
    <row r="595" customFormat="false" ht="15" hidden="false" customHeight="false" outlineLevel="0" collapsed="false">
      <c r="A595" s="5" t="s">
        <v>458</v>
      </c>
      <c r="C595" s="25" t="n">
        <f aca="false">C535-C585</f>
        <v>236.7538087</v>
      </c>
    </row>
    <row r="596" customFormat="false" ht="15" hidden="false" customHeight="false" outlineLevel="0" collapsed="false">
      <c r="A596" s="5" t="s">
        <v>459</v>
      </c>
      <c r="C596" s="25" t="n">
        <f aca="false">C536-C586</f>
        <v>256.875</v>
      </c>
    </row>
    <row r="597" customFormat="false" ht="15" hidden="false" customHeight="false" outlineLevel="0" collapsed="false">
      <c r="A597" s="5" t="s">
        <v>460</v>
      </c>
      <c r="C597" s="25" t="n">
        <f aca="false">C537-C587</f>
        <v>305.625</v>
      </c>
    </row>
    <row r="598" customFormat="false" ht="15" hidden="false" customHeight="false" outlineLevel="0" collapsed="false">
      <c r="A598" s="23" t="s">
        <v>473</v>
      </c>
      <c r="B598" s="24"/>
      <c r="C598" s="24"/>
      <c r="D598" s="24"/>
      <c r="E598" s="24"/>
      <c r="F598" s="24"/>
      <c r="G598" s="24"/>
      <c r="H598" s="24"/>
      <c r="I598" s="24"/>
      <c r="J598" s="24"/>
      <c r="K598" s="24"/>
    </row>
    <row r="599" customFormat="false" ht="15" hidden="false" customHeight="false" outlineLevel="0" collapsed="false">
      <c r="A599" s="5" t="s">
        <v>457</v>
      </c>
      <c r="C599" s="21" t="n">
        <f aca="false">IF(C534=0,0,C594/C534)</f>
        <v>0</v>
      </c>
    </row>
    <row r="600" customFormat="false" ht="15" hidden="false" customHeight="false" outlineLevel="0" collapsed="false">
      <c r="A600" s="5" t="s">
        <v>458</v>
      </c>
      <c r="C600" s="21" t="n">
        <f aca="false">IF(C535=0,0,C595/C535)</f>
        <v>0.451549057655641</v>
      </c>
    </row>
    <row r="601" customFormat="false" ht="15" hidden="false" customHeight="false" outlineLevel="0" collapsed="false">
      <c r="A601" s="5" t="s">
        <v>459</v>
      </c>
      <c r="C601" s="21" t="n">
        <f aca="false">IF(C536=0,0,C596/C536)</f>
        <v>1</v>
      </c>
    </row>
    <row r="602" customFormat="false" ht="15" hidden="false" customHeight="false" outlineLevel="0" collapsed="false">
      <c r="A602" s="5" t="s">
        <v>460</v>
      </c>
      <c r="C602" s="21" t="n">
        <f aca="false">IF(C537=0,0,C597/C537)</f>
        <v>1</v>
      </c>
    </row>
    <row r="603" customFormat="false" ht="15" hidden="false" customHeight="false" outlineLevel="0" collapsed="false">
      <c r="A603" s="2" t="s">
        <v>474</v>
      </c>
      <c r="C603" s="16" t="n">
        <f aca="false">MAX(0,$C$532-SUM($C$549:$C$552)-SUM($C$559:$C$562))</f>
        <v>0</v>
      </c>
    </row>
    <row r="604" customFormat="false" ht="15" hidden="false" customHeight="false" outlineLevel="0" collapsed="false">
      <c r="A604" s="5" t="s">
        <v>475</v>
      </c>
      <c r="C604" s="25" t="n">
        <f aca="false">SUM($C$584:$C$587)+C603+C531-C530</f>
        <v>0</v>
      </c>
    </row>
    <row r="606" customFormat="false" ht="15" hidden="false" customHeight="false" outlineLevel="0" collapsed="false">
      <c r="A606" s="23" t="s">
        <v>478</v>
      </c>
      <c r="B606" s="24"/>
      <c r="C606" s="24"/>
      <c r="D606" s="24"/>
      <c r="E606" s="24"/>
      <c r="F606" s="24"/>
      <c r="G606" s="24"/>
      <c r="H606" s="24"/>
      <c r="I606" s="24"/>
      <c r="J606" s="24"/>
      <c r="K606" s="24"/>
    </row>
    <row r="607" customFormat="false" ht="15" hidden="false" customHeight="false" outlineLevel="0" collapsed="false">
      <c r="A607" s="5" t="s">
        <v>479</v>
      </c>
      <c r="C607" s="26" t="n">
        <f aca="false">Assumptions!$C$30</f>
        <v>2</v>
      </c>
    </row>
    <row r="608" customFormat="false" ht="15" hidden="false" customHeight="false" outlineLevel="0" collapsed="false">
      <c r="A608" s="5" t="s">
        <v>480</v>
      </c>
      <c r="C608" s="28" t="n">
        <f aca="false">Assumptions!$C$31</f>
        <v>100</v>
      </c>
    </row>
    <row r="609" customFormat="false" ht="15" hidden="false" customHeight="false" outlineLevel="0" collapsed="false">
      <c r="A609" s="5" t="s">
        <v>481</v>
      </c>
      <c r="C609" s="39" t="n">
        <f aca="false">Assumptions!$C$32</f>
        <v>78</v>
      </c>
    </row>
    <row r="610" customFormat="false" ht="15" hidden="false" customHeight="false" outlineLevel="0" collapsed="false">
      <c r="A610" s="5" t="s">
        <v>482</v>
      </c>
      <c r="C610" s="25" t="n">
        <f aca="false">C608*C609/100*(1+Assumptions!$C$33)</f>
        <v>78.39</v>
      </c>
    </row>
    <row r="611" customFormat="false" ht="15" hidden="false" customHeight="false" outlineLevel="0" collapsed="false">
      <c r="A611" s="5" t="s">
        <v>483</v>
      </c>
      <c r="C611" s="26" t="n">
        <f aca="false">Assumptions!$C$34</f>
        <v>2</v>
      </c>
    </row>
    <row r="612" customFormat="false" ht="15" hidden="false" customHeight="false" outlineLevel="0" collapsed="false">
      <c r="A612" s="5" t="s">
        <v>484</v>
      </c>
      <c r="C612" s="20" t="n">
        <f aca="false">IF(C523=1,SUMPRODUCT($G$491:$K$491,$G$367:$K$367),0)</f>
        <v>2</v>
      </c>
    </row>
    <row r="613" customFormat="false" ht="15" hidden="false" customHeight="false" outlineLevel="0" collapsed="false">
      <c r="A613" s="5" t="s">
        <v>485</v>
      </c>
      <c r="C613" s="21" t="n">
        <f aca="false">IFERROR(C608/CHOOSE(C607,SUMPRODUCT($G$522:$K$522,$G$413:$K$413),SUMPRODUCT($G$522:$K$522,$G$426:$K$426),SUMPRODUCT($G$522:$K$522,$G$439:$K$439),SUMPRODUCT($G$522:$K$522,$G$452:$K$452)),0)</f>
        <v>0.196232339089482</v>
      </c>
    </row>
    <row r="614" customFormat="false" ht="15" hidden="false" customHeight="false" outlineLevel="0" collapsed="false">
      <c r="A614" s="5" t="s">
        <v>486</v>
      </c>
      <c r="C614" s="25" t="n">
        <f aca="false">CHOOSE(C607,C584,C585,C586,C587)*C613</f>
        <v>56.4287463304553</v>
      </c>
    </row>
    <row r="615" customFormat="false" ht="15" hidden="false" customHeight="false" outlineLevel="0" collapsed="false">
      <c r="A615" s="5" t="s">
        <v>487</v>
      </c>
      <c r="C615" s="21" t="n">
        <f aca="false">CHOOSE(C607,C589,C590,C591,C592)</f>
        <v>0.548450942344359</v>
      </c>
    </row>
    <row r="616" customFormat="false" ht="15" hidden="false" customHeight="false" outlineLevel="0" collapsed="false">
      <c r="A616" s="5" t="s">
        <v>488</v>
      </c>
      <c r="C616" s="20" t="n">
        <f aca="false">IF(C523=1,C612,C611)</f>
        <v>2</v>
      </c>
    </row>
    <row r="617" customFormat="false" ht="15" hidden="false" customHeight="false" outlineLevel="0" collapsed="false">
      <c r="A617" s="5" t="s">
        <v>489</v>
      </c>
      <c r="C617" s="33" t="n">
        <f aca="false">CHOOSE($C$359,Assumptions!$C$77,Assumptions!$C$96,Assumptions!$C$115)</f>
        <v>90</v>
      </c>
    </row>
    <row r="618" customFormat="false" ht="15" hidden="false" customHeight="false" outlineLevel="0" collapsed="false">
      <c r="A618" s="5" t="s">
        <v>490</v>
      </c>
      <c r="C618" s="25" t="n">
        <f aca="false">INDEX($G$376:$K$376,C611)*CHOOSE($C$359,Assumptions!$C$76,Assumptions!$C$95,Assumptions!$C$114)+MAX(0,INDEX($G$488:$K$488,C611))</f>
        <v>244.547592</v>
      </c>
    </row>
    <row r="619" customFormat="false" ht="15" hidden="false" customHeight="false" outlineLevel="0" collapsed="false">
      <c r="A619" s="23" t="s">
        <v>491</v>
      </c>
      <c r="B619" s="24"/>
      <c r="C619" s="24"/>
      <c r="D619" s="24"/>
      <c r="E619" s="24"/>
      <c r="F619" s="24"/>
      <c r="G619" s="24"/>
      <c r="H619" s="24"/>
      <c r="I619" s="24"/>
      <c r="J619" s="24"/>
      <c r="K619" s="24"/>
    </row>
    <row r="620" customFormat="false" ht="15" hidden="false" customHeight="false" outlineLevel="0" collapsed="false">
      <c r="A620" s="5" t="s">
        <v>457</v>
      </c>
      <c r="C620" s="25" t="n">
        <f aca="false">INDEX($G$413:$K$413,C611)</f>
        <v>216.2968</v>
      </c>
    </row>
    <row r="621" customFormat="false" ht="15" hidden="false" customHeight="false" outlineLevel="0" collapsed="false">
      <c r="A621" s="5" t="s">
        <v>458</v>
      </c>
      <c r="C621" s="25" t="n">
        <f aca="false">INDEX($G$426:$K$426,C611)</f>
        <v>509.6</v>
      </c>
    </row>
    <row r="622" customFormat="false" ht="15" hidden="false" customHeight="false" outlineLevel="0" collapsed="false">
      <c r="A622" s="5" t="s">
        <v>459</v>
      </c>
      <c r="C622" s="25" t="n">
        <f aca="false">INDEX($G$439:$K$439,C611)</f>
        <v>250</v>
      </c>
    </row>
    <row r="623" customFormat="false" ht="15" hidden="false" customHeight="false" outlineLevel="0" collapsed="false">
      <c r="A623" s="5" t="s">
        <v>460</v>
      </c>
      <c r="C623" s="25" t="n">
        <f aca="false">INDEX($G$452:$K$452,C611)</f>
        <v>300</v>
      </c>
    </row>
    <row r="624" customFormat="false" ht="15" hidden="false" customHeight="false" outlineLevel="0" collapsed="false">
      <c r="A624" s="23" t="s">
        <v>461</v>
      </c>
      <c r="B624" s="24"/>
      <c r="C624" s="24"/>
      <c r="D624" s="24"/>
      <c r="E624" s="24"/>
      <c r="F624" s="24"/>
      <c r="G624" s="24"/>
      <c r="H624" s="24"/>
      <c r="I624" s="24"/>
      <c r="J624" s="24"/>
      <c r="K624" s="24"/>
    </row>
    <row r="625" customFormat="false" ht="15" hidden="false" customHeight="false" outlineLevel="0" collapsed="false">
      <c r="A625" s="5" t="s">
        <v>457</v>
      </c>
      <c r="C625" s="26" t="n">
        <f aca="false">Assumptions!$M$53</f>
        <v>1</v>
      </c>
    </row>
    <row r="626" customFormat="false" ht="15" hidden="false" customHeight="false" outlineLevel="0" collapsed="false">
      <c r="A626" s="5" t="s">
        <v>458</v>
      </c>
      <c r="C626" s="26" t="n">
        <f aca="false">Assumptions!$M$54</f>
        <v>2</v>
      </c>
    </row>
    <row r="627" customFormat="false" ht="15" hidden="false" customHeight="false" outlineLevel="0" collapsed="false">
      <c r="A627" s="5" t="s">
        <v>459</v>
      </c>
      <c r="C627" s="26" t="n">
        <f aca="false">Assumptions!$M$55</f>
        <v>3</v>
      </c>
    </row>
    <row r="628" customFormat="false" ht="15" hidden="false" customHeight="false" outlineLevel="0" collapsed="false">
      <c r="A628" s="5" t="s">
        <v>460</v>
      </c>
      <c r="C628" s="26" t="n">
        <f aca="false">Assumptions!$M$56</f>
        <v>4</v>
      </c>
    </row>
    <row r="629" customFormat="false" ht="15" hidden="false" customHeight="false" outlineLevel="0" collapsed="false">
      <c r="A629" s="23" t="s">
        <v>462</v>
      </c>
      <c r="B629" s="24"/>
      <c r="C629" s="24"/>
      <c r="D629" s="24"/>
      <c r="E629" s="24"/>
      <c r="F629" s="24"/>
      <c r="G629" s="24"/>
      <c r="H629" s="24"/>
      <c r="I629" s="24"/>
      <c r="J629" s="24"/>
      <c r="K629" s="24"/>
    </row>
    <row r="630" customFormat="false" ht="15" hidden="false" customHeight="false" outlineLevel="0" collapsed="false">
      <c r="A630" s="5" t="s">
        <v>457</v>
      </c>
      <c r="C630" s="34" t="n">
        <f aca="false">Assumptions!$Q$53</f>
        <v>0</v>
      </c>
    </row>
    <row r="631" customFormat="false" ht="15" hidden="false" customHeight="false" outlineLevel="0" collapsed="false">
      <c r="A631" s="5" t="s">
        <v>458</v>
      </c>
      <c r="C631" s="34" t="n">
        <f aca="false">Assumptions!$Q$54</f>
        <v>0</v>
      </c>
    </row>
    <row r="632" customFormat="false" ht="15" hidden="false" customHeight="false" outlineLevel="0" collapsed="false">
      <c r="A632" s="5" t="s">
        <v>459</v>
      </c>
      <c r="C632" s="34" t="n">
        <f aca="false">Assumptions!$Q$55</f>
        <v>0</v>
      </c>
    </row>
    <row r="633" customFormat="false" ht="15" hidden="false" customHeight="false" outlineLevel="0" collapsed="false">
      <c r="A633" s="5" t="s">
        <v>460</v>
      </c>
      <c r="C633" s="34" t="n">
        <f aca="false">Assumptions!$Q$56</f>
        <v>0</v>
      </c>
    </row>
    <row r="634" customFormat="false" ht="15" hidden="false" customHeight="false" outlineLevel="0" collapsed="false">
      <c r="A634" s="23" t="s">
        <v>463</v>
      </c>
      <c r="B634" s="24"/>
      <c r="C634" s="24"/>
      <c r="D634" s="24"/>
      <c r="E634" s="24"/>
      <c r="F634" s="24"/>
      <c r="G634" s="24"/>
      <c r="H634" s="24"/>
      <c r="I634" s="24"/>
      <c r="J634" s="24"/>
      <c r="K634" s="24"/>
    </row>
    <row r="635" customFormat="false" ht="15" hidden="false" customHeight="false" outlineLevel="0" collapsed="false">
      <c r="A635" s="5" t="s">
        <v>457</v>
      </c>
      <c r="C635" s="25" t="n">
        <f aca="false">IF(C630&gt;0,MIN(C620,C630*$C$618),0)</f>
        <v>0</v>
      </c>
    </row>
    <row r="636" customFormat="false" ht="15" hidden="false" customHeight="false" outlineLevel="0" collapsed="false">
      <c r="A636" s="5" t="s">
        <v>458</v>
      </c>
      <c r="C636" s="25" t="n">
        <f aca="false">IF(C631&gt;0,MIN(C621,C631*$C$618),0)</f>
        <v>0</v>
      </c>
    </row>
    <row r="637" customFormat="false" ht="15" hidden="false" customHeight="false" outlineLevel="0" collapsed="false">
      <c r="A637" s="5" t="s">
        <v>459</v>
      </c>
      <c r="C637" s="25" t="n">
        <f aca="false">IF(C632&gt;0,MIN(C622,C632*$C$618),0)</f>
        <v>0</v>
      </c>
    </row>
    <row r="638" customFormat="false" ht="15" hidden="false" customHeight="false" outlineLevel="0" collapsed="false">
      <c r="A638" s="5" t="s">
        <v>460</v>
      </c>
      <c r="C638" s="25" t="n">
        <f aca="false">IF(C633&gt;0,MIN(C623,C633*$C$618),0)</f>
        <v>0</v>
      </c>
    </row>
    <row r="639" customFormat="false" ht="15" hidden="false" customHeight="false" outlineLevel="0" collapsed="false">
      <c r="A639" s="23" t="s">
        <v>464</v>
      </c>
      <c r="B639" s="24"/>
      <c r="C639" s="24"/>
      <c r="D639" s="24"/>
      <c r="E639" s="24"/>
      <c r="F639" s="24"/>
      <c r="G639" s="24"/>
      <c r="H639" s="24"/>
      <c r="I639" s="24"/>
      <c r="J639" s="24"/>
      <c r="K639" s="24"/>
    </row>
    <row r="640" customFormat="false" ht="15" hidden="false" customHeight="false" outlineLevel="0" collapsed="false">
      <c r="A640" s="5" t="s">
        <v>457</v>
      </c>
      <c r="C640" s="25" t="n">
        <f aca="false">IF(C630&gt;0,C620-C635,0)</f>
        <v>0</v>
      </c>
    </row>
    <row r="641" customFormat="false" ht="15" hidden="false" customHeight="false" outlineLevel="0" collapsed="false">
      <c r="A641" s="5" t="s">
        <v>458</v>
      </c>
      <c r="C641" s="25" t="n">
        <f aca="false">IF(C631&gt;0,C621-C636,0)</f>
        <v>0</v>
      </c>
    </row>
    <row r="642" customFormat="false" ht="15" hidden="false" customHeight="false" outlineLevel="0" collapsed="false">
      <c r="A642" s="5" t="s">
        <v>459</v>
      </c>
      <c r="C642" s="25" t="n">
        <f aca="false">IF(C632&gt;0,C622-C637,0)</f>
        <v>0</v>
      </c>
    </row>
    <row r="643" customFormat="false" ht="15" hidden="false" customHeight="false" outlineLevel="0" collapsed="false">
      <c r="A643" s="5" t="s">
        <v>460</v>
      </c>
      <c r="C643" s="25" t="n">
        <f aca="false">IF(C633&gt;0,C623-C638,0)</f>
        <v>0</v>
      </c>
    </row>
    <row r="644" customFormat="false" ht="15" hidden="false" customHeight="false" outlineLevel="0" collapsed="false">
      <c r="A644" s="23" t="s">
        <v>465</v>
      </c>
      <c r="B644" s="24"/>
      <c r="C644" s="24"/>
      <c r="D644" s="24"/>
      <c r="E644" s="24"/>
      <c r="F644" s="24"/>
      <c r="G644" s="24"/>
      <c r="H644" s="24"/>
      <c r="I644" s="24"/>
      <c r="J644" s="24"/>
      <c r="K644" s="24"/>
    </row>
    <row r="645" customFormat="false" ht="15" hidden="false" customHeight="false" outlineLevel="0" collapsed="false">
      <c r="A645" s="5" t="s">
        <v>457</v>
      </c>
      <c r="C645" s="25" t="n">
        <f aca="false">IF(C630&gt;0,C640,C620)</f>
        <v>216.2968</v>
      </c>
    </row>
    <row r="646" customFormat="false" ht="15" hidden="false" customHeight="false" outlineLevel="0" collapsed="false">
      <c r="A646" s="5" t="s">
        <v>458</v>
      </c>
      <c r="C646" s="25" t="n">
        <f aca="false">IF(C631&gt;0,C641,C621)</f>
        <v>509.6</v>
      </c>
    </row>
    <row r="647" customFormat="false" ht="15" hidden="false" customHeight="false" outlineLevel="0" collapsed="false">
      <c r="A647" s="5" t="s">
        <v>459</v>
      </c>
      <c r="C647" s="25" t="n">
        <f aca="false">IF(C632&gt;0,C642,C622)</f>
        <v>250</v>
      </c>
    </row>
    <row r="648" customFormat="false" ht="15" hidden="false" customHeight="false" outlineLevel="0" collapsed="false">
      <c r="A648" s="5" t="s">
        <v>460</v>
      </c>
      <c r="C648" s="25" t="n">
        <f aca="false">IF(C633&gt;0,C643,C623)</f>
        <v>300</v>
      </c>
    </row>
    <row r="649" customFormat="false" ht="15" hidden="false" customHeight="false" outlineLevel="0" collapsed="false">
      <c r="A649" s="23" t="s">
        <v>466</v>
      </c>
      <c r="B649" s="24"/>
      <c r="C649" s="24"/>
      <c r="D649" s="24"/>
      <c r="E649" s="24"/>
      <c r="F649" s="24"/>
      <c r="G649" s="24"/>
      <c r="H649" s="24"/>
      <c r="I649" s="24"/>
      <c r="J649" s="24"/>
      <c r="K649" s="24"/>
    </row>
    <row r="650" customFormat="false" ht="15" hidden="false" customHeight="false" outlineLevel="0" collapsed="false">
      <c r="A650" s="5" t="s">
        <v>457</v>
      </c>
      <c r="C650" s="20" t="n">
        <f aca="false">IF(C630&gt;0,Assumptions!$C$17,C625)</f>
        <v>1</v>
      </c>
    </row>
    <row r="651" customFormat="false" ht="15" hidden="false" customHeight="false" outlineLevel="0" collapsed="false">
      <c r="A651" s="5" t="s">
        <v>458</v>
      </c>
      <c r="C651" s="20" t="n">
        <f aca="false">IF(C631&gt;0,Assumptions!$C$17,C626)</f>
        <v>2</v>
      </c>
    </row>
    <row r="652" customFormat="false" ht="15" hidden="false" customHeight="false" outlineLevel="0" collapsed="false">
      <c r="A652" s="5" t="s">
        <v>459</v>
      </c>
      <c r="C652" s="20" t="n">
        <f aca="false">IF(C632&gt;0,Assumptions!$C$17,C627)</f>
        <v>3</v>
      </c>
    </row>
    <row r="653" customFormat="false" ht="15" hidden="false" customHeight="false" outlineLevel="0" collapsed="false">
      <c r="A653" s="5" t="s">
        <v>460</v>
      </c>
      <c r="C653" s="20" t="n">
        <f aca="false">IF(C633&gt;0,Assumptions!$C$17,C628)</f>
        <v>4</v>
      </c>
    </row>
    <row r="654" customFormat="false" ht="15" hidden="false" customHeight="false" outlineLevel="0" collapsed="false">
      <c r="A654" s="23" t="s">
        <v>467</v>
      </c>
      <c r="B654" s="24"/>
      <c r="C654" s="24"/>
      <c r="D654" s="24"/>
      <c r="E654" s="24"/>
      <c r="F654" s="24"/>
      <c r="G654" s="24"/>
      <c r="H654" s="24"/>
      <c r="I654" s="24"/>
      <c r="J654" s="24"/>
      <c r="K654" s="24"/>
    </row>
    <row r="655" customFormat="false" ht="15" hidden="false" customHeight="false" outlineLevel="0" collapsed="false">
      <c r="A655" s="5" t="s">
        <v>457</v>
      </c>
      <c r="C655" s="25" t="n">
        <f aca="false">SUMPRODUCT(($C$650:$C$653&lt;C650)*$C$645:$C$648)</f>
        <v>0</v>
      </c>
    </row>
    <row r="656" customFormat="false" ht="15" hidden="false" customHeight="false" outlineLevel="0" collapsed="false">
      <c r="A656" s="5" t="s">
        <v>458</v>
      </c>
      <c r="C656" s="25" t="n">
        <f aca="false">SUMPRODUCT(($C$650:$C$653&lt;C651)*$C$645:$C$648)</f>
        <v>216.2968</v>
      </c>
    </row>
    <row r="657" customFormat="false" ht="15" hidden="false" customHeight="false" outlineLevel="0" collapsed="false">
      <c r="A657" s="5" t="s">
        <v>459</v>
      </c>
      <c r="C657" s="25" t="n">
        <f aca="false">SUMPRODUCT(($C$650:$C$653&lt;C652)*$C$645:$C$648)</f>
        <v>725.8968</v>
      </c>
    </row>
    <row r="658" customFormat="false" ht="15" hidden="false" customHeight="false" outlineLevel="0" collapsed="false">
      <c r="A658" s="5" t="s">
        <v>460</v>
      </c>
      <c r="C658" s="25" t="n">
        <f aca="false">SUMPRODUCT(($C$650:$C$653&lt;C653)*$C$645:$C$648)</f>
        <v>975.8968</v>
      </c>
    </row>
    <row r="659" customFormat="false" ht="15" hidden="false" customHeight="false" outlineLevel="0" collapsed="false">
      <c r="A659" s="23" t="s">
        <v>468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</row>
    <row r="660" customFormat="false" ht="15" hidden="false" customHeight="false" outlineLevel="0" collapsed="false">
      <c r="A660" s="5" t="s">
        <v>457</v>
      </c>
      <c r="C660" s="25" t="n">
        <f aca="false">SUMPRODUCT(($C$650:$C$653=C650)*$C$645:$C$648)</f>
        <v>216.2968</v>
      </c>
    </row>
    <row r="661" customFormat="false" ht="15" hidden="false" customHeight="false" outlineLevel="0" collapsed="false">
      <c r="A661" s="5" t="s">
        <v>458</v>
      </c>
      <c r="C661" s="25" t="n">
        <f aca="false">SUMPRODUCT(($C$650:$C$653=C651)*$C$645:$C$648)</f>
        <v>509.6</v>
      </c>
    </row>
    <row r="662" customFormat="false" ht="15" hidden="false" customHeight="false" outlineLevel="0" collapsed="false">
      <c r="A662" s="5" t="s">
        <v>459</v>
      </c>
      <c r="C662" s="25" t="n">
        <f aca="false">SUMPRODUCT(($C$650:$C$653=C652)*$C$645:$C$648)</f>
        <v>250</v>
      </c>
    </row>
    <row r="663" customFormat="false" ht="15" hidden="false" customHeight="false" outlineLevel="0" collapsed="false">
      <c r="A663" s="5" t="s">
        <v>460</v>
      </c>
      <c r="C663" s="25" t="n">
        <f aca="false">SUMPRODUCT(($C$650:$C$653=C653)*$C$645:$C$648)</f>
        <v>300</v>
      </c>
    </row>
    <row r="664" customFormat="false" ht="15" hidden="false" customHeight="false" outlineLevel="0" collapsed="false">
      <c r="A664" s="23" t="s">
        <v>469</v>
      </c>
      <c r="B664" s="24"/>
      <c r="C664" s="24"/>
      <c r="D664" s="24"/>
      <c r="E664" s="24"/>
      <c r="F664" s="24"/>
      <c r="G664" s="24"/>
      <c r="H664" s="24"/>
      <c r="I664" s="24"/>
      <c r="J664" s="24"/>
      <c r="K664" s="24"/>
    </row>
    <row r="665" customFormat="false" ht="15" hidden="false" customHeight="false" outlineLevel="0" collapsed="false">
      <c r="A665" s="5" t="s">
        <v>457</v>
      </c>
      <c r="C665" s="25" t="n">
        <f aca="false">IF(C660=0,0,C645/C660*MAX(0,MIN(C660,$C$618-SUM($C$635:$C$638)-C655)))</f>
        <v>216.2968</v>
      </c>
    </row>
    <row r="666" customFormat="false" ht="15" hidden="false" customHeight="false" outlineLevel="0" collapsed="false">
      <c r="A666" s="5" t="s">
        <v>458</v>
      </c>
      <c r="C666" s="25" t="n">
        <f aca="false">IF(C661=0,0,C646/C661*MAX(0,MIN(C661,$C$618-SUM($C$635:$C$638)-C656)))</f>
        <v>28.2507919999998</v>
      </c>
    </row>
    <row r="667" customFormat="false" ht="15" hidden="false" customHeight="false" outlineLevel="0" collapsed="false">
      <c r="A667" s="5" t="s">
        <v>459</v>
      </c>
      <c r="C667" s="25" t="n">
        <f aca="false">IF(C662=0,0,C647/C662*MAX(0,MIN(C662,$C$618-SUM($C$635:$C$638)-C657)))</f>
        <v>0</v>
      </c>
    </row>
    <row r="668" customFormat="false" ht="15" hidden="false" customHeight="false" outlineLevel="0" collapsed="false">
      <c r="A668" s="5" t="s">
        <v>460</v>
      </c>
      <c r="C668" s="25" t="n">
        <f aca="false">IF(C663=0,0,C648/C663*MAX(0,MIN(C663,$C$618-SUM($C$635:$C$638)-C658)))</f>
        <v>0</v>
      </c>
    </row>
    <row r="669" customFormat="false" ht="15" hidden="false" customHeight="false" outlineLevel="0" collapsed="false">
      <c r="A669" s="23" t="s">
        <v>470</v>
      </c>
      <c r="B669" s="24"/>
      <c r="C669" s="24"/>
      <c r="D669" s="24"/>
      <c r="E669" s="24"/>
      <c r="F669" s="24"/>
      <c r="G669" s="24"/>
      <c r="H669" s="24"/>
      <c r="I669" s="24"/>
      <c r="J669" s="24"/>
      <c r="K669" s="24"/>
    </row>
    <row r="670" customFormat="false" ht="15" hidden="false" customHeight="false" outlineLevel="0" collapsed="false">
      <c r="A670" s="2" t="s">
        <v>457</v>
      </c>
      <c r="C670" s="16" t="n">
        <f aca="false">C635+C665</f>
        <v>216.2968</v>
      </c>
    </row>
    <row r="671" customFormat="false" ht="15" hidden="false" customHeight="false" outlineLevel="0" collapsed="false">
      <c r="A671" s="2" t="s">
        <v>458</v>
      </c>
      <c r="C671" s="16" t="n">
        <f aca="false">C636+C666</f>
        <v>28.2507919999998</v>
      </c>
    </row>
    <row r="672" customFormat="false" ht="15" hidden="false" customHeight="false" outlineLevel="0" collapsed="false">
      <c r="A672" s="2" t="s">
        <v>459</v>
      </c>
      <c r="C672" s="16" t="n">
        <f aca="false">C637+C667</f>
        <v>0</v>
      </c>
    </row>
    <row r="673" customFormat="false" ht="15" hidden="false" customHeight="false" outlineLevel="0" collapsed="false">
      <c r="A673" s="2" t="s">
        <v>460</v>
      </c>
      <c r="C673" s="16" t="n">
        <f aca="false">C638+C668</f>
        <v>0</v>
      </c>
    </row>
    <row r="674" customFormat="false" ht="15" hidden="false" customHeight="false" outlineLevel="0" collapsed="false">
      <c r="A674" s="23" t="s">
        <v>471</v>
      </c>
      <c r="B674" s="24"/>
      <c r="C674" s="24"/>
      <c r="D674" s="24"/>
      <c r="E674" s="24"/>
      <c r="F674" s="24"/>
      <c r="G674" s="24"/>
      <c r="H674" s="24"/>
      <c r="I674" s="24"/>
      <c r="J674" s="24"/>
      <c r="K674" s="24"/>
    </row>
    <row r="675" customFormat="false" ht="15" hidden="false" customHeight="false" outlineLevel="0" collapsed="false">
      <c r="A675" s="5" t="s">
        <v>457</v>
      </c>
      <c r="C675" s="21" t="n">
        <f aca="false">IF(C620=0,1,C670/C620)</f>
        <v>1</v>
      </c>
    </row>
    <row r="676" customFormat="false" ht="15" hidden="false" customHeight="false" outlineLevel="0" collapsed="false">
      <c r="A676" s="5" t="s">
        <v>458</v>
      </c>
      <c r="C676" s="21" t="n">
        <f aca="false">IF(C621=0,1,C671/C621)</f>
        <v>0.0554371899529039</v>
      </c>
    </row>
    <row r="677" customFormat="false" ht="15" hidden="false" customHeight="false" outlineLevel="0" collapsed="false">
      <c r="A677" s="5" t="s">
        <v>459</v>
      </c>
      <c r="C677" s="21" t="n">
        <f aca="false">IF(C622=0,1,C672/C622)</f>
        <v>0</v>
      </c>
    </row>
    <row r="678" customFormat="false" ht="15" hidden="false" customHeight="false" outlineLevel="0" collapsed="false">
      <c r="A678" s="5" t="s">
        <v>460</v>
      </c>
      <c r="C678" s="21" t="n">
        <f aca="false">IF(C623=0,1,C673/C623)</f>
        <v>0</v>
      </c>
    </row>
    <row r="679" customFormat="false" ht="15" hidden="false" customHeight="false" outlineLevel="0" collapsed="false">
      <c r="A679" s="23" t="s">
        <v>472</v>
      </c>
      <c r="B679" s="24"/>
      <c r="C679" s="24"/>
      <c r="D679" s="24"/>
      <c r="E679" s="24"/>
      <c r="F679" s="24"/>
      <c r="G679" s="24"/>
      <c r="H679" s="24"/>
      <c r="I679" s="24"/>
      <c r="J679" s="24"/>
      <c r="K679" s="24"/>
    </row>
    <row r="680" customFormat="false" ht="15" hidden="false" customHeight="false" outlineLevel="0" collapsed="false">
      <c r="A680" s="5" t="s">
        <v>457</v>
      </c>
      <c r="C680" s="25" t="n">
        <f aca="false">C620-C670</f>
        <v>0</v>
      </c>
    </row>
    <row r="681" customFormat="false" ht="15" hidden="false" customHeight="false" outlineLevel="0" collapsed="false">
      <c r="A681" s="5" t="s">
        <v>458</v>
      </c>
      <c r="C681" s="25" t="n">
        <f aca="false">C621-C671</f>
        <v>481.349208</v>
      </c>
    </row>
    <row r="682" customFormat="false" ht="15" hidden="false" customHeight="false" outlineLevel="0" collapsed="false">
      <c r="A682" s="5" t="s">
        <v>459</v>
      </c>
      <c r="C682" s="25" t="n">
        <f aca="false">C622-C672</f>
        <v>250</v>
      </c>
    </row>
    <row r="683" customFormat="false" ht="15" hidden="false" customHeight="false" outlineLevel="0" collapsed="false">
      <c r="A683" s="5" t="s">
        <v>460</v>
      </c>
      <c r="C683" s="25" t="n">
        <f aca="false">C623-C673</f>
        <v>300</v>
      </c>
    </row>
    <row r="684" customFormat="false" ht="15" hidden="false" customHeight="false" outlineLevel="0" collapsed="false">
      <c r="A684" s="23" t="s">
        <v>473</v>
      </c>
      <c r="B684" s="24"/>
      <c r="C684" s="24"/>
      <c r="D684" s="24"/>
      <c r="E684" s="24"/>
      <c r="F684" s="24"/>
      <c r="G684" s="24"/>
      <c r="H684" s="24"/>
      <c r="I684" s="24"/>
      <c r="J684" s="24"/>
      <c r="K684" s="24"/>
    </row>
    <row r="685" customFormat="false" ht="15" hidden="false" customHeight="false" outlineLevel="0" collapsed="false">
      <c r="A685" s="5" t="s">
        <v>457</v>
      </c>
      <c r="C685" s="21" t="n">
        <f aca="false">IF(C620=0,0,C680/C620)</f>
        <v>0</v>
      </c>
    </row>
    <row r="686" customFormat="false" ht="15" hidden="false" customHeight="false" outlineLevel="0" collapsed="false">
      <c r="A686" s="5" t="s">
        <v>458</v>
      </c>
      <c r="C686" s="21" t="n">
        <f aca="false">IF(C621=0,0,C681/C621)</f>
        <v>0.944562810047096</v>
      </c>
    </row>
    <row r="687" customFormat="false" ht="15" hidden="false" customHeight="false" outlineLevel="0" collapsed="false">
      <c r="A687" s="5" t="s">
        <v>459</v>
      </c>
      <c r="C687" s="21" t="n">
        <f aca="false">IF(C622=0,0,C682/C622)</f>
        <v>1</v>
      </c>
    </row>
    <row r="688" customFormat="false" ht="15" hidden="false" customHeight="false" outlineLevel="0" collapsed="false">
      <c r="A688" s="5" t="s">
        <v>460</v>
      </c>
      <c r="C688" s="21" t="n">
        <f aca="false">IF(C623=0,0,C683/C623)</f>
        <v>1</v>
      </c>
    </row>
    <row r="689" customFormat="false" ht="15" hidden="false" customHeight="false" outlineLevel="0" collapsed="false">
      <c r="A689" s="2" t="s">
        <v>474</v>
      </c>
      <c r="C689" s="16" t="n">
        <f aca="false">MAX(0,$C$618-SUM($C$635:$C$638)-SUM($C$645:$C$648))</f>
        <v>0</v>
      </c>
    </row>
    <row r="690" customFormat="false" ht="15" hidden="false" customHeight="false" outlineLevel="0" collapsed="false">
      <c r="A690" s="5" t="s">
        <v>492</v>
      </c>
      <c r="C690" s="33" t="n">
        <f aca="false">MIN(C617,100*CHOOSE(C607,C675,C676,C677,C678))</f>
        <v>5.54371899529039</v>
      </c>
    </row>
    <row r="691" customFormat="false" ht="15" hidden="false" customHeight="false" outlineLevel="0" collapsed="false">
      <c r="A691" s="5" t="s">
        <v>493</v>
      </c>
      <c r="C691" s="20" t="n">
        <f aca="false">IF(C523=1,C612+Assumptions!$C$36,C611)</f>
        <v>3</v>
      </c>
    </row>
    <row r="692" customFormat="false" ht="15" hidden="false" customHeight="false" outlineLevel="0" collapsed="false">
      <c r="A692" s="23" t="s">
        <v>494</v>
      </c>
      <c r="B692" s="24"/>
      <c r="C692" s="24"/>
      <c r="D692" s="24"/>
      <c r="E692" s="24"/>
      <c r="F692" s="24"/>
      <c r="G692" s="24"/>
      <c r="H692" s="24"/>
      <c r="I692" s="24"/>
      <c r="J692" s="24"/>
      <c r="K692" s="24"/>
    </row>
    <row r="693" customFormat="false" ht="15" hidden="false" customHeight="false" outlineLevel="0" collapsed="false">
      <c r="A693" s="5" t="s">
        <v>495</v>
      </c>
      <c r="C693" s="20" t="n">
        <f aca="false">COLUMN()-COLUMN($C$1)</f>
        <v>0</v>
      </c>
      <c r="D693" s="20" t="n">
        <f aca="false">COLUMN()-COLUMN($C$1)</f>
        <v>1</v>
      </c>
      <c r="E693" s="20" t="n">
        <f aca="false">COLUMN()-COLUMN($C$1)</f>
        <v>2</v>
      </c>
      <c r="F693" s="20" t="n">
        <f aca="false">COLUMN()-COLUMN($C$1)</f>
        <v>3</v>
      </c>
      <c r="G693" s="20" t="n">
        <f aca="false">COLUMN()-COLUMN($C$1)</f>
        <v>4</v>
      </c>
      <c r="H693" s="20" t="n">
        <f aca="false">COLUMN()-COLUMN($C$1)</f>
        <v>5</v>
      </c>
      <c r="I693" s="20" t="n">
        <f aca="false">COLUMN()-COLUMN($C$1)</f>
        <v>6</v>
      </c>
    </row>
    <row r="694" customFormat="false" ht="15" hidden="false" customHeight="false" outlineLevel="0" collapsed="false">
      <c r="A694" s="5" t="s">
        <v>496</v>
      </c>
      <c r="D694" s="30" t="n">
        <f aca="false">CHOOSE($C$607,G405,G418,G431,G444)</f>
        <v>0.118</v>
      </c>
      <c r="E694" s="30" t="n">
        <f aca="false">CHOOSE($C$607,H405,H418,H431,H444)</f>
        <v>0.1155</v>
      </c>
      <c r="F694" s="30" t="n">
        <f aca="false">CHOOSE($C$607,I405,I418,I431,I444)</f>
        <v>0.113</v>
      </c>
      <c r="G694" s="30" t="n">
        <f aca="false">CHOOSE($C$607,J405,J418,J431,J444)</f>
        <v>0.113</v>
      </c>
      <c r="H694" s="30" t="n">
        <f aca="false">CHOOSE($C$607,K405,K418,K431,K444)</f>
        <v>0.113</v>
      </c>
    </row>
    <row r="695" customFormat="false" ht="15" hidden="false" customHeight="false" outlineLevel="0" collapsed="false">
      <c r="A695" s="5" t="s">
        <v>497</v>
      </c>
      <c r="D695" s="25" t="n">
        <f aca="false">IF(D693&lt;=$C$616,$C$608*D694,0)</f>
        <v>11.8</v>
      </c>
      <c r="E695" s="25" t="n">
        <f aca="false">IF(E693&lt;=$C$616,$C$608*E694,0)</f>
        <v>11.55</v>
      </c>
      <c r="F695" s="25" t="n">
        <f aca="false">IF(F693&lt;=$C$616,$C$608*F694,0)</f>
        <v>0</v>
      </c>
      <c r="G695" s="25" t="n">
        <f aca="false">IF(G693&lt;=$C$616,$C$608*G694,0)</f>
        <v>0</v>
      </c>
      <c r="H695" s="25" t="n">
        <f aca="false">IF(H693&lt;=$C$616,$C$608*H694,0)</f>
        <v>0</v>
      </c>
    </row>
    <row r="696" customFormat="false" ht="15" hidden="false" customHeight="false" outlineLevel="0" collapsed="false">
      <c r="A696" s="5" t="s">
        <v>498</v>
      </c>
      <c r="D696" s="25" t="n">
        <f aca="false">IF(AND($C$523=0,D693=$C$611),$C$608*$C$690/100,0)+IF(AND($C$523=1,D693=$C$691),$C$614,0)</f>
        <v>0</v>
      </c>
      <c r="E696" s="25" t="n">
        <f aca="false">IF(AND($C$523=0,E693=$C$611),$C$608*$C$690/100,0)+IF(AND($C$523=1,E693=$C$691),$C$614,0)</f>
        <v>0</v>
      </c>
      <c r="F696" s="25" t="n">
        <f aca="false">IF(AND($C$523=0,F693=$C$611),$C$608*$C$690/100,0)+IF(AND($C$523=1,F693=$C$691),$C$614,0)</f>
        <v>56.4287463304553</v>
      </c>
      <c r="G696" s="25" t="n">
        <f aca="false">IF(AND($C$523=0,G693=$C$611),$C$608*$C$690/100,0)+IF(AND($C$523=1,G693=$C$691),$C$614,0)</f>
        <v>0</v>
      </c>
      <c r="H696" s="25" t="n">
        <f aca="false">IF(AND($C$523=0,H693=$C$611),$C$608*$C$690/100,0)+IF(AND($C$523=1,H693=$C$691),$C$614,0)</f>
        <v>0</v>
      </c>
      <c r="I696" s="25" t="n">
        <f aca="false">IF(AND($C$523=0,I693=$C$611),$C$608*$C$690/100,0)+IF(AND($C$523=1,I693=$C$691),$C$614,0)</f>
        <v>0</v>
      </c>
    </row>
    <row r="697" customFormat="false" ht="15" hidden="false" customHeight="false" outlineLevel="0" collapsed="false">
      <c r="A697" s="2" t="s">
        <v>499</v>
      </c>
      <c r="C697" s="16" t="n">
        <f aca="false">-$C$610</f>
        <v>-78.39</v>
      </c>
      <c r="D697" s="16" t="n">
        <f aca="false">D695+D696</f>
        <v>11.8</v>
      </c>
      <c r="E697" s="16" t="n">
        <f aca="false">E695+E696</f>
        <v>11.55</v>
      </c>
      <c r="F697" s="16" t="n">
        <f aca="false">F695+F696</f>
        <v>56.4287463304553</v>
      </c>
      <c r="G697" s="16" t="n">
        <f aca="false">G695+G696</f>
        <v>0</v>
      </c>
      <c r="H697" s="16" t="n">
        <f aca="false">H695+H696</f>
        <v>0</v>
      </c>
      <c r="I697" s="16" t="n">
        <f aca="false">I695+I696</f>
        <v>0</v>
      </c>
    </row>
    <row r="698" customFormat="false" ht="15" hidden="false" customHeight="false" outlineLevel="0" collapsed="false">
      <c r="A698" s="5" t="s">
        <v>500</v>
      </c>
      <c r="C698" s="25" t="n">
        <f aca="false">SUM($C$695:$I$695)</f>
        <v>23.35</v>
      </c>
    </row>
    <row r="699" customFormat="false" ht="15" hidden="false" customHeight="false" outlineLevel="0" collapsed="false">
      <c r="A699" s="5" t="s">
        <v>501</v>
      </c>
      <c r="C699" s="25" t="n">
        <f aca="false">SUM($C$696:$I$696)</f>
        <v>56.4287463304553</v>
      </c>
    </row>
    <row r="700" customFormat="false" ht="15" hidden="false" customHeight="false" outlineLevel="0" collapsed="false">
      <c r="A700" s="5" t="s">
        <v>502</v>
      </c>
      <c r="C700" s="25" t="n">
        <f aca="false">C698+C699</f>
        <v>79.7787463304553</v>
      </c>
    </row>
    <row r="701" customFormat="false" ht="15" hidden="false" customHeight="false" outlineLevel="0" collapsed="false">
      <c r="A701" s="5" t="s">
        <v>503</v>
      </c>
      <c r="C701" s="25" t="n">
        <f aca="false">C699-C608*C609/100</f>
        <v>-21.5712536695447</v>
      </c>
    </row>
    <row r="702" customFormat="false" ht="15" hidden="false" customHeight="false" outlineLevel="0" collapsed="false">
      <c r="A702" s="5" t="s">
        <v>504</v>
      </c>
      <c r="C702" s="25" t="n">
        <f aca="false">C700-C610</f>
        <v>1.38874633045526</v>
      </c>
    </row>
    <row r="703" customFormat="false" ht="15" hidden="false" customHeight="false" outlineLevel="0" collapsed="false">
      <c r="A703" s="2" t="s">
        <v>385</v>
      </c>
      <c r="C703" s="43" t="n">
        <f aca="false">C700/C610</f>
        <v>1.01771586082989</v>
      </c>
    </row>
    <row r="704" customFormat="false" ht="15" hidden="false" customHeight="false" outlineLevel="0" collapsed="false">
      <c r="A704" s="2" t="s">
        <v>384</v>
      </c>
      <c r="C704" s="41" t="n">
        <f aca="false">IF(C700&lt;=0,-1,IFERROR(IRR($C$697:$I$697,MAX(-0.9,C703^(1/C691)-1)),IRR($C$697:$I$697,0.1)))</f>
        <v>0.00688989684099931</v>
      </c>
    </row>
    <row r="705" customFormat="false" ht="15" hidden="false" customHeight="false" outlineLevel="0" collapsed="false">
      <c r="A705" s="5" t="s">
        <v>505</v>
      </c>
      <c r="C705" s="31" t="n">
        <f aca="false">MAX($G$499:$K$499)</f>
        <v>28.5681105622991</v>
      </c>
    </row>
    <row r="706" customFormat="false" ht="15" hidden="false" customHeight="false" outlineLevel="0" collapsed="false">
      <c r="A706" s="5" t="s">
        <v>506</v>
      </c>
      <c r="C706" s="31" t="n">
        <f aca="false">MIN($G$500:$K$500)</f>
        <v>0.374027109660081</v>
      </c>
    </row>
    <row r="707" customFormat="false" ht="15" hidden="false" customHeight="false" outlineLevel="0" collapsed="false">
      <c r="A707" s="5" t="s">
        <v>507</v>
      </c>
      <c r="C707" s="25" t="n">
        <f aca="false">SUM($G$389:$K$389)</f>
        <v>-481.4808823404</v>
      </c>
    </row>
    <row r="711" customFormat="false" ht="15" hidden="false" customHeight="false" outlineLevel="0" collapsed="false">
      <c r="A711" s="9" t="s">
        <v>628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customFormat="false" ht="15" hidden="false" customHeight="false" outlineLevel="0" collapsed="false">
      <c r="A712" s="5" t="s">
        <v>622</v>
      </c>
      <c r="C712" s="11" t="n">
        <v>3</v>
      </c>
    </row>
    <row r="713" customFormat="false" ht="15" hidden="false" customHeight="false" outlineLevel="0" collapsed="false">
      <c r="A713" s="5" t="s">
        <v>623</v>
      </c>
      <c r="C713" s="18" t="n">
        <v>0</v>
      </c>
    </row>
    <row r="714" customFormat="false" ht="15" hidden="false" customHeight="false" outlineLevel="0" collapsed="false">
      <c r="A714" s="5" t="s">
        <v>624</v>
      </c>
      <c r="C714" s="18" t="n">
        <v>0</v>
      </c>
    </row>
    <row r="715" customFormat="false" ht="15" hidden="false" customHeight="false" outlineLevel="0" collapsed="false">
      <c r="A715" s="5" t="s">
        <v>625</v>
      </c>
      <c r="C715" s="18" t="n">
        <v>0</v>
      </c>
    </row>
    <row r="716" customFormat="false" ht="15" hidden="false" customHeight="false" outlineLevel="0" collapsed="false">
      <c r="A716" s="5" t="s">
        <v>626</v>
      </c>
      <c r="C716" s="15" t="n">
        <v>0</v>
      </c>
    </row>
    <row r="718" customFormat="false" ht="15" hidden="false" customHeight="false" outlineLevel="0" collapsed="false">
      <c r="A718" s="23" t="s">
        <v>237</v>
      </c>
      <c r="B718" s="24"/>
      <c r="C718" s="24"/>
      <c r="D718" s="24"/>
      <c r="E718" s="24"/>
      <c r="F718" s="24"/>
      <c r="G718" s="24"/>
      <c r="H718" s="24"/>
      <c r="I718" s="24"/>
      <c r="J718" s="24"/>
      <c r="K718" s="24"/>
    </row>
    <row r="719" customFormat="false" ht="15" hidden="false" customHeight="false" outlineLevel="0" collapsed="false">
      <c r="A719" s="5" t="s">
        <v>238</v>
      </c>
      <c r="F719" s="26" t="n">
        <f aca="false">Assumptions!$C$6</f>
        <v>2025</v>
      </c>
      <c r="G719" s="20" t="n">
        <f aca="false">F719+1</f>
        <v>2026</v>
      </c>
      <c r="H719" s="20" t="n">
        <f aca="false">G719+1</f>
        <v>2027</v>
      </c>
      <c r="I719" s="20" t="n">
        <f aca="false">H719+1</f>
        <v>2028</v>
      </c>
      <c r="J719" s="20" t="n">
        <f aca="false">I719+1</f>
        <v>2029</v>
      </c>
      <c r="K719" s="20" t="n">
        <f aca="false">J719+1</f>
        <v>2030</v>
      </c>
    </row>
    <row r="720" customFormat="false" ht="15" hidden="false" customHeight="false" outlineLevel="0" collapsed="false">
      <c r="A720" s="5" t="s">
        <v>239</v>
      </c>
      <c r="G720" s="20" t="n">
        <f aca="false">G719-Assumptions!$C$6</f>
        <v>1</v>
      </c>
      <c r="H720" s="20" t="n">
        <f aca="false">H719-Assumptions!$C$6</f>
        <v>2</v>
      </c>
      <c r="I720" s="20" t="n">
        <f aca="false">I719-Assumptions!$C$6</f>
        <v>3</v>
      </c>
      <c r="J720" s="20" t="n">
        <f aca="false">J719-Assumptions!$C$6</f>
        <v>4</v>
      </c>
      <c r="K720" s="20" t="n">
        <f aca="false">K719-Assumptions!$C$6</f>
        <v>5</v>
      </c>
    </row>
    <row r="721" customFormat="false" ht="15" hidden="false" customHeight="false" outlineLevel="0" collapsed="false">
      <c r="A721" s="5" t="s">
        <v>149</v>
      </c>
      <c r="G721" s="21" t="n">
        <f aca="false">CHOOSE($C$712,Assumptions!$G$65,Assumptions!$G$84,Assumptions!$G$103)+$C$713</f>
        <v>-0.234</v>
      </c>
      <c r="H721" s="21" t="n">
        <f aca="false">CHOOSE($C$712,Assumptions!$H$65,Assumptions!$H$84,Assumptions!$H$103)+$C$713</f>
        <v>-0.13</v>
      </c>
      <c r="I721" s="21" t="n">
        <f aca="false">CHOOSE($C$712,Assumptions!$I$65,Assumptions!$I$84,Assumptions!$I$103)+$C$713</f>
        <v>-0.026</v>
      </c>
      <c r="J721" s="21" t="n">
        <f aca="false">CHOOSE($C$712,Assumptions!$J$65,Assumptions!$J$84,Assumptions!$J$103)+$C$713</f>
        <v>-0.01</v>
      </c>
      <c r="K721" s="21" t="n">
        <f aca="false">CHOOSE($C$712,Assumptions!$K$65,Assumptions!$K$84,Assumptions!$K$103)+$C$713</f>
        <v>-0.01</v>
      </c>
    </row>
    <row r="722" customFormat="false" ht="15" hidden="false" customHeight="false" outlineLevel="0" collapsed="false">
      <c r="A722" s="5" t="s">
        <v>150</v>
      </c>
      <c r="G722" s="21" t="n">
        <f aca="false">CHOOSE($C$712,Assumptions!$G$66,Assumptions!$G$85,Assumptions!$G$104)</f>
        <v>0.305</v>
      </c>
      <c r="H722" s="21" t="n">
        <f aca="false">CHOOSE($C$712,Assumptions!$H$66,Assumptions!$H$85,Assumptions!$H$104)</f>
        <v>0.305</v>
      </c>
      <c r="I722" s="21" t="n">
        <f aca="false">CHOOSE($C$712,Assumptions!$I$66,Assumptions!$I$85,Assumptions!$I$104)</f>
        <v>0.305</v>
      </c>
      <c r="J722" s="21" t="n">
        <f aca="false">CHOOSE($C$712,Assumptions!$J$66,Assumptions!$J$85,Assumptions!$J$104)</f>
        <v>0.305</v>
      </c>
      <c r="K722" s="21" t="n">
        <f aca="false">CHOOSE($C$712,Assumptions!$K$66,Assumptions!$K$85,Assumptions!$K$104)</f>
        <v>0.305</v>
      </c>
    </row>
    <row r="723" customFormat="false" ht="15" hidden="false" customHeight="false" outlineLevel="0" collapsed="false">
      <c r="A723" s="5" t="s">
        <v>151</v>
      </c>
      <c r="G723" s="21" t="n">
        <f aca="false">CHOOSE($C$712,Assumptions!$G$67,Assumptions!$G$86,Assumptions!$G$105)+$C$714</f>
        <v>0.01</v>
      </c>
      <c r="H723" s="21" t="n">
        <f aca="false">CHOOSE($C$712,Assumptions!$H$67,Assumptions!$H$86,Assumptions!$H$105)+$C$714</f>
        <v>0.01</v>
      </c>
      <c r="I723" s="21" t="n">
        <f aca="false">CHOOSE($C$712,Assumptions!$I$67,Assumptions!$I$86,Assumptions!$I$105)+$C$714</f>
        <v>0.01</v>
      </c>
      <c r="J723" s="21" t="n">
        <f aca="false">CHOOSE($C$712,Assumptions!$J$67,Assumptions!$J$86,Assumptions!$J$105)+$C$714</f>
        <v>0.01</v>
      </c>
      <c r="K723" s="21" t="n">
        <f aca="false">CHOOSE($C$712,Assumptions!$K$67,Assumptions!$K$86,Assumptions!$K$105)+$C$714</f>
        <v>0.01</v>
      </c>
    </row>
    <row r="724" customFormat="false" ht="15" hidden="false" customHeight="false" outlineLevel="0" collapsed="false">
      <c r="A724" s="23" t="s">
        <v>240</v>
      </c>
      <c r="B724" s="24"/>
      <c r="C724" s="24"/>
      <c r="D724" s="24"/>
      <c r="E724" s="24"/>
      <c r="F724" s="24"/>
      <c r="G724" s="24"/>
      <c r="H724" s="24"/>
      <c r="I724" s="24"/>
      <c r="J724" s="24"/>
      <c r="K724" s="24"/>
    </row>
    <row r="725" customFormat="false" ht="15" hidden="false" customHeight="false" outlineLevel="0" collapsed="false">
      <c r="A725" s="2" t="s">
        <v>207</v>
      </c>
      <c r="F725" s="27" t="n">
        <f aca="false">'Historical Financials'!E17</f>
        <v>2400</v>
      </c>
      <c r="G725" s="16" t="n">
        <f aca="false">F725*(1+G721)</f>
        <v>1838.4</v>
      </c>
      <c r="H725" s="16" t="n">
        <f aca="false">G725*(1+H721)</f>
        <v>1599.408</v>
      </c>
      <c r="I725" s="16" t="n">
        <f aca="false">H725*(1+I721)</f>
        <v>1557.823392</v>
      </c>
      <c r="J725" s="16" t="n">
        <f aca="false">I725*(1+J721)</f>
        <v>1542.24515808</v>
      </c>
      <c r="K725" s="16" t="n">
        <f aca="false">J725*(1+K721)</f>
        <v>1526.8227064992</v>
      </c>
    </row>
    <row r="726" customFormat="false" ht="15" hidden="false" customHeight="false" outlineLevel="0" collapsed="false">
      <c r="A726" s="5" t="s">
        <v>217</v>
      </c>
      <c r="G726" s="25" t="n">
        <f aca="false">G725*(1-G722)</f>
        <v>1277.688</v>
      </c>
      <c r="H726" s="25" t="n">
        <f aca="false">H725*(1-H722)</f>
        <v>1111.58856</v>
      </c>
      <c r="I726" s="25" t="n">
        <f aca="false">I725*(1-I722)</f>
        <v>1082.68725744</v>
      </c>
      <c r="J726" s="25" t="n">
        <f aca="false">J725*(1-J722)</f>
        <v>1071.8603848656</v>
      </c>
      <c r="K726" s="25" t="n">
        <f aca="false">K725*(1-K722)</f>
        <v>1061.14178101694</v>
      </c>
    </row>
    <row r="727" customFormat="false" ht="15" hidden="false" customHeight="false" outlineLevel="0" collapsed="false">
      <c r="A727" s="2" t="s">
        <v>218</v>
      </c>
      <c r="G727" s="16" t="n">
        <f aca="false">G725-G726</f>
        <v>560.712</v>
      </c>
      <c r="H727" s="16" t="n">
        <f aca="false">H725-H726</f>
        <v>487.81944</v>
      </c>
      <c r="I727" s="16" t="n">
        <f aca="false">I725-I726</f>
        <v>475.13613456</v>
      </c>
      <c r="J727" s="16" t="n">
        <f aca="false">J725-J726</f>
        <v>470.3847732144</v>
      </c>
      <c r="K727" s="16" t="n">
        <f aca="false">K725-K726</f>
        <v>465.680925482256</v>
      </c>
    </row>
    <row r="728" customFormat="false" ht="15" hidden="false" customHeight="false" outlineLevel="0" collapsed="false">
      <c r="A728" s="5" t="s">
        <v>241</v>
      </c>
      <c r="G728" s="25" t="n">
        <f aca="false">G727-G729</f>
        <v>542.328</v>
      </c>
      <c r="H728" s="25" t="n">
        <f aca="false">H727-H729</f>
        <v>471.82536</v>
      </c>
      <c r="I728" s="25" t="n">
        <f aca="false">I727-I729</f>
        <v>459.55790064</v>
      </c>
      <c r="J728" s="25" t="n">
        <f aca="false">J727-J729</f>
        <v>454.9623216336</v>
      </c>
      <c r="K728" s="25" t="n">
        <f aca="false">K727-K729</f>
        <v>450.412698417264</v>
      </c>
    </row>
    <row r="729" customFormat="false" ht="15" hidden="false" customHeight="false" outlineLevel="0" collapsed="false">
      <c r="A729" s="2" t="s">
        <v>242</v>
      </c>
      <c r="G729" s="16" t="n">
        <f aca="false">G725*G723</f>
        <v>18.384</v>
      </c>
      <c r="H729" s="16" t="n">
        <f aca="false">H725*H723</f>
        <v>15.99408</v>
      </c>
      <c r="I729" s="16" t="n">
        <f aca="false">I725*I723</f>
        <v>15.57823392</v>
      </c>
      <c r="J729" s="16" t="n">
        <f aca="false">J725*J723</f>
        <v>15.4224515808</v>
      </c>
      <c r="K729" s="16" t="n">
        <f aca="false">K725*K723</f>
        <v>15.268227064992</v>
      </c>
    </row>
    <row r="730" customFormat="false" ht="15" hidden="false" customHeight="false" outlineLevel="0" collapsed="false">
      <c r="A730" s="5" t="s">
        <v>243</v>
      </c>
      <c r="G730" s="25" t="n">
        <f aca="false">G725*'Historical Financials'!E22/'Historical Financials'!E17</f>
        <v>40.4448</v>
      </c>
      <c r="H730" s="25" t="n">
        <f aca="false">H725*'Historical Financials'!E22/'Historical Financials'!E17</f>
        <v>35.186976</v>
      </c>
      <c r="I730" s="25" t="n">
        <f aca="false">I725*'Historical Financials'!E22/'Historical Financials'!E17</f>
        <v>34.272114624</v>
      </c>
      <c r="J730" s="25" t="n">
        <f aca="false">J725*'Historical Financials'!E22/'Historical Financials'!E17</f>
        <v>33.92939347776</v>
      </c>
      <c r="K730" s="25" t="n">
        <f aca="false">K725*'Historical Financials'!E22/'Historical Financials'!E17</f>
        <v>33.5900995429824</v>
      </c>
    </row>
    <row r="731" customFormat="false" ht="15" hidden="false" customHeight="false" outlineLevel="0" collapsed="false">
      <c r="A731" s="5" t="s">
        <v>244</v>
      </c>
      <c r="G731" s="25" t="n">
        <f aca="false">G725*'Historical Financials'!E23/'Historical Financials'!E17</f>
        <v>0</v>
      </c>
      <c r="H731" s="25" t="n">
        <f aca="false">H725*'Historical Financials'!E23/'Historical Financials'!E17</f>
        <v>0</v>
      </c>
      <c r="I731" s="25" t="n">
        <f aca="false">I725*'Historical Financials'!E23/'Historical Financials'!E17</f>
        <v>0</v>
      </c>
      <c r="J731" s="25" t="n">
        <f aca="false">J725*'Historical Financials'!E23/'Historical Financials'!E17</f>
        <v>0</v>
      </c>
      <c r="K731" s="25" t="n">
        <f aca="false">K725*'Historical Financials'!E23/'Historical Financials'!E17</f>
        <v>0</v>
      </c>
    </row>
    <row r="732" customFormat="false" ht="15" hidden="false" customHeight="false" outlineLevel="0" collapsed="false">
      <c r="A732" s="2" t="s">
        <v>245</v>
      </c>
      <c r="G732" s="16" t="n">
        <f aca="false">G729-G730-G731</f>
        <v>-22.0608</v>
      </c>
      <c r="H732" s="16" t="n">
        <f aca="false">H729-H730-H731</f>
        <v>-19.192896</v>
      </c>
      <c r="I732" s="16" t="n">
        <f aca="false">I729-I730-I731</f>
        <v>-18.693880704</v>
      </c>
      <c r="J732" s="16" t="n">
        <f aca="false">J729-J730-J731</f>
        <v>-18.50694189696</v>
      </c>
      <c r="K732" s="16" t="n">
        <f aca="false">K729-K730-K731</f>
        <v>-18.3218724779904</v>
      </c>
    </row>
    <row r="733" customFormat="false" ht="15" hidden="false" customHeight="false" outlineLevel="0" collapsed="false">
      <c r="A733" s="5" t="s">
        <v>246</v>
      </c>
      <c r="G733" s="25" t="n">
        <f aca="false">G759+G772+G785+G798</f>
        <v>140.04</v>
      </c>
      <c r="H733" s="25" t="n">
        <f aca="false">H759+H772+H785+H798</f>
        <v>143.8435488</v>
      </c>
      <c r="I733" s="25" t="n">
        <f aca="false">I759+I772+I785+I798</f>
        <v>141.3036768</v>
      </c>
      <c r="J733" s="25" t="n">
        <f aca="false">J759+J772+J785+J798</f>
        <v>140.6380768</v>
      </c>
      <c r="K733" s="25" t="n">
        <f aca="false">K759+K772+K785+K798</f>
        <v>139.9724768</v>
      </c>
    </row>
    <row r="734" customFormat="false" ht="15" hidden="false" customHeight="false" outlineLevel="0" collapsed="false">
      <c r="A734" s="5" t="s">
        <v>247</v>
      </c>
      <c r="G734" s="25" t="n">
        <f aca="false">G760+G773+G786+G799</f>
        <v>0</v>
      </c>
      <c r="H734" s="25" t="n">
        <f aca="false">H760+H773+H786+H799</f>
        <v>0</v>
      </c>
      <c r="I734" s="25" t="n">
        <f aca="false">I760+I773+I786+I799</f>
        <v>0</v>
      </c>
      <c r="J734" s="25" t="n">
        <f aca="false">J760+J773+J786+J799</f>
        <v>0</v>
      </c>
      <c r="K734" s="25" t="n">
        <f aca="false">K760+K773+K786+K799</f>
        <v>0</v>
      </c>
    </row>
    <row r="735" customFormat="false" ht="15" hidden="false" customHeight="false" outlineLevel="0" collapsed="false">
      <c r="A735" s="5" t="s">
        <v>212</v>
      </c>
      <c r="G735" s="25" t="n">
        <f aca="false">G733+G734</f>
        <v>140.04</v>
      </c>
      <c r="H735" s="25" t="n">
        <f aca="false">H733+H734</f>
        <v>143.8435488</v>
      </c>
      <c r="I735" s="25" t="n">
        <f aca="false">I733+I734</f>
        <v>141.3036768</v>
      </c>
      <c r="J735" s="25" t="n">
        <f aca="false">J733+J734</f>
        <v>140.6380768</v>
      </c>
      <c r="K735" s="25" t="n">
        <f aca="false">K733+K734</f>
        <v>139.9724768</v>
      </c>
    </row>
    <row r="736" customFormat="false" ht="15" hidden="false" customHeight="false" outlineLevel="0" collapsed="false">
      <c r="A736" s="2" t="s">
        <v>223</v>
      </c>
      <c r="G736" s="16" t="n">
        <f aca="false">G732-G735</f>
        <v>-162.1008</v>
      </c>
      <c r="H736" s="16" t="n">
        <f aca="false">H732-H735</f>
        <v>-163.0364448</v>
      </c>
      <c r="I736" s="16" t="n">
        <f aca="false">I732-I735</f>
        <v>-159.997557504</v>
      </c>
      <c r="J736" s="16" t="n">
        <f aca="false">J732-J735</f>
        <v>-159.14501869696</v>
      </c>
      <c r="K736" s="16" t="n">
        <f aca="false">K732-K735</f>
        <v>-158.29434927799</v>
      </c>
    </row>
    <row r="737" customFormat="false" ht="15" hidden="false" customHeight="false" outlineLevel="0" collapsed="false">
      <c r="A737" s="5" t="s">
        <v>213</v>
      </c>
      <c r="G737" s="25" t="n">
        <f aca="false">MAX(0,G736)*Assumptions!$C$9</f>
        <v>0</v>
      </c>
      <c r="H737" s="25" t="n">
        <f aca="false">MAX(0,H736)*Assumptions!$C$9</f>
        <v>0</v>
      </c>
      <c r="I737" s="25" t="n">
        <f aca="false">MAX(0,I736)*Assumptions!$C$9</f>
        <v>0</v>
      </c>
      <c r="J737" s="25" t="n">
        <f aca="false">MAX(0,J736)*Assumptions!$C$9</f>
        <v>0</v>
      </c>
      <c r="K737" s="25" t="n">
        <f aca="false">MAX(0,K736)*Assumptions!$C$9</f>
        <v>0</v>
      </c>
    </row>
    <row r="738" customFormat="false" ht="15" hidden="false" customHeight="false" outlineLevel="0" collapsed="false">
      <c r="A738" s="2" t="s">
        <v>248</v>
      </c>
      <c r="G738" s="16" t="n">
        <f aca="false">G736-G737</f>
        <v>-162.1008</v>
      </c>
      <c r="H738" s="16" t="n">
        <f aca="false">H736-H737</f>
        <v>-163.0364448</v>
      </c>
      <c r="I738" s="16" t="n">
        <f aca="false">I736-I737</f>
        <v>-159.997557504</v>
      </c>
      <c r="J738" s="16" t="n">
        <f aca="false">J736-J737</f>
        <v>-159.14501869696</v>
      </c>
      <c r="K738" s="16" t="n">
        <f aca="false">K736-K737</f>
        <v>-158.29434927799</v>
      </c>
    </row>
    <row r="739" customFormat="false" ht="15" hidden="false" customHeight="false" outlineLevel="0" collapsed="false">
      <c r="A739" s="23" t="s">
        <v>249</v>
      </c>
      <c r="B739" s="24"/>
      <c r="C739" s="24"/>
      <c r="D739" s="24"/>
      <c r="E739" s="24"/>
      <c r="F739" s="24"/>
      <c r="G739" s="24"/>
      <c r="H739" s="24"/>
      <c r="I739" s="24"/>
      <c r="J739" s="24"/>
      <c r="K739" s="24"/>
    </row>
    <row r="740" customFormat="false" ht="15" hidden="false" customHeight="false" outlineLevel="0" collapsed="false">
      <c r="A740" s="5" t="s">
        <v>153</v>
      </c>
      <c r="G740" s="25" t="n">
        <f aca="false">G725*CHOOSE($C$712,Assumptions!$C$69,Assumptions!$C$88,Assumptions!$C$107)</f>
        <v>29.4144</v>
      </c>
      <c r="H740" s="25" t="n">
        <f aca="false">H725*CHOOSE($C$712,Assumptions!$C$69,Assumptions!$C$88,Assumptions!$C$107)</f>
        <v>25.590528</v>
      </c>
      <c r="I740" s="25" t="n">
        <f aca="false">I725*CHOOSE($C$712,Assumptions!$C$69,Assumptions!$C$88,Assumptions!$C$107)</f>
        <v>24.925174272</v>
      </c>
      <c r="J740" s="25" t="n">
        <f aca="false">J725*CHOOSE($C$712,Assumptions!$C$69,Assumptions!$C$88,Assumptions!$C$107)</f>
        <v>24.67592252928</v>
      </c>
      <c r="K740" s="25" t="n">
        <f aca="false">K725*CHOOSE($C$712,Assumptions!$C$69,Assumptions!$C$88,Assumptions!$C$107)</f>
        <v>24.4291633039872</v>
      </c>
    </row>
    <row r="741" customFormat="false" ht="15" hidden="false" customHeight="false" outlineLevel="0" collapsed="false">
      <c r="A741" s="5" t="s">
        <v>250</v>
      </c>
      <c r="G741" s="25" t="n">
        <f aca="false">CHOOSE($C$712,Assumptions!$C$70,Assumptions!$C$89,Assumptions!$C$108)*(G725-F725)+CHOOSE($C$712,Assumptions!$C$71,Assumptions!$C$90,Assumptions!$C$109)*G725</f>
        <v>-56.3616</v>
      </c>
      <c r="H741" s="25" t="n">
        <f aca="false">CHOOSE($C$712,Assumptions!$C$70,Assumptions!$C$89,Assumptions!$C$108)*(H725-G725)+CHOOSE($C$712,Assumptions!$C$71,Assumptions!$C$90,Assumptions!$C$109)*H725</f>
        <v>-19.082592</v>
      </c>
      <c r="I741" s="25" t="n">
        <f aca="false">CHOOSE($C$712,Assumptions!$C$70,Assumptions!$C$89,Assumptions!$C$108)*(I725-H725)+CHOOSE($C$712,Assumptions!$C$71,Assumptions!$C$90,Assumptions!$C$109)*I725</f>
        <v>4.35678739199999</v>
      </c>
      <c r="J741" s="25" t="n">
        <f aca="false">CHOOSE($C$712,Assumptions!$C$70,Assumptions!$C$89,Assumptions!$C$108)*(J725-I725)+CHOOSE($C$712,Assumptions!$C$71,Assumptions!$C$90,Assumptions!$C$109)*J725</f>
        <v>7.38408287808</v>
      </c>
      <c r="K741" s="25" t="n">
        <f aca="false">CHOOSE($C$712,Assumptions!$C$70,Assumptions!$C$89,Assumptions!$C$108)*(K725-J725)+CHOOSE($C$712,Assumptions!$C$71,Assumptions!$C$90,Assumptions!$C$109)*K725</f>
        <v>7.3102420492992</v>
      </c>
    </row>
    <row r="742" customFormat="false" ht="15" hidden="false" customHeight="false" outlineLevel="0" collapsed="false">
      <c r="A742" s="2" t="s">
        <v>251</v>
      </c>
      <c r="G742" s="16" t="n">
        <f aca="false">G738+G730+G731+G734-G740-G741</f>
        <v>-94.7088</v>
      </c>
      <c r="H742" s="16" t="n">
        <f aca="false">H738+H730+H731+H734-H740-H741</f>
        <v>-134.3574048</v>
      </c>
      <c r="I742" s="16" t="n">
        <f aca="false">I738+I730+I731+I734-I740-I741</f>
        <v>-155.007404544</v>
      </c>
      <c r="J742" s="16" t="n">
        <f aca="false">J738+J730+J731+J734-J740-J741</f>
        <v>-157.27563062656</v>
      </c>
      <c r="K742" s="16" t="n">
        <f aca="false">K738+K730+K731+K734-K740-K741</f>
        <v>-156.443655088294</v>
      </c>
    </row>
    <row r="744" customFormat="false" ht="15" hidden="false" customHeight="false" outlineLevel="0" collapsed="false">
      <c r="A744" s="23" t="s">
        <v>253</v>
      </c>
      <c r="B744" s="24"/>
      <c r="C744" s="24"/>
      <c r="D744" s="24"/>
      <c r="E744" s="24"/>
      <c r="F744" s="24"/>
      <c r="G744" s="24"/>
      <c r="H744" s="24"/>
      <c r="I744" s="24"/>
      <c r="J744" s="24"/>
      <c r="K744" s="24"/>
    </row>
    <row r="745" customFormat="false" ht="15" hidden="false" customHeight="false" outlineLevel="0" collapsed="false">
      <c r="A745" s="5" t="s">
        <v>254</v>
      </c>
      <c r="G745" s="29" t="n">
        <f aca="false">Assumptions!$G$49</f>
        <v>0.0425</v>
      </c>
      <c r="H745" s="29" t="n">
        <f aca="false">Assumptions!$H$49</f>
        <v>0.04</v>
      </c>
      <c r="I745" s="29" t="n">
        <f aca="false">Assumptions!$I$49</f>
        <v>0.0375</v>
      </c>
      <c r="J745" s="29" t="n">
        <f aca="false">Assumptions!$J$49</f>
        <v>0.0375</v>
      </c>
      <c r="K745" s="29" t="n">
        <f aca="false">Assumptions!$K$49</f>
        <v>0.0375</v>
      </c>
    </row>
    <row r="746" customFormat="false" ht="15" hidden="false" customHeight="false" outlineLevel="0" collapsed="false">
      <c r="A746" s="5" t="s">
        <v>255</v>
      </c>
      <c r="C746" s="30" t="n">
        <f aca="false">CHOOSE($C$712,Assumptions!$C$72,Assumptions!$C$91,Assumptions!$C$110)+$C$715</f>
        <v>0.03</v>
      </c>
    </row>
    <row r="747" customFormat="false" ht="15" hidden="false" customHeight="false" outlineLevel="0" collapsed="false">
      <c r="A747" s="5" t="s">
        <v>256</v>
      </c>
      <c r="C747" s="30" t="n">
        <f aca="false">CHOOSE($C$712,Assumptions!$C$73,Assumptions!$C$92,Assumptions!$C$111)</f>
        <v>0.16</v>
      </c>
    </row>
    <row r="748" customFormat="false" ht="15" hidden="false" customHeight="false" outlineLevel="0" collapsed="false">
      <c r="A748" s="5" t="s">
        <v>257</v>
      </c>
      <c r="C748" s="31" t="n">
        <f aca="false">CHOOSE($C$712,Assumptions!$C$74,Assumptions!$C$93,Assumptions!$C$112)</f>
        <v>5</v>
      </c>
    </row>
    <row r="749" customFormat="false" ht="15" hidden="false" customHeight="false" outlineLevel="0" collapsed="false">
      <c r="A749" s="5" t="s">
        <v>258</v>
      </c>
      <c r="C749" s="31" t="n">
        <f aca="false">CHOOSE($C$712,Assumptions!$C$75,Assumptions!$C$94,Assumptions!$C$113)</f>
        <v>2</v>
      </c>
    </row>
    <row r="750" customFormat="false" ht="15" hidden="false" customHeight="false" outlineLevel="0" collapsed="false">
      <c r="A750" s="5" t="s">
        <v>259</v>
      </c>
      <c r="G750" s="25" t="n">
        <f aca="false">G755+G768+G781+G794</f>
        <v>1250</v>
      </c>
      <c r="H750" s="25" t="n">
        <f aca="false">H755+H768+H781+H794</f>
        <v>1299.7088</v>
      </c>
      <c r="I750" s="25" t="n">
        <f aca="false">I755+I768+I781+I794</f>
        <v>1294.5088</v>
      </c>
      <c r="J750" s="25" t="n">
        <f aca="false">J755+J768+J781+J794</f>
        <v>1289.3088</v>
      </c>
      <c r="K750" s="25" t="n">
        <f aca="false">K755+K768+K781+K794</f>
        <v>1284.1088</v>
      </c>
    </row>
    <row r="751" customFormat="false" ht="15" hidden="false" customHeight="false" outlineLevel="0" collapsed="false">
      <c r="A751" s="5" t="s">
        <v>260</v>
      </c>
      <c r="G751" s="25" t="n">
        <f aca="false">F841</f>
        <v>45</v>
      </c>
      <c r="H751" s="25" t="n">
        <f aca="false">G841</f>
        <v>0</v>
      </c>
      <c r="I751" s="25" t="n">
        <f aca="false">H841</f>
        <v>-139.5574048</v>
      </c>
      <c r="J751" s="25" t="n">
        <f aca="false">I841</f>
        <v>-299.764809344</v>
      </c>
      <c r="K751" s="25" t="n">
        <f aca="false">J841</f>
        <v>-462.24043997056</v>
      </c>
    </row>
    <row r="752" customFormat="false" ht="15" hidden="false" customHeight="false" outlineLevel="0" collapsed="false">
      <c r="A752" s="5" t="s">
        <v>261</v>
      </c>
      <c r="G752" s="25" t="n">
        <f aca="false">G755*IF(G756=1,$C$747,IF(Assumptions!$I$53=1,MAX(G745,Assumptions!$G$53)+Assumptions!$F$53+$C$746,Assumptions!$E$53))+G768*IF(G769=1,$C$747,IF(Assumptions!$I$54=1,MAX(G745,Assumptions!$G$54)+Assumptions!$F$54+$C$746,Assumptions!$E$54))+G781*IF(G782=1,$C$747,IF(Assumptions!$I$55=1,MAX(G745,Assumptions!$G$55)+Assumptions!$F$55+$C$746,Assumptions!$E$55))+G794*IF(G795=1,$C$747,IF(Assumptions!$I$56=1,MAX(G745,Assumptions!$G$56)+Assumptions!$F$56+$C$746,Assumptions!$E$56))</f>
        <v>140.04</v>
      </c>
      <c r="H752" s="25" t="n">
        <f aca="false">H755*IF(OR(H756=1,G907=1),$C$747,IF(Assumptions!$I$53=1,MAX(H745,Assumptions!$G$53)+Assumptions!$F$53+$C$746,Assumptions!$E$53))+H768*IF(OR(H769=1,G908=1),$C$747,IF(Assumptions!$I$54=1,MAX(H745,Assumptions!$G$54)+Assumptions!$F$54+$C$746,Assumptions!$E$54))+H781*IF(OR(H782=1,G909=1),$C$747,IF(Assumptions!$I$55=1,MAX(H745,Assumptions!$G$55)+Assumptions!$F$55+$C$746,Assumptions!$E$55))+H794*IF(OR(H795=1,G910=1),$C$747,IF(Assumptions!$I$56=1,MAX(H745,Assumptions!$G$56)+Assumptions!$F$56+$C$746,Assumptions!$E$56))</f>
        <v>180.266808</v>
      </c>
      <c r="I752" s="25" t="n">
        <f aca="false">I755*IF(OR(I756=1,H907=1),$C$747,IF(Assumptions!$I$53=1,MAX(I745,Assumptions!$G$53)+Assumptions!$F$53+$C$746,Assumptions!$E$53))+I768*IF(OR(I769=1,H908=1),$C$747,IF(Assumptions!$I$54=1,MAX(I745,Assumptions!$G$54)+Assumptions!$F$54+$C$746,Assumptions!$E$54))+I781*IF(OR(I782=1,H909=1),$C$747,IF(Assumptions!$I$55=1,MAX(I745,Assumptions!$G$55)+Assumptions!$F$55+$C$746,Assumptions!$E$55))+I794*IF(OR(I795=1,H910=1),$C$747,IF(Assumptions!$I$56=1,MAX(I745,Assumptions!$G$56)+Assumptions!$F$56+$C$746,Assumptions!$E$56))</f>
        <v>157.6108768</v>
      </c>
      <c r="J752" s="25" t="n">
        <f aca="false">J755*IF(OR(J756=1,I907=1),$C$747,IF(Assumptions!$I$53=1,MAX(J745,Assumptions!$G$53)+Assumptions!$F$53+$C$746,Assumptions!$E$53))+J768*IF(OR(J769=1,I908=1),$C$747,IF(Assumptions!$I$54=1,MAX(J745,Assumptions!$G$54)+Assumptions!$F$54+$C$746,Assumptions!$E$54))+J781*IF(OR(J782=1,I909=1),$C$747,IF(Assumptions!$I$55=1,MAX(J745,Assumptions!$G$55)+Assumptions!$F$55+$C$746,Assumptions!$E$55))+J794*IF(OR(J795=1,I910=1),$C$747,IF(Assumptions!$I$56=1,MAX(J745,Assumptions!$G$56)+Assumptions!$F$56+$C$746,Assumptions!$E$56))</f>
        <v>153.1380768</v>
      </c>
      <c r="K752" s="25" t="n">
        <f aca="false">K755*IF(OR(K756=1,J907=1),$C$747,IF(Assumptions!$I$53=1,MAX(K745,Assumptions!$G$53)+Assumptions!$F$53+$C$746,Assumptions!$E$53))+K768*IF(OR(K769=1,J908=1),$C$747,IF(Assumptions!$I$54=1,MAX(K745,Assumptions!$G$54)+Assumptions!$F$54+$C$746,Assumptions!$E$54))+K781*IF(OR(K782=1,J909=1),$C$747,IF(Assumptions!$I$55=1,MAX(K745,Assumptions!$G$55)+Assumptions!$F$55+$C$746,Assumptions!$E$55))+K794*IF(OR(K795=1,J910=1),$C$747,IF(Assumptions!$I$56=1,MAX(K745,Assumptions!$G$56)+Assumptions!$F$56+$C$746,Assumptions!$E$56))</f>
        <v>139.9724768</v>
      </c>
    </row>
    <row r="753" customFormat="false" ht="15" hidden="false" customHeight="false" outlineLevel="0" collapsed="false">
      <c r="A753" s="5" t="s">
        <v>262</v>
      </c>
      <c r="G753" s="20" t="n">
        <f aca="false">IF(G729&lt;=0,0,IF(AND((G750-G751)/G729&lt;=$C$748,G729/G752&gt;=$C$749),1,0))</f>
        <v>0</v>
      </c>
      <c r="H753" s="20" t="n">
        <f aca="false">IF(H729&lt;=0,0,IF(AND((H750-H751)/H729&lt;=$C$748,H729/H752&gt;=$C$749),1,0))</f>
        <v>0</v>
      </c>
      <c r="I753" s="20" t="n">
        <f aca="false">IF(I729&lt;=0,0,IF(AND((I750-I751)/I729&lt;=$C$748,I729/I752&gt;=$C$749),1,0))</f>
        <v>0</v>
      </c>
      <c r="J753" s="20" t="n">
        <f aca="false">IF(J729&lt;=0,0,IF(AND((J750-J751)/J729&lt;=$C$748,J729/J752&gt;=$C$749),1,0))</f>
        <v>0</v>
      </c>
      <c r="K753" s="20" t="n">
        <f aca="false">IF(K729&lt;=0,0,IF(AND((K750-K751)/K729&lt;=$C$748,K729/K752&gt;=$C$749),1,0))</f>
        <v>0</v>
      </c>
    </row>
    <row r="754" customFormat="false" ht="15" hidden="false" customHeight="false" outlineLevel="0" collapsed="false">
      <c r="A754" s="23" t="s">
        <v>263</v>
      </c>
      <c r="B754" s="24"/>
      <c r="C754" s="24"/>
      <c r="D754" s="24"/>
      <c r="E754" s="24"/>
      <c r="F754" s="24"/>
      <c r="G754" s="24"/>
      <c r="H754" s="24"/>
      <c r="I754" s="24"/>
      <c r="J754" s="24"/>
      <c r="K754" s="24"/>
    </row>
    <row r="755" customFormat="false" ht="15" hidden="false" customHeight="false" outlineLevel="0" collapsed="false">
      <c r="A755" s="5" t="s">
        <v>264</v>
      </c>
      <c r="G755" s="25" t="n">
        <f aca="false">F766</f>
        <v>180</v>
      </c>
      <c r="H755" s="25" t="n">
        <f aca="false">G766</f>
        <v>234.9088</v>
      </c>
      <c r="I755" s="25" t="n">
        <f aca="false">H766</f>
        <v>234.9088</v>
      </c>
      <c r="J755" s="25" t="n">
        <f aca="false">I766</f>
        <v>234.9088</v>
      </c>
      <c r="K755" s="25" t="n">
        <f aca="false">J766</f>
        <v>234.9088</v>
      </c>
    </row>
    <row r="756" customFormat="false" ht="15" hidden="false" customHeight="false" outlineLevel="0" collapsed="false">
      <c r="A756" s="5" t="s">
        <v>265</v>
      </c>
      <c r="G756" s="20" t="n">
        <f aca="false">IF(G719=Assumptions!$K$53,1,0)</f>
        <v>0</v>
      </c>
      <c r="H756" s="20" t="n">
        <f aca="false">IF(H719=Assumptions!$K$53,1,0)</f>
        <v>1</v>
      </c>
      <c r="I756" s="20" t="n">
        <f aca="false">IF(I719=Assumptions!$K$53,1,0)</f>
        <v>0</v>
      </c>
      <c r="J756" s="20" t="n">
        <f aca="false">IF(J719=Assumptions!$K$53,1,0)</f>
        <v>0</v>
      </c>
      <c r="K756" s="20" t="n">
        <f aca="false">IF(K719=Assumptions!$K$53,1,0)</f>
        <v>0</v>
      </c>
    </row>
    <row r="758" customFormat="false" ht="15" hidden="false" customHeight="false" outlineLevel="0" collapsed="false">
      <c r="A758" s="5" t="s">
        <v>266</v>
      </c>
      <c r="G758" s="30" t="n">
        <f aca="false">IF(Assumptions!$I$53=1,MAX(G745,Assumptions!$G$53)+Assumptions!$F$53+$C$746,Assumptions!$E$53)</f>
        <v>0.116</v>
      </c>
      <c r="H758" s="30" t="n">
        <f aca="false">IF(G907=1,$C$747,IF(Assumptions!$I$53=1,MAX(H745,Assumptions!$G$53)+Assumptions!$F$53+$C$746,Assumptions!$E$53))</f>
        <v>0.1135</v>
      </c>
      <c r="I758" s="30" t="n">
        <f aca="false">IF(H907=1,$C$747,IF(Assumptions!$I$53=1,MAX(I745,Assumptions!$G$53)+Assumptions!$F$53+$C$746,Assumptions!$E$53))</f>
        <v>0.111</v>
      </c>
      <c r="J758" s="30" t="n">
        <f aca="false">IF(I907=1,$C$747,IF(Assumptions!$I$53=1,MAX(J745,Assumptions!$G$53)+Assumptions!$F$53+$C$746,Assumptions!$E$53))</f>
        <v>0.111</v>
      </c>
      <c r="K758" s="30" t="n">
        <f aca="false">IF(J907=1,$C$747,IF(Assumptions!$I$53=1,MAX(K745,Assumptions!$G$53)+Assumptions!$F$53+$C$746,Assumptions!$E$53))</f>
        <v>0.111</v>
      </c>
    </row>
    <row r="759" customFormat="false" ht="15" hidden="false" customHeight="false" outlineLevel="0" collapsed="false">
      <c r="A759" s="5" t="s">
        <v>267</v>
      </c>
      <c r="G759" s="25" t="n">
        <f aca="false">G755*G758</f>
        <v>20.88</v>
      </c>
      <c r="H759" s="25" t="n">
        <f aca="false">H755*H758</f>
        <v>26.6621488</v>
      </c>
      <c r="I759" s="25" t="n">
        <f aca="false">I755*I758</f>
        <v>26.0748768</v>
      </c>
      <c r="J759" s="25" t="n">
        <f aca="false">J755*J758</f>
        <v>26.0748768</v>
      </c>
      <c r="K759" s="25" t="n">
        <f aca="false">K755*K758</f>
        <v>26.0748768</v>
      </c>
    </row>
    <row r="760" customFormat="false" ht="15" hidden="false" customHeight="false" outlineLevel="0" collapsed="false">
      <c r="A760" s="5" t="s">
        <v>268</v>
      </c>
      <c r="G760" s="25" t="n">
        <f aca="false">G755*Assumptions!$H$53</f>
        <v>0</v>
      </c>
      <c r="H760" s="25" t="n">
        <f aca="false">H755*Assumptions!$H$53</f>
        <v>0</v>
      </c>
      <c r="I760" s="25" t="n">
        <f aca="false">I755*Assumptions!$H$53</f>
        <v>0</v>
      </c>
      <c r="J760" s="25" t="n">
        <f aca="false">J755*Assumptions!$H$53</f>
        <v>0</v>
      </c>
      <c r="K760" s="25" t="n">
        <f aca="false">K755*Assumptions!$H$53</f>
        <v>0</v>
      </c>
    </row>
    <row r="761" customFormat="false" ht="15" hidden="false" customHeight="false" outlineLevel="0" collapsed="false">
      <c r="A761" s="5" t="s">
        <v>269</v>
      </c>
      <c r="G761" s="25" t="n">
        <f aca="false">MIN(G755,Assumptions!$L$53*Assumptions!$C$53)</f>
        <v>0</v>
      </c>
      <c r="H761" s="25" t="n">
        <f aca="false">MIN(H755,Assumptions!$L$53*Assumptions!$C$53)</f>
        <v>0</v>
      </c>
      <c r="I761" s="25" t="n">
        <f aca="false">MIN(I755,Assumptions!$L$53*Assumptions!$C$53)</f>
        <v>0</v>
      </c>
      <c r="J761" s="25" t="n">
        <f aca="false">MIN(J755,Assumptions!$L$53*Assumptions!$C$53)</f>
        <v>0</v>
      </c>
      <c r="K761" s="25" t="n">
        <f aca="false">MIN(K755,Assumptions!$L$53*Assumptions!$C$53)</f>
        <v>0</v>
      </c>
    </row>
    <row r="762" customFormat="false" ht="15" hidden="false" customHeight="false" outlineLevel="0" collapsed="false">
      <c r="A762" s="5" t="s">
        <v>270</v>
      </c>
      <c r="G762" s="25" t="n">
        <f aca="false">IF(AND(Assumptions!$P$53=1,G719&lt;Assumptions!$K$53),MIN(MAX(0,-G833),MAX(0,Assumptions!$D$53-G755)),0)</f>
        <v>54.9088</v>
      </c>
      <c r="H762" s="25" t="n">
        <f aca="false">IF(AND(Assumptions!$P$53=1,OR(H719&lt;Assumptions!$K$53,G907=1)),MIN(MAX(0,-H833),MAX(0,Assumptions!$D$53-H755)),0)</f>
        <v>0</v>
      </c>
      <c r="I762" s="25" t="n">
        <f aca="false">IF(AND(Assumptions!$P$53=1,OR(I719&lt;Assumptions!$K$53,H907=1)),MIN(MAX(0,-I833),MAX(0,Assumptions!$D$53-I755)),0)</f>
        <v>0</v>
      </c>
      <c r="J762" s="25" t="n">
        <f aca="false">IF(AND(Assumptions!$P$53=1,OR(J719&lt;Assumptions!$K$53,I907=1)),MIN(MAX(0,-J833),MAX(0,Assumptions!$D$53-J755)),0)</f>
        <v>0</v>
      </c>
      <c r="K762" s="25" t="n">
        <f aca="false">IF(AND(Assumptions!$P$53=1,OR(K719&lt;Assumptions!$K$53,J907=1)),MIN(MAX(0,-K833),MAX(0,Assumptions!$D$53-K755)),0)</f>
        <v>0</v>
      </c>
    </row>
    <row r="763" customFormat="false" ht="15" hidden="false" customHeight="false" outlineLevel="0" collapsed="false">
      <c r="A763" s="5" t="s">
        <v>271</v>
      </c>
      <c r="G763" s="25" t="n">
        <f aca="false">G756*MIN(G755-G761+G760,MAX(0,G835-Assumptions!$C$12*G753))</f>
        <v>0</v>
      </c>
      <c r="H763" s="25" t="n">
        <f aca="false">H756*MIN(H755-H761+H760,MAX(0,H835-Assumptions!$C$12*H753))</f>
        <v>0</v>
      </c>
      <c r="I763" s="25" t="n">
        <f aca="false">I756*MIN(I755-I761+I760,MAX(0,I835-Assumptions!$C$12*I753))</f>
        <v>0</v>
      </c>
      <c r="J763" s="25" t="n">
        <f aca="false">J756*MIN(J755-J761+J760,MAX(0,J835-Assumptions!$C$12*J753))</f>
        <v>0</v>
      </c>
      <c r="K763" s="25" t="n">
        <f aca="false">K756*MIN(K755-K761+K760,MAX(0,K835-Assumptions!$C$12*K753))</f>
        <v>0</v>
      </c>
    </row>
    <row r="764" customFormat="false" ht="15" hidden="false" customHeight="false" outlineLevel="0" collapsed="false">
      <c r="A764" s="5" t="s">
        <v>272</v>
      </c>
      <c r="G764" s="25" t="n">
        <f aca="false">Assumptions!$N$53*MIN(G755+G762+G760-G761-G763,MAX(0,G839))</f>
        <v>0</v>
      </c>
      <c r="H764" s="25" t="n">
        <f aca="false">Assumptions!$N$53*MIN(H755+H762+H760-H761-H763,MAX(0,H839))</f>
        <v>0</v>
      </c>
      <c r="I764" s="25" t="n">
        <f aca="false">Assumptions!$N$53*MIN(I755+I762+I760-I761-I763,MAX(0,I839))</f>
        <v>0</v>
      </c>
      <c r="J764" s="25" t="n">
        <f aca="false">Assumptions!$N$53*MIN(J755+J762+J760-J761-J763,MAX(0,J839))</f>
        <v>0</v>
      </c>
      <c r="K764" s="25" t="n">
        <f aca="false">Assumptions!$N$53*MIN(K755+K762+K760-K761-K763,MAX(0,K839))</f>
        <v>0</v>
      </c>
    </row>
    <row r="765" customFormat="false" ht="15" hidden="false" customHeight="false" outlineLevel="0" collapsed="false">
      <c r="A765" s="5" t="s">
        <v>273</v>
      </c>
      <c r="G765" s="25" t="n">
        <f aca="false">G756*(1-G753)*(G755-G761+G760-G763)</f>
        <v>0</v>
      </c>
      <c r="H765" s="25" t="n">
        <f aca="false">H756*(1-H753)*(H755-H761+H760-H763)</f>
        <v>234.9088</v>
      </c>
      <c r="I765" s="25" t="n">
        <f aca="false">I756*(1-I753)*(I755-I761+I760-I763)</f>
        <v>0</v>
      </c>
      <c r="J765" s="25" t="n">
        <f aca="false">J756*(1-J753)*(J755-J761+J760-J763)</f>
        <v>0</v>
      </c>
      <c r="K765" s="25" t="n">
        <f aca="false">K756*(1-K753)*(K755-K761+K760-K763)</f>
        <v>0</v>
      </c>
    </row>
    <row r="766" customFormat="false" ht="15" hidden="false" customHeight="false" outlineLevel="0" collapsed="false">
      <c r="A766" s="2" t="s">
        <v>274</v>
      </c>
      <c r="F766" s="27" t="n">
        <f aca="false">Assumptions!$C$53</f>
        <v>180</v>
      </c>
      <c r="G766" s="16" t="n">
        <f aca="false">G755+G762+G760-G761-G763-G764</f>
        <v>234.9088</v>
      </c>
      <c r="H766" s="16" t="n">
        <f aca="false">H755+H762+H760-H761-H763-H764</f>
        <v>234.9088</v>
      </c>
      <c r="I766" s="16" t="n">
        <f aca="false">I755+I762+I760-I761-I763-I764</f>
        <v>234.9088</v>
      </c>
      <c r="J766" s="16" t="n">
        <f aca="false">J755+J762+J760-J761-J763-J764</f>
        <v>234.9088</v>
      </c>
      <c r="K766" s="16" t="n">
        <f aca="false">K755+K762+K760-K761-K763-K764</f>
        <v>234.9088</v>
      </c>
    </row>
    <row r="767" customFormat="false" ht="15" hidden="false" customHeight="false" outlineLevel="0" collapsed="false">
      <c r="A767" s="23" t="s">
        <v>275</v>
      </c>
      <c r="B767" s="24"/>
      <c r="C767" s="24"/>
      <c r="D767" s="24"/>
      <c r="E767" s="24"/>
      <c r="F767" s="24"/>
      <c r="G767" s="24"/>
      <c r="H767" s="24"/>
      <c r="I767" s="24"/>
      <c r="J767" s="24"/>
      <c r="K767" s="24"/>
    </row>
    <row r="768" customFormat="false" ht="15" hidden="false" customHeight="false" outlineLevel="0" collapsed="false">
      <c r="A768" s="5" t="s">
        <v>264</v>
      </c>
      <c r="G768" s="25" t="n">
        <f aca="false">F779</f>
        <v>520</v>
      </c>
      <c r="H768" s="25" t="n">
        <f aca="false">G779</f>
        <v>514.8</v>
      </c>
      <c r="I768" s="25" t="n">
        <f aca="false">H779</f>
        <v>509.6</v>
      </c>
      <c r="J768" s="25" t="n">
        <f aca="false">I779</f>
        <v>504.4</v>
      </c>
      <c r="K768" s="25" t="n">
        <f aca="false">J779</f>
        <v>499.2</v>
      </c>
    </row>
    <row r="769" customFormat="false" ht="15" hidden="false" customHeight="false" outlineLevel="0" collapsed="false">
      <c r="A769" s="5" t="s">
        <v>265</v>
      </c>
      <c r="G769" s="20" t="n">
        <f aca="false">IF(G719=Assumptions!$K$54,1,0)</f>
        <v>0</v>
      </c>
      <c r="H769" s="20" t="n">
        <f aca="false">IF(H719=Assumptions!$K$54,1,0)</f>
        <v>0</v>
      </c>
      <c r="I769" s="20" t="n">
        <f aca="false">IF(I719=Assumptions!$K$54,1,0)</f>
        <v>1</v>
      </c>
      <c r="J769" s="20" t="n">
        <f aca="false">IF(J719=Assumptions!$K$54,1,0)</f>
        <v>0</v>
      </c>
      <c r="K769" s="20" t="n">
        <f aca="false">IF(K719=Assumptions!$K$54,1,0)</f>
        <v>0</v>
      </c>
    </row>
    <row r="771" customFormat="false" ht="15" hidden="false" customHeight="false" outlineLevel="0" collapsed="false">
      <c r="A771" s="5" t="s">
        <v>266</v>
      </c>
      <c r="G771" s="30" t="n">
        <f aca="false">IF(Assumptions!$I$54=1,MAX(G745,Assumptions!$G$54)+Assumptions!$F$54+$C$746,Assumptions!$E$54)</f>
        <v>0.133</v>
      </c>
      <c r="H771" s="30" t="n">
        <f aca="false">IF(G908=1,$C$747,IF(Assumptions!$I$54=1,MAX(H745,Assumptions!$G$54)+Assumptions!$F$54+$C$746,Assumptions!$E$54))</f>
        <v>0.1305</v>
      </c>
      <c r="I771" s="30" t="n">
        <f aca="false">IF(H908=1,$C$747,IF(Assumptions!$I$54=1,MAX(I745,Assumptions!$G$54)+Assumptions!$F$54+$C$746,Assumptions!$E$54))</f>
        <v>0.128</v>
      </c>
      <c r="J771" s="30" t="n">
        <f aca="false">IF(I908=1,$C$747,IF(Assumptions!$I$54=1,MAX(J745,Assumptions!$G$54)+Assumptions!$F$54+$C$746,Assumptions!$E$54))</f>
        <v>0.128</v>
      </c>
      <c r="K771" s="30" t="n">
        <f aca="false">IF(J908=1,$C$747,IF(Assumptions!$I$54=1,MAX(K745,Assumptions!$G$54)+Assumptions!$F$54+$C$746,Assumptions!$E$54))</f>
        <v>0.128</v>
      </c>
    </row>
    <row r="772" customFormat="false" ht="15" hidden="false" customHeight="false" outlineLevel="0" collapsed="false">
      <c r="A772" s="5" t="s">
        <v>267</v>
      </c>
      <c r="G772" s="25" t="n">
        <f aca="false">G768*G771</f>
        <v>69.16</v>
      </c>
      <c r="H772" s="25" t="n">
        <f aca="false">H768*H771</f>
        <v>67.1814</v>
      </c>
      <c r="I772" s="25" t="n">
        <f aca="false">I768*I771</f>
        <v>65.2288</v>
      </c>
      <c r="J772" s="25" t="n">
        <f aca="false">J768*J771</f>
        <v>64.5632</v>
      </c>
      <c r="K772" s="25" t="n">
        <f aca="false">K768*K771</f>
        <v>63.8976</v>
      </c>
    </row>
    <row r="773" customFormat="false" ht="15" hidden="false" customHeight="false" outlineLevel="0" collapsed="false">
      <c r="A773" s="5" t="s">
        <v>268</v>
      </c>
      <c r="G773" s="25" t="n">
        <f aca="false">G768*Assumptions!$H$54</f>
        <v>0</v>
      </c>
      <c r="H773" s="25" t="n">
        <f aca="false">H768*Assumptions!$H$54</f>
        <v>0</v>
      </c>
      <c r="I773" s="25" t="n">
        <f aca="false">I768*Assumptions!$H$54</f>
        <v>0</v>
      </c>
      <c r="J773" s="25" t="n">
        <f aca="false">J768*Assumptions!$H$54</f>
        <v>0</v>
      </c>
      <c r="K773" s="25" t="n">
        <f aca="false">K768*Assumptions!$H$54</f>
        <v>0</v>
      </c>
    </row>
    <row r="774" customFormat="false" ht="15" hidden="false" customHeight="false" outlineLevel="0" collapsed="false">
      <c r="A774" s="5" t="s">
        <v>269</v>
      </c>
      <c r="G774" s="25" t="n">
        <f aca="false">MIN(G768,Assumptions!$L$54*Assumptions!$C$54)</f>
        <v>5.2</v>
      </c>
      <c r="H774" s="25" t="n">
        <f aca="false">MIN(H768,Assumptions!$L$54*Assumptions!$C$54)</f>
        <v>5.2</v>
      </c>
      <c r="I774" s="25" t="n">
        <f aca="false">MIN(I768,Assumptions!$L$54*Assumptions!$C$54)</f>
        <v>5.2</v>
      </c>
      <c r="J774" s="25" t="n">
        <f aca="false">MIN(J768,Assumptions!$L$54*Assumptions!$C$54)</f>
        <v>5.2</v>
      </c>
      <c r="K774" s="25" t="n">
        <f aca="false">MIN(K768,Assumptions!$L$54*Assumptions!$C$54)</f>
        <v>5.2</v>
      </c>
    </row>
    <row r="775" customFormat="false" ht="15" hidden="false" customHeight="false" outlineLevel="0" collapsed="false">
      <c r="A775" s="5" t="s">
        <v>270</v>
      </c>
      <c r="G775" s="25" t="n">
        <f aca="false">IF(AND(Assumptions!$P$54=1,G719&lt;Assumptions!$K$54),MIN(MAX(0,-G833),MAX(0,Assumptions!$D$54-G768)),0)</f>
        <v>0</v>
      </c>
      <c r="H775" s="25" t="n">
        <f aca="false">IF(AND(Assumptions!$P$54=1,OR(H719&lt;Assumptions!$K$54,G908=1)),MIN(MAX(0,-H833),MAX(0,Assumptions!$D$54-H768)),0)</f>
        <v>0</v>
      </c>
      <c r="I775" s="25" t="n">
        <f aca="false">IF(AND(Assumptions!$P$54=1,OR(I719&lt;Assumptions!$K$54,H908=1)),MIN(MAX(0,-I833),MAX(0,Assumptions!$D$54-I768)),0)</f>
        <v>0</v>
      </c>
      <c r="J775" s="25" t="n">
        <f aca="false">IF(AND(Assumptions!$P$54=1,OR(J719&lt;Assumptions!$K$54,I908=1)),MIN(MAX(0,-J833),MAX(0,Assumptions!$D$54-J768)),0)</f>
        <v>0</v>
      </c>
      <c r="K775" s="25" t="n">
        <f aca="false">IF(AND(Assumptions!$P$54=1,OR(K719&lt;Assumptions!$K$54,J908=1)),MIN(MAX(0,-K833),MAX(0,Assumptions!$D$54-K768)),0)</f>
        <v>0</v>
      </c>
    </row>
    <row r="776" customFormat="false" ht="15" hidden="false" customHeight="false" outlineLevel="0" collapsed="false">
      <c r="A776" s="5" t="s">
        <v>271</v>
      </c>
      <c r="G776" s="25" t="n">
        <f aca="false">G769*MIN(G768-G774+G773,MAX(0,G835-Assumptions!$C$12*G753-G763))</f>
        <v>0</v>
      </c>
      <c r="H776" s="25" t="n">
        <f aca="false">H769*MIN(H768-H774+H773,MAX(0,H835-Assumptions!$C$12*H753-H763))</f>
        <v>0</v>
      </c>
      <c r="I776" s="25" t="n">
        <f aca="false">I769*MIN(I768-I774+I773,MAX(0,I835-Assumptions!$C$12*I753-I763))</f>
        <v>0</v>
      </c>
      <c r="J776" s="25" t="n">
        <f aca="false">J769*MIN(J768-J774+J773,MAX(0,J835-Assumptions!$C$12*J753-J763))</f>
        <v>0</v>
      </c>
      <c r="K776" s="25" t="n">
        <f aca="false">K769*MIN(K768-K774+K773,MAX(0,K835-Assumptions!$C$12*K753-K763))</f>
        <v>0</v>
      </c>
    </row>
    <row r="777" customFormat="false" ht="15" hidden="false" customHeight="false" outlineLevel="0" collapsed="false">
      <c r="A777" s="5" t="s">
        <v>272</v>
      </c>
      <c r="G777" s="25" t="n">
        <f aca="false">Assumptions!$N$54*MIN(G768+G775+G773-G774-G776,MAX(0,G839-G764))</f>
        <v>0</v>
      </c>
      <c r="H777" s="25" t="n">
        <f aca="false">Assumptions!$N$54*MIN(H768+H775+H773-H774-H776,MAX(0,H839-H764))</f>
        <v>0</v>
      </c>
      <c r="I777" s="25" t="n">
        <f aca="false">Assumptions!$N$54*MIN(I768+I775+I773-I774-I776,MAX(0,I839-I764))</f>
        <v>0</v>
      </c>
      <c r="J777" s="25" t="n">
        <f aca="false">Assumptions!$N$54*MIN(J768+J775+J773-J774-J776,MAX(0,J839-J764))</f>
        <v>0</v>
      </c>
      <c r="K777" s="25" t="n">
        <f aca="false">Assumptions!$N$54*MIN(K768+K775+K773-K774-K776,MAX(0,K839-K764))</f>
        <v>0</v>
      </c>
    </row>
    <row r="778" customFormat="false" ht="15" hidden="false" customHeight="false" outlineLevel="0" collapsed="false">
      <c r="A778" s="5" t="s">
        <v>273</v>
      </c>
      <c r="G778" s="25" t="n">
        <f aca="false">G769*(1-G753)*(G768-G774+G773-G776)</f>
        <v>0</v>
      </c>
      <c r="H778" s="25" t="n">
        <f aca="false">H769*(1-H753)*(H768-H774+H773-H776)</f>
        <v>0</v>
      </c>
      <c r="I778" s="25" t="n">
        <f aca="false">I769*(1-I753)*(I768-I774+I773-I776)</f>
        <v>504.4</v>
      </c>
      <c r="J778" s="25" t="n">
        <f aca="false">J769*(1-J753)*(J768-J774+J773-J776)</f>
        <v>0</v>
      </c>
      <c r="K778" s="25" t="n">
        <f aca="false">K769*(1-K753)*(K768-K774+K773-K776)</f>
        <v>0</v>
      </c>
    </row>
    <row r="779" customFormat="false" ht="15" hidden="false" customHeight="false" outlineLevel="0" collapsed="false">
      <c r="A779" s="2" t="s">
        <v>274</v>
      </c>
      <c r="F779" s="27" t="n">
        <f aca="false">Assumptions!$C$54</f>
        <v>520</v>
      </c>
      <c r="G779" s="16" t="n">
        <f aca="false">G768+G775+G773-G774-G776-G777</f>
        <v>514.8</v>
      </c>
      <c r="H779" s="16" t="n">
        <f aca="false">H768+H775+H773-H774-H776-H777</f>
        <v>509.6</v>
      </c>
      <c r="I779" s="16" t="n">
        <f aca="false">I768+I775+I773-I774-I776-I777</f>
        <v>504.4</v>
      </c>
      <c r="J779" s="16" t="n">
        <f aca="false">J768+J775+J773-J774-J776-J777</f>
        <v>499.2</v>
      </c>
      <c r="K779" s="16" t="n">
        <f aca="false">K768+K775+K773-K774-K776-K777</f>
        <v>494</v>
      </c>
    </row>
    <row r="780" customFormat="false" ht="15" hidden="false" customHeight="false" outlineLevel="0" collapsed="false">
      <c r="A780" s="23" t="s">
        <v>276</v>
      </c>
      <c r="B780" s="24"/>
      <c r="C780" s="24"/>
      <c r="D780" s="24"/>
      <c r="E780" s="24"/>
      <c r="F780" s="24"/>
      <c r="G780" s="24"/>
      <c r="H780" s="24"/>
      <c r="I780" s="24"/>
      <c r="J780" s="24"/>
      <c r="K780" s="24"/>
    </row>
    <row r="781" customFormat="false" ht="15" hidden="false" customHeight="false" outlineLevel="0" collapsed="false">
      <c r="A781" s="5" t="s">
        <v>264</v>
      </c>
      <c r="G781" s="25" t="n">
        <f aca="false">F792</f>
        <v>250</v>
      </c>
      <c r="H781" s="25" t="n">
        <f aca="false">G792</f>
        <v>250</v>
      </c>
      <c r="I781" s="25" t="n">
        <f aca="false">H792</f>
        <v>250</v>
      </c>
      <c r="J781" s="25" t="n">
        <f aca="false">I792</f>
        <v>250</v>
      </c>
      <c r="K781" s="25" t="n">
        <f aca="false">J792</f>
        <v>250</v>
      </c>
    </row>
    <row r="782" customFormat="false" ht="15" hidden="false" customHeight="false" outlineLevel="0" collapsed="false">
      <c r="A782" s="5" t="s">
        <v>265</v>
      </c>
      <c r="G782" s="20" t="n">
        <f aca="false">IF(G719=Assumptions!$K$55,1,0)</f>
        <v>0</v>
      </c>
      <c r="H782" s="20" t="n">
        <f aca="false">IF(H719=Assumptions!$K$55,1,0)</f>
        <v>0</v>
      </c>
      <c r="I782" s="20" t="n">
        <f aca="false">IF(I719=Assumptions!$K$55,1,0)</f>
        <v>0</v>
      </c>
      <c r="J782" s="20" t="n">
        <f aca="false">IF(J719=Assumptions!$K$55,1,0)</f>
        <v>1</v>
      </c>
      <c r="K782" s="20" t="n">
        <f aca="false">IF(K719=Assumptions!$K$55,1,0)</f>
        <v>0</v>
      </c>
    </row>
    <row r="784" customFormat="false" ht="15" hidden="false" customHeight="false" outlineLevel="0" collapsed="false">
      <c r="A784" s="5" t="s">
        <v>266</v>
      </c>
      <c r="G784" s="30" t="n">
        <f aca="false">IF(Assumptions!$I$55=1,MAX(G745,Assumptions!$G$55)+Assumptions!$F$55+$C$746,Assumptions!$E$55)</f>
        <v>0.11</v>
      </c>
      <c r="H784" s="30" t="n">
        <f aca="false">IF(G909=1,$C$747,IF(Assumptions!$I$55=1,MAX(H745,Assumptions!$G$55)+Assumptions!$F$55+$C$746,Assumptions!$E$55))</f>
        <v>0.11</v>
      </c>
      <c r="I784" s="30" t="n">
        <f aca="false">IF(H909=1,$C$747,IF(Assumptions!$I$55=1,MAX(I745,Assumptions!$G$55)+Assumptions!$F$55+$C$746,Assumptions!$E$55))</f>
        <v>0.11</v>
      </c>
      <c r="J784" s="30" t="n">
        <f aca="false">IF(I909=1,$C$747,IF(Assumptions!$I$55=1,MAX(J745,Assumptions!$G$55)+Assumptions!$F$55+$C$746,Assumptions!$E$55))</f>
        <v>0.11</v>
      </c>
      <c r="K784" s="30" t="n">
        <f aca="false">IF(J909=1,$C$747,IF(Assumptions!$I$55=1,MAX(K745,Assumptions!$G$55)+Assumptions!$F$55+$C$746,Assumptions!$E$55))</f>
        <v>0.11</v>
      </c>
    </row>
    <row r="785" customFormat="false" ht="15" hidden="false" customHeight="false" outlineLevel="0" collapsed="false">
      <c r="A785" s="5" t="s">
        <v>267</v>
      </c>
      <c r="G785" s="25" t="n">
        <f aca="false">G781*G784</f>
        <v>27.5</v>
      </c>
      <c r="H785" s="25" t="n">
        <f aca="false">H781*H784</f>
        <v>27.5</v>
      </c>
      <c r="I785" s="25" t="n">
        <f aca="false">I781*I784</f>
        <v>27.5</v>
      </c>
      <c r="J785" s="25" t="n">
        <f aca="false">J781*J784</f>
        <v>27.5</v>
      </c>
      <c r="K785" s="25" t="n">
        <f aca="false">K781*K784</f>
        <v>27.5</v>
      </c>
    </row>
    <row r="786" customFormat="false" ht="15" hidden="false" customHeight="false" outlineLevel="0" collapsed="false">
      <c r="A786" s="5" t="s">
        <v>268</v>
      </c>
      <c r="G786" s="25" t="n">
        <f aca="false">G781*Assumptions!$H$55</f>
        <v>0</v>
      </c>
      <c r="H786" s="25" t="n">
        <f aca="false">H781*Assumptions!$H$55</f>
        <v>0</v>
      </c>
      <c r="I786" s="25" t="n">
        <f aca="false">I781*Assumptions!$H$55</f>
        <v>0</v>
      </c>
      <c r="J786" s="25" t="n">
        <f aca="false">J781*Assumptions!$H$55</f>
        <v>0</v>
      </c>
      <c r="K786" s="25" t="n">
        <f aca="false">K781*Assumptions!$H$55</f>
        <v>0</v>
      </c>
    </row>
    <row r="787" customFormat="false" ht="15" hidden="false" customHeight="false" outlineLevel="0" collapsed="false">
      <c r="A787" s="5" t="s">
        <v>269</v>
      </c>
      <c r="G787" s="25" t="n">
        <f aca="false">MIN(G781,Assumptions!$L$55*Assumptions!$C$55)</f>
        <v>0</v>
      </c>
      <c r="H787" s="25" t="n">
        <f aca="false">MIN(H781,Assumptions!$L$55*Assumptions!$C$55)</f>
        <v>0</v>
      </c>
      <c r="I787" s="25" t="n">
        <f aca="false">MIN(I781,Assumptions!$L$55*Assumptions!$C$55)</f>
        <v>0</v>
      </c>
      <c r="J787" s="25" t="n">
        <f aca="false">MIN(J781,Assumptions!$L$55*Assumptions!$C$55)</f>
        <v>0</v>
      </c>
      <c r="K787" s="25" t="n">
        <f aca="false">MIN(K781,Assumptions!$L$55*Assumptions!$C$55)</f>
        <v>0</v>
      </c>
    </row>
    <row r="788" customFormat="false" ht="15" hidden="false" customHeight="false" outlineLevel="0" collapsed="false">
      <c r="A788" s="5" t="s">
        <v>270</v>
      </c>
      <c r="G788" s="25" t="n">
        <f aca="false">IF(AND(Assumptions!$P$55=1,G719&lt;Assumptions!$K$55),MIN(MAX(0,-G833),MAX(0,Assumptions!$D$55-G781)),0)</f>
        <v>0</v>
      </c>
      <c r="H788" s="25" t="n">
        <f aca="false">IF(AND(Assumptions!$P$55=1,OR(H719&lt;Assumptions!$K$55,G909=1)),MIN(MAX(0,-H833),MAX(0,Assumptions!$D$55-H781)),0)</f>
        <v>0</v>
      </c>
      <c r="I788" s="25" t="n">
        <f aca="false">IF(AND(Assumptions!$P$55=1,OR(I719&lt;Assumptions!$K$55,H909=1)),MIN(MAX(0,-I833),MAX(0,Assumptions!$D$55-I781)),0)</f>
        <v>0</v>
      </c>
      <c r="J788" s="25" t="n">
        <f aca="false">IF(AND(Assumptions!$P$55=1,OR(J719&lt;Assumptions!$K$55,I909=1)),MIN(MAX(0,-J833),MAX(0,Assumptions!$D$55-J781)),0)</f>
        <v>0</v>
      </c>
      <c r="K788" s="25" t="n">
        <f aca="false">IF(AND(Assumptions!$P$55=1,OR(K719&lt;Assumptions!$K$55,J909=1)),MIN(MAX(0,-K833),MAX(0,Assumptions!$D$55-K781)),0)</f>
        <v>0</v>
      </c>
    </row>
    <row r="789" customFormat="false" ht="15" hidden="false" customHeight="false" outlineLevel="0" collapsed="false">
      <c r="A789" s="5" t="s">
        <v>271</v>
      </c>
      <c r="G789" s="25" t="n">
        <f aca="false">G782*MIN(G781-G787+G786,MAX(0,G835-Assumptions!$C$12*G753-G763-G776))</f>
        <v>0</v>
      </c>
      <c r="H789" s="25" t="n">
        <f aca="false">H782*MIN(H781-H787+H786,MAX(0,H835-Assumptions!$C$12*H753-H763-H776))</f>
        <v>0</v>
      </c>
      <c r="I789" s="25" t="n">
        <f aca="false">I782*MIN(I781-I787+I786,MAX(0,I835-Assumptions!$C$12*I753-I763-I776))</f>
        <v>0</v>
      </c>
      <c r="J789" s="25" t="n">
        <f aca="false">J782*MIN(J781-J787+J786,MAX(0,J835-Assumptions!$C$12*J753-J763-J776))</f>
        <v>0</v>
      </c>
      <c r="K789" s="25" t="n">
        <f aca="false">K782*MIN(K781-K787+K786,MAX(0,K835-Assumptions!$C$12*K753-K763-K776))</f>
        <v>0</v>
      </c>
    </row>
    <row r="790" customFormat="false" ht="15" hidden="false" customHeight="false" outlineLevel="0" collapsed="false">
      <c r="A790" s="5" t="s">
        <v>272</v>
      </c>
      <c r="G790" s="25" t="n">
        <f aca="false">Assumptions!$N$55*MIN(G781+G788+G786-G787-G789,MAX(0,G839-G764-G777))</f>
        <v>0</v>
      </c>
      <c r="H790" s="25" t="n">
        <f aca="false">Assumptions!$N$55*MIN(H781+H788+H786-H787-H789,MAX(0,H839-H764-H777))</f>
        <v>0</v>
      </c>
      <c r="I790" s="25" t="n">
        <f aca="false">Assumptions!$N$55*MIN(I781+I788+I786-I787-I789,MAX(0,I839-I764-I777))</f>
        <v>0</v>
      </c>
      <c r="J790" s="25" t="n">
        <f aca="false">Assumptions!$N$55*MIN(J781+J788+J786-J787-J789,MAX(0,J839-J764-J777))</f>
        <v>0</v>
      </c>
      <c r="K790" s="25" t="n">
        <f aca="false">Assumptions!$N$55*MIN(K781+K788+K786-K787-K789,MAX(0,K839-K764-K777))</f>
        <v>0</v>
      </c>
    </row>
    <row r="791" customFormat="false" ht="15" hidden="false" customHeight="false" outlineLevel="0" collapsed="false">
      <c r="A791" s="5" t="s">
        <v>273</v>
      </c>
      <c r="G791" s="25" t="n">
        <f aca="false">G782*(1-G753)*(G781-G787+G786-G789)</f>
        <v>0</v>
      </c>
      <c r="H791" s="25" t="n">
        <f aca="false">H782*(1-H753)*(H781-H787+H786-H789)</f>
        <v>0</v>
      </c>
      <c r="I791" s="25" t="n">
        <f aca="false">I782*(1-I753)*(I781-I787+I786-I789)</f>
        <v>0</v>
      </c>
      <c r="J791" s="25" t="n">
        <f aca="false">J782*(1-J753)*(J781-J787+J786-J789)</f>
        <v>250</v>
      </c>
      <c r="K791" s="25" t="n">
        <f aca="false">K782*(1-K753)*(K781-K787+K786-K789)</f>
        <v>0</v>
      </c>
    </row>
    <row r="792" customFormat="false" ht="15" hidden="false" customHeight="false" outlineLevel="0" collapsed="false">
      <c r="A792" s="2" t="s">
        <v>274</v>
      </c>
      <c r="F792" s="27" t="n">
        <f aca="false">Assumptions!$C$55</f>
        <v>250</v>
      </c>
      <c r="G792" s="16" t="n">
        <f aca="false">G781+G788+G786-G787-G789-G790</f>
        <v>250</v>
      </c>
      <c r="H792" s="16" t="n">
        <f aca="false">H781+H788+H786-H787-H789-H790</f>
        <v>250</v>
      </c>
      <c r="I792" s="16" t="n">
        <f aca="false">I781+I788+I786-I787-I789-I790</f>
        <v>250</v>
      </c>
      <c r="J792" s="16" t="n">
        <f aca="false">J781+J788+J786-J787-J789-J790</f>
        <v>250</v>
      </c>
      <c r="K792" s="16" t="n">
        <f aca="false">K781+K788+K786-K787-K789-K790</f>
        <v>250</v>
      </c>
    </row>
    <row r="793" customFormat="false" ht="15" hidden="false" customHeight="false" outlineLevel="0" collapsed="false">
      <c r="A793" s="23" t="s">
        <v>277</v>
      </c>
      <c r="B793" s="24"/>
      <c r="C793" s="24"/>
      <c r="D793" s="24"/>
      <c r="E793" s="24"/>
      <c r="F793" s="24"/>
      <c r="G793" s="24"/>
      <c r="H793" s="24"/>
      <c r="I793" s="24"/>
      <c r="J793" s="24"/>
      <c r="K793" s="24"/>
    </row>
    <row r="794" customFormat="false" ht="15" hidden="false" customHeight="false" outlineLevel="0" collapsed="false">
      <c r="A794" s="5" t="s">
        <v>264</v>
      </c>
      <c r="G794" s="25" t="n">
        <f aca="false">F805</f>
        <v>300</v>
      </c>
      <c r="H794" s="25" t="n">
        <f aca="false">G805</f>
        <v>300</v>
      </c>
      <c r="I794" s="25" t="n">
        <f aca="false">H805</f>
        <v>300</v>
      </c>
      <c r="J794" s="25" t="n">
        <f aca="false">I805</f>
        <v>300</v>
      </c>
      <c r="K794" s="25" t="n">
        <f aca="false">J805</f>
        <v>300</v>
      </c>
    </row>
    <row r="795" customFormat="false" ht="15" hidden="false" customHeight="false" outlineLevel="0" collapsed="false">
      <c r="A795" s="5" t="s">
        <v>265</v>
      </c>
      <c r="G795" s="20" t="n">
        <f aca="false">IF(G719=Assumptions!$K$56,1,0)</f>
        <v>0</v>
      </c>
      <c r="H795" s="20" t="n">
        <f aca="false">IF(H719=Assumptions!$K$56,1,0)</f>
        <v>1</v>
      </c>
      <c r="I795" s="20" t="n">
        <f aca="false">IF(I719=Assumptions!$K$56,1,0)</f>
        <v>0</v>
      </c>
      <c r="J795" s="20" t="n">
        <f aca="false">IF(J719=Assumptions!$K$56,1,0)</f>
        <v>0</v>
      </c>
      <c r="K795" s="20" t="n">
        <f aca="false">IF(K719=Assumptions!$K$56,1,0)</f>
        <v>0</v>
      </c>
    </row>
    <row r="797" customFormat="false" ht="15" hidden="false" customHeight="false" outlineLevel="0" collapsed="false">
      <c r="A797" s="5" t="s">
        <v>266</v>
      </c>
      <c r="G797" s="30" t="n">
        <f aca="false">IF(Assumptions!$I$56=1,MAX(G745,Assumptions!$G$56)+Assumptions!$F$56+$C$746,Assumptions!$E$56)</f>
        <v>0.075</v>
      </c>
      <c r="H797" s="30" t="n">
        <f aca="false">IF(G910=1,$C$747,IF(Assumptions!$I$56=1,MAX(H745,Assumptions!$G$56)+Assumptions!$F$56+$C$746,Assumptions!$E$56))</f>
        <v>0.075</v>
      </c>
      <c r="I797" s="30" t="n">
        <f aca="false">IF(H910=1,$C$747,IF(Assumptions!$I$56=1,MAX(I745,Assumptions!$G$56)+Assumptions!$F$56+$C$746,Assumptions!$E$56))</f>
        <v>0.075</v>
      </c>
      <c r="J797" s="30" t="n">
        <f aca="false">IF(I910=1,$C$747,IF(Assumptions!$I$56=1,MAX(J745,Assumptions!$G$56)+Assumptions!$F$56+$C$746,Assumptions!$E$56))</f>
        <v>0.075</v>
      </c>
      <c r="K797" s="30" t="n">
        <f aca="false">IF(J910=1,$C$747,IF(Assumptions!$I$56=1,MAX(K745,Assumptions!$G$56)+Assumptions!$F$56+$C$746,Assumptions!$E$56))</f>
        <v>0.075</v>
      </c>
    </row>
    <row r="798" customFormat="false" ht="15" hidden="false" customHeight="false" outlineLevel="0" collapsed="false">
      <c r="A798" s="5" t="s">
        <v>267</v>
      </c>
      <c r="G798" s="25" t="n">
        <f aca="false">G794*G797</f>
        <v>22.5</v>
      </c>
      <c r="H798" s="25" t="n">
        <f aca="false">H794*H797</f>
        <v>22.5</v>
      </c>
      <c r="I798" s="25" t="n">
        <f aca="false">I794*I797</f>
        <v>22.5</v>
      </c>
      <c r="J798" s="25" t="n">
        <f aca="false">J794*J797</f>
        <v>22.5</v>
      </c>
      <c r="K798" s="25" t="n">
        <f aca="false">K794*K797</f>
        <v>22.5</v>
      </c>
    </row>
    <row r="799" customFormat="false" ht="15" hidden="false" customHeight="false" outlineLevel="0" collapsed="false">
      <c r="A799" s="5" t="s">
        <v>268</v>
      </c>
      <c r="G799" s="25" t="n">
        <f aca="false">G794*Assumptions!$H$56</f>
        <v>0</v>
      </c>
      <c r="H799" s="25" t="n">
        <f aca="false">H794*Assumptions!$H$56</f>
        <v>0</v>
      </c>
      <c r="I799" s="25" t="n">
        <f aca="false">I794*Assumptions!$H$56</f>
        <v>0</v>
      </c>
      <c r="J799" s="25" t="n">
        <f aca="false">J794*Assumptions!$H$56</f>
        <v>0</v>
      </c>
      <c r="K799" s="25" t="n">
        <f aca="false">K794*Assumptions!$H$56</f>
        <v>0</v>
      </c>
    </row>
    <row r="800" customFormat="false" ht="15" hidden="false" customHeight="false" outlineLevel="0" collapsed="false">
      <c r="A800" s="5" t="s">
        <v>269</v>
      </c>
      <c r="G800" s="25" t="n">
        <f aca="false">MIN(G794,Assumptions!$L$56*Assumptions!$C$56)</f>
        <v>0</v>
      </c>
      <c r="H800" s="25" t="n">
        <f aca="false">MIN(H794,Assumptions!$L$56*Assumptions!$C$56)</f>
        <v>0</v>
      </c>
      <c r="I800" s="25" t="n">
        <f aca="false">MIN(I794,Assumptions!$L$56*Assumptions!$C$56)</f>
        <v>0</v>
      </c>
      <c r="J800" s="25" t="n">
        <f aca="false">MIN(J794,Assumptions!$L$56*Assumptions!$C$56)</f>
        <v>0</v>
      </c>
      <c r="K800" s="25" t="n">
        <f aca="false">MIN(K794,Assumptions!$L$56*Assumptions!$C$56)</f>
        <v>0</v>
      </c>
    </row>
    <row r="801" customFormat="false" ht="15" hidden="false" customHeight="false" outlineLevel="0" collapsed="false">
      <c r="A801" s="5" t="s">
        <v>270</v>
      </c>
      <c r="G801" s="25" t="n">
        <f aca="false">IF(AND(Assumptions!$P$56=1,G719&lt;Assumptions!$K$56),MIN(MAX(0,-G833),MAX(0,Assumptions!$D$56-G794)),0)</f>
        <v>0</v>
      </c>
      <c r="H801" s="25" t="n">
        <f aca="false">IF(AND(Assumptions!$P$56=1,OR(H719&lt;Assumptions!$K$56,G910=1)),MIN(MAX(0,-H833),MAX(0,Assumptions!$D$56-H794)),0)</f>
        <v>0</v>
      </c>
      <c r="I801" s="25" t="n">
        <f aca="false">IF(AND(Assumptions!$P$56=1,OR(I719&lt;Assumptions!$K$56,H910=1)),MIN(MAX(0,-I833),MAX(0,Assumptions!$D$56-I794)),0)</f>
        <v>0</v>
      </c>
      <c r="J801" s="25" t="n">
        <f aca="false">IF(AND(Assumptions!$P$56=1,OR(J719&lt;Assumptions!$K$56,I910=1)),MIN(MAX(0,-J833),MAX(0,Assumptions!$D$56-J794)),0)</f>
        <v>0</v>
      </c>
      <c r="K801" s="25" t="n">
        <f aca="false">IF(AND(Assumptions!$P$56=1,OR(K719&lt;Assumptions!$K$56,J910=1)),MIN(MAX(0,-K833),MAX(0,Assumptions!$D$56-K794)),0)</f>
        <v>0</v>
      </c>
    </row>
    <row r="802" customFormat="false" ht="15" hidden="false" customHeight="false" outlineLevel="0" collapsed="false">
      <c r="A802" s="5" t="s">
        <v>271</v>
      </c>
      <c r="G802" s="25" t="n">
        <f aca="false">G795*MIN(G794-G800+G799,MAX(0,G835-Assumptions!$C$12*G753-G763-G776-G789))</f>
        <v>0</v>
      </c>
      <c r="H802" s="25" t="n">
        <f aca="false">H795*MIN(H794-H800+H799,MAX(0,H835-Assumptions!$C$12*H753-H763-H776-H789))</f>
        <v>0</v>
      </c>
      <c r="I802" s="25" t="n">
        <f aca="false">I795*MIN(I794-I800+I799,MAX(0,I835-Assumptions!$C$12*I753-I763-I776-I789))</f>
        <v>0</v>
      </c>
      <c r="J802" s="25" t="n">
        <f aca="false">J795*MIN(J794-J800+J799,MAX(0,J835-Assumptions!$C$12*J753-J763-J776-J789))</f>
        <v>0</v>
      </c>
      <c r="K802" s="25" t="n">
        <f aca="false">K795*MIN(K794-K800+K799,MAX(0,K835-Assumptions!$C$12*K753-K763-K776-K789))</f>
        <v>0</v>
      </c>
    </row>
    <row r="803" customFormat="false" ht="15" hidden="false" customHeight="false" outlineLevel="0" collapsed="false">
      <c r="A803" s="5" t="s">
        <v>272</v>
      </c>
      <c r="G803" s="25" t="n">
        <f aca="false">Assumptions!$N$56*MIN(G794+G801+G799-G800-G802,MAX(0,G839-G764-G777-G790))</f>
        <v>0</v>
      </c>
      <c r="H803" s="25" t="n">
        <f aca="false">Assumptions!$N$56*MIN(H794+H801+H799-H800-H802,MAX(0,H839-H764-H777-H790))</f>
        <v>0</v>
      </c>
      <c r="I803" s="25" t="n">
        <f aca="false">Assumptions!$N$56*MIN(I794+I801+I799-I800-I802,MAX(0,I839-I764-I777-I790))</f>
        <v>0</v>
      </c>
      <c r="J803" s="25" t="n">
        <f aca="false">Assumptions!$N$56*MIN(J794+J801+J799-J800-J802,MAX(0,J839-J764-J777-J790))</f>
        <v>0</v>
      </c>
      <c r="K803" s="25" t="n">
        <f aca="false">Assumptions!$N$56*MIN(K794+K801+K799-K800-K802,MAX(0,K839-K764-K777-K790))</f>
        <v>0</v>
      </c>
    </row>
    <row r="804" customFormat="false" ht="15" hidden="false" customHeight="false" outlineLevel="0" collapsed="false">
      <c r="A804" s="5" t="s">
        <v>273</v>
      </c>
      <c r="G804" s="25" t="n">
        <f aca="false">G795*(1-G753)*(G794-G800+G799-G802)</f>
        <v>0</v>
      </c>
      <c r="H804" s="25" t="n">
        <f aca="false">H795*(1-H753)*(H794-H800+H799-H802)</f>
        <v>300</v>
      </c>
      <c r="I804" s="25" t="n">
        <f aca="false">I795*(1-I753)*(I794-I800+I799-I802)</f>
        <v>0</v>
      </c>
      <c r="J804" s="25" t="n">
        <f aca="false">J795*(1-J753)*(J794-J800+J799-J802)</f>
        <v>0</v>
      </c>
      <c r="K804" s="25" t="n">
        <f aca="false">K795*(1-K753)*(K794-K800+K799-K802)</f>
        <v>0</v>
      </c>
    </row>
    <row r="805" customFormat="false" ht="15" hidden="false" customHeight="false" outlineLevel="0" collapsed="false">
      <c r="A805" s="2" t="s">
        <v>274</v>
      </c>
      <c r="F805" s="27" t="n">
        <f aca="false">Assumptions!$C$56</f>
        <v>300</v>
      </c>
      <c r="G805" s="16" t="n">
        <f aca="false">G794+G801+G799-G800-G802-G803</f>
        <v>300</v>
      </c>
      <c r="H805" s="16" t="n">
        <f aca="false">H794+H801+H799-H800-H802-H803</f>
        <v>300</v>
      </c>
      <c r="I805" s="16" t="n">
        <f aca="false">I794+I801+I799-I800-I802-I803</f>
        <v>300</v>
      </c>
      <c r="J805" s="16" t="n">
        <f aca="false">J794+J801+J799-J800-J802-J803</f>
        <v>300</v>
      </c>
      <c r="K805" s="16" t="n">
        <f aca="false">K794+K801+K799-K800-K802-K803</f>
        <v>300</v>
      </c>
    </row>
    <row r="806" customFormat="false" ht="15" hidden="false" customHeight="false" outlineLevel="0" collapsed="false">
      <c r="A806" s="23" t="s">
        <v>278</v>
      </c>
      <c r="B806" s="24"/>
      <c r="C806" s="24"/>
      <c r="D806" s="24"/>
      <c r="E806" s="24"/>
      <c r="F806" s="24"/>
      <c r="G806" s="24"/>
      <c r="H806" s="24"/>
      <c r="I806" s="24"/>
      <c r="J806" s="24"/>
      <c r="K806" s="24"/>
    </row>
    <row r="807" customFormat="false" ht="15" hidden="false" customHeight="false" outlineLevel="0" collapsed="false">
      <c r="A807" s="2" t="s">
        <v>279</v>
      </c>
      <c r="F807" s="16" t="n">
        <f aca="false">F766+F779+F792+F805</f>
        <v>1250</v>
      </c>
      <c r="G807" s="16" t="n">
        <f aca="false">G766+G779+G792+G805</f>
        <v>1299.7088</v>
      </c>
      <c r="H807" s="16" t="n">
        <f aca="false">H766+H779+H792+H805</f>
        <v>1294.5088</v>
      </c>
      <c r="I807" s="16" t="n">
        <f aca="false">I766+I779+I792+I805</f>
        <v>1289.3088</v>
      </c>
      <c r="J807" s="16" t="n">
        <f aca="false">J766+J779+J792+J805</f>
        <v>1284.1088</v>
      </c>
      <c r="K807" s="16" t="n">
        <f aca="false">K766+K779+K792+K805</f>
        <v>1278.9088</v>
      </c>
    </row>
    <row r="808" customFormat="false" ht="15" hidden="false" customHeight="false" outlineLevel="0" collapsed="false">
      <c r="A808" s="5" t="s">
        <v>280</v>
      </c>
      <c r="G808" s="25" t="n">
        <f aca="false">G756*Assumptions!$C$53+G769*Assumptions!$C$54+G782*Assumptions!$C$55+G795*Assumptions!$C$56</f>
        <v>0</v>
      </c>
      <c r="H808" s="25" t="n">
        <f aca="false">H756*Assumptions!$C$53+H769*Assumptions!$C$54+H782*Assumptions!$C$55+H795*Assumptions!$C$56</f>
        <v>480</v>
      </c>
      <c r="I808" s="25" t="n">
        <f aca="false">I756*Assumptions!$C$53+I769*Assumptions!$C$54+I782*Assumptions!$C$55+I795*Assumptions!$C$56</f>
        <v>520</v>
      </c>
      <c r="J808" s="25" t="n">
        <f aca="false">J756*Assumptions!$C$53+J769*Assumptions!$C$54+J782*Assumptions!$C$55+J795*Assumptions!$C$56</f>
        <v>250</v>
      </c>
      <c r="K808" s="25" t="n">
        <f aca="false">K756*Assumptions!$C$53+K769*Assumptions!$C$54+K782*Assumptions!$C$55+K795*Assumptions!$C$56</f>
        <v>0</v>
      </c>
    </row>
    <row r="809" customFormat="false" ht="15" hidden="false" customHeight="false" outlineLevel="0" collapsed="false">
      <c r="A809" s="23" t="s">
        <v>281</v>
      </c>
      <c r="B809" s="24"/>
      <c r="C809" s="24"/>
      <c r="D809" s="24"/>
      <c r="E809" s="24"/>
      <c r="F809" s="24"/>
      <c r="G809" s="24"/>
      <c r="H809" s="24"/>
      <c r="I809" s="24"/>
      <c r="J809" s="24"/>
      <c r="K809" s="24"/>
    </row>
    <row r="810" customFormat="false" ht="15" hidden="false" customHeight="false" outlineLevel="0" collapsed="false">
      <c r="A810" s="5" t="s">
        <v>282</v>
      </c>
      <c r="C810" s="25" t="n">
        <f aca="false">SUMPRODUCT($G$756:$K$756,$G$755:$K$755-$G$761:$K$761+$G$760:$K$760)</f>
        <v>234.9088</v>
      </c>
    </row>
    <row r="811" customFormat="false" ht="15" hidden="false" customHeight="false" outlineLevel="0" collapsed="false">
      <c r="A811" s="5" t="s">
        <v>283</v>
      </c>
      <c r="C811" s="25" t="n">
        <f aca="false">SUMPRODUCT($G$756:$K$756,$G$763:$K$763)</f>
        <v>0</v>
      </c>
    </row>
    <row r="812" customFormat="false" ht="15" hidden="false" customHeight="false" outlineLevel="0" collapsed="false">
      <c r="A812" s="5" t="s">
        <v>284</v>
      </c>
      <c r="C812" s="5" t="str">
        <f aca="false">IF(SUM($G$756:$K$756)=0,"n/a (beyond horizon)",IF(SUMPRODUCT($G$756:$K$756,$G$753:$K$753)&gt;0,"REFINANCING PASS","REFINANCING FAILURE"))</f>
        <v>REFINANCING FAILURE</v>
      </c>
    </row>
    <row r="813" customFormat="false" ht="15" hidden="false" customHeight="false" outlineLevel="0" collapsed="false">
      <c r="A813" s="5" t="s">
        <v>285</v>
      </c>
      <c r="C813" s="5" t="str">
        <f aca="false">IF(SUM($G$756:$K$756)=0,"n/a",IF(C811&gt;=C810-0.001,"Repaid from cash",IF(SUMPRODUCT($G$756:$K$756,$G$753:$K$753)&gt;0,IF(C811&gt;0,"Partly repaid; remainder refinanced","Refinanced"),IF(SUM($G$765:$K$765)&gt;0.001,IF(C811&gt;0,"Partial repayment; PAYMENT DEFAULT","PAYMENT DEFAULT"),"Repaid from cash"))))</f>
        <v>PAYMENT DEFAULT</v>
      </c>
    </row>
    <row r="814" customFormat="false" ht="15" hidden="false" customHeight="false" outlineLevel="0" collapsed="false">
      <c r="A814" s="5" t="s">
        <v>286</v>
      </c>
      <c r="C814" s="25" t="n">
        <f aca="false">SUMPRODUCT($G$769:$K$769,$G$768:$K$768-$G$774:$K$774+$G$773:$K$773)</f>
        <v>504.4</v>
      </c>
    </row>
    <row r="815" customFormat="false" ht="15" hidden="false" customHeight="false" outlineLevel="0" collapsed="false">
      <c r="A815" s="5" t="s">
        <v>287</v>
      </c>
      <c r="C815" s="25" t="n">
        <f aca="false">SUMPRODUCT($G$769:$K$769,$G$776:$K$776)</f>
        <v>0</v>
      </c>
    </row>
    <row r="816" customFormat="false" ht="15" hidden="false" customHeight="false" outlineLevel="0" collapsed="false">
      <c r="A816" s="5" t="s">
        <v>288</v>
      </c>
      <c r="C816" s="5" t="str">
        <f aca="false">IF(SUM($G$769:$K$769)=0,"n/a (beyond horizon)",IF(SUMPRODUCT($G$769:$K$769,$G$753:$K$753)&gt;0,"REFINANCING PASS","REFINANCING FAILURE"))</f>
        <v>REFINANCING FAILURE</v>
      </c>
    </row>
    <row r="817" customFormat="false" ht="15" hidden="false" customHeight="false" outlineLevel="0" collapsed="false">
      <c r="A817" s="5" t="s">
        <v>289</v>
      </c>
      <c r="C817" s="5" t="str">
        <f aca="false">IF(SUM($G$769:$K$769)=0,"n/a",IF(C815&gt;=C814-0.001,"Repaid from cash",IF(SUMPRODUCT($G$769:$K$769,$G$753:$K$753)&gt;0,IF(C815&gt;0,"Partly repaid; remainder refinanced","Refinanced"),IF(SUM($G$778:$K$778)&gt;0.001,IF(C815&gt;0,"Partial repayment; PAYMENT DEFAULT","PAYMENT DEFAULT"),"Repaid from cash"))))</f>
        <v>PAYMENT DEFAULT</v>
      </c>
    </row>
    <row r="818" customFormat="false" ht="15" hidden="false" customHeight="false" outlineLevel="0" collapsed="false">
      <c r="A818" s="5" t="s">
        <v>290</v>
      </c>
      <c r="C818" s="25" t="n">
        <f aca="false">SUMPRODUCT($G$782:$K$782,$G$781:$K$781-$G$787:$K$787+$G$786:$K$786)</f>
        <v>250</v>
      </c>
    </row>
    <row r="819" customFormat="false" ht="15" hidden="false" customHeight="false" outlineLevel="0" collapsed="false">
      <c r="A819" s="5" t="s">
        <v>291</v>
      </c>
      <c r="C819" s="25" t="n">
        <f aca="false">SUMPRODUCT($G$782:$K$782,$G$789:$K$789)</f>
        <v>0</v>
      </c>
    </row>
    <row r="820" customFormat="false" ht="15" hidden="false" customHeight="false" outlineLevel="0" collapsed="false">
      <c r="A820" s="5" t="s">
        <v>292</v>
      </c>
      <c r="C820" s="5" t="str">
        <f aca="false">IF(SUM($G$782:$K$782)=0,"n/a (beyond horizon)",IF(SUMPRODUCT($G$782:$K$782,$G$753:$K$753)&gt;0,"REFINANCING PASS","REFINANCING FAILURE"))</f>
        <v>REFINANCING FAILURE</v>
      </c>
    </row>
    <row r="821" customFormat="false" ht="15" hidden="false" customHeight="false" outlineLevel="0" collapsed="false">
      <c r="A821" s="5" t="s">
        <v>293</v>
      </c>
      <c r="C821" s="5" t="str">
        <f aca="false">IF(SUM($G$782:$K$782)=0,"n/a",IF(C819&gt;=C818-0.001,"Repaid from cash",IF(SUMPRODUCT($G$782:$K$782,$G$753:$K$753)&gt;0,IF(C819&gt;0,"Partly repaid; remainder refinanced","Refinanced"),IF(SUM($G$791:$K$791)&gt;0.001,IF(C819&gt;0,"Partial repayment; PAYMENT DEFAULT","PAYMENT DEFAULT"),"Repaid from cash"))))</f>
        <v>PAYMENT DEFAULT</v>
      </c>
    </row>
    <row r="822" customFormat="false" ht="15" hidden="false" customHeight="false" outlineLevel="0" collapsed="false">
      <c r="A822" s="5" t="s">
        <v>294</v>
      </c>
      <c r="C822" s="25" t="n">
        <f aca="false">SUMPRODUCT($G$795:$K$795,$G$794:$K$794-$G$800:$K$800+$G$799:$K$799)</f>
        <v>300</v>
      </c>
    </row>
    <row r="823" customFormat="false" ht="15" hidden="false" customHeight="false" outlineLevel="0" collapsed="false">
      <c r="A823" s="5" t="s">
        <v>295</v>
      </c>
      <c r="C823" s="25" t="n">
        <f aca="false">SUMPRODUCT($G$795:$K$795,$G$802:$K$802)</f>
        <v>0</v>
      </c>
    </row>
    <row r="824" customFormat="false" ht="15" hidden="false" customHeight="false" outlineLevel="0" collapsed="false">
      <c r="A824" s="5" t="s">
        <v>296</v>
      </c>
      <c r="C824" s="5" t="str">
        <f aca="false">IF(SUM($G$795:$K$795)=0,"n/a (beyond horizon)",IF(SUMPRODUCT($G$795:$K$795,$G$753:$K$753)&gt;0,"REFINANCING PASS","REFINANCING FAILURE"))</f>
        <v>REFINANCING FAILURE</v>
      </c>
    </row>
    <row r="825" customFormat="false" ht="15" hidden="false" customHeight="false" outlineLevel="0" collapsed="false">
      <c r="A825" s="5" t="s">
        <v>297</v>
      </c>
      <c r="C825" s="5" t="str">
        <f aca="false">IF(SUM($G$795:$K$795)=0,"n/a",IF(C823&gt;=C822-0.001,"Repaid from cash",IF(SUMPRODUCT($G$795:$K$795,$G$753:$K$753)&gt;0,IF(C823&gt;0,"Partly repaid; remainder refinanced","Refinanced"),IF(SUM($G$804:$K$804)&gt;0.001,IF(C823&gt;0,"Partial repayment; PAYMENT DEFAULT","PAYMENT DEFAULT"),"Repaid from cash"))))</f>
        <v>PAYMENT DEFAULT</v>
      </c>
    </row>
    <row r="826" customFormat="false" ht="15" hidden="false" customHeight="false" outlineLevel="0" collapsed="false">
      <c r="A826" s="5" t="s">
        <v>298</v>
      </c>
      <c r="C826" s="20" t="n">
        <f aca="false">IF(C812="REFINANCING FAILURE",1,0)+IF(C816="REFINANCING FAILURE",1,0)+IF(C820="REFINANCING FAILURE",1,0)+IF(C824="REFINANCING FAILURE",1,0)</f>
        <v>4</v>
      </c>
    </row>
    <row r="828" customFormat="false" ht="15" hidden="false" customHeight="false" outlineLevel="0" collapsed="false">
      <c r="A828" s="23" t="s">
        <v>300</v>
      </c>
      <c r="B828" s="24"/>
      <c r="C828" s="24"/>
      <c r="D828" s="24"/>
      <c r="E828" s="24"/>
      <c r="F828" s="24"/>
      <c r="G828" s="24"/>
      <c r="H828" s="24"/>
      <c r="I828" s="24"/>
      <c r="J828" s="24"/>
      <c r="K828" s="24"/>
    </row>
    <row r="829" customFormat="false" ht="15" hidden="false" customHeight="false" outlineLevel="0" collapsed="false">
      <c r="A829" s="5" t="s">
        <v>260</v>
      </c>
      <c r="G829" s="25" t="n">
        <f aca="false">F841</f>
        <v>45</v>
      </c>
      <c r="H829" s="25" t="n">
        <f aca="false">G841</f>
        <v>0</v>
      </c>
      <c r="I829" s="25" t="n">
        <f aca="false">H841</f>
        <v>-139.5574048</v>
      </c>
      <c r="J829" s="25" t="n">
        <f aca="false">I841</f>
        <v>-299.764809344</v>
      </c>
      <c r="K829" s="25" t="n">
        <f aca="false">J841</f>
        <v>-462.24043997056</v>
      </c>
    </row>
    <row r="830" customFormat="false" ht="15" hidden="false" customHeight="false" outlineLevel="0" collapsed="false">
      <c r="A830" s="5" t="s">
        <v>301</v>
      </c>
      <c r="G830" s="25" t="n">
        <f aca="false">G742</f>
        <v>-94.7088</v>
      </c>
      <c r="H830" s="25" t="n">
        <f aca="false">H742</f>
        <v>-134.3574048</v>
      </c>
      <c r="I830" s="25" t="n">
        <f aca="false">I742</f>
        <v>-155.007404544</v>
      </c>
      <c r="J830" s="25" t="n">
        <f aca="false">J742</f>
        <v>-157.27563062656</v>
      </c>
      <c r="K830" s="25" t="n">
        <f aca="false">K742</f>
        <v>-156.443655088294</v>
      </c>
    </row>
    <row r="831" customFormat="false" ht="15" hidden="false" customHeight="false" outlineLevel="0" collapsed="false">
      <c r="A831" s="5" t="s">
        <v>302</v>
      </c>
      <c r="G831" s="25" t="n">
        <f aca="false">CHOOSE($C$712,Assumptions!$G$68,Assumptions!$G$87,Assumptions!$G$106)</f>
        <v>0</v>
      </c>
      <c r="H831" s="25" t="n">
        <f aca="false">CHOOSE($C$712,Assumptions!$H$68,Assumptions!$H$87,Assumptions!$H$106)</f>
        <v>0</v>
      </c>
      <c r="I831" s="25" t="n">
        <f aca="false">CHOOSE($C$712,Assumptions!$I$68,Assumptions!$I$87,Assumptions!$I$106)</f>
        <v>0</v>
      </c>
      <c r="J831" s="25" t="n">
        <f aca="false">CHOOSE($C$712,Assumptions!$J$68,Assumptions!$J$87,Assumptions!$J$106)</f>
        <v>0</v>
      </c>
      <c r="K831" s="25" t="n">
        <f aca="false">CHOOSE($C$712,Assumptions!$K$68,Assumptions!$K$87,Assumptions!$K$106)</f>
        <v>0</v>
      </c>
    </row>
    <row r="832" customFormat="false" ht="15" hidden="false" customHeight="false" outlineLevel="0" collapsed="false">
      <c r="A832" s="5" t="s">
        <v>303</v>
      </c>
      <c r="G832" s="25" t="n">
        <f aca="false">G761+G774+G787+G800</f>
        <v>5.2</v>
      </c>
      <c r="H832" s="25" t="n">
        <f aca="false">H761+H774+H787+H800</f>
        <v>5.2</v>
      </c>
      <c r="I832" s="25" t="n">
        <f aca="false">I761+I774+I787+I800</f>
        <v>5.2</v>
      </c>
      <c r="J832" s="25" t="n">
        <f aca="false">J761+J774+J787+J800</f>
        <v>5.2</v>
      </c>
      <c r="K832" s="25" t="n">
        <f aca="false">K761+K774+K787+K800</f>
        <v>5.2</v>
      </c>
    </row>
    <row r="833" customFormat="false" ht="15" hidden="false" customHeight="false" outlineLevel="0" collapsed="false">
      <c r="A833" s="2" t="s">
        <v>304</v>
      </c>
      <c r="G833" s="16" t="n">
        <f aca="false">G829+G830+G831-G832</f>
        <v>-54.9088</v>
      </c>
      <c r="H833" s="16" t="n">
        <f aca="false">H829+H830+H831-H832</f>
        <v>-139.5574048</v>
      </c>
      <c r="I833" s="16" t="n">
        <f aca="false">I829+I830+I831-I832</f>
        <v>-299.764809344</v>
      </c>
      <c r="J833" s="16" t="n">
        <f aca="false">J829+J830+J831-J832</f>
        <v>-462.24043997056</v>
      </c>
      <c r="K833" s="16" t="n">
        <f aca="false">K829+K830+K831-K832</f>
        <v>-623.884095058854</v>
      </c>
    </row>
    <row r="834" customFormat="false" ht="15" hidden="false" customHeight="false" outlineLevel="0" collapsed="false">
      <c r="A834" s="5" t="s">
        <v>305</v>
      </c>
      <c r="G834" s="25" t="n">
        <f aca="false">G762+G775+G788+G801</f>
        <v>54.9088</v>
      </c>
      <c r="H834" s="25" t="n">
        <f aca="false">H762+H775+H788+H801</f>
        <v>0</v>
      </c>
      <c r="I834" s="25" t="n">
        <f aca="false">I762+I775+I788+I801</f>
        <v>0</v>
      </c>
      <c r="J834" s="25" t="n">
        <f aca="false">J762+J775+J788+J801</f>
        <v>0</v>
      </c>
      <c r="K834" s="25" t="n">
        <f aca="false">K762+K775+K788+K801</f>
        <v>0</v>
      </c>
    </row>
    <row r="835" customFormat="false" ht="15" hidden="false" customHeight="false" outlineLevel="0" collapsed="false">
      <c r="A835" s="2" t="s">
        <v>306</v>
      </c>
      <c r="G835" s="16" t="n">
        <f aca="false">G833+G834</f>
        <v>0</v>
      </c>
      <c r="H835" s="16" t="n">
        <f aca="false">H833+H834</f>
        <v>-139.5574048</v>
      </c>
      <c r="I835" s="16" t="n">
        <f aca="false">I833+I834</f>
        <v>-299.764809344</v>
      </c>
      <c r="J835" s="16" t="n">
        <f aca="false">J833+J834</f>
        <v>-462.24043997056</v>
      </c>
      <c r="K835" s="16" t="n">
        <f aca="false">K833+K834</f>
        <v>-623.884095058854</v>
      </c>
    </row>
    <row r="836" customFormat="false" ht="15" hidden="false" customHeight="false" outlineLevel="0" collapsed="false">
      <c r="A836" s="5" t="s">
        <v>307</v>
      </c>
      <c r="G836" s="25" t="n">
        <f aca="false">G763+G776+G789+G802</f>
        <v>0</v>
      </c>
      <c r="H836" s="25" t="n">
        <f aca="false">H763+H776+H789+H802</f>
        <v>0</v>
      </c>
      <c r="I836" s="25" t="n">
        <f aca="false">I763+I776+I789+I802</f>
        <v>0</v>
      </c>
      <c r="J836" s="25" t="n">
        <f aca="false">J763+J776+J789+J802</f>
        <v>0</v>
      </c>
      <c r="K836" s="25" t="n">
        <f aca="false">K763+K776+K789+K802</f>
        <v>0</v>
      </c>
    </row>
    <row r="837" customFormat="false" ht="15" hidden="false" customHeight="false" outlineLevel="0" collapsed="false">
      <c r="A837" s="2" t="s">
        <v>308</v>
      </c>
      <c r="G837" s="16" t="n">
        <f aca="false">G835-G836</f>
        <v>0</v>
      </c>
      <c r="H837" s="16" t="n">
        <f aca="false">H835-H836</f>
        <v>-139.5574048</v>
      </c>
      <c r="I837" s="16" t="n">
        <f aca="false">I835-I836</f>
        <v>-299.764809344</v>
      </c>
      <c r="J837" s="16" t="n">
        <f aca="false">J835-J836</f>
        <v>-462.24043997056</v>
      </c>
      <c r="K837" s="16" t="n">
        <f aca="false">K835-K836</f>
        <v>-623.884095058854</v>
      </c>
    </row>
    <row r="838" customFormat="false" ht="15" hidden="false" customHeight="false" outlineLevel="0" collapsed="false">
      <c r="A838" s="5" t="s">
        <v>309</v>
      </c>
      <c r="G838" s="25" t="n">
        <f aca="false">MAX(0,-G837)</f>
        <v>-0</v>
      </c>
      <c r="H838" s="25" t="n">
        <f aca="false">MAX(0,-H837)</f>
        <v>139.5574048</v>
      </c>
      <c r="I838" s="25" t="n">
        <f aca="false">MAX(0,-I837)</f>
        <v>299.764809344</v>
      </c>
      <c r="J838" s="25" t="n">
        <f aca="false">MAX(0,-J837)</f>
        <v>462.24043997056</v>
      </c>
      <c r="K838" s="25" t="n">
        <f aca="false">MAX(0,-K837)</f>
        <v>623.884095058854</v>
      </c>
    </row>
    <row r="839" customFormat="false" ht="15" hidden="false" customHeight="false" outlineLevel="0" collapsed="false">
      <c r="A839" s="5" t="s">
        <v>310</v>
      </c>
      <c r="G839" s="25" t="n">
        <f aca="false">MAX(0,G837-Assumptions!$C$12)*Assumptions!$C$13</f>
        <v>0</v>
      </c>
      <c r="H839" s="25" t="n">
        <f aca="false">MAX(0,H837-Assumptions!$C$12)*Assumptions!$C$13</f>
        <v>0</v>
      </c>
      <c r="I839" s="25" t="n">
        <f aca="false">MAX(0,I837-Assumptions!$C$12)*Assumptions!$C$13</f>
        <v>0</v>
      </c>
      <c r="J839" s="25" t="n">
        <f aca="false">MAX(0,J837-Assumptions!$C$12)*Assumptions!$C$13</f>
        <v>0</v>
      </c>
      <c r="K839" s="25" t="n">
        <f aca="false">MAX(0,K837-Assumptions!$C$12)*Assumptions!$C$13</f>
        <v>0</v>
      </c>
    </row>
    <row r="840" customFormat="false" ht="15" hidden="false" customHeight="false" outlineLevel="0" collapsed="false">
      <c r="A840" s="5" t="s">
        <v>311</v>
      </c>
      <c r="G840" s="25" t="n">
        <f aca="false">G764+G777+G790+G803</f>
        <v>0</v>
      </c>
      <c r="H840" s="25" t="n">
        <f aca="false">H764+H777+H790+H803</f>
        <v>0</v>
      </c>
      <c r="I840" s="25" t="n">
        <f aca="false">I764+I777+I790+I803</f>
        <v>0</v>
      </c>
      <c r="J840" s="25" t="n">
        <f aca="false">J764+J777+J790+J803</f>
        <v>0</v>
      </c>
      <c r="K840" s="25" t="n">
        <f aca="false">K764+K777+K790+K803</f>
        <v>0</v>
      </c>
    </row>
    <row r="841" customFormat="false" ht="15" hidden="false" customHeight="false" outlineLevel="0" collapsed="false">
      <c r="A841" s="2" t="s">
        <v>312</v>
      </c>
      <c r="F841" s="27" t="n">
        <f aca="false">Assumptions!$C$11</f>
        <v>45</v>
      </c>
      <c r="G841" s="16" t="n">
        <f aca="false">G837-G840</f>
        <v>0</v>
      </c>
      <c r="H841" s="16" t="n">
        <f aca="false">H837-H840</f>
        <v>-139.5574048</v>
      </c>
      <c r="I841" s="16" t="n">
        <f aca="false">I837-I840</f>
        <v>-299.764809344</v>
      </c>
      <c r="J841" s="16" t="n">
        <f aca="false">J837-J840</f>
        <v>-462.24043997056</v>
      </c>
      <c r="K841" s="16" t="n">
        <f aca="false">K837-K840</f>
        <v>-623.884095058854</v>
      </c>
    </row>
    <row r="842" customFormat="false" ht="15" hidden="false" customHeight="false" outlineLevel="0" collapsed="false">
      <c r="A842" s="5" t="s">
        <v>313</v>
      </c>
      <c r="G842" s="25" t="n">
        <f aca="false">G765+G778+G791+G804</f>
        <v>0</v>
      </c>
      <c r="H842" s="25" t="n">
        <f aca="false">H765+H778+H791+H804</f>
        <v>534.9088</v>
      </c>
      <c r="I842" s="25" t="n">
        <f aca="false">I765+I778+I791+I804</f>
        <v>504.4</v>
      </c>
      <c r="J842" s="25" t="n">
        <f aca="false">J765+J778+J791+J804</f>
        <v>250</v>
      </c>
      <c r="K842" s="25" t="n">
        <f aca="false">K765+K778+K791+K804</f>
        <v>0</v>
      </c>
    </row>
    <row r="843" customFormat="false" ht="15" hidden="false" customHeight="false" outlineLevel="0" collapsed="false">
      <c r="A843" s="5" t="s">
        <v>314</v>
      </c>
      <c r="G843" s="20" t="n">
        <f aca="false">IF(OR(G838&gt;0.001,G842&gt;0.001),1,0)</f>
        <v>0</v>
      </c>
      <c r="H843" s="20" t="n">
        <f aca="false">IF(OR(H838&gt;0.001,H842&gt;0.001),1,0)</f>
        <v>1</v>
      </c>
      <c r="I843" s="20" t="n">
        <f aca="false">IF(OR(I838&gt;0.001,I842&gt;0.001),1,0)</f>
        <v>1</v>
      </c>
      <c r="J843" s="20" t="n">
        <f aca="false">IF(OR(J838&gt;0.001,J842&gt;0.001),1,0)</f>
        <v>1</v>
      </c>
      <c r="K843" s="20" t="n">
        <f aca="false">IF(OR(K838&gt;0.001,K842&gt;0.001),1,0)</f>
        <v>1</v>
      </c>
    </row>
    <row r="844" customFormat="false" ht="15" hidden="false" customHeight="false" outlineLevel="0" collapsed="false">
      <c r="A844" s="5" t="s">
        <v>315</v>
      </c>
      <c r="G844" s="20" t="n">
        <f aca="false">IF(G843=1,1,0)</f>
        <v>0</v>
      </c>
      <c r="H844" s="20" t="n">
        <f aca="false">IF(AND(H843=1,SUM($G$843:G843)=0),1,0)</f>
        <v>1</v>
      </c>
      <c r="I844" s="20" t="n">
        <f aca="false">IF(AND(I843=1,SUM($G$843:H843)=0),1,0)</f>
        <v>0</v>
      </c>
      <c r="J844" s="20" t="n">
        <f aca="false">IF(AND(J843=1,SUM($G$843:I843)=0),1,0)</f>
        <v>0</v>
      </c>
      <c r="K844" s="20" t="n">
        <f aca="false">IF(AND(K843=1,SUM($G$843:J843)=0),1,0)</f>
        <v>0</v>
      </c>
    </row>
    <row r="845" customFormat="false" ht="15" hidden="false" customHeight="false" outlineLevel="0" collapsed="false">
      <c r="A845" s="5" t="s">
        <v>316</v>
      </c>
      <c r="G845" s="25" t="n">
        <f aca="false">(G807-F807)-(G834+G734-G832-G836-G840)</f>
        <v>0</v>
      </c>
      <c r="H845" s="25" t="n">
        <f aca="false">(H807-G807)-(H834+H734-H832-H836-H840)</f>
        <v>1.82076576038526E-013</v>
      </c>
      <c r="I845" s="25" t="n">
        <f aca="false">(I807-H807)-(I834+I734-I832-I836-I840)</f>
        <v>-4.52970994047064E-014</v>
      </c>
      <c r="J845" s="25" t="n">
        <f aca="false">(J807-I807)-(J834+J734-J832-J836-J840)</f>
        <v>-4.52970994047064E-014</v>
      </c>
      <c r="K845" s="25" t="n">
        <f aca="false">(K807-J807)-(K834+K734-K832-K836-K840)</f>
        <v>1.82076576038526E-013</v>
      </c>
    </row>
    <row r="847" customFormat="false" ht="15" hidden="false" customHeight="false" outlineLevel="0" collapsed="false">
      <c r="A847" s="23" t="s">
        <v>318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</row>
    <row r="848" customFormat="false" ht="15" hidden="false" customHeight="false" outlineLevel="0" collapsed="false">
      <c r="A848" s="5" t="s">
        <v>319</v>
      </c>
      <c r="G848" s="25" t="n">
        <f aca="false">G807</f>
        <v>1299.7088</v>
      </c>
      <c r="H848" s="25" t="n">
        <f aca="false">H807</f>
        <v>1294.5088</v>
      </c>
      <c r="I848" s="25" t="n">
        <f aca="false">I807</f>
        <v>1289.3088</v>
      </c>
      <c r="J848" s="25" t="n">
        <f aca="false">J807</f>
        <v>1284.1088</v>
      </c>
      <c r="K848" s="25" t="n">
        <f aca="false">K807</f>
        <v>1278.9088</v>
      </c>
    </row>
    <row r="849" customFormat="false" ht="15" hidden="false" customHeight="false" outlineLevel="0" collapsed="false">
      <c r="A849" s="5" t="s">
        <v>320</v>
      </c>
      <c r="G849" s="25" t="n">
        <f aca="false">Assumptions!$O$53*G766+Assumptions!$O$54*G779+Assumptions!$O$55*G792+Assumptions!$O$56*G805</f>
        <v>999.7088</v>
      </c>
      <c r="H849" s="25" t="n">
        <f aca="false">Assumptions!$O$53*H766+Assumptions!$O$54*H779+Assumptions!$O$55*H792+Assumptions!$O$56*H805</f>
        <v>994.5088</v>
      </c>
      <c r="I849" s="25" t="n">
        <f aca="false">Assumptions!$O$53*I766+Assumptions!$O$54*I779+Assumptions!$O$55*I792+Assumptions!$O$56*I805</f>
        <v>989.3088</v>
      </c>
      <c r="J849" s="25" t="n">
        <f aca="false">Assumptions!$O$53*J766+Assumptions!$O$54*J779+Assumptions!$O$55*J792+Assumptions!$O$56*J805</f>
        <v>984.1088</v>
      </c>
      <c r="K849" s="25" t="n">
        <f aca="false">Assumptions!$O$53*K766+Assumptions!$O$54*K779+Assumptions!$O$55*K792+Assumptions!$O$56*K805</f>
        <v>978.9088</v>
      </c>
    </row>
    <row r="850" customFormat="false" ht="15" hidden="false" customHeight="false" outlineLevel="0" collapsed="false">
      <c r="A850" s="5" t="s">
        <v>321</v>
      </c>
      <c r="G850" s="25" t="n">
        <f aca="false">G848-G841</f>
        <v>1299.7088</v>
      </c>
      <c r="H850" s="25" t="n">
        <f aca="false">H848-H841</f>
        <v>1434.0662048</v>
      </c>
      <c r="I850" s="25" t="n">
        <f aca="false">I848-I841</f>
        <v>1589.073609344</v>
      </c>
      <c r="J850" s="25" t="n">
        <f aca="false">J848-J841</f>
        <v>1746.34923997056</v>
      </c>
      <c r="K850" s="25" t="n">
        <f aca="false">K848-K841</f>
        <v>1902.79289505885</v>
      </c>
    </row>
    <row r="851" customFormat="false" ht="15" hidden="false" customHeight="false" outlineLevel="0" collapsed="false">
      <c r="A851" s="5" t="s">
        <v>322</v>
      </c>
      <c r="G851" s="31" t="n">
        <f aca="false">IF(G729&gt;0,G848/G729,0)</f>
        <v>70.6978241949521</v>
      </c>
      <c r="H851" s="31" t="n">
        <f aca="false">IF(H729&gt;0,H848/H729,0)</f>
        <v>80.9367465962406</v>
      </c>
      <c r="I851" s="31" t="n">
        <f aca="false">IF(I729&gt;0,I848/I729,0)</f>
        <v>82.763476695823</v>
      </c>
      <c r="J851" s="31" t="n">
        <f aca="false">IF(J729&gt;0,J848/J729,0)</f>
        <v>83.2623006318033</v>
      </c>
      <c r="K851" s="31" t="n">
        <f aca="false">IF(K729&gt;0,K848/K729,0)</f>
        <v>83.762757427964</v>
      </c>
    </row>
    <row r="852" customFormat="false" ht="15" hidden="false" customHeight="false" outlineLevel="0" collapsed="false">
      <c r="A852" s="5" t="s">
        <v>323</v>
      </c>
      <c r="G852" s="31" t="n">
        <f aca="false">IF(G729&gt;0,G850/G729,0)</f>
        <v>70.6978241949521</v>
      </c>
      <c r="H852" s="31" t="n">
        <f aca="false">IF(H729&gt;0,H850/H729,0)</f>
        <v>89.6623128557566</v>
      </c>
      <c r="I852" s="31" t="n">
        <f aca="false">IF(I729&gt;0,I850/I729,0)</f>
        <v>102.006017980246</v>
      </c>
      <c r="J852" s="31" t="n">
        <f aca="false">IF(J729&gt;0,J850/J729,0)</f>
        <v>113.234217713133</v>
      </c>
      <c r="K852" s="31" t="n">
        <f aca="false">IF(K729&gt;0,K850/K729,0)</f>
        <v>124.624351403687</v>
      </c>
    </row>
    <row r="853" customFormat="false" ht="15" hidden="false" customHeight="false" outlineLevel="0" collapsed="false">
      <c r="A853" s="5" t="s">
        <v>324</v>
      </c>
      <c r="G853" s="31" t="n">
        <f aca="false">IF(G733&gt;0,G729/G733,0)</f>
        <v>0.13127677806341</v>
      </c>
      <c r="H853" s="31" t="n">
        <f aca="false">IF(H733&gt;0,H729/H733,0)</f>
        <v>0.111190805103385</v>
      </c>
      <c r="I853" s="31" t="n">
        <f aca="false">IF(I733&gt;0,I729/I733,0)</f>
        <v>0.11024648666467</v>
      </c>
      <c r="J853" s="31" t="n">
        <f aca="false">IF(J733&gt;0,J729/J733,0)</f>
        <v>0.109660569397092</v>
      </c>
      <c r="K853" s="31" t="n">
        <f aca="false">IF(K733&gt;0,K729/K733,0)</f>
        <v>0.109080209295775</v>
      </c>
    </row>
    <row r="854" customFormat="false" ht="15" hidden="false" customHeight="false" outlineLevel="0" collapsed="false">
      <c r="A854" s="5" t="s">
        <v>325</v>
      </c>
      <c r="G854" s="31" t="n">
        <f aca="false">IF(G733&gt;0,G732/G733,0)</f>
        <v>-0.157532133676093</v>
      </c>
      <c r="H854" s="31" t="n">
        <f aca="false">IF(H733&gt;0,H732/H733,0)</f>
        <v>-0.133428966124062</v>
      </c>
      <c r="I854" s="31" t="n">
        <f aca="false">IF(I733&gt;0,I732/I733,0)</f>
        <v>-0.132295783997604</v>
      </c>
      <c r="J854" s="31" t="n">
        <f aca="false">IF(J733&gt;0,J732/J733,0)</f>
        <v>-0.131592683276511</v>
      </c>
      <c r="K854" s="31" t="n">
        <f aca="false">IF(K733&gt;0,K732/K733,0)</f>
        <v>-0.13089625115493</v>
      </c>
    </row>
    <row r="855" customFormat="false" ht="15" hidden="false" customHeight="false" outlineLevel="0" collapsed="false">
      <c r="A855" s="5" t="s">
        <v>182</v>
      </c>
      <c r="G855" s="21" t="n">
        <f aca="false">IF(G848&gt;0,G742/G848,0)</f>
        <v>-0.0728692457879796</v>
      </c>
      <c r="H855" s="21" t="n">
        <f aca="false">IF(H848&gt;0,H742/H848,0)</f>
        <v>-0.103790259903988</v>
      </c>
      <c r="I855" s="21" t="n">
        <f aca="false">IF(I848&gt;0,I742/I848,0)</f>
        <v>-0.120225197054422</v>
      </c>
      <c r="J855" s="21" t="n">
        <f aca="false">IF(J848&gt;0,J742/J848,0)</f>
        <v>-0.122478430664567</v>
      </c>
      <c r="K855" s="21" t="n">
        <f aca="false">IF(K848&gt;0,K742/K848,0)</f>
        <v>-0.122325888357555</v>
      </c>
    </row>
    <row r="856" customFormat="false" ht="15" hidden="false" customHeight="false" outlineLevel="0" collapsed="false">
      <c r="A856" s="5" t="s">
        <v>326</v>
      </c>
      <c r="G856" s="31" t="n">
        <f aca="false">IF(G733+G832&gt;0,(G729-G740-G737)/(G733+G832),0)</f>
        <v>-0.0759460203800606</v>
      </c>
      <c r="H856" s="31" t="n">
        <f aca="false">IF(H733+H832&gt;0,(H729-H740-H737)/(H733+H832),0)</f>
        <v>-0.0643868726775781</v>
      </c>
      <c r="I856" s="31" t="n">
        <f aca="false">IF(I733+I832&gt;0,(I729-I740-I737)/(I733+I832),0)</f>
        <v>-0.0638000393994207</v>
      </c>
      <c r="J856" s="31" t="n">
        <f aca="false">IF(J733+J832&gt;0,(J729-J740-J737)/(J733+J832),0)</f>
        <v>-0.0634503083935347</v>
      </c>
      <c r="K856" s="31" t="n">
        <f aca="false">IF(K733+K832&gt;0,(K729-K740-K737)/(K733+K832),0)</f>
        <v>-0.0631038089376677</v>
      </c>
    </row>
    <row r="857" customFormat="false" ht="15" hidden="false" customHeight="false" outlineLevel="0" collapsed="false">
      <c r="A857" s="5" t="s">
        <v>327</v>
      </c>
      <c r="G857" s="25" t="n">
        <f aca="false">MAX(0,G841)+Assumptions!$P$53*MAX(0,Assumptions!$D$53-G766)+Assumptions!$P$54*MAX(0,Assumptions!$D$54-G779)+Assumptions!$P$55*MAX(0,Assumptions!$D$55-G792)+Assumptions!$P$56*MAX(0,Assumptions!$D$56-G805)</f>
        <v>65.0912</v>
      </c>
      <c r="H857" s="25" t="n">
        <f aca="false">MAX(0,H841)+Assumptions!$P$53*MAX(0,Assumptions!$D$53-H766)+Assumptions!$P$54*MAX(0,Assumptions!$D$54-H779)+Assumptions!$P$55*MAX(0,Assumptions!$D$55-H792)+Assumptions!$P$56*MAX(0,Assumptions!$D$56-H805)</f>
        <v>65.0912</v>
      </c>
      <c r="I857" s="25" t="n">
        <f aca="false">MAX(0,I841)+Assumptions!$P$53*MAX(0,Assumptions!$D$53-I766)+Assumptions!$P$54*MAX(0,Assumptions!$D$54-I779)+Assumptions!$P$55*MAX(0,Assumptions!$D$55-I792)+Assumptions!$P$56*MAX(0,Assumptions!$D$56-I805)</f>
        <v>65.0912</v>
      </c>
      <c r="J857" s="25" t="n">
        <f aca="false">MAX(0,J841)+Assumptions!$P$53*MAX(0,Assumptions!$D$53-J766)+Assumptions!$P$54*MAX(0,Assumptions!$D$54-J779)+Assumptions!$P$55*MAX(0,Assumptions!$D$55-J792)+Assumptions!$P$56*MAX(0,Assumptions!$D$56-J805)</f>
        <v>65.0912</v>
      </c>
      <c r="K857" s="25" t="n">
        <f aca="false">MAX(0,K841)+Assumptions!$P$53*MAX(0,Assumptions!$D$53-K766)+Assumptions!$P$54*MAX(0,Assumptions!$D$54-K779)+Assumptions!$P$55*MAX(0,Assumptions!$D$55-K792)+Assumptions!$P$56*MAX(0,Assumptions!$D$56-K805)</f>
        <v>65.0912</v>
      </c>
    </row>
    <row r="858" customFormat="false" ht="15" hidden="false" customHeight="false" outlineLevel="0" collapsed="false">
      <c r="A858" s="5" t="s">
        <v>328</v>
      </c>
      <c r="G858" s="21" t="n">
        <f aca="false">IF(G848&gt;0,G848/(G848+MAX(0,G729*CHOOSE($C$712,Assumptions!$C$76,Assumptions!$C$95,Assumptions!$C$114)-G850)),0)</f>
        <v>1</v>
      </c>
      <c r="H858" s="21" t="n">
        <f aca="false">IF(H848&gt;0,H848/(H848+MAX(0,H729*CHOOSE($C$712,Assumptions!$C$76,Assumptions!$C$95,Assumptions!$C$114)-H850)),0)</f>
        <v>1</v>
      </c>
      <c r="I858" s="21" t="n">
        <f aca="false">IF(I848&gt;0,I848/(I848+MAX(0,I729*CHOOSE($C$712,Assumptions!$C$76,Assumptions!$C$95,Assumptions!$C$114)-I850)),0)</f>
        <v>1</v>
      </c>
      <c r="J858" s="21" t="n">
        <f aca="false">IF(J848&gt;0,J848/(J848+MAX(0,J729*CHOOSE($C$712,Assumptions!$C$76,Assumptions!$C$95,Assumptions!$C$114)-J850)),0)</f>
        <v>1</v>
      </c>
      <c r="K858" s="21" t="n">
        <f aca="false">IF(K848&gt;0,K848/(K848+MAX(0,K729*CHOOSE($C$712,Assumptions!$C$76,Assumptions!$C$95,Assumptions!$C$114)-K850)),0)</f>
        <v>1</v>
      </c>
    </row>
    <row r="859" customFormat="false" ht="15" hidden="false" customHeight="false" outlineLevel="0" collapsed="false">
      <c r="A859" s="5" t="s">
        <v>329</v>
      </c>
      <c r="G859" s="21" t="n">
        <f aca="false">IF(G848&gt;0,MAX(0,G841)/G848,0)</f>
        <v>0</v>
      </c>
      <c r="H859" s="21" t="n">
        <f aca="false">IF(H848&gt;0,MAX(0,H841)/H848,0)</f>
        <v>0</v>
      </c>
      <c r="I859" s="21" t="n">
        <f aca="false">IF(I848&gt;0,MAX(0,I841)/I848,0)</f>
        <v>0</v>
      </c>
      <c r="J859" s="21" t="n">
        <f aca="false">IF(J848&gt;0,MAX(0,J841)/J848,0)</f>
        <v>0</v>
      </c>
      <c r="K859" s="21" t="n">
        <f aca="false">IF(K848&gt;0,MAX(0,K841)/K848,0)</f>
        <v>0</v>
      </c>
    </row>
    <row r="860" customFormat="false" ht="15" hidden="false" customHeight="false" outlineLevel="0" collapsed="false">
      <c r="A860" s="5" t="s">
        <v>330</v>
      </c>
      <c r="G860" s="25" t="n">
        <f aca="false">Assumptions!$C$27*(1-CHOOSE($C$712,Assumptions!$C$79,Assumptions!$C$98,Assumptions!$C$117))</f>
        <v>676</v>
      </c>
      <c r="H860" s="25" t="n">
        <f aca="false">Assumptions!$C$27*(1-CHOOSE($C$712,Assumptions!$C$79,Assumptions!$C$98,Assumptions!$C$117))</f>
        <v>676</v>
      </c>
      <c r="I860" s="25" t="n">
        <f aca="false">Assumptions!$C$27*(1-CHOOSE($C$712,Assumptions!$C$79,Assumptions!$C$98,Assumptions!$C$117))</f>
        <v>676</v>
      </c>
      <c r="J860" s="25" t="n">
        <f aca="false">Assumptions!$C$27*(1-CHOOSE($C$712,Assumptions!$C$79,Assumptions!$C$98,Assumptions!$C$117))</f>
        <v>676</v>
      </c>
      <c r="K860" s="25" t="n">
        <f aca="false">Assumptions!$C$27*(1-CHOOSE($C$712,Assumptions!$C$79,Assumptions!$C$98,Assumptions!$C$117))</f>
        <v>676</v>
      </c>
    </row>
    <row r="861" customFormat="false" ht="15" hidden="false" customHeight="false" outlineLevel="0" collapsed="false">
      <c r="A861" s="23" t="s">
        <v>331</v>
      </c>
      <c r="B861" s="24"/>
      <c r="C861" s="24"/>
      <c r="D861" s="24"/>
      <c r="E861" s="24"/>
      <c r="F861" s="24"/>
      <c r="G861" s="24"/>
      <c r="H861" s="24"/>
      <c r="I861" s="24"/>
      <c r="J861" s="24"/>
      <c r="K861" s="24"/>
    </row>
    <row r="862" customFormat="false" ht="15" hidden="false" customHeight="false" outlineLevel="0" collapsed="false">
      <c r="A862" s="23" t="s">
        <v>332</v>
      </c>
      <c r="B862" s="24"/>
      <c r="C862" s="24"/>
      <c r="D862" s="24"/>
      <c r="E862" s="24"/>
      <c r="F862" s="24"/>
      <c r="G862" s="24"/>
      <c r="H862" s="24"/>
      <c r="I862" s="24"/>
      <c r="J862" s="24"/>
      <c r="K862" s="24"/>
    </row>
    <row r="863" customFormat="false" ht="15" hidden="false" customHeight="false" outlineLevel="0" collapsed="false">
      <c r="A863" s="5" t="s">
        <v>333</v>
      </c>
      <c r="G863" s="31" t="n">
        <f aca="false">IF(G729&gt;0,G850/G729,99)</f>
        <v>70.6978241949521</v>
      </c>
      <c r="H863" s="31" t="n">
        <f aca="false">IF(H729&gt;0,H850/H729,99)</f>
        <v>89.6623128557566</v>
      </c>
      <c r="I863" s="31" t="n">
        <f aca="false">IF(I729&gt;0,I850/I729,99)</f>
        <v>102.006017980246</v>
      </c>
      <c r="J863" s="31" t="n">
        <f aca="false">IF(J729&gt;0,J850/J729,99)</f>
        <v>113.234217713133</v>
      </c>
      <c r="K863" s="31" t="n">
        <f aca="false">IF(K729&gt;0,K850/K729,99)</f>
        <v>124.624351403687</v>
      </c>
    </row>
    <row r="864" customFormat="false" ht="15" hidden="false" customHeight="false" outlineLevel="0" collapsed="false">
      <c r="A864" s="5" t="s">
        <v>334</v>
      </c>
      <c r="G864" s="32" t="n">
        <f aca="false">Assumptions!$G$61</f>
        <v>8.5</v>
      </c>
      <c r="H864" s="32" t="n">
        <f aca="false">Assumptions!$H$61</f>
        <v>8.5</v>
      </c>
      <c r="I864" s="32" t="n">
        <f aca="false">Assumptions!$I$61</f>
        <v>8.5</v>
      </c>
      <c r="J864" s="32" t="n">
        <f aca="false">Assumptions!$J$61</f>
        <v>8.5</v>
      </c>
      <c r="K864" s="32" t="n">
        <f aca="false">Assumptions!$K$61</f>
        <v>8.5</v>
      </c>
    </row>
    <row r="865" customFormat="false" ht="15" hidden="false" customHeight="false" outlineLevel="0" collapsed="false">
      <c r="A865" s="5" t="s">
        <v>335</v>
      </c>
      <c r="G865" s="31" t="n">
        <f aca="false">G864-G863</f>
        <v>-62.1978241949521</v>
      </c>
      <c r="H865" s="31" t="n">
        <f aca="false">H864-H863</f>
        <v>-81.1623128557566</v>
      </c>
      <c r="I865" s="31" t="n">
        <f aca="false">I864-I863</f>
        <v>-93.5060179802461</v>
      </c>
      <c r="J865" s="31" t="n">
        <f aca="false">J864-J863</f>
        <v>-104.734217713133</v>
      </c>
      <c r="K865" s="31" t="n">
        <f aca="false">K864-K863</f>
        <v>-116.124351403687</v>
      </c>
    </row>
    <row r="866" customFormat="false" ht="15" hidden="false" customHeight="false" outlineLevel="0" collapsed="false">
      <c r="A866" s="5" t="s">
        <v>336</v>
      </c>
      <c r="G866" s="21" t="n">
        <f aca="false">IF(G864=0,0,G865/ABS(G864))</f>
        <v>-7.31739108175907</v>
      </c>
      <c r="H866" s="21" t="n">
        <f aca="false">IF(H864=0,0,H865/ABS(H864))</f>
        <v>-9.5485073947949</v>
      </c>
      <c r="I866" s="21" t="n">
        <f aca="false">IF(I864=0,0,I865/ABS(I864))</f>
        <v>-11.000707997676</v>
      </c>
      <c r="J866" s="21" t="n">
        <f aca="false">IF(J864=0,0,J865/ABS(J864))</f>
        <v>-12.3216726721333</v>
      </c>
      <c r="K866" s="21" t="n">
        <f aca="false">IF(K864=0,0,K865/ABS(K864))</f>
        <v>-13.6616884004338</v>
      </c>
    </row>
    <row r="867" customFormat="false" ht="15" hidden="false" customHeight="false" outlineLevel="0" collapsed="false">
      <c r="A867" s="5" t="s">
        <v>337</v>
      </c>
      <c r="G867" s="20" t="n">
        <f aca="false">IF(G865&lt;0,1,0)</f>
        <v>1</v>
      </c>
      <c r="H867" s="20" t="n">
        <f aca="false">IF(H865&lt;0,1,0)</f>
        <v>1</v>
      </c>
      <c r="I867" s="20" t="n">
        <f aca="false">IF(I865&lt;0,1,0)</f>
        <v>1</v>
      </c>
      <c r="J867" s="20" t="n">
        <f aca="false">IF(J865&lt;0,1,0)</f>
        <v>1</v>
      </c>
      <c r="K867" s="20" t="n">
        <f aca="false">IF(K865&lt;0,1,0)</f>
        <v>1</v>
      </c>
    </row>
    <row r="868" customFormat="false" ht="15" hidden="false" customHeight="false" outlineLevel="0" collapsed="false">
      <c r="A868" s="5" t="s">
        <v>338</v>
      </c>
      <c r="C868" s="20" t="n">
        <f aca="false">IFERROR(INDEX($G$719:$K$719,MATCH(1,$G$867:$K$867,0)),0)</f>
        <v>2026</v>
      </c>
    </row>
    <row r="869" customFormat="false" ht="15" hidden="false" customHeight="false" outlineLevel="0" collapsed="false">
      <c r="A869" s="5" t="s">
        <v>339</v>
      </c>
      <c r="C869" s="21" t="n">
        <f aca="false">MIN($G$866:$K$866)</f>
        <v>-13.6616884004338</v>
      </c>
    </row>
    <row r="870" customFormat="false" ht="15" hidden="false" customHeight="false" outlineLevel="0" collapsed="false">
      <c r="A870" s="5" t="s">
        <v>340</v>
      </c>
      <c r="G870" s="20" t="n">
        <f aca="false">G867</f>
        <v>1</v>
      </c>
      <c r="H870" s="20" t="n">
        <f aca="false">H867</f>
        <v>1</v>
      </c>
      <c r="I870" s="20" t="n">
        <f aca="false">I867</f>
        <v>1</v>
      </c>
      <c r="J870" s="20" t="n">
        <f aca="false">J867</f>
        <v>1</v>
      </c>
      <c r="K870" s="20" t="n">
        <f aca="false">K867</f>
        <v>1</v>
      </c>
    </row>
    <row r="871" customFormat="false" ht="15" hidden="false" customHeight="false" outlineLevel="0" collapsed="false">
      <c r="A871" s="5" t="s">
        <v>341</v>
      </c>
      <c r="C871" s="20" t="n">
        <f aca="false">SUM($G$870:$K$870)</f>
        <v>5</v>
      </c>
    </row>
    <row r="872" customFormat="false" ht="15" hidden="false" customHeight="false" outlineLevel="0" collapsed="false">
      <c r="A872" s="5" t="s">
        <v>342</v>
      </c>
      <c r="C872" s="21" t="n">
        <f aca="false">MIN(C869)</f>
        <v>-13.6616884004338</v>
      </c>
    </row>
    <row r="874" customFormat="false" ht="15" hidden="false" customHeight="false" outlineLevel="0" collapsed="false">
      <c r="A874" s="23" t="s">
        <v>444</v>
      </c>
      <c r="B874" s="24"/>
      <c r="C874" s="24"/>
      <c r="D874" s="24"/>
      <c r="E874" s="24"/>
      <c r="F874" s="24"/>
      <c r="G874" s="24"/>
      <c r="H874" s="24"/>
      <c r="I874" s="24"/>
      <c r="J874" s="24"/>
      <c r="K874" s="24"/>
    </row>
    <row r="875" customFormat="false" ht="15" hidden="false" customHeight="false" outlineLevel="0" collapsed="false">
      <c r="A875" s="5" t="s">
        <v>445</v>
      </c>
      <c r="G875" s="20" t="n">
        <f aca="false">IF($C$876=1,G844,IF(G729=MIN($G$729:$K$729),1,0))</f>
        <v>0</v>
      </c>
      <c r="H875" s="20" t="n">
        <f aca="false">IF($C$876=1,H844,IF(AND(H729=MIN($G$729:$K$729),SUM($G$875:G875)=0),1,0))</f>
        <v>1</v>
      </c>
      <c r="I875" s="20" t="n">
        <f aca="false">IF($C$876=1,I844,IF(AND(I729=MIN($G$729:$K$729),SUM($G$875:H875)=0),1,0))</f>
        <v>0</v>
      </c>
      <c r="J875" s="20" t="n">
        <f aca="false">IF($C$876=1,J844,IF(AND(J729=MIN($G$729:$K$729),SUM($G$875:I875)=0),1,0))</f>
        <v>0</v>
      </c>
      <c r="K875" s="20" t="n">
        <f aca="false">IF($C$876=1,K844,IF(AND(K729=MIN($G$729:$K$729),SUM($G$875:J875)=0),1,0))</f>
        <v>0</v>
      </c>
    </row>
    <row r="876" customFormat="false" ht="15" hidden="false" customHeight="false" outlineLevel="0" collapsed="false">
      <c r="A876" s="5" t="s">
        <v>446</v>
      </c>
      <c r="C876" s="20" t="n">
        <f aca="false">IF(SUM($G$844:$K$844)&gt;0,1,0)</f>
        <v>1</v>
      </c>
    </row>
    <row r="877" customFormat="false" ht="15" hidden="false" customHeight="false" outlineLevel="0" collapsed="false">
      <c r="A877" s="5" t="s">
        <v>447</v>
      </c>
      <c r="C877" s="20" t="n">
        <f aca="false">SUMPRODUCT($G$875:$K$875,$G$719:$K$719)</f>
        <v>2027</v>
      </c>
    </row>
    <row r="878" customFormat="false" ht="15" hidden="false" customHeight="false" outlineLevel="0" collapsed="false">
      <c r="A878" s="5" t="s">
        <v>448</v>
      </c>
      <c r="C878" s="25" t="n">
        <f aca="false">SUMPRODUCT($G$875:$K$875,$G$729:$K$729)</f>
        <v>15.99408</v>
      </c>
    </row>
    <row r="879" customFormat="false" ht="15" hidden="false" customHeight="false" outlineLevel="0" collapsed="false">
      <c r="A879" s="5" t="s">
        <v>449</v>
      </c>
      <c r="C879" s="25" t="n">
        <f aca="false">MAX(0,SUMPRODUCT($G$875:$K$875,$G$841:$K$841))</f>
        <v>0</v>
      </c>
    </row>
    <row r="880" customFormat="false" ht="15" hidden="false" customHeight="false" outlineLevel="0" collapsed="false">
      <c r="A880" s="5" t="s">
        <v>450</v>
      </c>
      <c r="C880" s="25" t="n">
        <f aca="false">(CHOOSE($C$712,Assumptions!$C$78,Assumptions!$C$97,Assumptions!$C$116)+$C$716)*C878</f>
        <v>63.97632</v>
      </c>
    </row>
    <row r="881" customFormat="false" ht="15" hidden="false" customHeight="false" outlineLevel="0" collapsed="false">
      <c r="A881" s="5" t="s">
        <v>451</v>
      </c>
      <c r="C881" s="25" t="n">
        <f aca="false">Assumptions!$C$27*(1-CHOOSE($C$712,Assumptions!$C$79,Assumptions!$C$98,Assumptions!$C$117))*CHOOSE($C$712,Assumptions!$C$80,Assumptions!$C$99,Assumptions!$C$118)</f>
        <v>405.6</v>
      </c>
    </row>
    <row r="882" customFormat="false" ht="15" hidden="false" customHeight="false" outlineLevel="0" collapsed="false">
      <c r="A882" s="5" t="s">
        <v>452</v>
      </c>
      <c r="C882" s="25" t="n">
        <f aca="false">MAX(C880,C881)+C879</f>
        <v>405.6</v>
      </c>
    </row>
    <row r="883" customFormat="false" ht="15" hidden="false" customHeight="false" outlineLevel="0" collapsed="false">
      <c r="A883" s="2" t="s">
        <v>453</v>
      </c>
      <c r="C883" s="16" t="n">
        <f aca="false">IF(ISNUMBER(Assumptions!$C$14),Assumptions!$C$14,C882)</f>
        <v>405.6</v>
      </c>
    </row>
    <row r="884" customFormat="false" ht="15" hidden="false" customHeight="false" outlineLevel="0" collapsed="false">
      <c r="A884" s="5" t="s">
        <v>454</v>
      </c>
      <c r="C884" s="25" t="n">
        <f aca="false">C883*Assumptions!$C$15</f>
        <v>16.224</v>
      </c>
    </row>
    <row r="885" customFormat="false" ht="15" hidden="false" customHeight="false" outlineLevel="0" collapsed="false">
      <c r="A885" s="2" t="s">
        <v>455</v>
      </c>
      <c r="C885" s="16" t="n">
        <f aca="false">C883-C884</f>
        <v>389.376</v>
      </c>
    </row>
    <row r="886" customFormat="false" ht="15" hidden="false" customHeight="false" outlineLevel="0" collapsed="false">
      <c r="A886" s="23" t="s">
        <v>456</v>
      </c>
      <c r="B886" s="24"/>
      <c r="C886" s="24"/>
      <c r="D886" s="24"/>
      <c r="E886" s="24"/>
      <c r="F886" s="24"/>
      <c r="G886" s="24"/>
      <c r="H886" s="24"/>
      <c r="I886" s="24"/>
      <c r="J886" s="24"/>
      <c r="K886" s="24"/>
    </row>
    <row r="887" customFormat="false" ht="15" hidden="false" customHeight="false" outlineLevel="0" collapsed="false">
      <c r="A887" s="5" t="s">
        <v>457</v>
      </c>
      <c r="C887" s="25" t="n">
        <f aca="false">SUMPRODUCT($G$875:$K$875,$G$766:$K$766)*(1+SUMPRODUCT($G$875:$K$875,$G$758:$K$758)*Assumptions!$C$16/12)</f>
        <v>241.5743372</v>
      </c>
    </row>
    <row r="888" customFormat="false" ht="15" hidden="false" customHeight="false" outlineLevel="0" collapsed="false">
      <c r="A888" s="5" t="s">
        <v>458</v>
      </c>
      <c r="C888" s="25" t="n">
        <f aca="false">SUMPRODUCT($G$875:$K$875,$G$779:$K$779)*(1+SUMPRODUCT($G$875:$K$875,$G$771:$K$771)*Assumptions!$C$16/12)</f>
        <v>526.2257</v>
      </c>
    </row>
    <row r="889" customFormat="false" ht="15" hidden="false" customHeight="false" outlineLevel="0" collapsed="false">
      <c r="A889" s="5" t="s">
        <v>459</v>
      </c>
      <c r="C889" s="25" t="n">
        <f aca="false">SUMPRODUCT($G$875:$K$875,$G$792:$K$792)*(1+SUMPRODUCT($G$875:$K$875,$G$784:$K$784)*Assumptions!$C$16/12)</f>
        <v>256.875</v>
      </c>
    </row>
    <row r="890" customFormat="false" ht="15" hidden="false" customHeight="false" outlineLevel="0" collapsed="false">
      <c r="A890" s="5" t="s">
        <v>460</v>
      </c>
      <c r="C890" s="25" t="n">
        <f aca="false">SUMPRODUCT($G$875:$K$875,$G$805:$K$805)*(1+SUMPRODUCT($G$875:$K$875,$G$797:$K$797)*Assumptions!$C$16/12)</f>
        <v>305.625</v>
      </c>
    </row>
    <row r="891" customFormat="false" ht="15" hidden="false" customHeight="false" outlineLevel="0" collapsed="false">
      <c r="A891" s="23" t="s">
        <v>461</v>
      </c>
      <c r="B891" s="24"/>
      <c r="C891" s="24"/>
      <c r="D891" s="24"/>
      <c r="E891" s="24"/>
      <c r="F891" s="24"/>
      <c r="G891" s="24"/>
      <c r="H891" s="24"/>
      <c r="I891" s="24"/>
      <c r="J891" s="24"/>
      <c r="K891" s="24"/>
    </row>
    <row r="892" customFormat="false" ht="15" hidden="false" customHeight="false" outlineLevel="0" collapsed="false">
      <c r="A892" s="5" t="s">
        <v>457</v>
      </c>
      <c r="C892" s="26" t="n">
        <f aca="false">Assumptions!$M$53</f>
        <v>1</v>
      </c>
    </row>
    <row r="893" customFormat="false" ht="15" hidden="false" customHeight="false" outlineLevel="0" collapsed="false">
      <c r="A893" s="5" t="s">
        <v>458</v>
      </c>
      <c r="C893" s="26" t="n">
        <f aca="false">Assumptions!$M$54</f>
        <v>2</v>
      </c>
    </row>
    <row r="894" customFormat="false" ht="15" hidden="false" customHeight="false" outlineLevel="0" collapsed="false">
      <c r="A894" s="5" t="s">
        <v>459</v>
      </c>
      <c r="C894" s="26" t="n">
        <f aca="false">Assumptions!$M$55</f>
        <v>3</v>
      </c>
    </row>
    <row r="895" customFormat="false" ht="15" hidden="false" customHeight="false" outlineLevel="0" collapsed="false">
      <c r="A895" s="5" t="s">
        <v>460</v>
      </c>
      <c r="C895" s="26" t="n">
        <f aca="false">Assumptions!$M$56</f>
        <v>4</v>
      </c>
    </row>
    <row r="896" customFormat="false" ht="15" hidden="false" customHeight="false" outlineLevel="0" collapsed="false">
      <c r="A896" s="23" t="s">
        <v>462</v>
      </c>
      <c r="B896" s="24"/>
      <c r="C896" s="24"/>
      <c r="D896" s="24"/>
      <c r="E896" s="24"/>
      <c r="F896" s="24"/>
      <c r="G896" s="24"/>
      <c r="H896" s="24"/>
      <c r="I896" s="24"/>
      <c r="J896" s="24"/>
      <c r="K896" s="24"/>
    </row>
    <row r="897" customFormat="false" ht="15" hidden="false" customHeight="false" outlineLevel="0" collapsed="false">
      <c r="A897" s="5" t="s">
        <v>457</v>
      </c>
      <c r="C897" s="34" t="n">
        <f aca="false">Assumptions!$Q$53</f>
        <v>0</v>
      </c>
    </row>
    <row r="898" customFormat="false" ht="15" hidden="false" customHeight="false" outlineLevel="0" collapsed="false">
      <c r="A898" s="5" t="s">
        <v>458</v>
      </c>
      <c r="C898" s="34" t="n">
        <f aca="false">Assumptions!$Q$54</f>
        <v>0</v>
      </c>
    </row>
    <row r="899" customFormat="false" ht="15" hidden="false" customHeight="false" outlineLevel="0" collapsed="false">
      <c r="A899" s="5" t="s">
        <v>459</v>
      </c>
      <c r="C899" s="34" t="n">
        <f aca="false">Assumptions!$Q$55</f>
        <v>0</v>
      </c>
    </row>
    <row r="900" customFormat="false" ht="15" hidden="false" customHeight="false" outlineLevel="0" collapsed="false">
      <c r="A900" s="5" t="s">
        <v>460</v>
      </c>
      <c r="C900" s="34" t="n">
        <f aca="false">Assumptions!$Q$56</f>
        <v>0</v>
      </c>
    </row>
    <row r="901" customFormat="false" ht="15" hidden="false" customHeight="false" outlineLevel="0" collapsed="false">
      <c r="A901" s="23" t="s">
        <v>463</v>
      </c>
      <c r="B901" s="24"/>
      <c r="C901" s="24"/>
      <c r="D901" s="24"/>
      <c r="E901" s="24"/>
      <c r="F901" s="24"/>
      <c r="G901" s="24"/>
      <c r="H901" s="24"/>
      <c r="I901" s="24"/>
      <c r="J901" s="24"/>
      <c r="K901" s="24"/>
    </row>
    <row r="902" customFormat="false" ht="15" hidden="false" customHeight="false" outlineLevel="0" collapsed="false">
      <c r="A902" s="5" t="s">
        <v>457</v>
      </c>
      <c r="C902" s="25" t="n">
        <f aca="false">IF(C897&gt;0,MIN(C887,C897*$C$885),0)</f>
        <v>0</v>
      </c>
    </row>
    <row r="903" customFormat="false" ht="15" hidden="false" customHeight="false" outlineLevel="0" collapsed="false">
      <c r="A903" s="5" t="s">
        <v>458</v>
      </c>
      <c r="C903" s="25" t="n">
        <f aca="false">IF(C898&gt;0,MIN(C888,C898*$C$885),0)</f>
        <v>0</v>
      </c>
    </row>
    <row r="904" customFormat="false" ht="15" hidden="false" customHeight="false" outlineLevel="0" collapsed="false">
      <c r="A904" s="5" t="s">
        <v>459</v>
      </c>
      <c r="C904" s="25" t="n">
        <f aca="false">IF(C899&gt;0,MIN(C889,C899*$C$885),0)</f>
        <v>0</v>
      </c>
    </row>
    <row r="905" customFormat="false" ht="15" hidden="false" customHeight="false" outlineLevel="0" collapsed="false">
      <c r="A905" s="5" t="s">
        <v>460</v>
      </c>
      <c r="C905" s="25" t="n">
        <f aca="false">IF(C900&gt;0,MIN(C890,C900*$C$885),0)</f>
        <v>0</v>
      </c>
    </row>
    <row r="906" customFormat="false" ht="15" hidden="false" customHeight="false" outlineLevel="0" collapsed="false">
      <c r="A906" s="23" t="s">
        <v>464</v>
      </c>
      <c r="B906" s="24"/>
      <c r="C906" s="24"/>
      <c r="D906" s="24"/>
      <c r="E906" s="24"/>
      <c r="F906" s="24"/>
      <c r="G906" s="24"/>
      <c r="H906" s="24"/>
      <c r="I906" s="24"/>
      <c r="J906" s="24"/>
      <c r="K906" s="24"/>
    </row>
    <row r="907" customFormat="false" ht="15" hidden="false" customHeight="false" outlineLevel="0" collapsed="false">
      <c r="A907" s="5" t="s">
        <v>457</v>
      </c>
      <c r="C907" s="25" t="n">
        <f aca="false">IF(C897&gt;0,C887-C902,0)</f>
        <v>0</v>
      </c>
      <c r="G907" s="20" t="n">
        <f aca="false">IF(AND(G756=1,G753=1),1,0)</f>
        <v>0</v>
      </c>
      <c r="H907" s="20" t="n">
        <f aca="false">IF(G907=1,1,IF(AND(H756=1,H753=1),1,0))</f>
        <v>0</v>
      </c>
      <c r="I907" s="20" t="n">
        <f aca="false">IF(H907=1,1,IF(AND(I756=1,I753=1),1,0))</f>
        <v>0</v>
      </c>
      <c r="J907" s="20" t="n">
        <f aca="false">IF(I907=1,1,IF(AND(J756=1,J753=1),1,0))</f>
        <v>0</v>
      </c>
      <c r="K907" s="20" t="n">
        <f aca="false">IF(J907=1,1,IF(AND(K756=1,K753=1),1,0))</f>
        <v>0</v>
      </c>
    </row>
    <row r="908" customFormat="false" ht="15" hidden="false" customHeight="false" outlineLevel="0" collapsed="false">
      <c r="A908" s="5" t="s">
        <v>458</v>
      </c>
      <c r="C908" s="25" t="n">
        <f aca="false">IF(C898&gt;0,C888-C903,0)</f>
        <v>0</v>
      </c>
      <c r="G908" s="20" t="n">
        <f aca="false">IF(AND(G769=1,G753=1),1,0)</f>
        <v>0</v>
      </c>
      <c r="H908" s="20" t="n">
        <f aca="false">IF(G908=1,1,IF(AND(H769=1,H753=1),1,0))</f>
        <v>0</v>
      </c>
      <c r="I908" s="20" t="n">
        <f aca="false">IF(H908=1,1,IF(AND(I769=1,I753=1),1,0))</f>
        <v>0</v>
      </c>
      <c r="J908" s="20" t="n">
        <f aca="false">IF(I908=1,1,IF(AND(J769=1,J753=1),1,0))</f>
        <v>0</v>
      </c>
      <c r="K908" s="20" t="n">
        <f aca="false">IF(J908=1,1,IF(AND(K769=1,K753=1),1,0))</f>
        <v>0</v>
      </c>
    </row>
    <row r="909" customFormat="false" ht="15" hidden="false" customHeight="false" outlineLevel="0" collapsed="false">
      <c r="A909" s="5" t="s">
        <v>459</v>
      </c>
      <c r="C909" s="25" t="n">
        <f aca="false">IF(C899&gt;0,C889-C904,0)</f>
        <v>0</v>
      </c>
      <c r="G909" s="20" t="n">
        <f aca="false">IF(AND(G782=1,G753=1),1,0)</f>
        <v>0</v>
      </c>
      <c r="H909" s="20" t="n">
        <f aca="false">IF(G909=1,1,IF(AND(H782=1,H753=1),1,0))</f>
        <v>0</v>
      </c>
      <c r="I909" s="20" t="n">
        <f aca="false">IF(H909=1,1,IF(AND(I782=1,I753=1),1,0))</f>
        <v>0</v>
      </c>
      <c r="J909" s="20" t="n">
        <f aca="false">IF(I909=1,1,IF(AND(J782=1,J753=1),1,0))</f>
        <v>0</v>
      </c>
      <c r="K909" s="20" t="n">
        <f aca="false">IF(J909=1,1,IF(AND(K782=1,K753=1),1,0))</f>
        <v>0</v>
      </c>
    </row>
    <row r="910" customFormat="false" ht="15" hidden="false" customHeight="false" outlineLevel="0" collapsed="false">
      <c r="A910" s="5" t="s">
        <v>460</v>
      </c>
      <c r="C910" s="25" t="n">
        <f aca="false">IF(C900&gt;0,C890-C905,0)</f>
        <v>0</v>
      </c>
      <c r="G910" s="20" t="n">
        <f aca="false">IF(AND(G795=1,G753=1),1,0)</f>
        <v>0</v>
      </c>
      <c r="H910" s="20" t="n">
        <f aca="false">IF(G910=1,1,IF(AND(H795=1,H753=1),1,0))</f>
        <v>0</v>
      </c>
      <c r="I910" s="20" t="n">
        <f aca="false">IF(H910=1,1,IF(AND(I795=1,I753=1),1,0))</f>
        <v>0</v>
      </c>
      <c r="J910" s="20" t="n">
        <f aca="false">IF(I910=1,1,IF(AND(J795=1,J753=1),1,0))</f>
        <v>0</v>
      </c>
      <c r="K910" s="20" t="n">
        <f aca="false">IF(J910=1,1,IF(AND(K795=1,K753=1),1,0))</f>
        <v>0</v>
      </c>
    </row>
    <row r="911" customFormat="false" ht="15" hidden="false" customHeight="false" outlineLevel="0" collapsed="false">
      <c r="A911" s="23" t="s">
        <v>465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</row>
    <row r="912" customFormat="false" ht="15" hidden="false" customHeight="false" outlineLevel="0" collapsed="false">
      <c r="A912" s="5" t="s">
        <v>457</v>
      </c>
      <c r="C912" s="25" t="n">
        <f aca="false">IF(C897&gt;0,C907,C887)</f>
        <v>241.5743372</v>
      </c>
    </row>
    <row r="913" customFormat="false" ht="15" hidden="false" customHeight="false" outlineLevel="0" collapsed="false">
      <c r="A913" s="5" t="s">
        <v>458</v>
      </c>
      <c r="C913" s="25" t="n">
        <f aca="false">IF(C898&gt;0,C908,C888)</f>
        <v>526.2257</v>
      </c>
    </row>
    <row r="914" customFormat="false" ht="15" hidden="false" customHeight="false" outlineLevel="0" collapsed="false">
      <c r="A914" s="5" t="s">
        <v>459</v>
      </c>
      <c r="C914" s="25" t="n">
        <f aca="false">IF(C899&gt;0,C909,C889)</f>
        <v>256.875</v>
      </c>
    </row>
    <row r="915" customFormat="false" ht="15" hidden="false" customHeight="false" outlineLevel="0" collapsed="false">
      <c r="A915" s="5" t="s">
        <v>460</v>
      </c>
      <c r="C915" s="25" t="n">
        <f aca="false">IF(C900&gt;0,C910,C890)</f>
        <v>305.625</v>
      </c>
    </row>
    <row r="916" customFormat="false" ht="15" hidden="false" customHeight="false" outlineLevel="0" collapsed="false">
      <c r="A916" s="23" t="s">
        <v>466</v>
      </c>
      <c r="B916" s="24"/>
      <c r="C916" s="24"/>
      <c r="D916" s="24"/>
      <c r="E916" s="24"/>
      <c r="F916" s="24"/>
      <c r="G916" s="24"/>
      <c r="H916" s="24"/>
      <c r="I916" s="24"/>
      <c r="J916" s="24"/>
      <c r="K916" s="24"/>
    </row>
    <row r="917" customFormat="false" ht="15" hidden="false" customHeight="false" outlineLevel="0" collapsed="false">
      <c r="A917" s="5" t="s">
        <v>457</v>
      </c>
      <c r="C917" s="20" t="n">
        <f aca="false">IF(C897&gt;0,Assumptions!$C$17,C892)</f>
        <v>1</v>
      </c>
    </row>
    <row r="918" customFormat="false" ht="15" hidden="false" customHeight="false" outlineLevel="0" collapsed="false">
      <c r="A918" s="5" t="s">
        <v>458</v>
      </c>
      <c r="C918" s="20" t="n">
        <f aca="false">IF(C898&gt;0,Assumptions!$C$17,C893)</f>
        <v>2</v>
      </c>
    </row>
    <row r="919" customFormat="false" ht="15" hidden="false" customHeight="false" outlineLevel="0" collapsed="false">
      <c r="A919" s="5" t="s">
        <v>459</v>
      </c>
      <c r="C919" s="20" t="n">
        <f aca="false">IF(C899&gt;0,Assumptions!$C$17,C894)</f>
        <v>3</v>
      </c>
    </row>
    <row r="920" customFormat="false" ht="15" hidden="false" customHeight="false" outlineLevel="0" collapsed="false">
      <c r="A920" s="5" t="s">
        <v>460</v>
      </c>
      <c r="C920" s="20" t="n">
        <f aca="false">IF(C900&gt;0,Assumptions!$C$17,C895)</f>
        <v>4</v>
      </c>
    </row>
    <row r="921" customFormat="false" ht="15" hidden="false" customHeight="false" outlineLevel="0" collapsed="false">
      <c r="A921" s="23" t="s">
        <v>467</v>
      </c>
      <c r="B921" s="24"/>
      <c r="C921" s="24"/>
      <c r="D921" s="24"/>
      <c r="E921" s="24"/>
      <c r="F921" s="24"/>
      <c r="G921" s="24"/>
      <c r="H921" s="24"/>
      <c r="I921" s="24"/>
      <c r="J921" s="24"/>
      <c r="K921" s="24"/>
    </row>
    <row r="922" customFormat="false" ht="15" hidden="false" customHeight="false" outlineLevel="0" collapsed="false">
      <c r="A922" s="5" t="s">
        <v>457</v>
      </c>
      <c r="C922" s="25" t="n">
        <f aca="false">SUMPRODUCT(($C$917:$C$920&lt;C917)*$C$912:$C$915)</f>
        <v>0</v>
      </c>
    </row>
    <row r="923" customFormat="false" ht="15" hidden="false" customHeight="false" outlineLevel="0" collapsed="false">
      <c r="A923" s="5" t="s">
        <v>458</v>
      </c>
      <c r="C923" s="25" t="n">
        <f aca="false">SUMPRODUCT(($C$917:$C$920&lt;C918)*$C$912:$C$915)</f>
        <v>241.5743372</v>
      </c>
    </row>
    <row r="924" customFormat="false" ht="15" hidden="false" customHeight="false" outlineLevel="0" collapsed="false">
      <c r="A924" s="5" t="s">
        <v>459</v>
      </c>
      <c r="C924" s="25" t="n">
        <f aca="false">SUMPRODUCT(($C$917:$C$920&lt;C919)*$C$912:$C$915)</f>
        <v>767.8000372</v>
      </c>
    </row>
    <row r="925" customFormat="false" ht="15" hidden="false" customHeight="false" outlineLevel="0" collapsed="false">
      <c r="A925" s="5" t="s">
        <v>460</v>
      </c>
      <c r="C925" s="25" t="n">
        <f aca="false">SUMPRODUCT(($C$917:$C$920&lt;C920)*$C$912:$C$915)</f>
        <v>1024.6750372</v>
      </c>
    </row>
    <row r="926" customFormat="false" ht="15" hidden="false" customHeight="false" outlineLevel="0" collapsed="false">
      <c r="A926" s="23" t="s">
        <v>468</v>
      </c>
      <c r="B926" s="24"/>
      <c r="C926" s="24"/>
      <c r="D926" s="24"/>
      <c r="E926" s="24"/>
      <c r="F926" s="24"/>
      <c r="G926" s="24"/>
      <c r="H926" s="24"/>
      <c r="I926" s="24"/>
      <c r="J926" s="24"/>
      <c r="K926" s="24"/>
    </row>
    <row r="927" customFormat="false" ht="15" hidden="false" customHeight="false" outlineLevel="0" collapsed="false">
      <c r="A927" s="5" t="s">
        <v>457</v>
      </c>
      <c r="C927" s="25" t="n">
        <f aca="false">SUMPRODUCT(($C$917:$C$920=C917)*$C$912:$C$915)</f>
        <v>241.5743372</v>
      </c>
    </row>
    <row r="928" customFormat="false" ht="15" hidden="false" customHeight="false" outlineLevel="0" collapsed="false">
      <c r="A928" s="5" t="s">
        <v>458</v>
      </c>
      <c r="C928" s="25" t="n">
        <f aca="false">SUMPRODUCT(($C$917:$C$920=C918)*$C$912:$C$915)</f>
        <v>526.2257</v>
      </c>
    </row>
    <row r="929" customFormat="false" ht="15" hidden="false" customHeight="false" outlineLevel="0" collapsed="false">
      <c r="A929" s="5" t="s">
        <v>459</v>
      </c>
      <c r="C929" s="25" t="n">
        <f aca="false">SUMPRODUCT(($C$917:$C$920=C919)*$C$912:$C$915)</f>
        <v>256.875</v>
      </c>
    </row>
    <row r="930" customFormat="false" ht="15" hidden="false" customHeight="false" outlineLevel="0" collapsed="false">
      <c r="A930" s="5" t="s">
        <v>460</v>
      </c>
      <c r="C930" s="25" t="n">
        <f aca="false">SUMPRODUCT(($C$917:$C$920=C920)*$C$912:$C$915)</f>
        <v>305.625</v>
      </c>
    </row>
    <row r="931" customFormat="false" ht="15" hidden="false" customHeight="false" outlineLevel="0" collapsed="false">
      <c r="A931" s="23" t="s">
        <v>469</v>
      </c>
      <c r="B931" s="24"/>
      <c r="C931" s="24"/>
      <c r="D931" s="24"/>
      <c r="E931" s="24"/>
      <c r="F931" s="24"/>
      <c r="G931" s="24"/>
      <c r="H931" s="24"/>
      <c r="I931" s="24"/>
      <c r="J931" s="24"/>
      <c r="K931" s="24"/>
    </row>
    <row r="932" customFormat="false" ht="15" hidden="false" customHeight="false" outlineLevel="0" collapsed="false">
      <c r="A932" s="5" t="s">
        <v>457</v>
      </c>
      <c r="C932" s="25" t="n">
        <f aca="false">IF(C927=0,0,C912/C927*MAX(0,MIN(C927,$C$885-SUM($C$902:$C$905)-C922)))</f>
        <v>241.5743372</v>
      </c>
    </row>
    <row r="933" customFormat="false" ht="15" hidden="false" customHeight="false" outlineLevel="0" collapsed="false">
      <c r="A933" s="5" t="s">
        <v>458</v>
      </c>
      <c r="C933" s="25" t="n">
        <f aca="false">IF(C928=0,0,C913/C928*MAX(0,MIN(C928,$C$885-SUM($C$902:$C$905)-C923)))</f>
        <v>147.8016628</v>
      </c>
    </row>
    <row r="934" customFormat="false" ht="15" hidden="false" customHeight="false" outlineLevel="0" collapsed="false">
      <c r="A934" s="5" t="s">
        <v>459</v>
      </c>
      <c r="C934" s="25" t="n">
        <f aca="false">IF(C929=0,0,C914/C929*MAX(0,MIN(C929,$C$885-SUM($C$902:$C$905)-C924)))</f>
        <v>0</v>
      </c>
    </row>
    <row r="935" customFormat="false" ht="15" hidden="false" customHeight="false" outlineLevel="0" collapsed="false">
      <c r="A935" s="5" t="s">
        <v>460</v>
      </c>
      <c r="C935" s="25" t="n">
        <f aca="false">IF(C930=0,0,C915/C930*MAX(0,MIN(C930,$C$885-SUM($C$902:$C$905)-C925)))</f>
        <v>0</v>
      </c>
    </row>
    <row r="936" customFormat="false" ht="15" hidden="false" customHeight="false" outlineLevel="0" collapsed="false">
      <c r="A936" s="23" t="s">
        <v>470</v>
      </c>
      <c r="B936" s="24"/>
      <c r="C936" s="24"/>
      <c r="D936" s="24"/>
      <c r="E936" s="24"/>
      <c r="F936" s="24"/>
      <c r="G936" s="24"/>
      <c r="H936" s="24"/>
      <c r="I936" s="24"/>
      <c r="J936" s="24"/>
      <c r="K936" s="24"/>
    </row>
    <row r="937" customFormat="false" ht="15" hidden="false" customHeight="false" outlineLevel="0" collapsed="false">
      <c r="A937" s="2" t="s">
        <v>457</v>
      </c>
      <c r="C937" s="16" t="n">
        <f aca="false">C902+C932</f>
        <v>241.5743372</v>
      </c>
    </row>
    <row r="938" customFormat="false" ht="15" hidden="false" customHeight="false" outlineLevel="0" collapsed="false">
      <c r="A938" s="2" t="s">
        <v>458</v>
      </c>
      <c r="C938" s="16" t="n">
        <f aca="false">C903+C933</f>
        <v>147.8016628</v>
      </c>
    </row>
    <row r="939" customFormat="false" ht="15" hidden="false" customHeight="false" outlineLevel="0" collapsed="false">
      <c r="A939" s="2" t="s">
        <v>459</v>
      </c>
      <c r="C939" s="16" t="n">
        <f aca="false">C904+C934</f>
        <v>0</v>
      </c>
    </row>
    <row r="940" customFormat="false" ht="15" hidden="false" customHeight="false" outlineLevel="0" collapsed="false">
      <c r="A940" s="2" t="s">
        <v>460</v>
      </c>
      <c r="C940" s="16" t="n">
        <f aca="false">C905+C935</f>
        <v>0</v>
      </c>
    </row>
    <row r="941" customFormat="false" ht="15" hidden="false" customHeight="false" outlineLevel="0" collapsed="false">
      <c r="A941" s="23" t="s">
        <v>471</v>
      </c>
      <c r="B941" s="24"/>
      <c r="C941" s="24"/>
      <c r="D941" s="24"/>
      <c r="E941" s="24"/>
      <c r="F941" s="24"/>
      <c r="G941" s="24"/>
      <c r="H941" s="24"/>
      <c r="I941" s="24"/>
      <c r="J941" s="24"/>
      <c r="K941" s="24"/>
    </row>
    <row r="942" customFormat="false" ht="15" hidden="false" customHeight="false" outlineLevel="0" collapsed="false">
      <c r="A942" s="5" t="s">
        <v>457</v>
      </c>
      <c r="C942" s="21" t="n">
        <f aca="false">IF(C887=0,1,C937/C887)</f>
        <v>1</v>
      </c>
    </row>
    <row r="943" customFormat="false" ht="15" hidden="false" customHeight="false" outlineLevel="0" collapsed="false">
      <c r="A943" s="5" t="s">
        <v>458</v>
      </c>
      <c r="C943" s="21" t="n">
        <f aca="false">IF(C888=0,1,C938/C888)</f>
        <v>0.280871236049474</v>
      </c>
    </row>
    <row r="944" customFormat="false" ht="15" hidden="false" customHeight="false" outlineLevel="0" collapsed="false">
      <c r="A944" s="5" t="s">
        <v>459</v>
      </c>
      <c r="C944" s="21" t="n">
        <f aca="false">IF(C889=0,1,C939/C889)</f>
        <v>0</v>
      </c>
    </row>
    <row r="945" customFormat="false" ht="15" hidden="false" customHeight="false" outlineLevel="0" collapsed="false">
      <c r="A945" s="5" t="s">
        <v>460</v>
      </c>
      <c r="C945" s="21" t="n">
        <f aca="false">IF(C890=0,1,C940/C890)</f>
        <v>0</v>
      </c>
    </row>
    <row r="946" customFormat="false" ht="15" hidden="false" customHeight="false" outlineLevel="0" collapsed="false">
      <c r="A946" s="23" t="s">
        <v>472</v>
      </c>
      <c r="B946" s="24"/>
      <c r="C946" s="24"/>
      <c r="D946" s="24"/>
      <c r="E946" s="24"/>
      <c r="F946" s="24"/>
      <c r="G946" s="24"/>
      <c r="H946" s="24"/>
      <c r="I946" s="24"/>
      <c r="J946" s="24"/>
      <c r="K946" s="24"/>
    </row>
    <row r="947" customFormat="false" ht="15" hidden="false" customHeight="false" outlineLevel="0" collapsed="false">
      <c r="A947" s="5" t="s">
        <v>457</v>
      </c>
      <c r="C947" s="25" t="n">
        <f aca="false">C887-C937</f>
        <v>0</v>
      </c>
    </row>
    <row r="948" customFormat="false" ht="15" hidden="false" customHeight="false" outlineLevel="0" collapsed="false">
      <c r="A948" s="5" t="s">
        <v>458</v>
      </c>
      <c r="C948" s="25" t="n">
        <f aca="false">C888-C938</f>
        <v>378.4240372</v>
      </c>
    </row>
    <row r="949" customFormat="false" ht="15" hidden="false" customHeight="false" outlineLevel="0" collapsed="false">
      <c r="A949" s="5" t="s">
        <v>459</v>
      </c>
      <c r="C949" s="25" t="n">
        <f aca="false">C889-C939</f>
        <v>256.875</v>
      </c>
    </row>
    <row r="950" customFormat="false" ht="15" hidden="false" customHeight="false" outlineLevel="0" collapsed="false">
      <c r="A950" s="5" t="s">
        <v>460</v>
      </c>
      <c r="C950" s="25" t="n">
        <f aca="false">C890-C940</f>
        <v>305.625</v>
      </c>
    </row>
    <row r="951" customFormat="false" ht="15" hidden="false" customHeight="false" outlineLevel="0" collapsed="false">
      <c r="A951" s="23" t="s">
        <v>473</v>
      </c>
      <c r="B951" s="24"/>
      <c r="C951" s="24"/>
      <c r="D951" s="24"/>
      <c r="E951" s="24"/>
      <c r="F951" s="24"/>
      <c r="G951" s="24"/>
      <c r="H951" s="24"/>
      <c r="I951" s="24"/>
      <c r="J951" s="24"/>
      <c r="K951" s="24"/>
    </row>
    <row r="952" customFormat="false" ht="15" hidden="false" customHeight="false" outlineLevel="0" collapsed="false">
      <c r="A952" s="5" t="s">
        <v>457</v>
      </c>
      <c r="C952" s="21" t="n">
        <f aca="false">IF(C887=0,0,C947/C887)</f>
        <v>0</v>
      </c>
    </row>
    <row r="953" customFormat="false" ht="15" hidden="false" customHeight="false" outlineLevel="0" collapsed="false">
      <c r="A953" s="5" t="s">
        <v>458</v>
      </c>
      <c r="C953" s="21" t="n">
        <f aca="false">IF(C888=0,0,C948/C888)</f>
        <v>0.719128763950526</v>
      </c>
    </row>
    <row r="954" customFormat="false" ht="15" hidden="false" customHeight="false" outlineLevel="0" collapsed="false">
      <c r="A954" s="5" t="s">
        <v>459</v>
      </c>
      <c r="C954" s="21" t="n">
        <f aca="false">IF(C889=0,0,C949/C889)</f>
        <v>1</v>
      </c>
    </row>
    <row r="955" customFormat="false" ht="15" hidden="false" customHeight="false" outlineLevel="0" collapsed="false">
      <c r="A955" s="5" t="s">
        <v>460</v>
      </c>
      <c r="C955" s="21" t="n">
        <f aca="false">IF(C890=0,0,C950/C890)</f>
        <v>1</v>
      </c>
    </row>
    <row r="956" customFormat="false" ht="15" hidden="false" customHeight="false" outlineLevel="0" collapsed="false">
      <c r="A956" s="2" t="s">
        <v>474</v>
      </c>
      <c r="C956" s="16" t="n">
        <f aca="false">MAX(0,$C$885-SUM($C$902:$C$905)-SUM($C$912:$C$915))</f>
        <v>0</v>
      </c>
    </row>
    <row r="957" customFormat="false" ht="15" hidden="false" customHeight="false" outlineLevel="0" collapsed="false">
      <c r="A957" s="5" t="s">
        <v>475</v>
      </c>
      <c r="C957" s="25" t="n">
        <f aca="false">SUM($C$937:$C$940)+C956+C884-C883</f>
        <v>0</v>
      </c>
    </row>
    <row r="959" customFormat="false" ht="15" hidden="false" customHeight="false" outlineLevel="0" collapsed="false">
      <c r="A959" s="23" t="s">
        <v>478</v>
      </c>
      <c r="B959" s="24"/>
      <c r="C959" s="24"/>
      <c r="D959" s="24"/>
      <c r="E959" s="24"/>
      <c r="F959" s="24"/>
      <c r="G959" s="24"/>
      <c r="H959" s="24"/>
      <c r="I959" s="24"/>
      <c r="J959" s="24"/>
      <c r="K959" s="24"/>
    </row>
    <row r="960" customFormat="false" ht="15" hidden="false" customHeight="false" outlineLevel="0" collapsed="false">
      <c r="A960" s="5" t="s">
        <v>479</v>
      </c>
      <c r="C960" s="26" t="n">
        <f aca="false">Assumptions!$C$30</f>
        <v>2</v>
      </c>
    </row>
    <row r="961" customFormat="false" ht="15" hidden="false" customHeight="false" outlineLevel="0" collapsed="false">
      <c r="A961" s="5" t="s">
        <v>480</v>
      </c>
      <c r="C961" s="28" t="n">
        <f aca="false">Assumptions!$C$31</f>
        <v>100</v>
      </c>
    </row>
    <row r="962" customFormat="false" ht="15" hidden="false" customHeight="false" outlineLevel="0" collapsed="false">
      <c r="A962" s="5" t="s">
        <v>481</v>
      </c>
      <c r="C962" s="39" t="n">
        <f aca="false">Assumptions!$C$32</f>
        <v>78</v>
      </c>
    </row>
    <row r="963" customFormat="false" ht="15" hidden="false" customHeight="false" outlineLevel="0" collapsed="false">
      <c r="A963" s="5" t="s">
        <v>482</v>
      </c>
      <c r="C963" s="25" t="n">
        <f aca="false">C961*C962/100*(1+Assumptions!$C$33)</f>
        <v>78.39</v>
      </c>
    </row>
    <row r="964" customFormat="false" ht="15" hidden="false" customHeight="false" outlineLevel="0" collapsed="false">
      <c r="A964" s="5" t="s">
        <v>483</v>
      </c>
      <c r="C964" s="26" t="n">
        <f aca="false">Assumptions!$C$34</f>
        <v>2</v>
      </c>
    </row>
    <row r="965" customFormat="false" ht="15" hidden="false" customHeight="false" outlineLevel="0" collapsed="false">
      <c r="A965" s="5" t="s">
        <v>484</v>
      </c>
      <c r="C965" s="20" t="n">
        <f aca="false">IF(C876=1,SUMPRODUCT($G$844:$K$844,$G$720:$K$720),0)</f>
        <v>2</v>
      </c>
    </row>
    <row r="966" customFormat="false" ht="15" hidden="false" customHeight="false" outlineLevel="0" collapsed="false">
      <c r="A966" s="5" t="s">
        <v>485</v>
      </c>
      <c r="C966" s="21" t="n">
        <f aca="false">IFERROR(C961/CHOOSE(C960,SUMPRODUCT($G$875:$K$875,$G$766:$K$766),SUMPRODUCT($G$875:$K$875,$G$779:$K$779),SUMPRODUCT($G$875:$K$875,$G$792:$K$792),SUMPRODUCT($G$875:$K$875,$G$805:$K$805)),0)</f>
        <v>0.196232339089482</v>
      </c>
    </row>
    <row r="967" customFormat="false" ht="15" hidden="false" customHeight="false" outlineLevel="0" collapsed="false">
      <c r="A967" s="5" t="s">
        <v>486</v>
      </c>
      <c r="C967" s="25" t="n">
        <f aca="false">CHOOSE(C960,C937,C938,C939,C940)*C966</f>
        <v>29.0034660125589</v>
      </c>
    </row>
    <row r="968" customFormat="false" ht="15" hidden="false" customHeight="false" outlineLevel="0" collapsed="false">
      <c r="A968" s="5" t="s">
        <v>487</v>
      </c>
      <c r="C968" s="21" t="n">
        <f aca="false">CHOOSE(C960,C942,C943,C944,C945)</f>
        <v>0.280871236049474</v>
      </c>
    </row>
    <row r="969" customFormat="false" ht="15" hidden="false" customHeight="false" outlineLevel="0" collapsed="false">
      <c r="A969" s="5" t="s">
        <v>488</v>
      </c>
      <c r="C969" s="20" t="n">
        <f aca="false">IF(C876=1,C965,C964)</f>
        <v>2</v>
      </c>
    </row>
    <row r="970" customFormat="false" ht="15" hidden="false" customHeight="false" outlineLevel="0" collapsed="false">
      <c r="A970" s="5" t="s">
        <v>489</v>
      </c>
      <c r="C970" s="33" t="n">
        <f aca="false">CHOOSE($C$712,Assumptions!$C$77,Assumptions!$C$96,Assumptions!$C$115)</f>
        <v>70</v>
      </c>
    </row>
    <row r="971" customFormat="false" ht="15" hidden="false" customHeight="false" outlineLevel="0" collapsed="false">
      <c r="A971" s="5" t="s">
        <v>490</v>
      </c>
      <c r="C971" s="25" t="n">
        <f aca="false">INDEX($G$729:$K$729,C964)*CHOOSE($C$712,Assumptions!$C$76,Assumptions!$C$95,Assumptions!$C$114)+MAX(0,INDEX($G$841:$K$841,C964))</f>
        <v>55.97928</v>
      </c>
    </row>
    <row r="972" customFormat="false" ht="15" hidden="false" customHeight="false" outlineLevel="0" collapsed="false">
      <c r="A972" s="23" t="s">
        <v>491</v>
      </c>
      <c r="B972" s="24"/>
      <c r="C972" s="24"/>
      <c r="D972" s="24"/>
      <c r="E972" s="24"/>
      <c r="F972" s="24"/>
      <c r="G972" s="24"/>
      <c r="H972" s="24"/>
      <c r="I972" s="24"/>
      <c r="J972" s="24"/>
      <c r="K972" s="24"/>
    </row>
    <row r="973" customFormat="false" ht="15" hidden="false" customHeight="false" outlineLevel="0" collapsed="false">
      <c r="A973" s="5" t="s">
        <v>457</v>
      </c>
      <c r="C973" s="25" t="n">
        <f aca="false">INDEX($G$766:$K$766,C964)</f>
        <v>234.9088</v>
      </c>
    </row>
    <row r="974" customFormat="false" ht="15" hidden="false" customHeight="false" outlineLevel="0" collapsed="false">
      <c r="A974" s="5" t="s">
        <v>458</v>
      </c>
      <c r="C974" s="25" t="n">
        <f aca="false">INDEX($G$779:$K$779,C964)</f>
        <v>509.6</v>
      </c>
    </row>
    <row r="975" customFormat="false" ht="15" hidden="false" customHeight="false" outlineLevel="0" collapsed="false">
      <c r="A975" s="5" t="s">
        <v>459</v>
      </c>
      <c r="C975" s="25" t="n">
        <f aca="false">INDEX($G$792:$K$792,C964)</f>
        <v>250</v>
      </c>
    </row>
    <row r="976" customFormat="false" ht="15" hidden="false" customHeight="false" outlineLevel="0" collapsed="false">
      <c r="A976" s="5" t="s">
        <v>460</v>
      </c>
      <c r="C976" s="25" t="n">
        <f aca="false">INDEX($G$805:$K$805,C964)</f>
        <v>300</v>
      </c>
    </row>
    <row r="977" customFormat="false" ht="15" hidden="false" customHeight="false" outlineLevel="0" collapsed="false">
      <c r="A977" s="23" t="s">
        <v>461</v>
      </c>
      <c r="B977" s="24"/>
      <c r="C977" s="24"/>
      <c r="D977" s="24"/>
      <c r="E977" s="24"/>
      <c r="F977" s="24"/>
      <c r="G977" s="24"/>
      <c r="H977" s="24"/>
      <c r="I977" s="24"/>
      <c r="J977" s="24"/>
      <c r="K977" s="24"/>
    </row>
    <row r="978" customFormat="false" ht="15" hidden="false" customHeight="false" outlineLevel="0" collapsed="false">
      <c r="A978" s="5" t="s">
        <v>457</v>
      </c>
      <c r="C978" s="26" t="n">
        <f aca="false">Assumptions!$M$53</f>
        <v>1</v>
      </c>
    </row>
    <row r="979" customFormat="false" ht="15" hidden="false" customHeight="false" outlineLevel="0" collapsed="false">
      <c r="A979" s="5" t="s">
        <v>458</v>
      </c>
      <c r="C979" s="26" t="n">
        <f aca="false">Assumptions!$M$54</f>
        <v>2</v>
      </c>
    </row>
    <row r="980" customFormat="false" ht="15" hidden="false" customHeight="false" outlineLevel="0" collapsed="false">
      <c r="A980" s="5" t="s">
        <v>459</v>
      </c>
      <c r="C980" s="26" t="n">
        <f aca="false">Assumptions!$M$55</f>
        <v>3</v>
      </c>
    </row>
    <row r="981" customFormat="false" ht="15" hidden="false" customHeight="false" outlineLevel="0" collapsed="false">
      <c r="A981" s="5" t="s">
        <v>460</v>
      </c>
      <c r="C981" s="26" t="n">
        <f aca="false">Assumptions!$M$56</f>
        <v>4</v>
      </c>
    </row>
    <row r="982" customFormat="false" ht="15" hidden="false" customHeight="false" outlineLevel="0" collapsed="false">
      <c r="A982" s="23" t="s">
        <v>462</v>
      </c>
      <c r="B982" s="24"/>
      <c r="C982" s="24"/>
      <c r="D982" s="24"/>
      <c r="E982" s="24"/>
      <c r="F982" s="24"/>
      <c r="G982" s="24"/>
      <c r="H982" s="24"/>
      <c r="I982" s="24"/>
      <c r="J982" s="24"/>
      <c r="K982" s="24"/>
    </row>
    <row r="983" customFormat="false" ht="15" hidden="false" customHeight="false" outlineLevel="0" collapsed="false">
      <c r="A983" s="5" t="s">
        <v>457</v>
      </c>
      <c r="C983" s="34" t="n">
        <f aca="false">Assumptions!$Q$53</f>
        <v>0</v>
      </c>
    </row>
    <row r="984" customFormat="false" ht="15" hidden="false" customHeight="false" outlineLevel="0" collapsed="false">
      <c r="A984" s="5" t="s">
        <v>458</v>
      </c>
      <c r="C984" s="34" t="n">
        <f aca="false">Assumptions!$Q$54</f>
        <v>0</v>
      </c>
    </row>
    <row r="985" customFormat="false" ht="15" hidden="false" customHeight="false" outlineLevel="0" collapsed="false">
      <c r="A985" s="5" t="s">
        <v>459</v>
      </c>
      <c r="C985" s="34" t="n">
        <f aca="false">Assumptions!$Q$55</f>
        <v>0</v>
      </c>
    </row>
    <row r="986" customFormat="false" ht="15" hidden="false" customHeight="false" outlineLevel="0" collapsed="false">
      <c r="A986" s="5" t="s">
        <v>460</v>
      </c>
      <c r="C986" s="34" t="n">
        <f aca="false">Assumptions!$Q$56</f>
        <v>0</v>
      </c>
    </row>
    <row r="987" customFormat="false" ht="15" hidden="false" customHeight="false" outlineLevel="0" collapsed="false">
      <c r="A987" s="23" t="s">
        <v>463</v>
      </c>
      <c r="B987" s="24"/>
      <c r="C987" s="24"/>
      <c r="D987" s="24"/>
      <c r="E987" s="24"/>
      <c r="F987" s="24"/>
      <c r="G987" s="24"/>
      <c r="H987" s="24"/>
      <c r="I987" s="24"/>
      <c r="J987" s="24"/>
      <c r="K987" s="24"/>
    </row>
    <row r="988" customFormat="false" ht="15" hidden="false" customHeight="false" outlineLevel="0" collapsed="false">
      <c r="A988" s="5" t="s">
        <v>457</v>
      </c>
      <c r="C988" s="25" t="n">
        <f aca="false">IF(C983&gt;0,MIN(C973,C983*$C$971),0)</f>
        <v>0</v>
      </c>
    </row>
    <row r="989" customFormat="false" ht="15" hidden="false" customHeight="false" outlineLevel="0" collapsed="false">
      <c r="A989" s="5" t="s">
        <v>458</v>
      </c>
      <c r="C989" s="25" t="n">
        <f aca="false">IF(C984&gt;0,MIN(C974,C984*$C$971),0)</f>
        <v>0</v>
      </c>
    </row>
    <row r="990" customFormat="false" ht="15" hidden="false" customHeight="false" outlineLevel="0" collapsed="false">
      <c r="A990" s="5" t="s">
        <v>459</v>
      </c>
      <c r="C990" s="25" t="n">
        <f aca="false">IF(C985&gt;0,MIN(C975,C985*$C$971),0)</f>
        <v>0</v>
      </c>
    </row>
    <row r="991" customFormat="false" ht="15" hidden="false" customHeight="false" outlineLevel="0" collapsed="false">
      <c r="A991" s="5" t="s">
        <v>460</v>
      </c>
      <c r="C991" s="25" t="n">
        <f aca="false">IF(C986&gt;0,MIN(C976,C986*$C$971),0)</f>
        <v>0</v>
      </c>
    </row>
    <row r="992" customFormat="false" ht="15" hidden="false" customHeight="false" outlineLevel="0" collapsed="false">
      <c r="A992" s="23" t="s">
        <v>464</v>
      </c>
      <c r="B992" s="24"/>
      <c r="C992" s="24"/>
      <c r="D992" s="24"/>
      <c r="E992" s="24"/>
      <c r="F992" s="24"/>
      <c r="G992" s="24"/>
      <c r="H992" s="24"/>
      <c r="I992" s="24"/>
      <c r="J992" s="24"/>
      <c r="K992" s="24"/>
    </row>
    <row r="993" customFormat="false" ht="15" hidden="false" customHeight="false" outlineLevel="0" collapsed="false">
      <c r="A993" s="5" t="s">
        <v>457</v>
      </c>
      <c r="C993" s="25" t="n">
        <f aca="false">IF(C983&gt;0,C973-C988,0)</f>
        <v>0</v>
      </c>
    </row>
    <row r="994" customFormat="false" ht="15" hidden="false" customHeight="false" outlineLevel="0" collapsed="false">
      <c r="A994" s="5" t="s">
        <v>458</v>
      </c>
      <c r="C994" s="25" t="n">
        <f aca="false">IF(C984&gt;0,C974-C989,0)</f>
        <v>0</v>
      </c>
    </row>
    <row r="995" customFormat="false" ht="15" hidden="false" customHeight="false" outlineLevel="0" collapsed="false">
      <c r="A995" s="5" t="s">
        <v>459</v>
      </c>
      <c r="C995" s="25" t="n">
        <f aca="false">IF(C985&gt;0,C975-C990,0)</f>
        <v>0</v>
      </c>
    </row>
    <row r="996" customFormat="false" ht="15" hidden="false" customHeight="false" outlineLevel="0" collapsed="false">
      <c r="A996" s="5" t="s">
        <v>460</v>
      </c>
      <c r="C996" s="25" t="n">
        <f aca="false">IF(C986&gt;0,C976-C991,0)</f>
        <v>0</v>
      </c>
    </row>
    <row r="997" customFormat="false" ht="15" hidden="false" customHeight="false" outlineLevel="0" collapsed="false">
      <c r="A997" s="23" t="s">
        <v>465</v>
      </c>
      <c r="B997" s="24"/>
      <c r="C997" s="24"/>
      <c r="D997" s="24"/>
      <c r="E997" s="24"/>
      <c r="F997" s="24"/>
      <c r="G997" s="24"/>
      <c r="H997" s="24"/>
      <c r="I997" s="24"/>
      <c r="J997" s="24"/>
      <c r="K997" s="24"/>
    </row>
    <row r="998" customFormat="false" ht="15" hidden="false" customHeight="false" outlineLevel="0" collapsed="false">
      <c r="A998" s="5" t="s">
        <v>457</v>
      </c>
      <c r="C998" s="25" t="n">
        <f aca="false">IF(C983&gt;0,C993,C973)</f>
        <v>234.9088</v>
      </c>
    </row>
    <row r="999" customFormat="false" ht="15" hidden="false" customHeight="false" outlineLevel="0" collapsed="false">
      <c r="A999" s="5" t="s">
        <v>458</v>
      </c>
      <c r="C999" s="25" t="n">
        <f aca="false">IF(C984&gt;0,C994,C974)</f>
        <v>509.6</v>
      </c>
    </row>
    <row r="1000" customFormat="false" ht="15" hidden="false" customHeight="false" outlineLevel="0" collapsed="false">
      <c r="A1000" s="5" t="s">
        <v>459</v>
      </c>
      <c r="C1000" s="25" t="n">
        <f aca="false">IF(C985&gt;0,C995,C975)</f>
        <v>250</v>
      </c>
    </row>
    <row r="1001" customFormat="false" ht="15" hidden="false" customHeight="false" outlineLevel="0" collapsed="false">
      <c r="A1001" s="5" t="s">
        <v>460</v>
      </c>
      <c r="C1001" s="25" t="n">
        <f aca="false">IF(C986&gt;0,C996,C976)</f>
        <v>300</v>
      </c>
    </row>
    <row r="1002" customFormat="false" ht="15" hidden="false" customHeight="false" outlineLevel="0" collapsed="false">
      <c r="A1002" s="23" t="s">
        <v>466</v>
      </c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</row>
    <row r="1003" customFormat="false" ht="15" hidden="false" customHeight="false" outlineLevel="0" collapsed="false">
      <c r="A1003" s="5" t="s">
        <v>457</v>
      </c>
      <c r="C1003" s="20" t="n">
        <f aca="false">IF(C983&gt;0,Assumptions!$C$17,C978)</f>
        <v>1</v>
      </c>
    </row>
    <row r="1004" customFormat="false" ht="15" hidden="false" customHeight="false" outlineLevel="0" collapsed="false">
      <c r="A1004" s="5" t="s">
        <v>458</v>
      </c>
      <c r="C1004" s="20" t="n">
        <f aca="false">IF(C984&gt;0,Assumptions!$C$17,C979)</f>
        <v>2</v>
      </c>
    </row>
    <row r="1005" customFormat="false" ht="15" hidden="false" customHeight="false" outlineLevel="0" collapsed="false">
      <c r="A1005" s="5" t="s">
        <v>459</v>
      </c>
      <c r="C1005" s="20" t="n">
        <f aca="false">IF(C985&gt;0,Assumptions!$C$17,C980)</f>
        <v>3</v>
      </c>
    </row>
    <row r="1006" customFormat="false" ht="15" hidden="false" customHeight="false" outlineLevel="0" collapsed="false">
      <c r="A1006" s="5" t="s">
        <v>460</v>
      </c>
      <c r="C1006" s="20" t="n">
        <f aca="false">IF(C986&gt;0,Assumptions!$C$17,C981)</f>
        <v>4</v>
      </c>
    </row>
    <row r="1007" customFormat="false" ht="15" hidden="false" customHeight="false" outlineLevel="0" collapsed="false">
      <c r="A1007" s="23" t="s">
        <v>467</v>
      </c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</row>
    <row r="1008" customFormat="false" ht="15" hidden="false" customHeight="false" outlineLevel="0" collapsed="false">
      <c r="A1008" s="5" t="s">
        <v>457</v>
      </c>
      <c r="C1008" s="25" t="n">
        <f aca="false">SUMPRODUCT(($C$1003:$C$1006&lt;C1003)*$C$998:$C$1001)</f>
        <v>0</v>
      </c>
    </row>
    <row r="1009" customFormat="false" ht="15" hidden="false" customHeight="false" outlineLevel="0" collapsed="false">
      <c r="A1009" s="5" t="s">
        <v>458</v>
      </c>
      <c r="C1009" s="25" t="n">
        <f aca="false">SUMPRODUCT(($C$1003:$C$1006&lt;C1004)*$C$998:$C$1001)</f>
        <v>234.9088</v>
      </c>
    </row>
    <row r="1010" customFormat="false" ht="15" hidden="false" customHeight="false" outlineLevel="0" collapsed="false">
      <c r="A1010" s="5" t="s">
        <v>459</v>
      </c>
      <c r="C1010" s="25" t="n">
        <f aca="false">SUMPRODUCT(($C$1003:$C$1006&lt;C1005)*$C$998:$C$1001)</f>
        <v>744.5088</v>
      </c>
    </row>
    <row r="1011" customFormat="false" ht="15" hidden="false" customHeight="false" outlineLevel="0" collapsed="false">
      <c r="A1011" s="5" t="s">
        <v>460</v>
      </c>
      <c r="C1011" s="25" t="n">
        <f aca="false">SUMPRODUCT(($C$1003:$C$1006&lt;C1006)*$C$998:$C$1001)</f>
        <v>994.5088</v>
      </c>
    </row>
    <row r="1012" customFormat="false" ht="15" hidden="false" customHeight="false" outlineLevel="0" collapsed="false">
      <c r="A1012" s="23" t="s">
        <v>468</v>
      </c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</row>
    <row r="1013" customFormat="false" ht="15" hidden="false" customHeight="false" outlineLevel="0" collapsed="false">
      <c r="A1013" s="5" t="s">
        <v>457</v>
      </c>
      <c r="C1013" s="25" t="n">
        <f aca="false">SUMPRODUCT(($C$1003:$C$1006=C1003)*$C$998:$C$1001)</f>
        <v>234.9088</v>
      </c>
    </row>
    <row r="1014" customFormat="false" ht="15" hidden="false" customHeight="false" outlineLevel="0" collapsed="false">
      <c r="A1014" s="5" t="s">
        <v>458</v>
      </c>
      <c r="C1014" s="25" t="n">
        <f aca="false">SUMPRODUCT(($C$1003:$C$1006=C1004)*$C$998:$C$1001)</f>
        <v>509.6</v>
      </c>
    </row>
    <row r="1015" customFormat="false" ht="15" hidden="false" customHeight="false" outlineLevel="0" collapsed="false">
      <c r="A1015" s="5" t="s">
        <v>459</v>
      </c>
      <c r="C1015" s="25" t="n">
        <f aca="false">SUMPRODUCT(($C$1003:$C$1006=C1005)*$C$998:$C$1001)</f>
        <v>250</v>
      </c>
    </row>
    <row r="1016" customFormat="false" ht="15" hidden="false" customHeight="false" outlineLevel="0" collapsed="false">
      <c r="A1016" s="5" t="s">
        <v>460</v>
      </c>
      <c r="C1016" s="25" t="n">
        <f aca="false">SUMPRODUCT(($C$1003:$C$1006=C1006)*$C$998:$C$1001)</f>
        <v>300</v>
      </c>
    </row>
    <row r="1017" customFormat="false" ht="15" hidden="false" customHeight="false" outlineLevel="0" collapsed="false">
      <c r="A1017" s="23" t="s">
        <v>469</v>
      </c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</row>
    <row r="1018" customFormat="false" ht="15" hidden="false" customHeight="false" outlineLevel="0" collapsed="false">
      <c r="A1018" s="5" t="s">
        <v>457</v>
      </c>
      <c r="C1018" s="25" t="n">
        <f aca="false">IF(C1013=0,0,C998/C1013*MAX(0,MIN(C1013,$C$971-SUM($C$988:$C$991)-C1008)))</f>
        <v>55.97928</v>
      </c>
    </row>
    <row r="1019" customFormat="false" ht="15" hidden="false" customHeight="false" outlineLevel="0" collapsed="false">
      <c r="A1019" s="5" t="s">
        <v>458</v>
      </c>
      <c r="C1019" s="25" t="n">
        <f aca="false">IF(C1014=0,0,C999/C1014*MAX(0,MIN(C1014,$C$971-SUM($C$988:$C$991)-C1009)))</f>
        <v>0</v>
      </c>
    </row>
    <row r="1020" customFormat="false" ht="15" hidden="false" customHeight="false" outlineLevel="0" collapsed="false">
      <c r="A1020" s="5" t="s">
        <v>459</v>
      </c>
      <c r="C1020" s="25" t="n">
        <f aca="false">IF(C1015=0,0,C1000/C1015*MAX(0,MIN(C1015,$C$971-SUM($C$988:$C$991)-C1010)))</f>
        <v>0</v>
      </c>
    </row>
    <row r="1021" customFormat="false" ht="15" hidden="false" customHeight="false" outlineLevel="0" collapsed="false">
      <c r="A1021" s="5" t="s">
        <v>460</v>
      </c>
      <c r="C1021" s="25" t="n">
        <f aca="false">IF(C1016=0,0,C1001/C1016*MAX(0,MIN(C1016,$C$971-SUM($C$988:$C$991)-C1011)))</f>
        <v>0</v>
      </c>
    </row>
    <row r="1022" customFormat="false" ht="15" hidden="false" customHeight="false" outlineLevel="0" collapsed="false">
      <c r="A1022" s="23" t="s">
        <v>470</v>
      </c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</row>
    <row r="1023" customFormat="false" ht="15" hidden="false" customHeight="false" outlineLevel="0" collapsed="false">
      <c r="A1023" s="2" t="s">
        <v>457</v>
      </c>
      <c r="C1023" s="16" t="n">
        <f aca="false">C988+C1018</f>
        <v>55.97928</v>
      </c>
    </row>
    <row r="1024" customFormat="false" ht="15" hidden="false" customHeight="false" outlineLevel="0" collapsed="false">
      <c r="A1024" s="2" t="s">
        <v>458</v>
      </c>
      <c r="C1024" s="16" t="n">
        <f aca="false">C989+C1019</f>
        <v>0</v>
      </c>
    </row>
    <row r="1025" customFormat="false" ht="15" hidden="false" customHeight="false" outlineLevel="0" collapsed="false">
      <c r="A1025" s="2" t="s">
        <v>459</v>
      </c>
      <c r="C1025" s="16" t="n">
        <f aca="false">C990+C1020</f>
        <v>0</v>
      </c>
    </row>
    <row r="1026" customFormat="false" ht="15" hidden="false" customHeight="false" outlineLevel="0" collapsed="false">
      <c r="A1026" s="2" t="s">
        <v>460</v>
      </c>
      <c r="C1026" s="16" t="n">
        <f aca="false">C991+C1021</f>
        <v>0</v>
      </c>
    </row>
    <row r="1027" customFormat="false" ht="15" hidden="false" customHeight="false" outlineLevel="0" collapsed="false">
      <c r="A1027" s="23" t="s">
        <v>471</v>
      </c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</row>
    <row r="1028" customFormat="false" ht="15" hidden="false" customHeight="false" outlineLevel="0" collapsed="false">
      <c r="A1028" s="5" t="s">
        <v>457</v>
      </c>
      <c r="C1028" s="21" t="n">
        <f aca="false">IF(C973=0,1,C1023/C973)</f>
        <v>0.238302183655955</v>
      </c>
    </row>
    <row r="1029" customFormat="false" ht="15" hidden="false" customHeight="false" outlineLevel="0" collapsed="false">
      <c r="A1029" s="5" t="s">
        <v>458</v>
      </c>
      <c r="C1029" s="21" t="n">
        <f aca="false">IF(C974=0,1,C1024/C974)</f>
        <v>0</v>
      </c>
    </row>
    <row r="1030" customFormat="false" ht="15" hidden="false" customHeight="false" outlineLevel="0" collapsed="false">
      <c r="A1030" s="5" t="s">
        <v>459</v>
      </c>
      <c r="C1030" s="21" t="n">
        <f aca="false">IF(C975=0,1,C1025/C975)</f>
        <v>0</v>
      </c>
    </row>
    <row r="1031" customFormat="false" ht="15" hidden="false" customHeight="false" outlineLevel="0" collapsed="false">
      <c r="A1031" s="5" t="s">
        <v>460</v>
      </c>
      <c r="C1031" s="21" t="n">
        <f aca="false">IF(C976=0,1,C1026/C976)</f>
        <v>0</v>
      </c>
    </row>
    <row r="1032" customFormat="false" ht="15" hidden="false" customHeight="false" outlineLevel="0" collapsed="false">
      <c r="A1032" s="23" t="s">
        <v>472</v>
      </c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</row>
    <row r="1033" customFormat="false" ht="15" hidden="false" customHeight="false" outlineLevel="0" collapsed="false">
      <c r="A1033" s="5" t="s">
        <v>457</v>
      </c>
      <c r="C1033" s="25" t="n">
        <f aca="false">C973-C1023</f>
        <v>178.92952</v>
      </c>
    </row>
    <row r="1034" customFormat="false" ht="15" hidden="false" customHeight="false" outlineLevel="0" collapsed="false">
      <c r="A1034" s="5" t="s">
        <v>458</v>
      </c>
      <c r="C1034" s="25" t="n">
        <f aca="false">C974-C1024</f>
        <v>509.6</v>
      </c>
    </row>
    <row r="1035" customFormat="false" ht="15" hidden="false" customHeight="false" outlineLevel="0" collapsed="false">
      <c r="A1035" s="5" t="s">
        <v>459</v>
      </c>
      <c r="C1035" s="25" t="n">
        <f aca="false">C975-C1025</f>
        <v>250</v>
      </c>
    </row>
    <row r="1036" customFormat="false" ht="15" hidden="false" customHeight="false" outlineLevel="0" collapsed="false">
      <c r="A1036" s="5" t="s">
        <v>460</v>
      </c>
      <c r="C1036" s="25" t="n">
        <f aca="false">C976-C1026</f>
        <v>300</v>
      </c>
    </row>
    <row r="1037" customFormat="false" ht="15" hidden="false" customHeight="false" outlineLevel="0" collapsed="false">
      <c r="A1037" s="23" t="s">
        <v>473</v>
      </c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</row>
    <row r="1038" customFormat="false" ht="15" hidden="false" customHeight="false" outlineLevel="0" collapsed="false">
      <c r="A1038" s="5" t="s">
        <v>457</v>
      </c>
      <c r="C1038" s="21" t="n">
        <f aca="false">IF(C973=0,0,C1033/C973)</f>
        <v>0.761697816344045</v>
      </c>
    </row>
    <row r="1039" customFormat="false" ht="15" hidden="false" customHeight="false" outlineLevel="0" collapsed="false">
      <c r="A1039" s="5" t="s">
        <v>458</v>
      </c>
      <c r="C1039" s="21" t="n">
        <f aca="false">IF(C974=0,0,C1034/C974)</f>
        <v>1</v>
      </c>
    </row>
    <row r="1040" customFormat="false" ht="15" hidden="false" customHeight="false" outlineLevel="0" collapsed="false">
      <c r="A1040" s="5" t="s">
        <v>459</v>
      </c>
      <c r="C1040" s="21" t="n">
        <f aca="false">IF(C975=0,0,C1035/C975)</f>
        <v>1</v>
      </c>
    </row>
    <row r="1041" customFormat="false" ht="15" hidden="false" customHeight="false" outlineLevel="0" collapsed="false">
      <c r="A1041" s="5" t="s">
        <v>460</v>
      </c>
      <c r="C1041" s="21" t="n">
        <f aca="false">IF(C976=0,0,C1036/C976)</f>
        <v>1</v>
      </c>
    </row>
    <row r="1042" customFormat="false" ht="15" hidden="false" customHeight="false" outlineLevel="0" collapsed="false">
      <c r="A1042" s="2" t="s">
        <v>474</v>
      </c>
      <c r="C1042" s="16" t="n">
        <f aca="false">MAX(0,$C$971-SUM($C$988:$C$991)-SUM($C$998:$C$1001))</f>
        <v>0</v>
      </c>
    </row>
    <row r="1043" customFormat="false" ht="15" hidden="false" customHeight="false" outlineLevel="0" collapsed="false">
      <c r="A1043" s="5" t="s">
        <v>492</v>
      </c>
      <c r="C1043" s="33" t="n">
        <f aca="false">MIN(C970,100*CHOOSE(C960,C1028,C1029,C1030,C1031))</f>
        <v>0</v>
      </c>
    </row>
    <row r="1044" customFormat="false" ht="15" hidden="false" customHeight="false" outlineLevel="0" collapsed="false">
      <c r="A1044" s="5" t="s">
        <v>493</v>
      </c>
      <c r="C1044" s="20" t="n">
        <f aca="false">IF(C876=1,C965+Assumptions!$C$36,C964)</f>
        <v>3</v>
      </c>
    </row>
    <row r="1045" customFormat="false" ht="15" hidden="false" customHeight="false" outlineLevel="0" collapsed="false">
      <c r="A1045" s="23" t="s">
        <v>494</v>
      </c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</row>
    <row r="1046" customFormat="false" ht="15" hidden="false" customHeight="false" outlineLevel="0" collapsed="false">
      <c r="A1046" s="5" t="s">
        <v>495</v>
      </c>
      <c r="C1046" s="20" t="n">
        <f aca="false">COLUMN()-COLUMN($C$1)</f>
        <v>0</v>
      </c>
      <c r="D1046" s="20" t="n">
        <f aca="false">COLUMN()-COLUMN($C$1)</f>
        <v>1</v>
      </c>
      <c r="E1046" s="20" t="n">
        <f aca="false">COLUMN()-COLUMN($C$1)</f>
        <v>2</v>
      </c>
      <c r="F1046" s="20" t="n">
        <f aca="false">COLUMN()-COLUMN($C$1)</f>
        <v>3</v>
      </c>
      <c r="G1046" s="20" t="n">
        <f aca="false">COLUMN()-COLUMN($C$1)</f>
        <v>4</v>
      </c>
      <c r="H1046" s="20" t="n">
        <f aca="false">COLUMN()-COLUMN($C$1)</f>
        <v>5</v>
      </c>
      <c r="I1046" s="20" t="n">
        <f aca="false">COLUMN()-COLUMN($C$1)</f>
        <v>6</v>
      </c>
    </row>
    <row r="1047" customFormat="false" ht="15" hidden="false" customHeight="false" outlineLevel="0" collapsed="false">
      <c r="A1047" s="5" t="s">
        <v>496</v>
      </c>
      <c r="D1047" s="30" t="n">
        <f aca="false">CHOOSE($C$960,G758,G771,G784,G797)</f>
        <v>0.133</v>
      </c>
      <c r="E1047" s="30" t="n">
        <f aca="false">CHOOSE($C$960,H758,H771,H784,H797)</f>
        <v>0.1305</v>
      </c>
      <c r="F1047" s="30" t="n">
        <f aca="false">CHOOSE($C$960,I758,I771,I784,I797)</f>
        <v>0.128</v>
      </c>
      <c r="G1047" s="30" t="n">
        <f aca="false">CHOOSE($C$960,J758,J771,J784,J797)</f>
        <v>0.128</v>
      </c>
      <c r="H1047" s="30" t="n">
        <f aca="false">CHOOSE($C$960,K758,K771,K784,K797)</f>
        <v>0.128</v>
      </c>
    </row>
    <row r="1048" customFormat="false" ht="15" hidden="false" customHeight="false" outlineLevel="0" collapsed="false">
      <c r="A1048" s="5" t="s">
        <v>497</v>
      </c>
      <c r="D1048" s="25" t="n">
        <f aca="false">IF(D1046&lt;=$C$969,$C$961*D1047,0)</f>
        <v>13.3</v>
      </c>
      <c r="E1048" s="25" t="n">
        <f aca="false">IF(E1046&lt;=$C$969,$C$961*E1047,0)</f>
        <v>13.05</v>
      </c>
      <c r="F1048" s="25" t="n">
        <f aca="false">IF(F1046&lt;=$C$969,$C$961*F1047,0)</f>
        <v>0</v>
      </c>
      <c r="G1048" s="25" t="n">
        <f aca="false">IF(G1046&lt;=$C$969,$C$961*G1047,0)</f>
        <v>0</v>
      </c>
      <c r="H1048" s="25" t="n">
        <f aca="false">IF(H1046&lt;=$C$969,$C$961*H1047,0)</f>
        <v>0</v>
      </c>
    </row>
    <row r="1049" customFormat="false" ht="15" hidden="false" customHeight="false" outlineLevel="0" collapsed="false">
      <c r="A1049" s="5" t="s">
        <v>498</v>
      </c>
      <c r="D1049" s="25" t="n">
        <f aca="false">IF(AND($C$876=0,D1046=$C$964),$C$961*$C$1043/100,0)+IF(AND($C$876=1,D1046=$C$1044),$C$967,0)</f>
        <v>0</v>
      </c>
      <c r="E1049" s="25" t="n">
        <f aca="false">IF(AND($C$876=0,E1046=$C$964),$C$961*$C$1043/100,0)+IF(AND($C$876=1,E1046=$C$1044),$C$967,0)</f>
        <v>0</v>
      </c>
      <c r="F1049" s="25" t="n">
        <f aca="false">IF(AND($C$876=0,F1046=$C$964),$C$961*$C$1043/100,0)+IF(AND($C$876=1,F1046=$C$1044),$C$967,0)</f>
        <v>29.0034660125589</v>
      </c>
      <c r="G1049" s="25" t="n">
        <f aca="false">IF(AND($C$876=0,G1046=$C$964),$C$961*$C$1043/100,0)+IF(AND($C$876=1,G1046=$C$1044),$C$967,0)</f>
        <v>0</v>
      </c>
      <c r="H1049" s="25" t="n">
        <f aca="false">IF(AND($C$876=0,H1046=$C$964),$C$961*$C$1043/100,0)+IF(AND($C$876=1,H1046=$C$1044),$C$967,0)</f>
        <v>0</v>
      </c>
      <c r="I1049" s="25" t="n">
        <f aca="false">IF(AND($C$876=0,I1046=$C$964),$C$961*$C$1043/100,0)+IF(AND($C$876=1,I1046=$C$1044),$C$967,0)</f>
        <v>0</v>
      </c>
    </row>
    <row r="1050" customFormat="false" ht="15" hidden="false" customHeight="false" outlineLevel="0" collapsed="false">
      <c r="A1050" s="2" t="s">
        <v>499</v>
      </c>
      <c r="C1050" s="16" t="n">
        <f aca="false">-$C$963</f>
        <v>-78.39</v>
      </c>
      <c r="D1050" s="16" t="n">
        <f aca="false">D1048+D1049</f>
        <v>13.3</v>
      </c>
      <c r="E1050" s="16" t="n">
        <f aca="false">E1048+E1049</f>
        <v>13.05</v>
      </c>
      <c r="F1050" s="16" t="n">
        <f aca="false">F1048+F1049</f>
        <v>29.0034660125589</v>
      </c>
      <c r="G1050" s="16" t="n">
        <f aca="false">G1048+G1049</f>
        <v>0</v>
      </c>
      <c r="H1050" s="16" t="n">
        <f aca="false">H1048+H1049</f>
        <v>0</v>
      </c>
      <c r="I1050" s="16" t="n">
        <f aca="false">I1048+I1049</f>
        <v>0</v>
      </c>
    </row>
    <row r="1051" customFormat="false" ht="15" hidden="false" customHeight="false" outlineLevel="0" collapsed="false">
      <c r="A1051" s="5" t="s">
        <v>500</v>
      </c>
      <c r="C1051" s="25" t="n">
        <f aca="false">SUM($C$1048:$I$1048)</f>
        <v>26.35</v>
      </c>
    </row>
    <row r="1052" customFormat="false" ht="15" hidden="false" customHeight="false" outlineLevel="0" collapsed="false">
      <c r="A1052" s="5" t="s">
        <v>501</v>
      </c>
      <c r="C1052" s="25" t="n">
        <f aca="false">SUM($C$1049:$I$1049)</f>
        <v>29.0034660125589</v>
      </c>
    </row>
    <row r="1053" customFormat="false" ht="15" hidden="false" customHeight="false" outlineLevel="0" collapsed="false">
      <c r="A1053" s="5" t="s">
        <v>502</v>
      </c>
      <c r="C1053" s="25" t="n">
        <f aca="false">C1051+C1052</f>
        <v>55.3534660125589</v>
      </c>
    </row>
    <row r="1054" customFormat="false" ht="15" hidden="false" customHeight="false" outlineLevel="0" collapsed="false">
      <c r="A1054" s="5" t="s">
        <v>503</v>
      </c>
      <c r="C1054" s="25" t="n">
        <f aca="false">C1052-C961*C962/100</f>
        <v>-48.9965339874412</v>
      </c>
    </row>
    <row r="1055" customFormat="false" ht="15" hidden="false" customHeight="false" outlineLevel="0" collapsed="false">
      <c r="A1055" s="5" t="s">
        <v>504</v>
      </c>
      <c r="C1055" s="25" t="n">
        <f aca="false">C1053-C963</f>
        <v>-23.0365339874411</v>
      </c>
    </row>
    <row r="1056" customFormat="false" ht="15" hidden="false" customHeight="false" outlineLevel="0" collapsed="false">
      <c r="A1056" s="2" t="s">
        <v>385</v>
      </c>
      <c r="C1056" s="43" t="n">
        <f aca="false">C1053/C963</f>
        <v>0.706129174799832</v>
      </c>
    </row>
    <row r="1057" customFormat="false" ht="15" hidden="false" customHeight="false" outlineLevel="0" collapsed="false">
      <c r="A1057" s="2" t="s">
        <v>384</v>
      </c>
      <c r="C1057" s="41" t="n">
        <f aca="false">IF(C1053&lt;=0,-1,IFERROR(IRR($C$1050:$I$1050,MAX(-0.9,C1056^(1/C1044)-1)),IRR($C$1050:$I$1050,0.1)))</f>
        <v>-0.138534047289136</v>
      </c>
    </row>
    <row r="1058" customFormat="false" ht="15" hidden="false" customHeight="false" outlineLevel="0" collapsed="false">
      <c r="A1058" s="5" t="s">
        <v>505</v>
      </c>
      <c r="C1058" s="31" t="n">
        <f aca="false">MAX($G$852:$K$852)</f>
        <v>124.624351403687</v>
      </c>
    </row>
    <row r="1059" customFormat="false" ht="15" hidden="false" customHeight="false" outlineLevel="0" collapsed="false">
      <c r="A1059" s="5" t="s">
        <v>506</v>
      </c>
      <c r="C1059" s="31" t="n">
        <f aca="false">MIN($G$853:$K$853)</f>
        <v>0.109080209295775</v>
      </c>
    </row>
    <row r="1060" customFormat="false" ht="15" hidden="false" customHeight="false" outlineLevel="0" collapsed="false">
      <c r="A1060" s="5" t="s">
        <v>507</v>
      </c>
      <c r="C1060" s="25" t="n">
        <f aca="false">SUM($G$742:$K$742)</f>
        <v>-697.792895058854</v>
      </c>
    </row>
    <row r="1064" customFormat="false" ht="15" hidden="false" customHeight="false" outlineLevel="0" collapsed="false">
      <c r="A1064" s="9" t="s">
        <v>629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</row>
    <row r="1065" customFormat="false" ht="15" hidden="false" customHeight="false" outlineLevel="0" collapsed="false">
      <c r="A1065" s="5" t="s">
        <v>622</v>
      </c>
      <c r="C1065" s="11" t="n">
        <v>1</v>
      </c>
    </row>
    <row r="1066" customFormat="false" ht="15" hidden="false" customHeight="false" outlineLevel="0" collapsed="false">
      <c r="A1066" s="5" t="s">
        <v>623</v>
      </c>
      <c r="C1066" s="18" t="n">
        <v>0</v>
      </c>
    </row>
    <row r="1067" customFormat="false" ht="15" hidden="false" customHeight="false" outlineLevel="0" collapsed="false">
      <c r="A1067" s="5" t="s">
        <v>624</v>
      </c>
      <c r="C1067" s="29" t="n">
        <f aca="false">Sensitivities!$A$30</f>
        <v>-0.04</v>
      </c>
    </row>
    <row r="1068" customFormat="false" ht="15" hidden="false" customHeight="false" outlineLevel="0" collapsed="false">
      <c r="A1068" s="5" t="s">
        <v>625</v>
      </c>
      <c r="C1068" s="18" t="n">
        <v>0</v>
      </c>
    </row>
    <row r="1069" customFormat="false" ht="15" hidden="false" customHeight="false" outlineLevel="0" collapsed="false">
      <c r="A1069" s="5" t="s">
        <v>626</v>
      </c>
      <c r="C1069" s="15" t="n">
        <v>0</v>
      </c>
    </row>
    <row r="1071" customFormat="false" ht="15" hidden="false" customHeight="false" outlineLevel="0" collapsed="false">
      <c r="A1071" s="23" t="s">
        <v>237</v>
      </c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</row>
    <row r="1072" customFormat="false" ht="15" hidden="false" customHeight="false" outlineLevel="0" collapsed="false">
      <c r="A1072" s="5" t="s">
        <v>238</v>
      </c>
      <c r="F1072" s="26" t="n">
        <f aca="false">Assumptions!$C$6</f>
        <v>2025</v>
      </c>
      <c r="G1072" s="20" t="n">
        <f aca="false">F1072+1</f>
        <v>2026</v>
      </c>
      <c r="H1072" s="20" t="n">
        <f aca="false">G1072+1</f>
        <v>2027</v>
      </c>
      <c r="I1072" s="20" t="n">
        <f aca="false">H1072+1</f>
        <v>2028</v>
      </c>
      <c r="J1072" s="20" t="n">
        <f aca="false">I1072+1</f>
        <v>2029</v>
      </c>
      <c r="K1072" s="20" t="n">
        <f aca="false">J1072+1</f>
        <v>2030</v>
      </c>
    </row>
    <row r="1073" customFormat="false" ht="15" hidden="false" customHeight="false" outlineLevel="0" collapsed="false">
      <c r="A1073" s="5" t="s">
        <v>239</v>
      </c>
      <c r="G1073" s="20" t="n">
        <f aca="false">G1072-Assumptions!$C$6</f>
        <v>1</v>
      </c>
      <c r="H1073" s="20" t="n">
        <f aca="false">H1072-Assumptions!$C$6</f>
        <v>2</v>
      </c>
      <c r="I1073" s="20" t="n">
        <f aca="false">I1072-Assumptions!$C$6</f>
        <v>3</v>
      </c>
      <c r="J1073" s="20" t="n">
        <f aca="false">J1072-Assumptions!$C$6</f>
        <v>4</v>
      </c>
      <c r="K1073" s="20" t="n">
        <f aca="false">K1072-Assumptions!$C$6</f>
        <v>5</v>
      </c>
    </row>
    <row r="1074" customFormat="false" ht="15" hidden="false" customHeight="false" outlineLevel="0" collapsed="false">
      <c r="A1074" s="5" t="s">
        <v>149</v>
      </c>
      <c r="G1074" s="21" t="n">
        <f aca="false">CHOOSE($C$1065,Assumptions!$G$65,Assumptions!$G$84,Assumptions!$G$103)+$C$1066</f>
        <v>-0.01</v>
      </c>
      <c r="H1074" s="21" t="n">
        <f aca="false">CHOOSE($C$1065,Assumptions!$H$65,Assumptions!$H$84,Assumptions!$H$103)+$C$1066</f>
        <v>-0.01</v>
      </c>
      <c r="I1074" s="21" t="n">
        <f aca="false">CHOOSE($C$1065,Assumptions!$I$65,Assumptions!$I$84,Assumptions!$I$103)+$C$1066</f>
        <v>-0.01</v>
      </c>
      <c r="J1074" s="21" t="n">
        <f aca="false">CHOOSE($C$1065,Assumptions!$J$65,Assumptions!$J$84,Assumptions!$J$103)+$C$1066</f>
        <v>-0.01</v>
      </c>
      <c r="K1074" s="21" t="n">
        <f aca="false">CHOOSE($C$1065,Assumptions!$K$65,Assumptions!$K$84,Assumptions!$K$103)+$C$1066</f>
        <v>-0.01</v>
      </c>
    </row>
    <row r="1075" customFormat="false" ht="15" hidden="false" customHeight="false" outlineLevel="0" collapsed="false">
      <c r="A1075" s="5" t="s">
        <v>150</v>
      </c>
      <c r="G1075" s="21" t="n">
        <f aca="false">CHOOSE($C$1065,Assumptions!$G$66,Assumptions!$G$85,Assumptions!$G$104)</f>
        <v>0.36</v>
      </c>
      <c r="H1075" s="21" t="n">
        <f aca="false">CHOOSE($C$1065,Assumptions!$H$66,Assumptions!$H$85,Assumptions!$H$104)</f>
        <v>0.362</v>
      </c>
      <c r="I1075" s="21" t="n">
        <f aca="false">CHOOSE($C$1065,Assumptions!$I$66,Assumptions!$I$85,Assumptions!$I$104)</f>
        <v>0.364</v>
      </c>
      <c r="J1075" s="21" t="n">
        <f aca="false">CHOOSE($C$1065,Assumptions!$J$66,Assumptions!$J$85,Assumptions!$J$104)</f>
        <v>0.366</v>
      </c>
      <c r="K1075" s="21" t="n">
        <f aca="false">CHOOSE($C$1065,Assumptions!$K$66,Assumptions!$K$85,Assumptions!$K$104)</f>
        <v>0.368</v>
      </c>
    </row>
    <row r="1076" customFormat="false" ht="15" hidden="false" customHeight="false" outlineLevel="0" collapsed="false">
      <c r="A1076" s="5" t="s">
        <v>151</v>
      </c>
      <c r="G1076" s="21" t="n">
        <f aca="false">CHOOSE($C$1065,Assumptions!$G$67,Assumptions!$G$86,Assumptions!$G$105)+$C$1067</f>
        <v>0.025</v>
      </c>
      <c r="H1076" s="21" t="n">
        <f aca="false">CHOOSE($C$1065,Assumptions!$H$67,Assumptions!$H$86,Assumptions!$H$105)+$C$1067</f>
        <v>0.027</v>
      </c>
      <c r="I1076" s="21" t="n">
        <f aca="false">CHOOSE($C$1065,Assumptions!$I$67,Assumptions!$I$86,Assumptions!$I$105)+$C$1067</f>
        <v>0.029</v>
      </c>
      <c r="J1076" s="21" t="n">
        <f aca="false">CHOOSE($C$1065,Assumptions!$J$67,Assumptions!$J$86,Assumptions!$J$105)+$C$1067</f>
        <v>0.031</v>
      </c>
      <c r="K1076" s="21" t="n">
        <f aca="false">CHOOSE($C$1065,Assumptions!$K$67,Assumptions!$K$86,Assumptions!$K$105)+$C$1067</f>
        <v>0.033</v>
      </c>
    </row>
    <row r="1077" customFormat="false" ht="15" hidden="false" customHeight="false" outlineLevel="0" collapsed="false">
      <c r="A1077" s="23" t="s">
        <v>240</v>
      </c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</row>
    <row r="1078" customFormat="false" ht="15" hidden="false" customHeight="false" outlineLevel="0" collapsed="false">
      <c r="A1078" s="2" t="s">
        <v>207</v>
      </c>
      <c r="F1078" s="27" t="n">
        <f aca="false">'Historical Financials'!E17</f>
        <v>2400</v>
      </c>
      <c r="G1078" s="16" t="n">
        <f aca="false">F1078*(1+G1074)</f>
        <v>2376</v>
      </c>
      <c r="H1078" s="16" t="n">
        <f aca="false">G1078*(1+H1074)</f>
        <v>2352.24</v>
      </c>
      <c r="I1078" s="16" t="n">
        <f aca="false">H1078*(1+I1074)</f>
        <v>2328.7176</v>
      </c>
      <c r="J1078" s="16" t="n">
        <f aca="false">I1078*(1+J1074)</f>
        <v>2305.430424</v>
      </c>
      <c r="K1078" s="16" t="n">
        <f aca="false">J1078*(1+K1074)</f>
        <v>2282.37611976</v>
      </c>
    </row>
    <row r="1079" customFormat="false" ht="15" hidden="false" customHeight="false" outlineLevel="0" collapsed="false">
      <c r="A1079" s="5" t="s">
        <v>217</v>
      </c>
      <c r="G1079" s="25" t="n">
        <f aca="false">G1078*(1-G1075)</f>
        <v>1520.64</v>
      </c>
      <c r="H1079" s="25" t="n">
        <f aca="false">H1078*(1-H1075)</f>
        <v>1500.72912</v>
      </c>
      <c r="I1079" s="25" t="n">
        <f aca="false">I1078*(1-I1075)</f>
        <v>1481.0643936</v>
      </c>
      <c r="J1079" s="25" t="n">
        <f aca="false">J1078*(1-J1075)</f>
        <v>1461.642888816</v>
      </c>
      <c r="K1079" s="25" t="n">
        <f aca="false">K1078*(1-K1075)</f>
        <v>1442.46170768832</v>
      </c>
    </row>
    <row r="1080" customFormat="false" ht="15" hidden="false" customHeight="false" outlineLevel="0" collapsed="false">
      <c r="A1080" s="2" t="s">
        <v>218</v>
      </c>
      <c r="G1080" s="16" t="n">
        <f aca="false">G1078-G1079</f>
        <v>855.36</v>
      </c>
      <c r="H1080" s="16" t="n">
        <f aca="false">H1078-H1079</f>
        <v>851.51088</v>
      </c>
      <c r="I1080" s="16" t="n">
        <f aca="false">I1078-I1079</f>
        <v>847.6532064</v>
      </c>
      <c r="J1080" s="16" t="n">
        <f aca="false">J1078-J1079</f>
        <v>843.787535184</v>
      </c>
      <c r="K1080" s="16" t="n">
        <f aca="false">K1078-K1079</f>
        <v>839.91441207168</v>
      </c>
    </row>
    <row r="1081" customFormat="false" ht="15" hidden="false" customHeight="false" outlineLevel="0" collapsed="false">
      <c r="A1081" s="5" t="s">
        <v>241</v>
      </c>
      <c r="G1081" s="25" t="n">
        <f aca="false">G1080-G1082</f>
        <v>795.96</v>
      </c>
      <c r="H1081" s="25" t="n">
        <f aca="false">H1080-H1082</f>
        <v>788.0004</v>
      </c>
      <c r="I1081" s="25" t="n">
        <f aca="false">I1080-I1082</f>
        <v>780.120396</v>
      </c>
      <c r="J1081" s="25" t="n">
        <f aca="false">J1080-J1082</f>
        <v>772.31919204</v>
      </c>
      <c r="K1081" s="25" t="n">
        <f aca="false">K1080-K1082</f>
        <v>764.5960001196</v>
      </c>
    </row>
    <row r="1082" customFormat="false" ht="15" hidden="false" customHeight="false" outlineLevel="0" collapsed="false">
      <c r="A1082" s="2" t="s">
        <v>242</v>
      </c>
      <c r="G1082" s="16" t="n">
        <f aca="false">G1078*G1076</f>
        <v>59.4</v>
      </c>
      <c r="H1082" s="16" t="n">
        <f aca="false">H1078*H1076</f>
        <v>63.51048</v>
      </c>
      <c r="I1082" s="16" t="n">
        <f aca="false">I1078*I1076</f>
        <v>67.5328104</v>
      </c>
      <c r="J1082" s="16" t="n">
        <f aca="false">J1078*J1076</f>
        <v>71.468343144</v>
      </c>
      <c r="K1082" s="16" t="n">
        <f aca="false">K1078*K1076</f>
        <v>75.31841195208</v>
      </c>
    </row>
    <row r="1083" customFormat="false" ht="15" hidden="false" customHeight="false" outlineLevel="0" collapsed="false">
      <c r="A1083" s="5" t="s">
        <v>243</v>
      </c>
      <c r="G1083" s="25" t="n">
        <f aca="false">G1078*'Historical Financials'!E22/'Historical Financials'!E17</f>
        <v>52.272</v>
      </c>
      <c r="H1083" s="25" t="n">
        <f aca="false">H1078*'Historical Financials'!E22/'Historical Financials'!E17</f>
        <v>51.74928</v>
      </c>
      <c r="I1083" s="25" t="n">
        <f aca="false">I1078*'Historical Financials'!E22/'Historical Financials'!E17</f>
        <v>51.2317872</v>
      </c>
      <c r="J1083" s="25" t="n">
        <f aca="false">J1078*'Historical Financials'!E22/'Historical Financials'!E17</f>
        <v>50.719469328</v>
      </c>
      <c r="K1083" s="25" t="n">
        <f aca="false">K1078*'Historical Financials'!E22/'Historical Financials'!E17</f>
        <v>50.21227463472</v>
      </c>
    </row>
    <row r="1084" customFormat="false" ht="15" hidden="false" customHeight="false" outlineLevel="0" collapsed="false">
      <c r="A1084" s="5" t="s">
        <v>244</v>
      </c>
      <c r="G1084" s="25" t="n">
        <f aca="false">G1078*'Historical Financials'!E23/'Historical Financials'!E17</f>
        <v>0</v>
      </c>
      <c r="H1084" s="25" t="n">
        <f aca="false">H1078*'Historical Financials'!E23/'Historical Financials'!E17</f>
        <v>0</v>
      </c>
      <c r="I1084" s="25" t="n">
        <f aca="false">I1078*'Historical Financials'!E23/'Historical Financials'!E17</f>
        <v>0</v>
      </c>
      <c r="J1084" s="25" t="n">
        <f aca="false">J1078*'Historical Financials'!E23/'Historical Financials'!E17</f>
        <v>0</v>
      </c>
      <c r="K1084" s="25" t="n">
        <f aca="false">K1078*'Historical Financials'!E23/'Historical Financials'!E17</f>
        <v>0</v>
      </c>
    </row>
    <row r="1085" customFormat="false" ht="15" hidden="false" customHeight="false" outlineLevel="0" collapsed="false">
      <c r="A1085" s="2" t="s">
        <v>245</v>
      </c>
      <c r="G1085" s="16" t="n">
        <f aca="false">G1082-G1083-G1084</f>
        <v>7.12800000000001</v>
      </c>
      <c r="H1085" s="16" t="n">
        <f aca="false">H1082-H1083-H1084</f>
        <v>11.7612</v>
      </c>
      <c r="I1085" s="16" t="n">
        <f aca="false">I1082-I1083-I1084</f>
        <v>16.3010232</v>
      </c>
      <c r="J1085" s="16" t="n">
        <f aca="false">J1082-J1083-J1084</f>
        <v>20.748873816</v>
      </c>
      <c r="K1085" s="16" t="n">
        <f aca="false">K1082-K1083-K1084</f>
        <v>25.10613731736</v>
      </c>
    </row>
    <row r="1086" customFormat="false" ht="15" hidden="false" customHeight="false" outlineLevel="0" collapsed="false">
      <c r="A1086" s="5" t="s">
        <v>246</v>
      </c>
      <c r="G1086" s="25" t="n">
        <f aca="false">G1112+G1125+G1138+G1151</f>
        <v>119.04</v>
      </c>
      <c r="H1086" s="25" t="n">
        <f aca="false">H1112+H1125+H1138+H1151</f>
        <v>122.15148</v>
      </c>
      <c r="I1086" s="25" t="n">
        <f aca="false">I1112+I1125+I1138+I1151</f>
        <v>119.74368</v>
      </c>
      <c r="J1086" s="25" t="n">
        <f aca="false">J1112+J1125+J1138+J1151</f>
        <v>119.23408</v>
      </c>
      <c r="K1086" s="25" t="n">
        <f aca="false">K1112+K1125+K1138+K1151</f>
        <v>118.72448</v>
      </c>
    </row>
    <row r="1087" customFormat="false" ht="15" hidden="false" customHeight="false" outlineLevel="0" collapsed="false">
      <c r="A1087" s="5" t="s">
        <v>247</v>
      </c>
      <c r="G1087" s="25" t="n">
        <f aca="false">G1113+G1126+G1139+G1152</f>
        <v>0</v>
      </c>
      <c r="H1087" s="25" t="n">
        <f aca="false">H1113+H1126+H1139+H1152</f>
        <v>0</v>
      </c>
      <c r="I1087" s="25" t="n">
        <f aca="false">I1113+I1126+I1139+I1152</f>
        <v>0</v>
      </c>
      <c r="J1087" s="25" t="n">
        <f aca="false">J1113+J1126+J1139+J1152</f>
        <v>0</v>
      </c>
      <c r="K1087" s="25" t="n">
        <f aca="false">K1113+K1126+K1139+K1152</f>
        <v>0</v>
      </c>
    </row>
    <row r="1088" customFormat="false" ht="15" hidden="false" customHeight="false" outlineLevel="0" collapsed="false">
      <c r="A1088" s="5" t="s">
        <v>212</v>
      </c>
      <c r="G1088" s="25" t="n">
        <f aca="false">G1086+G1087</f>
        <v>119.04</v>
      </c>
      <c r="H1088" s="25" t="n">
        <f aca="false">H1086+H1087</f>
        <v>122.15148</v>
      </c>
      <c r="I1088" s="25" t="n">
        <f aca="false">I1086+I1087</f>
        <v>119.74368</v>
      </c>
      <c r="J1088" s="25" t="n">
        <f aca="false">J1086+J1087</f>
        <v>119.23408</v>
      </c>
      <c r="K1088" s="25" t="n">
        <f aca="false">K1086+K1087</f>
        <v>118.72448</v>
      </c>
    </row>
    <row r="1089" customFormat="false" ht="15" hidden="false" customHeight="false" outlineLevel="0" collapsed="false">
      <c r="A1089" s="2" t="s">
        <v>223</v>
      </c>
      <c r="G1089" s="16" t="n">
        <f aca="false">G1085-G1088</f>
        <v>-111.912</v>
      </c>
      <c r="H1089" s="16" t="n">
        <f aca="false">H1085-H1088</f>
        <v>-110.39028</v>
      </c>
      <c r="I1089" s="16" t="n">
        <f aca="false">I1085-I1088</f>
        <v>-103.4426568</v>
      </c>
      <c r="J1089" s="16" t="n">
        <f aca="false">J1085-J1088</f>
        <v>-98.485206184</v>
      </c>
      <c r="K1089" s="16" t="n">
        <f aca="false">K1085-K1088</f>
        <v>-93.61834268264</v>
      </c>
    </row>
    <row r="1090" customFormat="false" ht="15" hidden="false" customHeight="false" outlineLevel="0" collapsed="false">
      <c r="A1090" s="5" t="s">
        <v>213</v>
      </c>
      <c r="G1090" s="25" t="n">
        <f aca="false">MAX(0,G1089)*Assumptions!$C$9</f>
        <v>0</v>
      </c>
      <c r="H1090" s="25" t="n">
        <f aca="false">MAX(0,H1089)*Assumptions!$C$9</f>
        <v>0</v>
      </c>
      <c r="I1090" s="25" t="n">
        <f aca="false">MAX(0,I1089)*Assumptions!$C$9</f>
        <v>0</v>
      </c>
      <c r="J1090" s="25" t="n">
        <f aca="false">MAX(0,J1089)*Assumptions!$C$9</f>
        <v>0</v>
      </c>
      <c r="K1090" s="25" t="n">
        <f aca="false">MAX(0,K1089)*Assumptions!$C$9</f>
        <v>0</v>
      </c>
    </row>
    <row r="1091" customFormat="false" ht="15" hidden="false" customHeight="false" outlineLevel="0" collapsed="false">
      <c r="A1091" s="2" t="s">
        <v>248</v>
      </c>
      <c r="G1091" s="16" t="n">
        <f aca="false">G1089-G1090</f>
        <v>-111.912</v>
      </c>
      <c r="H1091" s="16" t="n">
        <f aca="false">H1089-H1090</f>
        <v>-110.39028</v>
      </c>
      <c r="I1091" s="16" t="n">
        <f aca="false">I1089-I1090</f>
        <v>-103.4426568</v>
      </c>
      <c r="J1091" s="16" t="n">
        <f aca="false">J1089-J1090</f>
        <v>-98.485206184</v>
      </c>
      <c r="K1091" s="16" t="n">
        <f aca="false">K1089-K1090</f>
        <v>-93.61834268264</v>
      </c>
    </row>
    <row r="1092" customFormat="false" ht="15" hidden="false" customHeight="false" outlineLevel="0" collapsed="false">
      <c r="A1092" s="23" t="s">
        <v>249</v>
      </c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</row>
    <row r="1093" customFormat="false" ht="15" hidden="false" customHeight="false" outlineLevel="0" collapsed="false">
      <c r="A1093" s="5" t="s">
        <v>153</v>
      </c>
      <c r="G1093" s="25" t="n">
        <f aca="false">G1078*CHOOSE($C$1065,Assumptions!$C$69,Assumptions!$C$88,Assumptions!$C$107)</f>
        <v>47.52</v>
      </c>
      <c r="H1093" s="25" t="n">
        <f aca="false">H1078*CHOOSE($C$1065,Assumptions!$C$69,Assumptions!$C$88,Assumptions!$C$107)</f>
        <v>47.0448</v>
      </c>
      <c r="I1093" s="25" t="n">
        <f aca="false">I1078*CHOOSE($C$1065,Assumptions!$C$69,Assumptions!$C$88,Assumptions!$C$107)</f>
        <v>46.574352</v>
      </c>
      <c r="J1093" s="25" t="n">
        <f aca="false">J1078*CHOOSE($C$1065,Assumptions!$C$69,Assumptions!$C$88,Assumptions!$C$107)</f>
        <v>46.10860848</v>
      </c>
      <c r="K1093" s="25" t="n">
        <f aca="false">K1078*CHOOSE($C$1065,Assumptions!$C$69,Assumptions!$C$88,Assumptions!$C$107)</f>
        <v>45.6475223952</v>
      </c>
    </row>
    <row r="1094" customFormat="false" ht="15" hidden="false" customHeight="false" outlineLevel="0" collapsed="false">
      <c r="A1094" s="5" t="s">
        <v>250</v>
      </c>
      <c r="G1094" s="25" t="n">
        <f aca="false">CHOOSE($C$1065,Assumptions!$C$70,Assumptions!$C$89,Assumptions!$C$108)*(G1078-F1078)+CHOOSE($C$1065,Assumptions!$C$71,Assumptions!$C$90,Assumptions!$C$109)*G1078</f>
        <v>-2.88</v>
      </c>
      <c r="H1094" s="25" t="n">
        <f aca="false">CHOOSE($C$1065,Assumptions!$C$70,Assumptions!$C$89,Assumptions!$C$108)*(H1078-G1078)+CHOOSE($C$1065,Assumptions!$C$71,Assumptions!$C$90,Assumptions!$C$109)*H1078</f>
        <v>-2.85120000000003</v>
      </c>
      <c r="I1094" s="25" t="n">
        <f aca="false">CHOOSE($C$1065,Assumptions!$C$70,Assumptions!$C$89,Assumptions!$C$108)*(I1078-H1078)+CHOOSE($C$1065,Assumptions!$C$71,Assumptions!$C$90,Assumptions!$C$109)*I1078</f>
        <v>-2.82268799999998</v>
      </c>
      <c r="J1094" s="25" t="n">
        <f aca="false">CHOOSE($C$1065,Assumptions!$C$70,Assumptions!$C$89,Assumptions!$C$108)*(J1078-I1078)+CHOOSE($C$1065,Assumptions!$C$71,Assumptions!$C$90,Assumptions!$C$109)*J1078</f>
        <v>-2.79446111999998</v>
      </c>
      <c r="K1094" s="25" t="n">
        <f aca="false">CHOOSE($C$1065,Assumptions!$C$70,Assumptions!$C$89,Assumptions!$C$108)*(K1078-J1078)+CHOOSE($C$1065,Assumptions!$C$71,Assumptions!$C$90,Assumptions!$C$109)*K1078</f>
        <v>-2.7665165088</v>
      </c>
    </row>
    <row r="1095" customFormat="false" ht="15" hidden="false" customHeight="false" outlineLevel="0" collapsed="false">
      <c r="A1095" s="2" t="s">
        <v>251</v>
      </c>
      <c r="G1095" s="16" t="n">
        <f aca="false">G1091+G1083+G1084+G1087-G1093-G1094</f>
        <v>-104.28</v>
      </c>
      <c r="H1095" s="16" t="n">
        <f aca="false">H1091+H1083+H1084+H1087-H1093-H1094</f>
        <v>-102.8346</v>
      </c>
      <c r="I1095" s="16" t="n">
        <f aca="false">I1091+I1083+I1084+I1087-I1093-I1094</f>
        <v>-95.9625336</v>
      </c>
      <c r="J1095" s="16" t="n">
        <f aca="false">J1091+J1083+J1084+J1087-J1093-J1094</f>
        <v>-91.079884216</v>
      </c>
      <c r="K1095" s="16" t="n">
        <f aca="false">K1091+K1083+K1084+K1087-K1093-K1094</f>
        <v>-86.28707393432</v>
      </c>
    </row>
    <row r="1097" customFormat="false" ht="15" hidden="false" customHeight="false" outlineLevel="0" collapsed="false">
      <c r="A1097" s="23" t="s">
        <v>253</v>
      </c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</row>
    <row r="1098" customFormat="false" ht="15" hidden="false" customHeight="false" outlineLevel="0" collapsed="false">
      <c r="A1098" s="5" t="s">
        <v>254</v>
      </c>
      <c r="G1098" s="29" t="n">
        <f aca="false">Assumptions!$G$49</f>
        <v>0.0425</v>
      </c>
      <c r="H1098" s="29" t="n">
        <f aca="false">Assumptions!$H$49</f>
        <v>0.04</v>
      </c>
      <c r="I1098" s="29" t="n">
        <f aca="false">Assumptions!$I$49</f>
        <v>0.0375</v>
      </c>
      <c r="J1098" s="29" t="n">
        <f aca="false">Assumptions!$J$49</f>
        <v>0.0375</v>
      </c>
      <c r="K1098" s="29" t="n">
        <f aca="false">Assumptions!$K$49</f>
        <v>0.0375</v>
      </c>
    </row>
    <row r="1099" customFormat="false" ht="15" hidden="false" customHeight="false" outlineLevel="0" collapsed="false">
      <c r="A1099" s="5" t="s">
        <v>255</v>
      </c>
      <c r="C1099" s="30" t="n">
        <f aca="false">CHOOSE($C$1065,Assumptions!$C$72,Assumptions!$C$91,Assumptions!$C$110)+$C$1068</f>
        <v>0</v>
      </c>
    </row>
    <row r="1100" customFormat="false" ht="15" hidden="false" customHeight="false" outlineLevel="0" collapsed="false">
      <c r="A1100" s="5" t="s">
        <v>256</v>
      </c>
      <c r="C1100" s="30" t="n">
        <f aca="false">CHOOSE($C$1065,Assumptions!$C$73,Assumptions!$C$92,Assumptions!$C$111)</f>
        <v>0.11</v>
      </c>
    </row>
    <row r="1101" customFormat="false" ht="15" hidden="false" customHeight="false" outlineLevel="0" collapsed="false">
      <c r="A1101" s="5" t="s">
        <v>257</v>
      </c>
      <c r="C1101" s="31" t="n">
        <f aca="false">CHOOSE($C$1065,Assumptions!$C$74,Assumptions!$C$93,Assumptions!$C$112)</f>
        <v>8.5</v>
      </c>
    </row>
    <row r="1102" customFormat="false" ht="15" hidden="false" customHeight="false" outlineLevel="0" collapsed="false">
      <c r="A1102" s="5" t="s">
        <v>258</v>
      </c>
      <c r="C1102" s="31" t="n">
        <f aca="false">CHOOSE($C$1065,Assumptions!$C$75,Assumptions!$C$94,Assumptions!$C$113)</f>
        <v>1.2</v>
      </c>
    </row>
    <row r="1103" customFormat="false" ht="15" hidden="false" customHeight="false" outlineLevel="0" collapsed="false">
      <c r="A1103" s="5" t="s">
        <v>259</v>
      </c>
      <c r="G1103" s="25" t="n">
        <f aca="false">G1108+G1121+G1134+G1147</f>
        <v>1250</v>
      </c>
      <c r="H1103" s="25" t="n">
        <f aca="false">H1108+H1121+H1134+H1147</f>
        <v>1309.28</v>
      </c>
      <c r="I1103" s="25" t="n">
        <f aca="false">I1108+I1121+I1134+I1147</f>
        <v>1304.08</v>
      </c>
      <c r="J1103" s="25" t="n">
        <f aca="false">J1108+J1121+J1134+J1147</f>
        <v>1298.88</v>
      </c>
      <c r="K1103" s="25" t="n">
        <f aca="false">K1108+K1121+K1134+K1147</f>
        <v>1293.68</v>
      </c>
    </row>
    <row r="1104" customFormat="false" ht="15" hidden="false" customHeight="false" outlineLevel="0" collapsed="false">
      <c r="A1104" s="5" t="s">
        <v>260</v>
      </c>
      <c r="G1104" s="25" t="n">
        <f aca="false">F1194</f>
        <v>45</v>
      </c>
      <c r="H1104" s="25" t="n">
        <f aca="false">G1194</f>
        <v>0</v>
      </c>
      <c r="I1104" s="25" t="n">
        <f aca="false">H1194</f>
        <v>-108.0346</v>
      </c>
      <c r="J1104" s="25" t="n">
        <f aca="false">I1194</f>
        <v>-209.1971336</v>
      </c>
      <c r="K1104" s="25" t="n">
        <f aca="false">J1194</f>
        <v>-305.477017816</v>
      </c>
    </row>
    <row r="1105" customFormat="false" ht="15" hidden="false" customHeight="false" outlineLevel="0" collapsed="false">
      <c r="A1105" s="5" t="s">
        <v>261</v>
      </c>
      <c r="G1105" s="25" t="n">
        <f aca="false">G1108*IF(G1109=1,$C$1100,IF(Assumptions!$I$53=1,MAX(G1098,Assumptions!$G$53)+Assumptions!$F$53+$C$1099,Assumptions!$E$53))+G1121*IF(G1122=1,$C$1100,IF(Assumptions!$I$54=1,MAX(G1098,Assumptions!$G$54)+Assumptions!$F$54+$C$1099,Assumptions!$E$54))+G1134*IF(G1135=1,$C$1100,IF(Assumptions!$I$55=1,MAX(G1098,Assumptions!$G$55)+Assumptions!$F$55+$C$1099,Assumptions!$E$55))+G1147*IF(G1148=1,$C$1100,IF(Assumptions!$I$56=1,MAX(G1098,Assumptions!$G$56)+Assumptions!$F$56+$C$1099,Assumptions!$E$56))</f>
        <v>119.04</v>
      </c>
      <c r="H1105" s="25" t="n">
        <f aca="false">H1108*IF(OR(H1109=1,G1260=1),$C$1100,IF(Assumptions!$I$53=1,MAX(H1098,Assumptions!$G$53)+Assumptions!$F$53+$C$1099,Assumptions!$E$53))+H1121*IF(OR(H1122=1,G1261=1),$C$1100,IF(Assumptions!$I$54=1,MAX(H1098,Assumptions!$G$54)+Assumptions!$F$54+$C$1099,Assumptions!$E$54))+H1134*IF(OR(H1135=1,G1262=1),$C$1100,IF(Assumptions!$I$55=1,MAX(H1098,Assumptions!$G$55)+Assumptions!$F$55+$C$1099,Assumptions!$E$55))+H1147*IF(OR(H1148=1,G1263=1),$C$1100,IF(Assumptions!$I$56=1,MAX(H1098,Assumptions!$G$56)+Assumptions!$F$56+$C$1099,Assumptions!$E$56))</f>
        <v>139.1302</v>
      </c>
      <c r="I1105" s="25" t="n">
        <f aca="false">I1108*IF(OR(I1109=1,H1260=1),$C$1100,IF(Assumptions!$I$53=1,MAX(I1098,Assumptions!$G$53)+Assumptions!$F$53+$C$1099,Assumptions!$E$53))+I1121*IF(OR(I1122=1,H1261=1),$C$1100,IF(Assumptions!$I$54=1,MAX(I1098,Assumptions!$G$54)+Assumptions!$F$54+$C$1099,Assumptions!$E$54))+I1134*IF(OR(I1135=1,H1262=1),$C$1100,IF(Assumptions!$I$55=1,MAX(I1098,Assumptions!$G$55)+Assumptions!$F$55+$C$1099,Assumptions!$E$55))+I1147*IF(OR(I1148=1,H1263=1),$C$1100,IF(Assumptions!$I$56=1,MAX(I1098,Assumptions!$G$56)+Assumptions!$F$56+$C$1099,Assumptions!$E$56))</f>
        <v>125.85888</v>
      </c>
      <c r="J1105" s="25" t="n">
        <f aca="false">J1108*IF(OR(J1109=1,I1260=1),$C$1100,IF(Assumptions!$I$53=1,MAX(J1098,Assumptions!$G$53)+Assumptions!$F$53+$C$1099,Assumptions!$E$53))+J1121*IF(OR(J1122=1,I1261=1),$C$1100,IF(Assumptions!$I$54=1,MAX(J1098,Assumptions!$G$54)+Assumptions!$F$54+$C$1099,Assumptions!$E$54))+J1134*IF(OR(J1135=1,I1262=1),$C$1100,IF(Assumptions!$I$55=1,MAX(J1098,Assumptions!$G$55)+Assumptions!$F$55+$C$1099,Assumptions!$E$55))+J1147*IF(OR(J1148=1,I1263=1),$C$1100,IF(Assumptions!$I$56=1,MAX(J1098,Assumptions!$G$56)+Assumptions!$F$56+$C$1099,Assumptions!$E$56))</f>
        <v>119.23408</v>
      </c>
      <c r="K1105" s="25" t="n">
        <f aca="false">K1108*IF(OR(K1109=1,J1260=1),$C$1100,IF(Assumptions!$I$53=1,MAX(K1098,Assumptions!$G$53)+Assumptions!$F$53+$C$1099,Assumptions!$E$53))+K1121*IF(OR(K1122=1,J1261=1),$C$1100,IF(Assumptions!$I$54=1,MAX(K1098,Assumptions!$G$54)+Assumptions!$F$54+$C$1099,Assumptions!$E$54))+K1134*IF(OR(K1135=1,J1262=1),$C$1100,IF(Assumptions!$I$55=1,MAX(K1098,Assumptions!$G$55)+Assumptions!$F$55+$C$1099,Assumptions!$E$55))+K1147*IF(OR(K1148=1,J1263=1),$C$1100,IF(Assumptions!$I$56=1,MAX(K1098,Assumptions!$G$56)+Assumptions!$F$56+$C$1099,Assumptions!$E$56))</f>
        <v>118.72448</v>
      </c>
    </row>
    <row r="1106" customFormat="false" ht="15" hidden="false" customHeight="false" outlineLevel="0" collapsed="false">
      <c r="A1106" s="5" t="s">
        <v>262</v>
      </c>
      <c r="G1106" s="20" t="n">
        <f aca="false">IF(G1082&lt;=0,0,IF(AND((G1103-G1104)/G1082&lt;=$C$1101,G1082/G1105&gt;=$C$1102),1,0))</f>
        <v>0</v>
      </c>
      <c r="H1106" s="20" t="n">
        <f aca="false">IF(H1082&lt;=0,0,IF(AND((H1103-H1104)/H1082&lt;=$C$1101,H1082/H1105&gt;=$C$1102),1,0))</f>
        <v>0</v>
      </c>
      <c r="I1106" s="20" t="n">
        <f aca="false">IF(I1082&lt;=0,0,IF(AND((I1103-I1104)/I1082&lt;=$C$1101,I1082/I1105&gt;=$C$1102),1,0))</f>
        <v>0</v>
      </c>
      <c r="J1106" s="20" t="n">
        <f aca="false">IF(J1082&lt;=0,0,IF(AND((J1103-J1104)/J1082&lt;=$C$1101,J1082/J1105&gt;=$C$1102),1,0))</f>
        <v>0</v>
      </c>
      <c r="K1106" s="20" t="n">
        <f aca="false">IF(K1082&lt;=0,0,IF(AND((K1103-K1104)/K1082&lt;=$C$1101,K1082/K1105&gt;=$C$1102),1,0))</f>
        <v>0</v>
      </c>
    </row>
    <row r="1107" customFormat="false" ht="15" hidden="false" customHeight="false" outlineLevel="0" collapsed="false">
      <c r="A1107" s="23" t="s">
        <v>263</v>
      </c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</row>
    <row r="1108" customFormat="false" ht="15" hidden="false" customHeight="false" outlineLevel="0" collapsed="false">
      <c r="A1108" s="5" t="s">
        <v>264</v>
      </c>
      <c r="G1108" s="25" t="n">
        <f aca="false">F1119</f>
        <v>180</v>
      </c>
      <c r="H1108" s="25" t="n">
        <f aca="false">G1119</f>
        <v>244.48</v>
      </c>
      <c r="I1108" s="25" t="n">
        <f aca="false">H1119</f>
        <v>244.48</v>
      </c>
      <c r="J1108" s="25" t="n">
        <f aca="false">I1119</f>
        <v>244.48</v>
      </c>
      <c r="K1108" s="25" t="n">
        <f aca="false">J1119</f>
        <v>244.48</v>
      </c>
    </row>
    <row r="1109" customFormat="false" ht="15" hidden="false" customHeight="false" outlineLevel="0" collapsed="false">
      <c r="A1109" s="5" t="s">
        <v>265</v>
      </c>
      <c r="G1109" s="20" t="n">
        <f aca="false">IF(G1072=Assumptions!$K$53,1,0)</f>
        <v>0</v>
      </c>
      <c r="H1109" s="20" t="n">
        <f aca="false">IF(H1072=Assumptions!$K$53,1,0)</f>
        <v>1</v>
      </c>
      <c r="I1109" s="20" t="n">
        <f aca="false">IF(I1072=Assumptions!$K$53,1,0)</f>
        <v>0</v>
      </c>
      <c r="J1109" s="20" t="n">
        <f aca="false">IF(J1072=Assumptions!$K$53,1,0)</f>
        <v>0</v>
      </c>
      <c r="K1109" s="20" t="n">
        <f aca="false">IF(K1072=Assumptions!$K$53,1,0)</f>
        <v>0</v>
      </c>
    </row>
    <row r="1111" customFormat="false" ht="15" hidden="false" customHeight="false" outlineLevel="0" collapsed="false">
      <c r="A1111" s="5" t="s">
        <v>266</v>
      </c>
      <c r="G1111" s="30" t="n">
        <f aca="false">IF(Assumptions!$I$53=1,MAX(G1098,Assumptions!$G$53)+Assumptions!$F$53+$C$1099,Assumptions!$E$53)</f>
        <v>0.086</v>
      </c>
      <c r="H1111" s="30" t="n">
        <f aca="false">IF(G1260=1,$C$1100,IF(Assumptions!$I$53=1,MAX(H1098,Assumptions!$G$53)+Assumptions!$F$53+$C$1099,Assumptions!$E$53))</f>
        <v>0.0835</v>
      </c>
      <c r="I1111" s="30" t="n">
        <f aca="false">IF(H1260=1,$C$1100,IF(Assumptions!$I$53=1,MAX(I1098,Assumptions!$G$53)+Assumptions!$F$53+$C$1099,Assumptions!$E$53))</f>
        <v>0.081</v>
      </c>
      <c r="J1111" s="30" t="n">
        <f aca="false">IF(I1260=1,$C$1100,IF(Assumptions!$I$53=1,MAX(J1098,Assumptions!$G$53)+Assumptions!$F$53+$C$1099,Assumptions!$E$53))</f>
        <v>0.081</v>
      </c>
      <c r="K1111" s="30" t="n">
        <f aca="false">IF(J1260=1,$C$1100,IF(Assumptions!$I$53=1,MAX(K1098,Assumptions!$G$53)+Assumptions!$F$53+$C$1099,Assumptions!$E$53))</f>
        <v>0.081</v>
      </c>
    </row>
    <row r="1112" customFormat="false" ht="15" hidden="false" customHeight="false" outlineLevel="0" collapsed="false">
      <c r="A1112" s="5" t="s">
        <v>267</v>
      </c>
      <c r="G1112" s="25" t="n">
        <f aca="false">G1108*G1111</f>
        <v>15.48</v>
      </c>
      <c r="H1112" s="25" t="n">
        <f aca="false">H1108*H1111</f>
        <v>20.41408</v>
      </c>
      <c r="I1112" s="25" t="n">
        <f aca="false">I1108*I1111</f>
        <v>19.80288</v>
      </c>
      <c r="J1112" s="25" t="n">
        <f aca="false">J1108*J1111</f>
        <v>19.80288</v>
      </c>
      <c r="K1112" s="25" t="n">
        <f aca="false">K1108*K1111</f>
        <v>19.80288</v>
      </c>
    </row>
    <row r="1113" customFormat="false" ht="15" hidden="false" customHeight="false" outlineLevel="0" collapsed="false">
      <c r="A1113" s="5" t="s">
        <v>268</v>
      </c>
      <c r="G1113" s="25" t="n">
        <f aca="false">G1108*Assumptions!$H$53</f>
        <v>0</v>
      </c>
      <c r="H1113" s="25" t="n">
        <f aca="false">H1108*Assumptions!$H$53</f>
        <v>0</v>
      </c>
      <c r="I1113" s="25" t="n">
        <f aca="false">I1108*Assumptions!$H$53</f>
        <v>0</v>
      </c>
      <c r="J1113" s="25" t="n">
        <f aca="false">J1108*Assumptions!$H$53</f>
        <v>0</v>
      </c>
      <c r="K1113" s="25" t="n">
        <f aca="false">K1108*Assumptions!$H$53</f>
        <v>0</v>
      </c>
    </row>
    <row r="1114" customFormat="false" ht="15" hidden="false" customHeight="false" outlineLevel="0" collapsed="false">
      <c r="A1114" s="5" t="s">
        <v>269</v>
      </c>
      <c r="G1114" s="25" t="n">
        <f aca="false">MIN(G1108,Assumptions!$L$53*Assumptions!$C$53)</f>
        <v>0</v>
      </c>
      <c r="H1114" s="25" t="n">
        <f aca="false">MIN(H1108,Assumptions!$L$53*Assumptions!$C$53)</f>
        <v>0</v>
      </c>
      <c r="I1114" s="25" t="n">
        <f aca="false">MIN(I1108,Assumptions!$L$53*Assumptions!$C$53)</f>
        <v>0</v>
      </c>
      <c r="J1114" s="25" t="n">
        <f aca="false">MIN(J1108,Assumptions!$L$53*Assumptions!$C$53)</f>
        <v>0</v>
      </c>
      <c r="K1114" s="25" t="n">
        <f aca="false">MIN(K1108,Assumptions!$L$53*Assumptions!$C$53)</f>
        <v>0</v>
      </c>
    </row>
    <row r="1115" customFormat="false" ht="15" hidden="false" customHeight="false" outlineLevel="0" collapsed="false">
      <c r="A1115" s="5" t="s">
        <v>270</v>
      </c>
      <c r="G1115" s="25" t="n">
        <f aca="false">IF(AND(Assumptions!$P$53=1,G1072&lt;Assumptions!$K$53),MIN(MAX(0,-G1186),MAX(0,Assumptions!$D$53-G1108)),0)</f>
        <v>64.48</v>
      </c>
      <c r="H1115" s="25" t="n">
        <f aca="false">IF(AND(Assumptions!$P$53=1,OR(H1072&lt;Assumptions!$K$53,G1260=1)),MIN(MAX(0,-H1186),MAX(0,Assumptions!$D$53-H1108)),0)</f>
        <v>0</v>
      </c>
      <c r="I1115" s="25" t="n">
        <f aca="false">IF(AND(Assumptions!$P$53=1,OR(I1072&lt;Assumptions!$K$53,H1260=1)),MIN(MAX(0,-I1186),MAX(0,Assumptions!$D$53-I1108)),0)</f>
        <v>0</v>
      </c>
      <c r="J1115" s="25" t="n">
        <f aca="false">IF(AND(Assumptions!$P$53=1,OR(J1072&lt;Assumptions!$K$53,I1260=1)),MIN(MAX(0,-J1186),MAX(0,Assumptions!$D$53-J1108)),0)</f>
        <v>0</v>
      </c>
      <c r="K1115" s="25" t="n">
        <f aca="false">IF(AND(Assumptions!$P$53=1,OR(K1072&lt;Assumptions!$K$53,J1260=1)),MIN(MAX(0,-K1186),MAX(0,Assumptions!$D$53-K1108)),0)</f>
        <v>0</v>
      </c>
    </row>
    <row r="1116" customFormat="false" ht="15" hidden="false" customHeight="false" outlineLevel="0" collapsed="false">
      <c r="A1116" s="5" t="s">
        <v>271</v>
      </c>
      <c r="G1116" s="25" t="n">
        <f aca="false">G1109*MIN(G1108-G1114+G1113,MAX(0,G1188-Assumptions!$C$12*G1106))</f>
        <v>0</v>
      </c>
      <c r="H1116" s="25" t="n">
        <f aca="false">H1109*MIN(H1108-H1114+H1113,MAX(0,H1188-Assumptions!$C$12*H1106))</f>
        <v>0</v>
      </c>
      <c r="I1116" s="25" t="n">
        <f aca="false">I1109*MIN(I1108-I1114+I1113,MAX(0,I1188-Assumptions!$C$12*I1106))</f>
        <v>0</v>
      </c>
      <c r="J1116" s="25" t="n">
        <f aca="false">J1109*MIN(J1108-J1114+J1113,MAX(0,J1188-Assumptions!$C$12*J1106))</f>
        <v>0</v>
      </c>
      <c r="K1116" s="25" t="n">
        <f aca="false">K1109*MIN(K1108-K1114+K1113,MAX(0,K1188-Assumptions!$C$12*K1106))</f>
        <v>0</v>
      </c>
    </row>
    <row r="1117" customFormat="false" ht="15" hidden="false" customHeight="false" outlineLevel="0" collapsed="false">
      <c r="A1117" s="5" t="s">
        <v>272</v>
      </c>
      <c r="G1117" s="25" t="n">
        <f aca="false">Assumptions!$N$53*MIN(G1108+G1115+G1113-G1114-G1116,MAX(0,G1192))</f>
        <v>0</v>
      </c>
      <c r="H1117" s="25" t="n">
        <f aca="false">Assumptions!$N$53*MIN(H1108+H1115+H1113-H1114-H1116,MAX(0,H1192))</f>
        <v>0</v>
      </c>
      <c r="I1117" s="25" t="n">
        <f aca="false">Assumptions!$N$53*MIN(I1108+I1115+I1113-I1114-I1116,MAX(0,I1192))</f>
        <v>0</v>
      </c>
      <c r="J1117" s="25" t="n">
        <f aca="false">Assumptions!$N$53*MIN(J1108+J1115+J1113-J1114-J1116,MAX(0,J1192))</f>
        <v>0</v>
      </c>
      <c r="K1117" s="25" t="n">
        <f aca="false">Assumptions!$N$53*MIN(K1108+K1115+K1113-K1114-K1116,MAX(0,K1192))</f>
        <v>0</v>
      </c>
    </row>
    <row r="1118" customFormat="false" ht="15" hidden="false" customHeight="false" outlineLevel="0" collapsed="false">
      <c r="A1118" s="5" t="s">
        <v>273</v>
      </c>
      <c r="G1118" s="25" t="n">
        <f aca="false">G1109*(1-G1106)*(G1108-G1114+G1113-G1116)</f>
        <v>0</v>
      </c>
      <c r="H1118" s="25" t="n">
        <f aca="false">H1109*(1-H1106)*(H1108-H1114+H1113-H1116)</f>
        <v>244.48</v>
      </c>
      <c r="I1118" s="25" t="n">
        <f aca="false">I1109*(1-I1106)*(I1108-I1114+I1113-I1116)</f>
        <v>0</v>
      </c>
      <c r="J1118" s="25" t="n">
        <f aca="false">J1109*(1-J1106)*(J1108-J1114+J1113-J1116)</f>
        <v>0</v>
      </c>
      <c r="K1118" s="25" t="n">
        <f aca="false">K1109*(1-K1106)*(K1108-K1114+K1113-K1116)</f>
        <v>0</v>
      </c>
    </row>
    <row r="1119" customFormat="false" ht="15" hidden="false" customHeight="false" outlineLevel="0" collapsed="false">
      <c r="A1119" s="2" t="s">
        <v>274</v>
      </c>
      <c r="F1119" s="27" t="n">
        <f aca="false">Assumptions!$C$53</f>
        <v>180</v>
      </c>
      <c r="G1119" s="16" t="n">
        <f aca="false">G1108+G1115+G1113-G1114-G1116-G1117</f>
        <v>244.48</v>
      </c>
      <c r="H1119" s="16" t="n">
        <f aca="false">H1108+H1115+H1113-H1114-H1116-H1117</f>
        <v>244.48</v>
      </c>
      <c r="I1119" s="16" t="n">
        <f aca="false">I1108+I1115+I1113-I1114-I1116-I1117</f>
        <v>244.48</v>
      </c>
      <c r="J1119" s="16" t="n">
        <f aca="false">J1108+J1115+J1113-J1114-J1116-J1117</f>
        <v>244.48</v>
      </c>
      <c r="K1119" s="16" t="n">
        <f aca="false">K1108+K1115+K1113-K1114-K1116-K1117</f>
        <v>244.48</v>
      </c>
    </row>
    <row r="1120" customFormat="false" ht="15" hidden="false" customHeight="false" outlineLevel="0" collapsed="false">
      <c r="A1120" s="23" t="s">
        <v>275</v>
      </c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</row>
    <row r="1121" customFormat="false" ht="15" hidden="false" customHeight="false" outlineLevel="0" collapsed="false">
      <c r="A1121" s="5" t="s">
        <v>264</v>
      </c>
      <c r="G1121" s="25" t="n">
        <f aca="false">F1132</f>
        <v>520</v>
      </c>
      <c r="H1121" s="25" t="n">
        <f aca="false">G1132</f>
        <v>514.8</v>
      </c>
      <c r="I1121" s="25" t="n">
        <f aca="false">H1132</f>
        <v>509.6</v>
      </c>
      <c r="J1121" s="25" t="n">
        <f aca="false">I1132</f>
        <v>504.4</v>
      </c>
      <c r="K1121" s="25" t="n">
        <f aca="false">J1132</f>
        <v>499.2</v>
      </c>
    </row>
    <row r="1122" customFormat="false" ht="15" hidden="false" customHeight="false" outlineLevel="0" collapsed="false">
      <c r="A1122" s="5" t="s">
        <v>265</v>
      </c>
      <c r="G1122" s="20" t="n">
        <f aca="false">IF(G1072=Assumptions!$K$54,1,0)</f>
        <v>0</v>
      </c>
      <c r="H1122" s="20" t="n">
        <f aca="false">IF(H1072=Assumptions!$K$54,1,0)</f>
        <v>0</v>
      </c>
      <c r="I1122" s="20" t="n">
        <f aca="false">IF(I1072=Assumptions!$K$54,1,0)</f>
        <v>1</v>
      </c>
      <c r="J1122" s="20" t="n">
        <f aca="false">IF(J1072=Assumptions!$K$54,1,0)</f>
        <v>0</v>
      </c>
      <c r="K1122" s="20" t="n">
        <f aca="false">IF(K1072=Assumptions!$K$54,1,0)</f>
        <v>0</v>
      </c>
    </row>
    <row r="1124" customFormat="false" ht="15" hidden="false" customHeight="false" outlineLevel="0" collapsed="false">
      <c r="A1124" s="5" t="s">
        <v>266</v>
      </c>
      <c r="G1124" s="30" t="n">
        <f aca="false">IF(Assumptions!$I$54=1,MAX(G1098,Assumptions!$G$54)+Assumptions!$F$54+$C$1099,Assumptions!$E$54)</f>
        <v>0.103</v>
      </c>
      <c r="H1124" s="30" t="n">
        <f aca="false">IF(G1261=1,$C$1100,IF(Assumptions!$I$54=1,MAX(H1098,Assumptions!$G$54)+Assumptions!$F$54+$C$1099,Assumptions!$E$54))</f>
        <v>0.1005</v>
      </c>
      <c r="I1124" s="30" t="n">
        <f aca="false">IF(H1261=1,$C$1100,IF(Assumptions!$I$54=1,MAX(I1098,Assumptions!$G$54)+Assumptions!$F$54+$C$1099,Assumptions!$E$54))</f>
        <v>0.098</v>
      </c>
      <c r="J1124" s="30" t="n">
        <f aca="false">IF(I1261=1,$C$1100,IF(Assumptions!$I$54=1,MAX(J1098,Assumptions!$G$54)+Assumptions!$F$54+$C$1099,Assumptions!$E$54))</f>
        <v>0.098</v>
      </c>
      <c r="K1124" s="30" t="n">
        <f aca="false">IF(J1261=1,$C$1100,IF(Assumptions!$I$54=1,MAX(K1098,Assumptions!$G$54)+Assumptions!$F$54+$C$1099,Assumptions!$E$54))</f>
        <v>0.098</v>
      </c>
    </row>
    <row r="1125" customFormat="false" ht="15" hidden="false" customHeight="false" outlineLevel="0" collapsed="false">
      <c r="A1125" s="5" t="s">
        <v>267</v>
      </c>
      <c r="G1125" s="25" t="n">
        <f aca="false">G1121*G1124</f>
        <v>53.56</v>
      </c>
      <c r="H1125" s="25" t="n">
        <f aca="false">H1121*H1124</f>
        <v>51.7374</v>
      </c>
      <c r="I1125" s="25" t="n">
        <f aca="false">I1121*I1124</f>
        <v>49.9408</v>
      </c>
      <c r="J1125" s="25" t="n">
        <f aca="false">J1121*J1124</f>
        <v>49.4312</v>
      </c>
      <c r="K1125" s="25" t="n">
        <f aca="false">K1121*K1124</f>
        <v>48.9216</v>
      </c>
    </row>
    <row r="1126" customFormat="false" ht="15" hidden="false" customHeight="false" outlineLevel="0" collapsed="false">
      <c r="A1126" s="5" t="s">
        <v>268</v>
      </c>
      <c r="G1126" s="25" t="n">
        <f aca="false">G1121*Assumptions!$H$54</f>
        <v>0</v>
      </c>
      <c r="H1126" s="25" t="n">
        <f aca="false">H1121*Assumptions!$H$54</f>
        <v>0</v>
      </c>
      <c r="I1126" s="25" t="n">
        <f aca="false">I1121*Assumptions!$H$54</f>
        <v>0</v>
      </c>
      <c r="J1126" s="25" t="n">
        <f aca="false">J1121*Assumptions!$H$54</f>
        <v>0</v>
      </c>
      <c r="K1126" s="25" t="n">
        <f aca="false">K1121*Assumptions!$H$54</f>
        <v>0</v>
      </c>
    </row>
    <row r="1127" customFormat="false" ht="15" hidden="false" customHeight="false" outlineLevel="0" collapsed="false">
      <c r="A1127" s="5" t="s">
        <v>269</v>
      </c>
      <c r="G1127" s="25" t="n">
        <f aca="false">MIN(G1121,Assumptions!$L$54*Assumptions!$C$54)</f>
        <v>5.2</v>
      </c>
      <c r="H1127" s="25" t="n">
        <f aca="false">MIN(H1121,Assumptions!$L$54*Assumptions!$C$54)</f>
        <v>5.2</v>
      </c>
      <c r="I1127" s="25" t="n">
        <f aca="false">MIN(I1121,Assumptions!$L$54*Assumptions!$C$54)</f>
        <v>5.2</v>
      </c>
      <c r="J1127" s="25" t="n">
        <f aca="false">MIN(J1121,Assumptions!$L$54*Assumptions!$C$54)</f>
        <v>5.2</v>
      </c>
      <c r="K1127" s="25" t="n">
        <f aca="false">MIN(K1121,Assumptions!$L$54*Assumptions!$C$54)</f>
        <v>5.2</v>
      </c>
    </row>
    <row r="1128" customFormat="false" ht="15" hidden="false" customHeight="false" outlineLevel="0" collapsed="false">
      <c r="A1128" s="5" t="s">
        <v>270</v>
      </c>
      <c r="G1128" s="25" t="n">
        <f aca="false">IF(AND(Assumptions!$P$54=1,G1072&lt;Assumptions!$K$54),MIN(MAX(0,-G1186),MAX(0,Assumptions!$D$54-G1121)),0)</f>
        <v>0</v>
      </c>
      <c r="H1128" s="25" t="n">
        <f aca="false">IF(AND(Assumptions!$P$54=1,OR(H1072&lt;Assumptions!$K$54,G1261=1)),MIN(MAX(0,-H1186),MAX(0,Assumptions!$D$54-H1121)),0)</f>
        <v>0</v>
      </c>
      <c r="I1128" s="25" t="n">
        <f aca="false">IF(AND(Assumptions!$P$54=1,OR(I1072&lt;Assumptions!$K$54,H1261=1)),MIN(MAX(0,-I1186),MAX(0,Assumptions!$D$54-I1121)),0)</f>
        <v>0</v>
      </c>
      <c r="J1128" s="25" t="n">
        <f aca="false">IF(AND(Assumptions!$P$54=1,OR(J1072&lt;Assumptions!$K$54,I1261=1)),MIN(MAX(0,-J1186),MAX(0,Assumptions!$D$54-J1121)),0)</f>
        <v>0</v>
      </c>
      <c r="K1128" s="25" t="n">
        <f aca="false">IF(AND(Assumptions!$P$54=1,OR(K1072&lt;Assumptions!$K$54,J1261=1)),MIN(MAX(0,-K1186),MAX(0,Assumptions!$D$54-K1121)),0)</f>
        <v>0</v>
      </c>
    </row>
    <row r="1129" customFormat="false" ht="15" hidden="false" customHeight="false" outlineLevel="0" collapsed="false">
      <c r="A1129" s="5" t="s">
        <v>271</v>
      </c>
      <c r="G1129" s="25" t="n">
        <f aca="false">G1122*MIN(G1121-G1127+G1126,MAX(0,G1188-Assumptions!$C$12*G1106-G1116))</f>
        <v>0</v>
      </c>
      <c r="H1129" s="25" t="n">
        <f aca="false">H1122*MIN(H1121-H1127+H1126,MAX(0,H1188-Assumptions!$C$12*H1106-H1116))</f>
        <v>0</v>
      </c>
      <c r="I1129" s="25" t="n">
        <f aca="false">I1122*MIN(I1121-I1127+I1126,MAX(0,I1188-Assumptions!$C$12*I1106-I1116))</f>
        <v>0</v>
      </c>
      <c r="J1129" s="25" t="n">
        <f aca="false">J1122*MIN(J1121-J1127+J1126,MAX(0,J1188-Assumptions!$C$12*J1106-J1116))</f>
        <v>0</v>
      </c>
      <c r="K1129" s="25" t="n">
        <f aca="false">K1122*MIN(K1121-K1127+K1126,MAX(0,K1188-Assumptions!$C$12*K1106-K1116))</f>
        <v>0</v>
      </c>
    </row>
    <row r="1130" customFormat="false" ht="15" hidden="false" customHeight="false" outlineLevel="0" collapsed="false">
      <c r="A1130" s="5" t="s">
        <v>272</v>
      </c>
      <c r="G1130" s="25" t="n">
        <f aca="false">Assumptions!$N$54*MIN(G1121+G1128+G1126-G1127-G1129,MAX(0,G1192-G1117))</f>
        <v>0</v>
      </c>
      <c r="H1130" s="25" t="n">
        <f aca="false">Assumptions!$N$54*MIN(H1121+H1128+H1126-H1127-H1129,MAX(0,H1192-H1117))</f>
        <v>0</v>
      </c>
      <c r="I1130" s="25" t="n">
        <f aca="false">Assumptions!$N$54*MIN(I1121+I1128+I1126-I1127-I1129,MAX(0,I1192-I1117))</f>
        <v>0</v>
      </c>
      <c r="J1130" s="25" t="n">
        <f aca="false">Assumptions!$N$54*MIN(J1121+J1128+J1126-J1127-J1129,MAX(0,J1192-J1117))</f>
        <v>0</v>
      </c>
      <c r="K1130" s="25" t="n">
        <f aca="false">Assumptions!$N$54*MIN(K1121+K1128+K1126-K1127-K1129,MAX(0,K1192-K1117))</f>
        <v>0</v>
      </c>
    </row>
    <row r="1131" customFormat="false" ht="15" hidden="false" customHeight="false" outlineLevel="0" collapsed="false">
      <c r="A1131" s="5" t="s">
        <v>273</v>
      </c>
      <c r="G1131" s="25" t="n">
        <f aca="false">G1122*(1-G1106)*(G1121-G1127+G1126-G1129)</f>
        <v>0</v>
      </c>
      <c r="H1131" s="25" t="n">
        <f aca="false">H1122*(1-H1106)*(H1121-H1127+H1126-H1129)</f>
        <v>0</v>
      </c>
      <c r="I1131" s="25" t="n">
        <f aca="false">I1122*(1-I1106)*(I1121-I1127+I1126-I1129)</f>
        <v>504.4</v>
      </c>
      <c r="J1131" s="25" t="n">
        <f aca="false">J1122*(1-J1106)*(J1121-J1127+J1126-J1129)</f>
        <v>0</v>
      </c>
      <c r="K1131" s="25" t="n">
        <f aca="false">K1122*(1-K1106)*(K1121-K1127+K1126-K1129)</f>
        <v>0</v>
      </c>
    </row>
    <row r="1132" customFormat="false" ht="15" hidden="false" customHeight="false" outlineLevel="0" collapsed="false">
      <c r="A1132" s="2" t="s">
        <v>274</v>
      </c>
      <c r="F1132" s="27" t="n">
        <f aca="false">Assumptions!$C$54</f>
        <v>520</v>
      </c>
      <c r="G1132" s="16" t="n">
        <f aca="false">G1121+G1128+G1126-G1127-G1129-G1130</f>
        <v>514.8</v>
      </c>
      <c r="H1132" s="16" t="n">
        <f aca="false">H1121+H1128+H1126-H1127-H1129-H1130</f>
        <v>509.6</v>
      </c>
      <c r="I1132" s="16" t="n">
        <f aca="false">I1121+I1128+I1126-I1127-I1129-I1130</f>
        <v>504.4</v>
      </c>
      <c r="J1132" s="16" t="n">
        <f aca="false">J1121+J1128+J1126-J1127-J1129-J1130</f>
        <v>499.2</v>
      </c>
      <c r="K1132" s="16" t="n">
        <f aca="false">K1121+K1128+K1126-K1127-K1129-K1130</f>
        <v>494</v>
      </c>
    </row>
    <row r="1133" customFormat="false" ht="15" hidden="false" customHeight="false" outlineLevel="0" collapsed="false">
      <c r="A1133" s="23" t="s">
        <v>276</v>
      </c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</row>
    <row r="1134" customFormat="false" ht="15" hidden="false" customHeight="false" outlineLevel="0" collapsed="false">
      <c r="A1134" s="5" t="s">
        <v>264</v>
      </c>
      <c r="G1134" s="25" t="n">
        <f aca="false">F1145</f>
        <v>250</v>
      </c>
      <c r="H1134" s="25" t="n">
        <f aca="false">G1145</f>
        <v>250</v>
      </c>
      <c r="I1134" s="25" t="n">
        <f aca="false">H1145</f>
        <v>250</v>
      </c>
      <c r="J1134" s="25" t="n">
        <f aca="false">I1145</f>
        <v>250</v>
      </c>
      <c r="K1134" s="25" t="n">
        <f aca="false">J1145</f>
        <v>250</v>
      </c>
    </row>
    <row r="1135" customFormat="false" ht="15" hidden="false" customHeight="false" outlineLevel="0" collapsed="false">
      <c r="A1135" s="5" t="s">
        <v>265</v>
      </c>
      <c r="G1135" s="20" t="n">
        <f aca="false">IF(G1072=Assumptions!$K$55,1,0)</f>
        <v>0</v>
      </c>
      <c r="H1135" s="20" t="n">
        <f aca="false">IF(H1072=Assumptions!$K$55,1,0)</f>
        <v>0</v>
      </c>
      <c r="I1135" s="20" t="n">
        <f aca="false">IF(I1072=Assumptions!$K$55,1,0)</f>
        <v>0</v>
      </c>
      <c r="J1135" s="20" t="n">
        <f aca="false">IF(J1072=Assumptions!$K$55,1,0)</f>
        <v>1</v>
      </c>
      <c r="K1135" s="20" t="n">
        <f aca="false">IF(K1072=Assumptions!$K$55,1,0)</f>
        <v>0</v>
      </c>
    </row>
    <row r="1137" customFormat="false" ht="15" hidden="false" customHeight="false" outlineLevel="0" collapsed="false">
      <c r="A1137" s="5" t="s">
        <v>266</v>
      </c>
      <c r="G1137" s="30" t="n">
        <f aca="false">IF(Assumptions!$I$55=1,MAX(G1098,Assumptions!$G$55)+Assumptions!$F$55+$C$1099,Assumptions!$E$55)</f>
        <v>0.11</v>
      </c>
      <c r="H1137" s="30" t="n">
        <f aca="false">IF(G1262=1,$C$1100,IF(Assumptions!$I$55=1,MAX(H1098,Assumptions!$G$55)+Assumptions!$F$55+$C$1099,Assumptions!$E$55))</f>
        <v>0.11</v>
      </c>
      <c r="I1137" s="30" t="n">
        <f aca="false">IF(H1262=1,$C$1100,IF(Assumptions!$I$55=1,MAX(I1098,Assumptions!$G$55)+Assumptions!$F$55+$C$1099,Assumptions!$E$55))</f>
        <v>0.11</v>
      </c>
      <c r="J1137" s="30" t="n">
        <f aca="false">IF(I1262=1,$C$1100,IF(Assumptions!$I$55=1,MAX(J1098,Assumptions!$G$55)+Assumptions!$F$55+$C$1099,Assumptions!$E$55))</f>
        <v>0.11</v>
      </c>
      <c r="K1137" s="30" t="n">
        <f aca="false">IF(J1262=1,$C$1100,IF(Assumptions!$I$55=1,MAX(K1098,Assumptions!$G$55)+Assumptions!$F$55+$C$1099,Assumptions!$E$55))</f>
        <v>0.11</v>
      </c>
    </row>
    <row r="1138" customFormat="false" ht="15" hidden="false" customHeight="false" outlineLevel="0" collapsed="false">
      <c r="A1138" s="5" t="s">
        <v>267</v>
      </c>
      <c r="G1138" s="25" t="n">
        <f aca="false">G1134*G1137</f>
        <v>27.5</v>
      </c>
      <c r="H1138" s="25" t="n">
        <f aca="false">H1134*H1137</f>
        <v>27.5</v>
      </c>
      <c r="I1138" s="25" t="n">
        <f aca="false">I1134*I1137</f>
        <v>27.5</v>
      </c>
      <c r="J1138" s="25" t="n">
        <f aca="false">J1134*J1137</f>
        <v>27.5</v>
      </c>
      <c r="K1138" s="25" t="n">
        <f aca="false">K1134*K1137</f>
        <v>27.5</v>
      </c>
    </row>
    <row r="1139" customFormat="false" ht="15" hidden="false" customHeight="false" outlineLevel="0" collapsed="false">
      <c r="A1139" s="5" t="s">
        <v>268</v>
      </c>
      <c r="G1139" s="25" t="n">
        <f aca="false">G1134*Assumptions!$H$55</f>
        <v>0</v>
      </c>
      <c r="H1139" s="25" t="n">
        <f aca="false">H1134*Assumptions!$H$55</f>
        <v>0</v>
      </c>
      <c r="I1139" s="25" t="n">
        <f aca="false">I1134*Assumptions!$H$55</f>
        <v>0</v>
      </c>
      <c r="J1139" s="25" t="n">
        <f aca="false">J1134*Assumptions!$H$55</f>
        <v>0</v>
      </c>
      <c r="K1139" s="25" t="n">
        <f aca="false">K1134*Assumptions!$H$55</f>
        <v>0</v>
      </c>
    </row>
    <row r="1140" customFormat="false" ht="15" hidden="false" customHeight="false" outlineLevel="0" collapsed="false">
      <c r="A1140" s="5" t="s">
        <v>269</v>
      </c>
      <c r="G1140" s="25" t="n">
        <f aca="false">MIN(G1134,Assumptions!$L$55*Assumptions!$C$55)</f>
        <v>0</v>
      </c>
      <c r="H1140" s="25" t="n">
        <f aca="false">MIN(H1134,Assumptions!$L$55*Assumptions!$C$55)</f>
        <v>0</v>
      </c>
      <c r="I1140" s="25" t="n">
        <f aca="false">MIN(I1134,Assumptions!$L$55*Assumptions!$C$55)</f>
        <v>0</v>
      </c>
      <c r="J1140" s="25" t="n">
        <f aca="false">MIN(J1134,Assumptions!$L$55*Assumptions!$C$55)</f>
        <v>0</v>
      </c>
      <c r="K1140" s="25" t="n">
        <f aca="false">MIN(K1134,Assumptions!$L$55*Assumptions!$C$55)</f>
        <v>0</v>
      </c>
    </row>
    <row r="1141" customFormat="false" ht="15" hidden="false" customHeight="false" outlineLevel="0" collapsed="false">
      <c r="A1141" s="5" t="s">
        <v>270</v>
      </c>
      <c r="G1141" s="25" t="n">
        <f aca="false">IF(AND(Assumptions!$P$55=1,G1072&lt;Assumptions!$K$55),MIN(MAX(0,-G1186),MAX(0,Assumptions!$D$55-G1134)),0)</f>
        <v>0</v>
      </c>
      <c r="H1141" s="25" t="n">
        <f aca="false">IF(AND(Assumptions!$P$55=1,OR(H1072&lt;Assumptions!$K$55,G1262=1)),MIN(MAX(0,-H1186),MAX(0,Assumptions!$D$55-H1134)),0)</f>
        <v>0</v>
      </c>
      <c r="I1141" s="25" t="n">
        <f aca="false">IF(AND(Assumptions!$P$55=1,OR(I1072&lt;Assumptions!$K$55,H1262=1)),MIN(MAX(0,-I1186),MAX(0,Assumptions!$D$55-I1134)),0)</f>
        <v>0</v>
      </c>
      <c r="J1141" s="25" t="n">
        <f aca="false">IF(AND(Assumptions!$P$55=1,OR(J1072&lt;Assumptions!$K$55,I1262=1)),MIN(MAX(0,-J1186),MAX(0,Assumptions!$D$55-J1134)),0)</f>
        <v>0</v>
      </c>
      <c r="K1141" s="25" t="n">
        <f aca="false">IF(AND(Assumptions!$P$55=1,OR(K1072&lt;Assumptions!$K$55,J1262=1)),MIN(MAX(0,-K1186),MAX(0,Assumptions!$D$55-K1134)),0)</f>
        <v>0</v>
      </c>
    </row>
    <row r="1142" customFormat="false" ht="15" hidden="false" customHeight="false" outlineLevel="0" collapsed="false">
      <c r="A1142" s="5" t="s">
        <v>271</v>
      </c>
      <c r="G1142" s="25" t="n">
        <f aca="false">G1135*MIN(G1134-G1140+G1139,MAX(0,G1188-Assumptions!$C$12*G1106-G1116-G1129))</f>
        <v>0</v>
      </c>
      <c r="H1142" s="25" t="n">
        <f aca="false">H1135*MIN(H1134-H1140+H1139,MAX(0,H1188-Assumptions!$C$12*H1106-H1116-H1129))</f>
        <v>0</v>
      </c>
      <c r="I1142" s="25" t="n">
        <f aca="false">I1135*MIN(I1134-I1140+I1139,MAX(0,I1188-Assumptions!$C$12*I1106-I1116-I1129))</f>
        <v>0</v>
      </c>
      <c r="J1142" s="25" t="n">
        <f aca="false">J1135*MIN(J1134-J1140+J1139,MAX(0,J1188-Assumptions!$C$12*J1106-J1116-J1129))</f>
        <v>0</v>
      </c>
      <c r="K1142" s="25" t="n">
        <f aca="false">K1135*MIN(K1134-K1140+K1139,MAX(0,K1188-Assumptions!$C$12*K1106-K1116-K1129))</f>
        <v>0</v>
      </c>
    </row>
    <row r="1143" customFormat="false" ht="15" hidden="false" customHeight="false" outlineLevel="0" collapsed="false">
      <c r="A1143" s="5" t="s">
        <v>272</v>
      </c>
      <c r="G1143" s="25" t="n">
        <f aca="false">Assumptions!$N$55*MIN(G1134+G1141+G1139-G1140-G1142,MAX(0,G1192-G1117-G1130))</f>
        <v>0</v>
      </c>
      <c r="H1143" s="25" t="n">
        <f aca="false">Assumptions!$N$55*MIN(H1134+H1141+H1139-H1140-H1142,MAX(0,H1192-H1117-H1130))</f>
        <v>0</v>
      </c>
      <c r="I1143" s="25" t="n">
        <f aca="false">Assumptions!$N$55*MIN(I1134+I1141+I1139-I1140-I1142,MAX(0,I1192-I1117-I1130))</f>
        <v>0</v>
      </c>
      <c r="J1143" s="25" t="n">
        <f aca="false">Assumptions!$N$55*MIN(J1134+J1141+J1139-J1140-J1142,MAX(0,J1192-J1117-J1130))</f>
        <v>0</v>
      </c>
      <c r="K1143" s="25" t="n">
        <f aca="false">Assumptions!$N$55*MIN(K1134+K1141+K1139-K1140-K1142,MAX(0,K1192-K1117-K1130))</f>
        <v>0</v>
      </c>
    </row>
    <row r="1144" customFormat="false" ht="15" hidden="false" customHeight="false" outlineLevel="0" collapsed="false">
      <c r="A1144" s="5" t="s">
        <v>273</v>
      </c>
      <c r="G1144" s="25" t="n">
        <f aca="false">G1135*(1-G1106)*(G1134-G1140+G1139-G1142)</f>
        <v>0</v>
      </c>
      <c r="H1144" s="25" t="n">
        <f aca="false">H1135*(1-H1106)*(H1134-H1140+H1139-H1142)</f>
        <v>0</v>
      </c>
      <c r="I1144" s="25" t="n">
        <f aca="false">I1135*(1-I1106)*(I1134-I1140+I1139-I1142)</f>
        <v>0</v>
      </c>
      <c r="J1144" s="25" t="n">
        <f aca="false">J1135*(1-J1106)*(J1134-J1140+J1139-J1142)</f>
        <v>250</v>
      </c>
      <c r="K1144" s="25" t="n">
        <f aca="false">K1135*(1-K1106)*(K1134-K1140+K1139-K1142)</f>
        <v>0</v>
      </c>
    </row>
    <row r="1145" customFormat="false" ht="15" hidden="false" customHeight="false" outlineLevel="0" collapsed="false">
      <c r="A1145" s="2" t="s">
        <v>274</v>
      </c>
      <c r="F1145" s="27" t="n">
        <f aca="false">Assumptions!$C$55</f>
        <v>250</v>
      </c>
      <c r="G1145" s="16" t="n">
        <f aca="false">G1134+G1141+G1139-G1140-G1142-G1143</f>
        <v>250</v>
      </c>
      <c r="H1145" s="16" t="n">
        <f aca="false">H1134+H1141+H1139-H1140-H1142-H1143</f>
        <v>250</v>
      </c>
      <c r="I1145" s="16" t="n">
        <f aca="false">I1134+I1141+I1139-I1140-I1142-I1143</f>
        <v>250</v>
      </c>
      <c r="J1145" s="16" t="n">
        <f aca="false">J1134+J1141+J1139-J1140-J1142-J1143</f>
        <v>250</v>
      </c>
      <c r="K1145" s="16" t="n">
        <f aca="false">K1134+K1141+K1139-K1140-K1142-K1143</f>
        <v>250</v>
      </c>
    </row>
    <row r="1146" customFormat="false" ht="15" hidden="false" customHeight="false" outlineLevel="0" collapsed="false">
      <c r="A1146" s="23" t="s">
        <v>277</v>
      </c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</row>
    <row r="1147" customFormat="false" ht="15" hidden="false" customHeight="false" outlineLevel="0" collapsed="false">
      <c r="A1147" s="5" t="s">
        <v>264</v>
      </c>
      <c r="G1147" s="25" t="n">
        <f aca="false">F1158</f>
        <v>300</v>
      </c>
      <c r="H1147" s="25" t="n">
        <f aca="false">G1158</f>
        <v>300</v>
      </c>
      <c r="I1147" s="25" t="n">
        <f aca="false">H1158</f>
        <v>300</v>
      </c>
      <c r="J1147" s="25" t="n">
        <f aca="false">I1158</f>
        <v>300</v>
      </c>
      <c r="K1147" s="25" t="n">
        <f aca="false">J1158</f>
        <v>300</v>
      </c>
    </row>
    <row r="1148" customFormat="false" ht="15" hidden="false" customHeight="false" outlineLevel="0" collapsed="false">
      <c r="A1148" s="5" t="s">
        <v>265</v>
      </c>
      <c r="G1148" s="20" t="n">
        <f aca="false">IF(G1072=Assumptions!$K$56,1,0)</f>
        <v>0</v>
      </c>
      <c r="H1148" s="20" t="n">
        <f aca="false">IF(H1072=Assumptions!$K$56,1,0)</f>
        <v>1</v>
      </c>
      <c r="I1148" s="20" t="n">
        <f aca="false">IF(I1072=Assumptions!$K$56,1,0)</f>
        <v>0</v>
      </c>
      <c r="J1148" s="20" t="n">
        <f aca="false">IF(J1072=Assumptions!$K$56,1,0)</f>
        <v>0</v>
      </c>
      <c r="K1148" s="20" t="n">
        <f aca="false">IF(K1072=Assumptions!$K$56,1,0)</f>
        <v>0</v>
      </c>
    </row>
    <row r="1150" customFormat="false" ht="15" hidden="false" customHeight="false" outlineLevel="0" collapsed="false">
      <c r="A1150" s="5" t="s">
        <v>266</v>
      </c>
      <c r="G1150" s="30" t="n">
        <f aca="false">IF(Assumptions!$I$56=1,MAX(G1098,Assumptions!$G$56)+Assumptions!$F$56+$C$1099,Assumptions!$E$56)</f>
        <v>0.075</v>
      </c>
      <c r="H1150" s="30" t="n">
        <f aca="false">IF(G1263=1,$C$1100,IF(Assumptions!$I$56=1,MAX(H1098,Assumptions!$G$56)+Assumptions!$F$56+$C$1099,Assumptions!$E$56))</f>
        <v>0.075</v>
      </c>
      <c r="I1150" s="30" t="n">
        <f aca="false">IF(H1263=1,$C$1100,IF(Assumptions!$I$56=1,MAX(I1098,Assumptions!$G$56)+Assumptions!$F$56+$C$1099,Assumptions!$E$56))</f>
        <v>0.075</v>
      </c>
      <c r="J1150" s="30" t="n">
        <f aca="false">IF(I1263=1,$C$1100,IF(Assumptions!$I$56=1,MAX(J1098,Assumptions!$G$56)+Assumptions!$F$56+$C$1099,Assumptions!$E$56))</f>
        <v>0.075</v>
      </c>
      <c r="K1150" s="30" t="n">
        <f aca="false">IF(J1263=1,$C$1100,IF(Assumptions!$I$56=1,MAX(K1098,Assumptions!$G$56)+Assumptions!$F$56+$C$1099,Assumptions!$E$56))</f>
        <v>0.075</v>
      </c>
    </row>
    <row r="1151" customFormat="false" ht="15" hidden="false" customHeight="false" outlineLevel="0" collapsed="false">
      <c r="A1151" s="5" t="s">
        <v>267</v>
      </c>
      <c r="G1151" s="25" t="n">
        <f aca="false">G1147*G1150</f>
        <v>22.5</v>
      </c>
      <c r="H1151" s="25" t="n">
        <f aca="false">H1147*H1150</f>
        <v>22.5</v>
      </c>
      <c r="I1151" s="25" t="n">
        <f aca="false">I1147*I1150</f>
        <v>22.5</v>
      </c>
      <c r="J1151" s="25" t="n">
        <f aca="false">J1147*J1150</f>
        <v>22.5</v>
      </c>
      <c r="K1151" s="25" t="n">
        <f aca="false">K1147*K1150</f>
        <v>22.5</v>
      </c>
    </row>
    <row r="1152" customFormat="false" ht="15" hidden="false" customHeight="false" outlineLevel="0" collapsed="false">
      <c r="A1152" s="5" t="s">
        <v>268</v>
      </c>
      <c r="G1152" s="25" t="n">
        <f aca="false">G1147*Assumptions!$H$56</f>
        <v>0</v>
      </c>
      <c r="H1152" s="25" t="n">
        <f aca="false">H1147*Assumptions!$H$56</f>
        <v>0</v>
      </c>
      <c r="I1152" s="25" t="n">
        <f aca="false">I1147*Assumptions!$H$56</f>
        <v>0</v>
      </c>
      <c r="J1152" s="25" t="n">
        <f aca="false">J1147*Assumptions!$H$56</f>
        <v>0</v>
      </c>
      <c r="K1152" s="25" t="n">
        <f aca="false">K1147*Assumptions!$H$56</f>
        <v>0</v>
      </c>
    </row>
    <row r="1153" customFormat="false" ht="15" hidden="false" customHeight="false" outlineLevel="0" collapsed="false">
      <c r="A1153" s="5" t="s">
        <v>269</v>
      </c>
      <c r="G1153" s="25" t="n">
        <f aca="false">MIN(G1147,Assumptions!$L$56*Assumptions!$C$56)</f>
        <v>0</v>
      </c>
      <c r="H1153" s="25" t="n">
        <f aca="false">MIN(H1147,Assumptions!$L$56*Assumptions!$C$56)</f>
        <v>0</v>
      </c>
      <c r="I1153" s="25" t="n">
        <f aca="false">MIN(I1147,Assumptions!$L$56*Assumptions!$C$56)</f>
        <v>0</v>
      </c>
      <c r="J1153" s="25" t="n">
        <f aca="false">MIN(J1147,Assumptions!$L$56*Assumptions!$C$56)</f>
        <v>0</v>
      </c>
      <c r="K1153" s="25" t="n">
        <f aca="false">MIN(K1147,Assumptions!$L$56*Assumptions!$C$56)</f>
        <v>0</v>
      </c>
    </row>
    <row r="1154" customFormat="false" ht="15" hidden="false" customHeight="false" outlineLevel="0" collapsed="false">
      <c r="A1154" s="5" t="s">
        <v>270</v>
      </c>
      <c r="G1154" s="25" t="n">
        <f aca="false">IF(AND(Assumptions!$P$56=1,G1072&lt;Assumptions!$K$56),MIN(MAX(0,-G1186),MAX(0,Assumptions!$D$56-G1147)),0)</f>
        <v>0</v>
      </c>
      <c r="H1154" s="25" t="n">
        <f aca="false">IF(AND(Assumptions!$P$56=1,OR(H1072&lt;Assumptions!$K$56,G1263=1)),MIN(MAX(0,-H1186),MAX(0,Assumptions!$D$56-H1147)),0)</f>
        <v>0</v>
      </c>
      <c r="I1154" s="25" t="n">
        <f aca="false">IF(AND(Assumptions!$P$56=1,OR(I1072&lt;Assumptions!$K$56,H1263=1)),MIN(MAX(0,-I1186),MAX(0,Assumptions!$D$56-I1147)),0)</f>
        <v>0</v>
      </c>
      <c r="J1154" s="25" t="n">
        <f aca="false">IF(AND(Assumptions!$P$56=1,OR(J1072&lt;Assumptions!$K$56,I1263=1)),MIN(MAX(0,-J1186),MAX(0,Assumptions!$D$56-J1147)),0)</f>
        <v>0</v>
      </c>
      <c r="K1154" s="25" t="n">
        <f aca="false">IF(AND(Assumptions!$P$56=1,OR(K1072&lt;Assumptions!$K$56,J1263=1)),MIN(MAX(0,-K1186),MAX(0,Assumptions!$D$56-K1147)),0)</f>
        <v>0</v>
      </c>
    </row>
    <row r="1155" customFormat="false" ht="15" hidden="false" customHeight="false" outlineLevel="0" collapsed="false">
      <c r="A1155" s="5" t="s">
        <v>271</v>
      </c>
      <c r="G1155" s="25" t="n">
        <f aca="false">G1148*MIN(G1147-G1153+G1152,MAX(0,G1188-Assumptions!$C$12*G1106-G1116-G1129-G1142))</f>
        <v>0</v>
      </c>
      <c r="H1155" s="25" t="n">
        <f aca="false">H1148*MIN(H1147-H1153+H1152,MAX(0,H1188-Assumptions!$C$12*H1106-H1116-H1129-H1142))</f>
        <v>0</v>
      </c>
      <c r="I1155" s="25" t="n">
        <f aca="false">I1148*MIN(I1147-I1153+I1152,MAX(0,I1188-Assumptions!$C$12*I1106-I1116-I1129-I1142))</f>
        <v>0</v>
      </c>
      <c r="J1155" s="25" t="n">
        <f aca="false">J1148*MIN(J1147-J1153+J1152,MAX(0,J1188-Assumptions!$C$12*J1106-J1116-J1129-J1142))</f>
        <v>0</v>
      </c>
      <c r="K1155" s="25" t="n">
        <f aca="false">K1148*MIN(K1147-K1153+K1152,MAX(0,K1188-Assumptions!$C$12*K1106-K1116-K1129-K1142))</f>
        <v>0</v>
      </c>
    </row>
    <row r="1156" customFormat="false" ht="15" hidden="false" customHeight="false" outlineLevel="0" collapsed="false">
      <c r="A1156" s="5" t="s">
        <v>272</v>
      </c>
      <c r="G1156" s="25" t="n">
        <f aca="false">Assumptions!$N$56*MIN(G1147+G1154+G1152-G1153-G1155,MAX(0,G1192-G1117-G1130-G1143))</f>
        <v>0</v>
      </c>
      <c r="H1156" s="25" t="n">
        <f aca="false">Assumptions!$N$56*MIN(H1147+H1154+H1152-H1153-H1155,MAX(0,H1192-H1117-H1130-H1143))</f>
        <v>0</v>
      </c>
      <c r="I1156" s="25" t="n">
        <f aca="false">Assumptions!$N$56*MIN(I1147+I1154+I1152-I1153-I1155,MAX(0,I1192-I1117-I1130-I1143))</f>
        <v>0</v>
      </c>
      <c r="J1156" s="25" t="n">
        <f aca="false">Assumptions!$N$56*MIN(J1147+J1154+J1152-J1153-J1155,MAX(0,J1192-J1117-J1130-J1143))</f>
        <v>0</v>
      </c>
      <c r="K1156" s="25" t="n">
        <f aca="false">Assumptions!$N$56*MIN(K1147+K1154+K1152-K1153-K1155,MAX(0,K1192-K1117-K1130-K1143))</f>
        <v>0</v>
      </c>
    </row>
    <row r="1157" customFormat="false" ht="15" hidden="false" customHeight="false" outlineLevel="0" collapsed="false">
      <c r="A1157" s="5" t="s">
        <v>273</v>
      </c>
      <c r="G1157" s="25" t="n">
        <f aca="false">G1148*(1-G1106)*(G1147-G1153+G1152-G1155)</f>
        <v>0</v>
      </c>
      <c r="H1157" s="25" t="n">
        <f aca="false">H1148*(1-H1106)*(H1147-H1153+H1152-H1155)</f>
        <v>300</v>
      </c>
      <c r="I1157" s="25" t="n">
        <f aca="false">I1148*(1-I1106)*(I1147-I1153+I1152-I1155)</f>
        <v>0</v>
      </c>
      <c r="J1157" s="25" t="n">
        <f aca="false">J1148*(1-J1106)*(J1147-J1153+J1152-J1155)</f>
        <v>0</v>
      </c>
      <c r="K1157" s="25" t="n">
        <f aca="false">K1148*(1-K1106)*(K1147-K1153+K1152-K1155)</f>
        <v>0</v>
      </c>
    </row>
    <row r="1158" customFormat="false" ht="15" hidden="false" customHeight="false" outlineLevel="0" collapsed="false">
      <c r="A1158" s="2" t="s">
        <v>274</v>
      </c>
      <c r="F1158" s="27" t="n">
        <f aca="false">Assumptions!$C$56</f>
        <v>300</v>
      </c>
      <c r="G1158" s="16" t="n">
        <f aca="false">G1147+G1154+G1152-G1153-G1155-G1156</f>
        <v>300</v>
      </c>
      <c r="H1158" s="16" t="n">
        <f aca="false">H1147+H1154+H1152-H1153-H1155-H1156</f>
        <v>300</v>
      </c>
      <c r="I1158" s="16" t="n">
        <f aca="false">I1147+I1154+I1152-I1153-I1155-I1156</f>
        <v>300</v>
      </c>
      <c r="J1158" s="16" t="n">
        <f aca="false">J1147+J1154+J1152-J1153-J1155-J1156</f>
        <v>300</v>
      </c>
      <c r="K1158" s="16" t="n">
        <f aca="false">K1147+K1154+K1152-K1153-K1155-K1156</f>
        <v>300</v>
      </c>
    </row>
    <row r="1159" customFormat="false" ht="15" hidden="false" customHeight="false" outlineLevel="0" collapsed="false">
      <c r="A1159" s="23" t="s">
        <v>278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</row>
    <row r="1160" customFormat="false" ht="15" hidden="false" customHeight="false" outlineLevel="0" collapsed="false">
      <c r="A1160" s="2" t="s">
        <v>279</v>
      </c>
      <c r="F1160" s="16" t="n">
        <f aca="false">F1119+F1132+F1145+F1158</f>
        <v>1250</v>
      </c>
      <c r="G1160" s="16" t="n">
        <f aca="false">G1119+G1132+G1145+G1158</f>
        <v>1309.28</v>
      </c>
      <c r="H1160" s="16" t="n">
        <f aca="false">H1119+H1132+H1145+H1158</f>
        <v>1304.08</v>
      </c>
      <c r="I1160" s="16" t="n">
        <f aca="false">I1119+I1132+I1145+I1158</f>
        <v>1298.88</v>
      </c>
      <c r="J1160" s="16" t="n">
        <f aca="false">J1119+J1132+J1145+J1158</f>
        <v>1293.68</v>
      </c>
      <c r="K1160" s="16" t="n">
        <f aca="false">K1119+K1132+K1145+K1158</f>
        <v>1288.48</v>
      </c>
    </row>
    <row r="1161" customFormat="false" ht="15" hidden="false" customHeight="false" outlineLevel="0" collapsed="false">
      <c r="A1161" s="5" t="s">
        <v>280</v>
      </c>
      <c r="G1161" s="25" t="n">
        <f aca="false">G1109*Assumptions!$C$53+G1122*Assumptions!$C$54+G1135*Assumptions!$C$55+G1148*Assumptions!$C$56</f>
        <v>0</v>
      </c>
      <c r="H1161" s="25" t="n">
        <f aca="false">H1109*Assumptions!$C$53+H1122*Assumptions!$C$54+H1135*Assumptions!$C$55+H1148*Assumptions!$C$56</f>
        <v>480</v>
      </c>
      <c r="I1161" s="25" t="n">
        <f aca="false">I1109*Assumptions!$C$53+I1122*Assumptions!$C$54+I1135*Assumptions!$C$55+I1148*Assumptions!$C$56</f>
        <v>520</v>
      </c>
      <c r="J1161" s="25" t="n">
        <f aca="false">J1109*Assumptions!$C$53+J1122*Assumptions!$C$54+J1135*Assumptions!$C$55+J1148*Assumptions!$C$56</f>
        <v>250</v>
      </c>
      <c r="K1161" s="25" t="n">
        <f aca="false">K1109*Assumptions!$C$53+K1122*Assumptions!$C$54+K1135*Assumptions!$C$55+K1148*Assumptions!$C$56</f>
        <v>0</v>
      </c>
    </row>
    <row r="1162" customFormat="false" ht="15" hidden="false" customHeight="false" outlineLevel="0" collapsed="false">
      <c r="A1162" s="23" t="s">
        <v>281</v>
      </c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</row>
    <row r="1163" customFormat="false" ht="15" hidden="false" customHeight="false" outlineLevel="0" collapsed="false">
      <c r="A1163" s="5" t="s">
        <v>282</v>
      </c>
      <c r="C1163" s="25" t="n">
        <f aca="false">SUMPRODUCT($G$1109:$K$1109,$G$1108:$K$1108-$G$1114:$K$1114+$G$1113:$K$1113)</f>
        <v>244.48</v>
      </c>
    </row>
    <row r="1164" customFormat="false" ht="15" hidden="false" customHeight="false" outlineLevel="0" collapsed="false">
      <c r="A1164" s="5" t="s">
        <v>283</v>
      </c>
      <c r="C1164" s="25" t="n">
        <f aca="false">SUMPRODUCT($G$1109:$K$1109,$G$1116:$K$1116)</f>
        <v>0</v>
      </c>
    </row>
    <row r="1165" customFormat="false" ht="15" hidden="false" customHeight="false" outlineLevel="0" collapsed="false">
      <c r="A1165" s="5" t="s">
        <v>284</v>
      </c>
      <c r="C1165" s="5" t="str">
        <f aca="false">IF(SUM($G$1109:$K$1109)=0,"n/a (beyond horizon)",IF(SUMPRODUCT($G$1109:$K$1109,$G$1106:$K$1106)&gt;0,"REFINANCING PASS","REFINANCING FAILURE"))</f>
        <v>REFINANCING FAILURE</v>
      </c>
    </row>
    <row r="1166" customFormat="false" ht="15" hidden="false" customHeight="false" outlineLevel="0" collapsed="false">
      <c r="A1166" s="5" t="s">
        <v>285</v>
      </c>
      <c r="C1166" s="5" t="str">
        <f aca="false">IF(SUM($G$1109:$K$1109)=0,"n/a",IF(C1164&gt;=C1163-0.001,"Repaid from cash",IF(SUMPRODUCT($G$1109:$K$1109,$G$1106:$K$1106)&gt;0,IF(C1164&gt;0,"Partly repaid; remainder refinanced","Refinanced"),IF(SUM($G$1118:$K$1118)&gt;0.001,IF(C1164&gt;0,"Partial repayment; PAYMENT DEFAULT","PAYMENT DEFAULT"),"Repaid from cash"))))</f>
        <v>PAYMENT DEFAULT</v>
      </c>
    </row>
    <row r="1167" customFormat="false" ht="15" hidden="false" customHeight="false" outlineLevel="0" collapsed="false">
      <c r="A1167" s="5" t="s">
        <v>286</v>
      </c>
      <c r="C1167" s="25" t="n">
        <f aca="false">SUMPRODUCT($G$1122:$K$1122,$G$1121:$K$1121-$G$1127:$K$1127+$G$1126:$K$1126)</f>
        <v>504.4</v>
      </c>
    </row>
    <row r="1168" customFormat="false" ht="15" hidden="false" customHeight="false" outlineLevel="0" collapsed="false">
      <c r="A1168" s="5" t="s">
        <v>287</v>
      </c>
      <c r="C1168" s="25" t="n">
        <f aca="false">SUMPRODUCT($G$1122:$K$1122,$G$1129:$K$1129)</f>
        <v>0</v>
      </c>
    </row>
    <row r="1169" customFormat="false" ht="15" hidden="false" customHeight="false" outlineLevel="0" collapsed="false">
      <c r="A1169" s="5" t="s">
        <v>288</v>
      </c>
      <c r="C1169" s="5" t="str">
        <f aca="false">IF(SUM($G$1122:$K$1122)=0,"n/a (beyond horizon)",IF(SUMPRODUCT($G$1122:$K$1122,$G$1106:$K$1106)&gt;0,"REFINANCING PASS","REFINANCING FAILURE"))</f>
        <v>REFINANCING FAILURE</v>
      </c>
    </row>
    <row r="1170" customFormat="false" ht="15" hidden="false" customHeight="false" outlineLevel="0" collapsed="false">
      <c r="A1170" s="5" t="s">
        <v>289</v>
      </c>
      <c r="C1170" s="5" t="str">
        <f aca="false">IF(SUM($G$1122:$K$1122)=0,"n/a",IF(C1168&gt;=C1167-0.001,"Repaid from cash",IF(SUMPRODUCT($G$1122:$K$1122,$G$1106:$K$1106)&gt;0,IF(C1168&gt;0,"Partly repaid; remainder refinanced","Refinanced"),IF(SUM($G$1131:$K$1131)&gt;0.001,IF(C1168&gt;0,"Partial repayment; PAYMENT DEFAULT","PAYMENT DEFAULT"),"Repaid from cash"))))</f>
        <v>PAYMENT DEFAULT</v>
      </c>
    </row>
    <row r="1171" customFormat="false" ht="15" hidden="false" customHeight="false" outlineLevel="0" collapsed="false">
      <c r="A1171" s="5" t="s">
        <v>290</v>
      </c>
      <c r="C1171" s="25" t="n">
        <f aca="false">SUMPRODUCT($G$1135:$K$1135,$G$1134:$K$1134-$G$1140:$K$1140+$G$1139:$K$1139)</f>
        <v>250</v>
      </c>
    </row>
    <row r="1172" customFormat="false" ht="15" hidden="false" customHeight="false" outlineLevel="0" collapsed="false">
      <c r="A1172" s="5" t="s">
        <v>291</v>
      </c>
      <c r="C1172" s="25" t="n">
        <f aca="false">SUMPRODUCT($G$1135:$K$1135,$G$1142:$K$1142)</f>
        <v>0</v>
      </c>
    </row>
    <row r="1173" customFormat="false" ht="15" hidden="false" customHeight="false" outlineLevel="0" collapsed="false">
      <c r="A1173" s="5" t="s">
        <v>292</v>
      </c>
      <c r="C1173" s="5" t="str">
        <f aca="false">IF(SUM($G$1135:$K$1135)=0,"n/a (beyond horizon)",IF(SUMPRODUCT($G$1135:$K$1135,$G$1106:$K$1106)&gt;0,"REFINANCING PASS","REFINANCING FAILURE"))</f>
        <v>REFINANCING FAILURE</v>
      </c>
    </row>
    <row r="1174" customFormat="false" ht="15" hidden="false" customHeight="false" outlineLevel="0" collapsed="false">
      <c r="A1174" s="5" t="s">
        <v>293</v>
      </c>
      <c r="C1174" s="5" t="str">
        <f aca="false">IF(SUM($G$1135:$K$1135)=0,"n/a",IF(C1172&gt;=C1171-0.001,"Repaid from cash",IF(SUMPRODUCT($G$1135:$K$1135,$G$1106:$K$1106)&gt;0,IF(C1172&gt;0,"Partly repaid; remainder refinanced","Refinanced"),IF(SUM($G$1144:$K$1144)&gt;0.001,IF(C1172&gt;0,"Partial repayment; PAYMENT DEFAULT","PAYMENT DEFAULT"),"Repaid from cash"))))</f>
        <v>PAYMENT DEFAULT</v>
      </c>
    </row>
    <row r="1175" customFormat="false" ht="15" hidden="false" customHeight="false" outlineLevel="0" collapsed="false">
      <c r="A1175" s="5" t="s">
        <v>294</v>
      </c>
      <c r="C1175" s="25" t="n">
        <f aca="false">SUMPRODUCT($G$1148:$K$1148,$G$1147:$K$1147-$G$1153:$K$1153+$G$1152:$K$1152)</f>
        <v>300</v>
      </c>
    </row>
    <row r="1176" customFormat="false" ht="15" hidden="false" customHeight="false" outlineLevel="0" collapsed="false">
      <c r="A1176" s="5" t="s">
        <v>295</v>
      </c>
      <c r="C1176" s="25" t="n">
        <f aca="false">SUMPRODUCT($G$1148:$K$1148,$G$1155:$K$1155)</f>
        <v>0</v>
      </c>
    </row>
    <row r="1177" customFormat="false" ht="15" hidden="false" customHeight="false" outlineLevel="0" collapsed="false">
      <c r="A1177" s="5" t="s">
        <v>296</v>
      </c>
      <c r="C1177" s="5" t="str">
        <f aca="false">IF(SUM($G$1148:$K$1148)=0,"n/a (beyond horizon)",IF(SUMPRODUCT($G$1148:$K$1148,$G$1106:$K$1106)&gt;0,"REFINANCING PASS","REFINANCING FAILURE"))</f>
        <v>REFINANCING FAILURE</v>
      </c>
    </row>
    <row r="1178" customFormat="false" ht="15" hidden="false" customHeight="false" outlineLevel="0" collapsed="false">
      <c r="A1178" s="5" t="s">
        <v>297</v>
      </c>
      <c r="C1178" s="5" t="str">
        <f aca="false">IF(SUM($G$1148:$K$1148)=0,"n/a",IF(C1176&gt;=C1175-0.001,"Repaid from cash",IF(SUMPRODUCT($G$1148:$K$1148,$G$1106:$K$1106)&gt;0,IF(C1176&gt;0,"Partly repaid; remainder refinanced","Refinanced"),IF(SUM($G$1157:$K$1157)&gt;0.001,IF(C1176&gt;0,"Partial repayment; PAYMENT DEFAULT","PAYMENT DEFAULT"),"Repaid from cash"))))</f>
        <v>PAYMENT DEFAULT</v>
      </c>
    </row>
    <row r="1179" customFormat="false" ht="15" hidden="false" customHeight="false" outlineLevel="0" collapsed="false">
      <c r="A1179" s="5" t="s">
        <v>298</v>
      </c>
      <c r="C1179" s="20" t="n">
        <f aca="false">IF(C1165="REFINANCING FAILURE",1,0)+IF(C1169="REFINANCING FAILURE",1,0)+IF(C1173="REFINANCING FAILURE",1,0)+IF(C1177="REFINANCING FAILURE",1,0)</f>
        <v>4</v>
      </c>
    </row>
    <row r="1181" customFormat="false" ht="15" hidden="false" customHeight="false" outlineLevel="0" collapsed="false">
      <c r="A1181" s="23" t="s">
        <v>300</v>
      </c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</row>
    <row r="1182" customFormat="false" ht="15" hidden="false" customHeight="false" outlineLevel="0" collapsed="false">
      <c r="A1182" s="5" t="s">
        <v>260</v>
      </c>
      <c r="G1182" s="25" t="n">
        <f aca="false">F1194</f>
        <v>45</v>
      </c>
      <c r="H1182" s="25" t="n">
        <f aca="false">G1194</f>
        <v>0</v>
      </c>
      <c r="I1182" s="25" t="n">
        <f aca="false">H1194</f>
        <v>-108.0346</v>
      </c>
      <c r="J1182" s="25" t="n">
        <f aca="false">I1194</f>
        <v>-209.1971336</v>
      </c>
      <c r="K1182" s="25" t="n">
        <f aca="false">J1194</f>
        <v>-305.477017816</v>
      </c>
    </row>
    <row r="1183" customFormat="false" ht="15" hidden="false" customHeight="false" outlineLevel="0" collapsed="false">
      <c r="A1183" s="5" t="s">
        <v>301</v>
      </c>
      <c r="G1183" s="25" t="n">
        <f aca="false">G1095</f>
        <v>-104.28</v>
      </c>
      <c r="H1183" s="25" t="n">
        <f aca="false">H1095</f>
        <v>-102.8346</v>
      </c>
      <c r="I1183" s="25" t="n">
        <f aca="false">I1095</f>
        <v>-95.9625336</v>
      </c>
      <c r="J1183" s="25" t="n">
        <f aca="false">J1095</f>
        <v>-91.079884216</v>
      </c>
      <c r="K1183" s="25" t="n">
        <f aca="false">K1095</f>
        <v>-86.28707393432</v>
      </c>
    </row>
    <row r="1184" customFormat="false" ht="15" hidden="false" customHeight="false" outlineLevel="0" collapsed="false">
      <c r="A1184" s="5" t="s">
        <v>302</v>
      </c>
      <c r="G1184" s="25" t="n">
        <f aca="false">CHOOSE($C$1065,Assumptions!$G$68,Assumptions!$G$87,Assumptions!$G$106)</f>
        <v>0</v>
      </c>
      <c r="H1184" s="25" t="n">
        <f aca="false">CHOOSE($C$1065,Assumptions!$H$68,Assumptions!$H$87,Assumptions!$H$106)</f>
        <v>0</v>
      </c>
      <c r="I1184" s="25" t="n">
        <f aca="false">CHOOSE($C$1065,Assumptions!$I$68,Assumptions!$I$87,Assumptions!$I$106)</f>
        <v>0</v>
      </c>
      <c r="J1184" s="25" t="n">
        <f aca="false">CHOOSE($C$1065,Assumptions!$J$68,Assumptions!$J$87,Assumptions!$J$106)</f>
        <v>0</v>
      </c>
      <c r="K1184" s="25" t="n">
        <f aca="false">CHOOSE($C$1065,Assumptions!$K$68,Assumptions!$K$87,Assumptions!$K$106)</f>
        <v>0</v>
      </c>
    </row>
    <row r="1185" customFormat="false" ht="15" hidden="false" customHeight="false" outlineLevel="0" collapsed="false">
      <c r="A1185" s="5" t="s">
        <v>303</v>
      </c>
      <c r="G1185" s="25" t="n">
        <f aca="false">G1114+G1127+G1140+G1153</f>
        <v>5.2</v>
      </c>
      <c r="H1185" s="25" t="n">
        <f aca="false">H1114+H1127+H1140+H1153</f>
        <v>5.2</v>
      </c>
      <c r="I1185" s="25" t="n">
        <f aca="false">I1114+I1127+I1140+I1153</f>
        <v>5.2</v>
      </c>
      <c r="J1185" s="25" t="n">
        <f aca="false">J1114+J1127+J1140+J1153</f>
        <v>5.2</v>
      </c>
      <c r="K1185" s="25" t="n">
        <f aca="false">K1114+K1127+K1140+K1153</f>
        <v>5.2</v>
      </c>
    </row>
    <row r="1186" customFormat="false" ht="15" hidden="false" customHeight="false" outlineLevel="0" collapsed="false">
      <c r="A1186" s="2" t="s">
        <v>304</v>
      </c>
      <c r="G1186" s="16" t="n">
        <f aca="false">G1182+G1183+G1184-G1185</f>
        <v>-64.48</v>
      </c>
      <c r="H1186" s="16" t="n">
        <f aca="false">H1182+H1183+H1184-H1185</f>
        <v>-108.0346</v>
      </c>
      <c r="I1186" s="16" t="n">
        <f aca="false">I1182+I1183+I1184-I1185</f>
        <v>-209.1971336</v>
      </c>
      <c r="J1186" s="16" t="n">
        <f aca="false">J1182+J1183+J1184-J1185</f>
        <v>-305.477017816</v>
      </c>
      <c r="K1186" s="16" t="n">
        <f aca="false">K1182+K1183+K1184-K1185</f>
        <v>-396.96409175032</v>
      </c>
    </row>
    <row r="1187" customFormat="false" ht="15" hidden="false" customHeight="false" outlineLevel="0" collapsed="false">
      <c r="A1187" s="5" t="s">
        <v>305</v>
      </c>
      <c r="G1187" s="25" t="n">
        <f aca="false">G1115+G1128+G1141+G1154</f>
        <v>64.48</v>
      </c>
      <c r="H1187" s="25" t="n">
        <f aca="false">H1115+H1128+H1141+H1154</f>
        <v>0</v>
      </c>
      <c r="I1187" s="25" t="n">
        <f aca="false">I1115+I1128+I1141+I1154</f>
        <v>0</v>
      </c>
      <c r="J1187" s="25" t="n">
        <f aca="false">J1115+J1128+J1141+J1154</f>
        <v>0</v>
      </c>
      <c r="K1187" s="25" t="n">
        <f aca="false">K1115+K1128+K1141+K1154</f>
        <v>0</v>
      </c>
    </row>
    <row r="1188" customFormat="false" ht="15" hidden="false" customHeight="false" outlineLevel="0" collapsed="false">
      <c r="A1188" s="2" t="s">
        <v>306</v>
      </c>
      <c r="G1188" s="16" t="n">
        <f aca="false">G1186+G1187</f>
        <v>0</v>
      </c>
      <c r="H1188" s="16" t="n">
        <f aca="false">H1186+H1187</f>
        <v>-108.0346</v>
      </c>
      <c r="I1188" s="16" t="n">
        <f aca="false">I1186+I1187</f>
        <v>-209.1971336</v>
      </c>
      <c r="J1188" s="16" t="n">
        <f aca="false">J1186+J1187</f>
        <v>-305.477017816</v>
      </c>
      <c r="K1188" s="16" t="n">
        <f aca="false">K1186+K1187</f>
        <v>-396.96409175032</v>
      </c>
    </row>
    <row r="1189" customFormat="false" ht="15" hidden="false" customHeight="false" outlineLevel="0" collapsed="false">
      <c r="A1189" s="5" t="s">
        <v>307</v>
      </c>
      <c r="G1189" s="25" t="n">
        <f aca="false">G1116+G1129+G1142+G1155</f>
        <v>0</v>
      </c>
      <c r="H1189" s="25" t="n">
        <f aca="false">H1116+H1129+H1142+H1155</f>
        <v>0</v>
      </c>
      <c r="I1189" s="25" t="n">
        <f aca="false">I1116+I1129+I1142+I1155</f>
        <v>0</v>
      </c>
      <c r="J1189" s="25" t="n">
        <f aca="false">J1116+J1129+J1142+J1155</f>
        <v>0</v>
      </c>
      <c r="K1189" s="25" t="n">
        <f aca="false">K1116+K1129+K1142+K1155</f>
        <v>0</v>
      </c>
    </row>
    <row r="1190" customFormat="false" ht="15" hidden="false" customHeight="false" outlineLevel="0" collapsed="false">
      <c r="A1190" s="2" t="s">
        <v>308</v>
      </c>
      <c r="G1190" s="16" t="n">
        <f aca="false">G1188-G1189</f>
        <v>0</v>
      </c>
      <c r="H1190" s="16" t="n">
        <f aca="false">H1188-H1189</f>
        <v>-108.0346</v>
      </c>
      <c r="I1190" s="16" t="n">
        <f aca="false">I1188-I1189</f>
        <v>-209.1971336</v>
      </c>
      <c r="J1190" s="16" t="n">
        <f aca="false">J1188-J1189</f>
        <v>-305.477017816</v>
      </c>
      <c r="K1190" s="16" t="n">
        <f aca="false">K1188-K1189</f>
        <v>-396.96409175032</v>
      </c>
    </row>
    <row r="1191" customFormat="false" ht="15" hidden="false" customHeight="false" outlineLevel="0" collapsed="false">
      <c r="A1191" s="5" t="s">
        <v>309</v>
      </c>
      <c r="G1191" s="25" t="n">
        <f aca="false">MAX(0,-G1190)</f>
        <v>-0</v>
      </c>
      <c r="H1191" s="25" t="n">
        <f aca="false">MAX(0,-H1190)</f>
        <v>108.0346</v>
      </c>
      <c r="I1191" s="25" t="n">
        <f aca="false">MAX(0,-I1190)</f>
        <v>209.1971336</v>
      </c>
      <c r="J1191" s="25" t="n">
        <f aca="false">MAX(0,-J1190)</f>
        <v>305.477017816</v>
      </c>
      <c r="K1191" s="25" t="n">
        <f aca="false">MAX(0,-K1190)</f>
        <v>396.96409175032</v>
      </c>
    </row>
    <row r="1192" customFormat="false" ht="15" hidden="false" customHeight="false" outlineLevel="0" collapsed="false">
      <c r="A1192" s="5" t="s">
        <v>310</v>
      </c>
      <c r="G1192" s="25" t="n">
        <f aca="false">MAX(0,G1190-Assumptions!$C$12)*Assumptions!$C$13</f>
        <v>0</v>
      </c>
      <c r="H1192" s="25" t="n">
        <f aca="false">MAX(0,H1190-Assumptions!$C$12)*Assumptions!$C$13</f>
        <v>0</v>
      </c>
      <c r="I1192" s="25" t="n">
        <f aca="false">MAX(0,I1190-Assumptions!$C$12)*Assumptions!$C$13</f>
        <v>0</v>
      </c>
      <c r="J1192" s="25" t="n">
        <f aca="false">MAX(0,J1190-Assumptions!$C$12)*Assumptions!$C$13</f>
        <v>0</v>
      </c>
      <c r="K1192" s="25" t="n">
        <f aca="false">MAX(0,K1190-Assumptions!$C$12)*Assumptions!$C$13</f>
        <v>0</v>
      </c>
    </row>
    <row r="1193" customFormat="false" ht="15" hidden="false" customHeight="false" outlineLevel="0" collapsed="false">
      <c r="A1193" s="5" t="s">
        <v>311</v>
      </c>
      <c r="G1193" s="25" t="n">
        <f aca="false">G1117+G1130+G1143+G1156</f>
        <v>0</v>
      </c>
      <c r="H1193" s="25" t="n">
        <f aca="false">H1117+H1130+H1143+H1156</f>
        <v>0</v>
      </c>
      <c r="I1193" s="25" t="n">
        <f aca="false">I1117+I1130+I1143+I1156</f>
        <v>0</v>
      </c>
      <c r="J1193" s="25" t="n">
        <f aca="false">J1117+J1130+J1143+J1156</f>
        <v>0</v>
      </c>
      <c r="K1193" s="25" t="n">
        <f aca="false">K1117+K1130+K1143+K1156</f>
        <v>0</v>
      </c>
    </row>
    <row r="1194" customFormat="false" ht="15" hidden="false" customHeight="false" outlineLevel="0" collapsed="false">
      <c r="A1194" s="2" t="s">
        <v>312</v>
      </c>
      <c r="F1194" s="27" t="n">
        <f aca="false">Assumptions!$C$11</f>
        <v>45</v>
      </c>
      <c r="G1194" s="16" t="n">
        <f aca="false">G1190-G1193</f>
        <v>0</v>
      </c>
      <c r="H1194" s="16" t="n">
        <f aca="false">H1190-H1193</f>
        <v>-108.0346</v>
      </c>
      <c r="I1194" s="16" t="n">
        <f aca="false">I1190-I1193</f>
        <v>-209.1971336</v>
      </c>
      <c r="J1194" s="16" t="n">
        <f aca="false">J1190-J1193</f>
        <v>-305.477017816</v>
      </c>
      <c r="K1194" s="16" t="n">
        <f aca="false">K1190-K1193</f>
        <v>-396.96409175032</v>
      </c>
    </row>
    <row r="1195" customFormat="false" ht="15" hidden="false" customHeight="false" outlineLevel="0" collapsed="false">
      <c r="A1195" s="5" t="s">
        <v>313</v>
      </c>
      <c r="G1195" s="25" t="n">
        <f aca="false">G1118+G1131+G1144+G1157</f>
        <v>0</v>
      </c>
      <c r="H1195" s="25" t="n">
        <f aca="false">H1118+H1131+H1144+H1157</f>
        <v>544.48</v>
      </c>
      <c r="I1195" s="25" t="n">
        <f aca="false">I1118+I1131+I1144+I1157</f>
        <v>504.4</v>
      </c>
      <c r="J1195" s="25" t="n">
        <f aca="false">J1118+J1131+J1144+J1157</f>
        <v>250</v>
      </c>
      <c r="K1195" s="25" t="n">
        <f aca="false">K1118+K1131+K1144+K1157</f>
        <v>0</v>
      </c>
    </row>
    <row r="1196" customFormat="false" ht="15" hidden="false" customHeight="false" outlineLevel="0" collapsed="false">
      <c r="A1196" s="5" t="s">
        <v>314</v>
      </c>
      <c r="G1196" s="20" t="n">
        <f aca="false">IF(OR(G1191&gt;0.001,G1195&gt;0.001),1,0)</f>
        <v>0</v>
      </c>
      <c r="H1196" s="20" t="n">
        <f aca="false">IF(OR(H1191&gt;0.001,H1195&gt;0.001),1,0)</f>
        <v>1</v>
      </c>
      <c r="I1196" s="20" t="n">
        <f aca="false">IF(OR(I1191&gt;0.001,I1195&gt;0.001),1,0)</f>
        <v>1</v>
      </c>
      <c r="J1196" s="20" t="n">
        <f aca="false">IF(OR(J1191&gt;0.001,J1195&gt;0.001),1,0)</f>
        <v>1</v>
      </c>
      <c r="K1196" s="20" t="n">
        <f aca="false">IF(OR(K1191&gt;0.001,K1195&gt;0.001),1,0)</f>
        <v>1</v>
      </c>
    </row>
    <row r="1197" customFormat="false" ht="15" hidden="false" customHeight="false" outlineLevel="0" collapsed="false">
      <c r="A1197" s="5" t="s">
        <v>315</v>
      </c>
      <c r="G1197" s="20" t="n">
        <f aca="false">IF(G1196=1,1,0)</f>
        <v>0</v>
      </c>
      <c r="H1197" s="20" t="n">
        <f aca="false">IF(AND(H1196=1,SUM($G$1196:G1196)=0),1,0)</f>
        <v>1</v>
      </c>
      <c r="I1197" s="20" t="n">
        <f aca="false">IF(AND(I1196=1,SUM($G$1196:H1196)=0),1,0)</f>
        <v>0</v>
      </c>
      <c r="J1197" s="20" t="n">
        <f aca="false">IF(AND(J1196=1,SUM($G$1196:I1196)=0),1,0)</f>
        <v>0</v>
      </c>
      <c r="K1197" s="20" t="n">
        <f aca="false">IF(AND(K1196=1,SUM($G$1196:J1196)=0),1,0)</f>
        <v>0</v>
      </c>
    </row>
    <row r="1198" customFormat="false" ht="15" hidden="false" customHeight="false" outlineLevel="0" collapsed="false">
      <c r="A1198" s="5" t="s">
        <v>316</v>
      </c>
      <c r="G1198" s="25" t="n">
        <f aca="false">(G1160-F1160)-(G1187+G1087-G1185-G1189-G1193)</f>
        <v>0</v>
      </c>
      <c r="H1198" s="25" t="n">
        <f aca="false">(H1160-G1160)-(H1187+H1087-H1185-H1189-H1193)</f>
        <v>-4.52970994047064E-014</v>
      </c>
      <c r="I1198" s="25" t="n">
        <f aca="false">(I1160-H1160)-(I1187+I1087-I1185-I1189-I1193)</f>
        <v>1.82076576038526E-013</v>
      </c>
      <c r="J1198" s="25" t="n">
        <f aca="false">(J1160-I1160)-(J1187+J1087-J1185-J1189-J1193)</f>
        <v>-4.52970994047064E-014</v>
      </c>
      <c r="K1198" s="25" t="n">
        <f aca="false">(K1160-J1160)-(K1187+K1087-K1185-K1189-K1193)</f>
        <v>-4.52970994047064E-014</v>
      </c>
    </row>
    <row r="1200" customFormat="false" ht="15" hidden="false" customHeight="false" outlineLevel="0" collapsed="false">
      <c r="A1200" s="23" t="s">
        <v>318</v>
      </c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</row>
    <row r="1201" customFormat="false" ht="15" hidden="false" customHeight="false" outlineLevel="0" collapsed="false">
      <c r="A1201" s="5" t="s">
        <v>319</v>
      </c>
      <c r="G1201" s="25" t="n">
        <f aca="false">G1160</f>
        <v>1309.28</v>
      </c>
      <c r="H1201" s="25" t="n">
        <f aca="false">H1160</f>
        <v>1304.08</v>
      </c>
      <c r="I1201" s="25" t="n">
        <f aca="false">I1160</f>
        <v>1298.88</v>
      </c>
      <c r="J1201" s="25" t="n">
        <f aca="false">J1160</f>
        <v>1293.68</v>
      </c>
      <c r="K1201" s="25" t="n">
        <f aca="false">K1160</f>
        <v>1288.48</v>
      </c>
    </row>
    <row r="1202" customFormat="false" ht="15" hidden="false" customHeight="false" outlineLevel="0" collapsed="false">
      <c r="A1202" s="5" t="s">
        <v>320</v>
      </c>
      <c r="G1202" s="25" t="n">
        <f aca="false">Assumptions!$O$53*G1119+Assumptions!$O$54*G1132+Assumptions!$O$55*G1145+Assumptions!$O$56*G1158</f>
        <v>1009.28</v>
      </c>
      <c r="H1202" s="25" t="n">
        <f aca="false">Assumptions!$O$53*H1119+Assumptions!$O$54*H1132+Assumptions!$O$55*H1145+Assumptions!$O$56*H1158</f>
        <v>1004.08</v>
      </c>
      <c r="I1202" s="25" t="n">
        <f aca="false">Assumptions!$O$53*I1119+Assumptions!$O$54*I1132+Assumptions!$O$55*I1145+Assumptions!$O$56*I1158</f>
        <v>998.88</v>
      </c>
      <c r="J1202" s="25" t="n">
        <f aca="false">Assumptions!$O$53*J1119+Assumptions!$O$54*J1132+Assumptions!$O$55*J1145+Assumptions!$O$56*J1158</f>
        <v>993.68</v>
      </c>
      <c r="K1202" s="25" t="n">
        <f aca="false">Assumptions!$O$53*K1119+Assumptions!$O$54*K1132+Assumptions!$O$55*K1145+Assumptions!$O$56*K1158</f>
        <v>988.48</v>
      </c>
    </row>
    <row r="1203" customFormat="false" ht="15" hidden="false" customHeight="false" outlineLevel="0" collapsed="false">
      <c r="A1203" s="5" t="s">
        <v>321</v>
      </c>
      <c r="G1203" s="25" t="n">
        <f aca="false">G1201-G1194</f>
        <v>1309.28</v>
      </c>
      <c r="H1203" s="25" t="n">
        <f aca="false">H1201-H1194</f>
        <v>1412.1146</v>
      </c>
      <c r="I1203" s="25" t="n">
        <f aca="false">I1201-I1194</f>
        <v>1508.0771336</v>
      </c>
      <c r="J1203" s="25" t="n">
        <f aca="false">J1201-J1194</f>
        <v>1599.157017816</v>
      </c>
      <c r="K1203" s="25" t="n">
        <f aca="false">K1201-K1194</f>
        <v>1685.44409175032</v>
      </c>
    </row>
    <row r="1204" customFormat="false" ht="15" hidden="false" customHeight="false" outlineLevel="0" collapsed="false">
      <c r="A1204" s="5" t="s">
        <v>322</v>
      </c>
      <c r="G1204" s="31" t="n">
        <f aca="false">IF(G1082&gt;0,G1201/G1082,0)</f>
        <v>22.0417508417508</v>
      </c>
      <c r="H1204" s="31" t="n">
        <f aca="false">IF(H1082&gt;0,H1201/H1082,0)</f>
        <v>20.5333041098099</v>
      </c>
      <c r="I1204" s="31" t="n">
        <f aca="false">IF(I1082&gt;0,I1201/I1082,0)</f>
        <v>19.2333177355818</v>
      </c>
      <c r="J1204" s="31" t="n">
        <f aca="false">IF(J1082&gt;0,J1201/J1082,0)</f>
        <v>18.1014410449308</v>
      </c>
      <c r="K1204" s="31" t="n">
        <f aca="false">IF(K1082&gt;0,K1201/K1082,0)</f>
        <v>17.1071052430018</v>
      </c>
    </row>
    <row r="1205" customFormat="false" ht="15" hidden="false" customHeight="false" outlineLevel="0" collapsed="false">
      <c r="A1205" s="5" t="s">
        <v>323</v>
      </c>
      <c r="G1205" s="31" t="n">
        <f aca="false">IF(G1082&gt;0,G1203/G1082,0)</f>
        <v>22.0417508417508</v>
      </c>
      <c r="H1205" s="31" t="n">
        <f aca="false">IF(H1082&gt;0,H1203/H1082,0)</f>
        <v>22.2343556527993</v>
      </c>
      <c r="I1205" s="31" t="n">
        <f aca="false">IF(I1082&gt;0,I1203/I1082,0)</f>
        <v>22.3310287942644</v>
      </c>
      <c r="J1205" s="31" t="n">
        <f aca="false">IF(J1082&gt;0,J1203/J1082,0)</f>
        <v>22.3757393478941</v>
      </c>
      <c r="K1205" s="31" t="n">
        <f aca="false">IF(K1082&gt;0,K1203/K1082,0)</f>
        <v>22.3775840205268</v>
      </c>
    </row>
    <row r="1206" customFormat="false" ht="15" hidden="false" customHeight="false" outlineLevel="0" collapsed="false">
      <c r="A1206" s="5" t="s">
        <v>324</v>
      </c>
      <c r="G1206" s="31" t="n">
        <f aca="false">IF(G1086&gt;0,G1082/G1086,0)</f>
        <v>0.498991935483871</v>
      </c>
      <c r="H1206" s="31" t="n">
        <f aca="false">IF(H1086&gt;0,H1082/H1086,0)</f>
        <v>0.519932136720734</v>
      </c>
      <c r="I1206" s="31" t="n">
        <f aca="false">IF(I1086&gt;0,I1082/I1086,0)</f>
        <v>0.563978077172841</v>
      </c>
      <c r="J1206" s="31" t="n">
        <f aca="false">IF(J1086&gt;0,J1082/J1086,0)</f>
        <v>0.599395266386926</v>
      </c>
      <c r="K1206" s="31" t="n">
        <f aca="false">IF(K1086&gt;0,K1082/K1086,0)</f>
        <v>0.634396646353642</v>
      </c>
    </row>
    <row r="1207" customFormat="false" ht="15" hidden="false" customHeight="false" outlineLevel="0" collapsed="false">
      <c r="A1207" s="5" t="s">
        <v>325</v>
      </c>
      <c r="G1207" s="31" t="n">
        <f aca="false">IF(G1086&gt;0,G1085/G1086,0)</f>
        <v>0.0598790322580646</v>
      </c>
      <c r="H1207" s="31" t="n">
        <f aca="false">IF(H1086&gt;0,H1085/H1086,0)</f>
        <v>0.0962837290223582</v>
      </c>
      <c r="I1207" s="31" t="n">
        <f aca="false">IF(I1086&gt;0,I1085/I1086,0)</f>
        <v>0.136132639317583</v>
      </c>
      <c r="J1207" s="31" t="n">
        <f aca="false">IF(J1086&gt;0,J1085/J1086,0)</f>
        <v>0.174017980563946</v>
      </c>
      <c r="K1207" s="31" t="n">
        <f aca="false">IF(K1086&gt;0,K1085/K1086,0)</f>
        <v>0.211465548784547</v>
      </c>
    </row>
    <row r="1208" customFormat="false" ht="15" hidden="false" customHeight="false" outlineLevel="0" collapsed="false">
      <c r="A1208" s="5" t="s">
        <v>182</v>
      </c>
      <c r="G1208" s="21" t="n">
        <f aca="false">IF(G1201&gt;0,G1095/G1201,0)</f>
        <v>-0.0796468287913968</v>
      </c>
      <c r="H1208" s="21" t="n">
        <f aca="false">IF(H1201&gt;0,H1095/H1201,0)</f>
        <v>-0.0788560517759647</v>
      </c>
      <c r="I1208" s="21" t="n">
        <f aca="false">IF(I1201&gt;0,I1095/I1201,0)</f>
        <v>-0.0738809848484848</v>
      </c>
      <c r="J1208" s="21" t="n">
        <f aca="false">IF(J1201&gt;0,J1095/J1201,0)</f>
        <v>-0.0704037197885103</v>
      </c>
      <c r="K1208" s="21" t="n">
        <f aca="false">IF(K1201&gt;0,K1095/K1201,0)</f>
        <v>-0.0669681127641252</v>
      </c>
    </row>
    <row r="1209" customFormat="false" ht="15" hidden="false" customHeight="false" outlineLevel="0" collapsed="false">
      <c r="A1209" s="5" t="s">
        <v>326</v>
      </c>
      <c r="G1209" s="31" t="n">
        <f aca="false">IF(G1086+G1185&gt;0,(G1082-G1093-G1090)/(G1086+G1185),0)</f>
        <v>0.0956213779781069</v>
      </c>
      <c r="H1209" s="31" t="n">
        <f aca="false">IF(H1086+H1185&gt;0,(H1082-H1093-H1090)/(H1086+H1185),0)</f>
        <v>0.129293197063748</v>
      </c>
      <c r="I1209" s="31" t="n">
        <f aca="false">IF(I1086+I1185&gt;0,(I1082-I1093-I1090)/(I1086+I1185),0)</f>
        <v>0.167743245596736</v>
      </c>
      <c r="J1209" s="31" t="n">
        <f aca="false">IF(J1086+J1185&gt;0,(J1082-J1093-J1090)/(J1086+J1185),0)</f>
        <v>0.20380055579629</v>
      </c>
      <c r="K1209" s="31" t="n">
        <f aca="false">IF(K1086+K1185&gt;0,(K1082-K1093-K1090)/(K1086+K1185),0)</f>
        <v>0.239427186274092</v>
      </c>
    </row>
    <row r="1210" customFormat="false" ht="15" hidden="false" customHeight="false" outlineLevel="0" collapsed="false">
      <c r="A1210" s="5" t="s">
        <v>327</v>
      </c>
      <c r="G1210" s="25" t="n">
        <f aca="false">MAX(0,G1194)+Assumptions!$P$53*MAX(0,Assumptions!$D$53-G1119)+Assumptions!$P$54*MAX(0,Assumptions!$D$54-G1132)+Assumptions!$P$55*MAX(0,Assumptions!$D$55-G1145)+Assumptions!$P$56*MAX(0,Assumptions!$D$56-G1158)</f>
        <v>55.52</v>
      </c>
      <c r="H1210" s="25" t="n">
        <f aca="false">MAX(0,H1194)+Assumptions!$P$53*MAX(0,Assumptions!$D$53-H1119)+Assumptions!$P$54*MAX(0,Assumptions!$D$54-H1132)+Assumptions!$P$55*MAX(0,Assumptions!$D$55-H1145)+Assumptions!$P$56*MAX(0,Assumptions!$D$56-H1158)</f>
        <v>55.52</v>
      </c>
      <c r="I1210" s="25" t="n">
        <f aca="false">MAX(0,I1194)+Assumptions!$P$53*MAX(0,Assumptions!$D$53-I1119)+Assumptions!$P$54*MAX(0,Assumptions!$D$54-I1132)+Assumptions!$P$55*MAX(0,Assumptions!$D$55-I1145)+Assumptions!$P$56*MAX(0,Assumptions!$D$56-I1158)</f>
        <v>55.52</v>
      </c>
      <c r="J1210" s="25" t="n">
        <f aca="false">MAX(0,J1194)+Assumptions!$P$53*MAX(0,Assumptions!$D$53-J1119)+Assumptions!$P$54*MAX(0,Assumptions!$D$54-J1132)+Assumptions!$P$55*MAX(0,Assumptions!$D$55-J1145)+Assumptions!$P$56*MAX(0,Assumptions!$D$56-J1158)</f>
        <v>55.52</v>
      </c>
      <c r="K1210" s="25" t="n">
        <f aca="false">MAX(0,K1194)+Assumptions!$P$53*MAX(0,Assumptions!$D$53-K1119)+Assumptions!$P$54*MAX(0,Assumptions!$D$54-K1132)+Assumptions!$P$55*MAX(0,Assumptions!$D$55-K1145)+Assumptions!$P$56*MAX(0,Assumptions!$D$56-K1158)</f>
        <v>55.52</v>
      </c>
    </row>
    <row r="1211" customFormat="false" ht="15" hidden="false" customHeight="false" outlineLevel="0" collapsed="false">
      <c r="A1211" s="5" t="s">
        <v>328</v>
      </c>
      <c r="G1211" s="21" t="n">
        <f aca="false">IF(G1201&gt;0,G1201/(G1201+MAX(0,G1082*CHOOSE($C$1065,Assumptions!$C$76,Assumptions!$C$95,Assumptions!$C$114)-G1203)),0)</f>
        <v>1</v>
      </c>
      <c r="H1211" s="21" t="n">
        <f aca="false">IF(H1201&gt;0,H1201/(H1201+MAX(0,H1082*CHOOSE($C$1065,Assumptions!$C$76,Assumptions!$C$95,Assumptions!$C$114)-H1203)),0)</f>
        <v>1</v>
      </c>
      <c r="I1211" s="21" t="n">
        <f aca="false">IF(I1201&gt;0,I1201/(I1201+MAX(0,I1082*CHOOSE($C$1065,Assumptions!$C$76,Assumptions!$C$95,Assumptions!$C$114)-I1203)),0)</f>
        <v>1</v>
      </c>
      <c r="J1211" s="21" t="n">
        <f aca="false">IF(J1201&gt;0,J1201/(J1201+MAX(0,J1082*CHOOSE($C$1065,Assumptions!$C$76,Assumptions!$C$95,Assumptions!$C$114)-J1203)),0)</f>
        <v>1</v>
      </c>
      <c r="K1211" s="21" t="n">
        <f aca="false">IF(K1201&gt;0,K1201/(K1201+MAX(0,K1082*CHOOSE($C$1065,Assumptions!$C$76,Assumptions!$C$95,Assumptions!$C$114)-K1203)),0)</f>
        <v>1</v>
      </c>
    </row>
    <row r="1212" customFormat="false" ht="15" hidden="false" customHeight="false" outlineLevel="0" collapsed="false">
      <c r="A1212" s="5" t="s">
        <v>329</v>
      </c>
      <c r="G1212" s="21" t="n">
        <f aca="false">IF(G1201&gt;0,MAX(0,G1194)/G1201,0)</f>
        <v>0</v>
      </c>
      <c r="H1212" s="21" t="n">
        <f aca="false">IF(H1201&gt;0,MAX(0,H1194)/H1201,0)</f>
        <v>0</v>
      </c>
      <c r="I1212" s="21" t="n">
        <f aca="false">IF(I1201&gt;0,MAX(0,I1194)/I1201,0)</f>
        <v>0</v>
      </c>
      <c r="J1212" s="21" t="n">
        <f aca="false">IF(J1201&gt;0,MAX(0,J1194)/J1201,0)</f>
        <v>0</v>
      </c>
      <c r="K1212" s="21" t="n">
        <f aca="false">IF(K1201&gt;0,MAX(0,K1194)/K1201,0)</f>
        <v>0</v>
      </c>
    </row>
    <row r="1213" customFormat="false" ht="15" hidden="false" customHeight="false" outlineLevel="0" collapsed="false">
      <c r="A1213" s="5" t="s">
        <v>330</v>
      </c>
      <c r="G1213" s="25" t="n">
        <f aca="false">Assumptions!$C$27*(1-CHOOSE($C$1065,Assumptions!$C$79,Assumptions!$C$98,Assumptions!$C$117))</f>
        <v>1040</v>
      </c>
      <c r="H1213" s="25" t="n">
        <f aca="false">Assumptions!$C$27*(1-CHOOSE($C$1065,Assumptions!$C$79,Assumptions!$C$98,Assumptions!$C$117))</f>
        <v>1040</v>
      </c>
      <c r="I1213" s="25" t="n">
        <f aca="false">Assumptions!$C$27*(1-CHOOSE($C$1065,Assumptions!$C$79,Assumptions!$C$98,Assumptions!$C$117))</f>
        <v>1040</v>
      </c>
      <c r="J1213" s="25" t="n">
        <f aca="false">Assumptions!$C$27*(1-CHOOSE($C$1065,Assumptions!$C$79,Assumptions!$C$98,Assumptions!$C$117))</f>
        <v>1040</v>
      </c>
      <c r="K1213" s="25" t="n">
        <f aca="false">Assumptions!$C$27*(1-CHOOSE($C$1065,Assumptions!$C$79,Assumptions!$C$98,Assumptions!$C$117))</f>
        <v>1040</v>
      </c>
    </row>
    <row r="1214" customFormat="false" ht="15" hidden="false" customHeight="false" outlineLevel="0" collapsed="false">
      <c r="A1214" s="23" t="s">
        <v>331</v>
      </c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</row>
    <row r="1215" customFormat="false" ht="15" hidden="false" customHeight="false" outlineLevel="0" collapsed="false">
      <c r="A1215" s="23" t="s">
        <v>332</v>
      </c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</row>
    <row r="1216" customFormat="false" ht="15" hidden="false" customHeight="false" outlineLevel="0" collapsed="false">
      <c r="A1216" s="5" t="s">
        <v>333</v>
      </c>
      <c r="G1216" s="31" t="n">
        <f aca="false">IF(G1082&gt;0,G1203/G1082,99)</f>
        <v>22.0417508417508</v>
      </c>
      <c r="H1216" s="31" t="n">
        <f aca="false">IF(H1082&gt;0,H1203/H1082,99)</f>
        <v>22.2343556527993</v>
      </c>
      <c r="I1216" s="31" t="n">
        <f aca="false">IF(I1082&gt;0,I1203/I1082,99)</f>
        <v>22.3310287942644</v>
      </c>
      <c r="J1216" s="31" t="n">
        <f aca="false">IF(J1082&gt;0,J1203/J1082,99)</f>
        <v>22.3757393478941</v>
      </c>
      <c r="K1216" s="31" t="n">
        <f aca="false">IF(K1082&gt;0,K1203/K1082,99)</f>
        <v>22.3775840205268</v>
      </c>
    </row>
    <row r="1217" customFormat="false" ht="15" hidden="false" customHeight="false" outlineLevel="0" collapsed="false">
      <c r="A1217" s="5" t="s">
        <v>334</v>
      </c>
      <c r="G1217" s="32" t="n">
        <f aca="false">Assumptions!$G$61</f>
        <v>8.5</v>
      </c>
      <c r="H1217" s="32" t="n">
        <f aca="false">Assumptions!$H$61</f>
        <v>8.5</v>
      </c>
      <c r="I1217" s="32" t="n">
        <f aca="false">Assumptions!$I$61</f>
        <v>8.5</v>
      </c>
      <c r="J1217" s="32" t="n">
        <f aca="false">Assumptions!$J$61</f>
        <v>8.5</v>
      </c>
      <c r="K1217" s="32" t="n">
        <f aca="false">Assumptions!$K$61</f>
        <v>8.5</v>
      </c>
    </row>
    <row r="1218" customFormat="false" ht="15" hidden="false" customHeight="false" outlineLevel="0" collapsed="false">
      <c r="A1218" s="5" t="s">
        <v>335</v>
      </c>
      <c r="G1218" s="31" t="n">
        <f aca="false">G1217-G1216</f>
        <v>-13.5417508417508</v>
      </c>
      <c r="H1218" s="31" t="n">
        <f aca="false">H1217-H1216</f>
        <v>-13.7343556527993</v>
      </c>
      <c r="I1218" s="31" t="n">
        <f aca="false">I1217-I1216</f>
        <v>-13.8310287942644</v>
      </c>
      <c r="J1218" s="31" t="n">
        <f aca="false">J1217-J1216</f>
        <v>-13.8757393478941</v>
      </c>
      <c r="K1218" s="31" t="n">
        <f aca="false">K1217-K1216</f>
        <v>-13.8775840205268</v>
      </c>
    </row>
    <row r="1219" customFormat="false" ht="15" hidden="false" customHeight="false" outlineLevel="0" collapsed="false">
      <c r="A1219" s="5" t="s">
        <v>336</v>
      </c>
      <c r="G1219" s="21" t="n">
        <f aca="false">IF(G1217=0,0,G1218/ABS(G1217))</f>
        <v>-1.59314715785304</v>
      </c>
      <c r="H1219" s="21" t="n">
        <f aca="false">IF(H1217=0,0,H1218/ABS(H1217))</f>
        <v>-1.61580654738816</v>
      </c>
      <c r="I1219" s="21" t="n">
        <f aca="false">IF(I1217=0,0,I1218/ABS(I1217))</f>
        <v>-1.62717985814876</v>
      </c>
      <c r="J1219" s="21" t="n">
        <f aca="false">IF(J1217=0,0,J1218/ABS(J1217))</f>
        <v>-1.63243992328166</v>
      </c>
      <c r="K1219" s="21" t="n">
        <f aca="false">IF(K1217=0,0,K1218/ABS(K1217))</f>
        <v>-1.63265694359139</v>
      </c>
    </row>
    <row r="1220" customFormat="false" ht="15" hidden="false" customHeight="false" outlineLevel="0" collapsed="false">
      <c r="A1220" s="5" t="s">
        <v>337</v>
      </c>
      <c r="G1220" s="20" t="n">
        <f aca="false">IF(G1218&lt;0,1,0)</f>
        <v>1</v>
      </c>
      <c r="H1220" s="20" t="n">
        <f aca="false">IF(H1218&lt;0,1,0)</f>
        <v>1</v>
      </c>
      <c r="I1220" s="20" t="n">
        <f aca="false">IF(I1218&lt;0,1,0)</f>
        <v>1</v>
      </c>
      <c r="J1220" s="20" t="n">
        <f aca="false">IF(J1218&lt;0,1,0)</f>
        <v>1</v>
      </c>
      <c r="K1220" s="20" t="n">
        <f aca="false">IF(K1218&lt;0,1,0)</f>
        <v>1</v>
      </c>
    </row>
    <row r="1221" customFormat="false" ht="15" hidden="false" customHeight="false" outlineLevel="0" collapsed="false">
      <c r="A1221" s="5" t="s">
        <v>338</v>
      </c>
      <c r="C1221" s="20" t="n">
        <f aca="false">IFERROR(INDEX($G$1072:$K$1072,MATCH(1,$G$1220:$K$1220,0)),0)</f>
        <v>2026</v>
      </c>
    </row>
    <row r="1222" customFormat="false" ht="15" hidden="false" customHeight="false" outlineLevel="0" collapsed="false">
      <c r="A1222" s="5" t="s">
        <v>339</v>
      </c>
      <c r="C1222" s="21" t="n">
        <f aca="false">MIN($G$1219:$K$1219)</f>
        <v>-1.63265694359139</v>
      </c>
    </row>
    <row r="1223" customFormat="false" ht="15" hidden="false" customHeight="false" outlineLevel="0" collapsed="false">
      <c r="A1223" s="5" t="s">
        <v>340</v>
      </c>
      <c r="G1223" s="20" t="n">
        <f aca="false">G1220</f>
        <v>1</v>
      </c>
      <c r="H1223" s="20" t="n">
        <f aca="false">H1220</f>
        <v>1</v>
      </c>
      <c r="I1223" s="20" t="n">
        <f aca="false">I1220</f>
        <v>1</v>
      </c>
      <c r="J1223" s="20" t="n">
        <f aca="false">J1220</f>
        <v>1</v>
      </c>
      <c r="K1223" s="20" t="n">
        <f aca="false">K1220</f>
        <v>1</v>
      </c>
    </row>
    <row r="1224" customFormat="false" ht="15" hidden="false" customHeight="false" outlineLevel="0" collapsed="false">
      <c r="A1224" s="5" t="s">
        <v>341</v>
      </c>
      <c r="C1224" s="20" t="n">
        <f aca="false">SUM($G$1223:$K$1223)</f>
        <v>5</v>
      </c>
    </row>
    <row r="1225" customFormat="false" ht="15" hidden="false" customHeight="false" outlineLevel="0" collapsed="false">
      <c r="A1225" s="5" t="s">
        <v>342</v>
      </c>
      <c r="C1225" s="21" t="n">
        <f aca="false">MIN(C1222)</f>
        <v>-1.63265694359139</v>
      </c>
    </row>
    <row r="1227" customFormat="false" ht="15" hidden="false" customHeight="false" outlineLevel="0" collapsed="false">
      <c r="A1227" s="23" t="s">
        <v>444</v>
      </c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</row>
    <row r="1228" customFormat="false" ht="15" hidden="false" customHeight="false" outlineLevel="0" collapsed="false">
      <c r="A1228" s="5" t="s">
        <v>445</v>
      </c>
      <c r="G1228" s="20" t="n">
        <f aca="false">IF($C$1229=1,G1197,IF(G1082=MIN($G$1082:$K$1082),1,0))</f>
        <v>0</v>
      </c>
      <c r="H1228" s="20" t="n">
        <f aca="false">IF($C$1229=1,H1197,IF(AND(H1082=MIN($G$1082:$K$1082),SUM($G$1228:G1228)=0),1,0))</f>
        <v>1</v>
      </c>
      <c r="I1228" s="20" t="n">
        <f aca="false">IF($C$1229=1,I1197,IF(AND(I1082=MIN($G$1082:$K$1082),SUM($G$1228:H1228)=0),1,0))</f>
        <v>0</v>
      </c>
      <c r="J1228" s="20" t="n">
        <f aca="false">IF($C$1229=1,J1197,IF(AND(J1082=MIN($G$1082:$K$1082),SUM($G$1228:I1228)=0),1,0))</f>
        <v>0</v>
      </c>
      <c r="K1228" s="20" t="n">
        <f aca="false">IF($C$1229=1,K1197,IF(AND(K1082=MIN($G$1082:$K$1082),SUM($G$1228:J1228)=0),1,0))</f>
        <v>0</v>
      </c>
    </row>
    <row r="1229" customFormat="false" ht="15" hidden="false" customHeight="false" outlineLevel="0" collapsed="false">
      <c r="A1229" s="5" t="s">
        <v>446</v>
      </c>
      <c r="C1229" s="20" t="n">
        <f aca="false">IF(SUM($G$1197:$K$1197)&gt;0,1,0)</f>
        <v>1</v>
      </c>
    </row>
    <row r="1230" customFormat="false" ht="15" hidden="false" customHeight="false" outlineLevel="0" collapsed="false">
      <c r="A1230" s="5" t="s">
        <v>447</v>
      </c>
      <c r="C1230" s="20" t="n">
        <f aca="false">SUMPRODUCT($G$1228:$K$1228,$G$1072:$K$1072)</f>
        <v>2027</v>
      </c>
    </row>
    <row r="1231" customFormat="false" ht="15" hidden="false" customHeight="false" outlineLevel="0" collapsed="false">
      <c r="A1231" s="5" t="s">
        <v>448</v>
      </c>
      <c r="C1231" s="25" t="n">
        <f aca="false">SUMPRODUCT($G$1228:$K$1228,$G$1082:$K$1082)</f>
        <v>63.51048</v>
      </c>
    </row>
    <row r="1232" customFormat="false" ht="15" hidden="false" customHeight="false" outlineLevel="0" collapsed="false">
      <c r="A1232" s="5" t="s">
        <v>449</v>
      </c>
      <c r="C1232" s="25" t="n">
        <f aca="false">MAX(0,SUMPRODUCT($G$1228:$K$1228,$G$1194:$K$1194))</f>
        <v>0</v>
      </c>
    </row>
    <row r="1233" customFormat="false" ht="15" hidden="false" customHeight="false" outlineLevel="0" collapsed="false">
      <c r="A1233" s="5" t="s">
        <v>450</v>
      </c>
      <c r="C1233" s="25" t="n">
        <f aca="false">(CHOOSE($C$1065,Assumptions!$C$78,Assumptions!$C$97,Assumptions!$C$116)+$C$1069)*C1231</f>
        <v>254.04192</v>
      </c>
    </row>
    <row r="1234" customFormat="false" ht="15" hidden="false" customHeight="false" outlineLevel="0" collapsed="false">
      <c r="A1234" s="5" t="s">
        <v>451</v>
      </c>
      <c r="C1234" s="25" t="n">
        <f aca="false">Assumptions!$C$27*(1-CHOOSE($C$1065,Assumptions!$C$79,Assumptions!$C$98,Assumptions!$C$117))*CHOOSE($C$1065,Assumptions!$C$80,Assumptions!$C$99,Assumptions!$C$118)</f>
        <v>624</v>
      </c>
    </row>
    <row r="1235" customFormat="false" ht="15" hidden="false" customHeight="false" outlineLevel="0" collapsed="false">
      <c r="A1235" s="5" t="s">
        <v>452</v>
      </c>
      <c r="C1235" s="25" t="n">
        <f aca="false">MAX(C1233,C1234)+C1232</f>
        <v>624</v>
      </c>
    </row>
    <row r="1236" customFormat="false" ht="15" hidden="false" customHeight="false" outlineLevel="0" collapsed="false">
      <c r="A1236" s="2" t="s">
        <v>453</v>
      </c>
      <c r="C1236" s="16" t="n">
        <f aca="false">IF(ISNUMBER(Assumptions!$C$14),Assumptions!$C$14,C1235)</f>
        <v>624</v>
      </c>
    </row>
    <row r="1237" customFormat="false" ht="15" hidden="false" customHeight="false" outlineLevel="0" collapsed="false">
      <c r="A1237" s="5" t="s">
        <v>454</v>
      </c>
      <c r="C1237" s="25" t="n">
        <f aca="false">C1236*Assumptions!$C$15</f>
        <v>24.96</v>
      </c>
    </row>
    <row r="1238" customFormat="false" ht="15" hidden="false" customHeight="false" outlineLevel="0" collapsed="false">
      <c r="A1238" s="2" t="s">
        <v>455</v>
      </c>
      <c r="C1238" s="16" t="n">
        <f aca="false">C1236-C1237</f>
        <v>599.04</v>
      </c>
    </row>
    <row r="1239" customFormat="false" ht="15" hidden="false" customHeight="false" outlineLevel="0" collapsed="false">
      <c r="A1239" s="23" t="s">
        <v>456</v>
      </c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</row>
    <row r="1240" customFormat="false" ht="15" hidden="false" customHeight="false" outlineLevel="0" collapsed="false">
      <c r="A1240" s="5" t="s">
        <v>457</v>
      </c>
      <c r="C1240" s="25" t="n">
        <f aca="false">SUMPRODUCT($G$1228:$K$1228,$G$1119:$K$1119)*(1+SUMPRODUCT($G$1228:$K$1228,$G$1111:$K$1111)*Assumptions!$C$16/12)</f>
        <v>249.58352</v>
      </c>
    </row>
    <row r="1241" customFormat="false" ht="15" hidden="false" customHeight="false" outlineLevel="0" collapsed="false">
      <c r="A1241" s="5" t="s">
        <v>458</v>
      </c>
      <c r="C1241" s="25" t="n">
        <f aca="false">SUMPRODUCT($G$1228:$K$1228,$G$1132:$K$1132)*(1+SUMPRODUCT($G$1228:$K$1228,$G$1124:$K$1124)*Assumptions!$C$16/12)</f>
        <v>522.4037</v>
      </c>
    </row>
    <row r="1242" customFormat="false" ht="15" hidden="false" customHeight="false" outlineLevel="0" collapsed="false">
      <c r="A1242" s="5" t="s">
        <v>459</v>
      </c>
      <c r="C1242" s="25" t="n">
        <f aca="false">SUMPRODUCT($G$1228:$K$1228,$G$1145:$K$1145)*(1+SUMPRODUCT($G$1228:$K$1228,$G$1137:$K$1137)*Assumptions!$C$16/12)</f>
        <v>256.875</v>
      </c>
    </row>
    <row r="1243" customFormat="false" ht="15" hidden="false" customHeight="false" outlineLevel="0" collapsed="false">
      <c r="A1243" s="5" t="s">
        <v>460</v>
      </c>
      <c r="C1243" s="25" t="n">
        <f aca="false">SUMPRODUCT($G$1228:$K$1228,$G$1158:$K$1158)*(1+SUMPRODUCT($G$1228:$K$1228,$G$1150:$K$1150)*Assumptions!$C$16/12)</f>
        <v>305.625</v>
      </c>
    </row>
    <row r="1244" customFormat="false" ht="15" hidden="false" customHeight="false" outlineLevel="0" collapsed="false">
      <c r="A1244" s="23" t="s">
        <v>461</v>
      </c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</row>
    <row r="1245" customFormat="false" ht="15" hidden="false" customHeight="false" outlineLevel="0" collapsed="false">
      <c r="A1245" s="5" t="s">
        <v>457</v>
      </c>
      <c r="C1245" s="26" t="n">
        <f aca="false">Assumptions!$M$53</f>
        <v>1</v>
      </c>
    </row>
    <row r="1246" customFormat="false" ht="15" hidden="false" customHeight="false" outlineLevel="0" collapsed="false">
      <c r="A1246" s="5" t="s">
        <v>458</v>
      </c>
      <c r="C1246" s="26" t="n">
        <f aca="false">Assumptions!$M$54</f>
        <v>2</v>
      </c>
    </row>
    <row r="1247" customFormat="false" ht="15" hidden="false" customHeight="false" outlineLevel="0" collapsed="false">
      <c r="A1247" s="5" t="s">
        <v>459</v>
      </c>
      <c r="C1247" s="26" t="n">
        <f aca="false">Assumptions!$M$55</f>
        <v>3</v>
      </c>
    </row>
    <row r="1248" customFormat="false" ht="15" hidden="false" customHeight="false" outlineLevel="0" collapsed="false">
      <c r="A1248" s="5" t="s">
        <v>460</v>
      </c>
      <c r="C1248" s="26" t="n">
        <f aca="false">Assumptions!$M$56</f>
        <v>4</v>
      </c>
    </row>
    <row r="1249" customFormat="false" ht="15" hidden="false" customHeight="false" outlineLevel="0" collapsed="false">
      <c r="A1249" s="23" t="s">
        <v>462</v>
      </c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</row>
    <row r="1250" customFormat="false" ht="15" hidden="false" customHeight="false" outlineLevel="0" collapsed="false">
      <c r="A1250" s="5" t="s">
        <v>457</v>
      </c>
      <c r="C1250" s="34" t="n">
        <f aca="false">Assumptions!$Q$53</f>
        <v>0</v>
      </c>
    </row>
    <row r="1251" customFormat="false" ht="15" hidden="false" customHeight="false" outlineLevel="0" collapsed="false">
      <c r="A1251" s="5" t="s">
        <v>458</v>
      </c>
      <c r="C1251" s="34" t="n">
        <f aca="false">Assumptions!$Q$54</f>
        <v>0</v>
      </c>
    </row>
    <row r="1252" customFormat="false" ht="15" hidden="false" customHeight="false" outlineLevel="0" collapsed="false">
      <c r="A1252" s="5" t="s">
        <v>459</v>
      </c>
      <c r="C1252" s="34" t="n">
        <f aca="false">Assumptions!$Q$55</f>
        <v>0</v>
      </c>
    </row>
    <row r="1253" customFormat="false" ht="15" hidden="false" customHeight="false" outlineLevel="0" collapsed="false">
      <c r="A1253" s="5" t="s">
        <v>460</v>
      </c>
      <c r="C1253" s="34" t="n">
        <f aca="false">Assumptions!$Q$56</f>
        <v>0</v>
      </c>
    </row>
    <row r="1254" customFormat="false" ht="15" hidden="false" customHeight="false" outlineLevel="0" collapsed="false">
      <c r="A1254" s="23" t="s">
        <v>463</v>
      </c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</row>
    <row r="1255" customFormat="false" ht="15" hidden="false" customHeight="false" outlineLevel="0" collapsed="false">
      <c r="A1255" s="5" t="s">
        <v>457</v>
      </c>
      <c r="C1255" s="25" t="n">
        <f aca="false">IF(C1250&gt;0,MIN(C1240,C1250*$C$1238),0)</f>
        <v>0</v>
      </c>
    </row>
    <row r="1256" customFormat="false" ht="15" hidden="false" customHeight="false" outlineLevel="0" collapsed="false">
      <c r="A1256" s="5" t="s">
        <v>458</v>
      </c>
      <c r="C1256" s="25" t="n">
        <f aca="false">IF(C1251&gt;0,MIN(C1241,C1251*$C$1238),0)</f>
        <v>0</v>
      </c>
    </row>
    <row r="1257" customFormat="false" ht="15" hidden="false" customHeight="false" outlineLevel="0" collapsed="false">
      <c r="A1257" s="5" t="s">
        <v>459</v>
      </c>
      <c r="C1257" s="25" t="n">
        <f aca="false">IF(C1252&gt;0,MIN(C1242,C1252*$C$1238),0)</f>
        <v>0</v>
      </c>
    </row>
    <row r="1258" customFormat="false" ht="15" hidden="false" customHeight="false" outlineLevel="0" collapsed="false">
      <c r="A1258" s="5" t="s">
        <v>460</v>
      </c>
      <c r="C1258" s="25" t="n">
        <f aca="false">IF(C1253&gt;0,MIN(C1243,C1253*$C$1238),0)</f>
        <v>0</v>
      </c>
    </row>
    <row r="1259" customFormat="false" ht="15" hidden="false" customHeight="false" outlineLevel="0" collapsed="false">
      <c r="A1259" s="23" t="s">
        <v>464</v>
      </c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</row>
    <row r="1260" customFormat="false" ht="15" hidden="false" customHeight="false" outlineLevel="0" collapsed="false">
      <c r="A1260" s="5" t="s">
        <v>457</v>
      </c>
      <c r="C1260" s="25" t="n">
        <f aca="false">IF(C1250&gt;0,C1240-C1255,0)</f>
        <v>0</v>
      </c>
      <c r="G1260" s="20" t="n">
        <f aca="false">IF(AND(G1109=1,G1106=1),1,0)</f>
        <v>0</v>
      </c>
      <c r="H1260" s="20" t="n">
        <f aca="false">IF(G1260=1,1,IF(AND(H1109=1,H1106=1),1,0))</f>
        <v>0</v>
      </c>
      <c r="I1260" s="20" t="n">
        <f aca="false">IF(H1260=1,1,IF(AND(I1109=1,I1106=1),1,0))</f>
        <v>0</v>
      </c>
      <c r="J1260" s="20" t="n">
        <f aca="false">IF(I1260=1,1,IF(AND(J1109=1,J1106=1),1,0))</f>
        <v>0</v>
      </c>
      <c r="K1260" s="20" t="n">
        <f aca="false">IF(J1260=1,1,IF(AND(K1109=1,K1106=1),1,0))</f>
        <v>0</v>
      </c>
    </row>
    <row r="1261" customFormat="false" ht="15" hidden="false" customHeight="false" outlineLevel="0" collapsed="false">
      <c r="A1261" s="5" t="s">
        <v>458</v>
      </c>
      <c r="C1261" s="25" t="n">
        <f aca="false">IF(C1251&gt;0,C1241-C1256,0)</f>
        <v>0</v>
      </c>
      <c r="G1261" s="20" t="n">
        <f aca="false">IF(AND(G1122=1,G1106=1),1,0)</f>
        <v>0</v>
      </c>
      <c r="H1261" s="20" t="n">
        <f aca="false">IF(G1261=1,1,IF(AND(H1122=1,H1106=1),1,0))</f>
        <v>0</v>
      </c>
      <c r="I1261" s="20" t="n">
        <f aca="false">IF(H1261=1,1,IF(AND(I1122=1,I1106=1),1,0))</f>
        <v>0</v>
      </c>
      <c r="J1261" s="20" t="n">
        <f aca="false">IF(I1261=1,1,IF(AND(J1122=1,J1106=1),1,0))</f>
        <v>0</v>
      </c>
      <c r="K1261" s="20" t="n">
        <f aca="false">IF(J1261=1,1,IF(AND(K1122=1,K1106=1),1,0))</f>
        <v>0</v>
      </c>
    </row>
    <row r="1262" customFormat="false" ht="15" hidden="false" customHeight="false" outlineLevel="0" collapsed="false">
      <c r="A1262" s="5" t="s">
        <v>459</v>
      </c>
      <c r="C1262" s="25" t="n">
        <f aca="false">IF(C1252&gt;0,C1242-C1257,0)</f>
        <v>0</v>
      </c>
      <c r="G1262" s="20" t="n">
        <f aca="false">IF(AND(G1135=1,G1106=1),1,0)</f>
        <v>0</v>
      </c>
      <c r="H1262" s="20" t="n">
        <f aca="false">IF(G1262=1,1,IF(AND(H1135=1,H1106=1),1,0))</f>
        <v>0</v>
      </c>
      <c r="I1262" s="20" t="n">
        <f aca="false">IF(H1262=1,1,IF(AND(I1135=1,I1106=1),1,0))</f>
        <v>0</v>
      </c>
      <c r="J1262" s="20" t="n">
        <f aca="false">IF(I1262=1,1,IF(AND(J1135=1,J1106=1),1,0))</f>
        <v>0</v>
      </c>
      <c r="K1262" s="20" t="n">
        <f aca="false">IF(J1262=1,1,IF(AND(K1135=1,K1106=1),1,0))</f>
        <v>0</v>
      </c>
    </row>
    <row r="1263" customFormat="false" ht="15" hidden="false" customHeight="false" outlineLevel="0" collapsed="false">
      <c r="A1263" s="5" t="s">
        <v>460</v>
      </c>
      <c r="C1263" s="25" t="n">
        <f aca="false">IF(C1253&gt;0,C1243-C1258,0)</f>
        <v>0</v>
      </c>
      <c r="G1263" s="20" t="n">
        <f aca="false">IF(AND(G1148=1,G1106=1),1,0)</f>
        <v>0</v>
      </c>
      <c r="H1263" s="20" t="n">
        <f aca="false">IF(G1263=1,1,IF(AND(H1148=1,H1106=1),1,0))</f>
        <v>0</v>
      </c>
      <c r="I1263" s="20" t="n">
        <f aca="false">IF(H1263=1,1,IF(AND(I1148=1,I1106=1),1,0))</f>
        <v>0</v>
      </c>
      <c r="J1263" s="20" t="n">
        <f aca="false">IF(I1263=1,1,IF(AND(J1148=1,J1106=1),1,0))</f>
        <v>0</v>
      </c>
      <c r="K1263" s="20" t="n">
        <f aca="false">IF(J1263=1,1,IF(AND(K1148=1,K1106=1),1,0))</f>
        <v>0</v>
      </c>
    </row>
    <row r="1264" customFormat="false" ht="15" hidden="false" customHeight="false" outlineLevel="0" collapsed="false">
      <c r="A1264" s="23" t="s">
        <v>465</v>
      </c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</row>
    <row r="1265" customFormat="false" ht="15" hidden="false" customHeight="false" outlineLevel="0" collapsed="false">
      <c r="A1265" s="5" t="s">
        <v>457</v>
      </c>
      <c r="C1265" s="25" t="n">
        <f aca="false">IF(C1250&gt;0,C1260,C1240)</f>
        <v>249.58352</v>
      </c>
    </row>
    <row r="1266" customFormat="false" ht="15" hidden="false" customHeight="false" outlineLevel="0" collapsed="false">
      <c r="A1266" s="5" t="s">
        <v>458</v>
      </c>
      <c r="C1266" s="25" t="n">
        <f aca="false">IF(C1251&gt;0,C1261,C1241)</f>
        <v>522.4037</v>
      </c>
    </row>
    <row r="1267" customFormat="false" ht="15" hidden="false" customHeight="false" outlineLevel="0" collapsed="false">
      <c r="A1267" s="5" t="s">
        <v>459</v>
      </c>
      <c r="C1267" s="25" t="n">
        <f aca="false">IF(C1252&gt;0,C1262,C1242)</f>
        <v>256.875</v>
      </c>
    </row>
    <row r="1268" customFormat="false" ht="15" hidden="false" customHeight="false" outlineLevel="0" collapsed="false">
      <c r="A1268" s="5" t="s">
        <v>460</v>
      </c>
      <c r="C1268" s="25" t="n">
        <f aca="false">IF(C1253&gt;0,C1263,C1243)</f>
        <v>305.625</v>
      </c>
    </row>
    <row r="1269" customFormat="false" ht="15" hidden="false" customHeight="false" outlineLevel="0" collapsed="false">
      <c r="A1269" s="23" t="s">
        <v>466</v>
      </c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</row>
    <row r="1270" customFormat="false" ht="15" hidden="false" customHeight="false" outlineLevel="0" collapsed="false">
      <c r="A1270" s="5" t="s">
        <v>457</v>
      </c>
      <c r="C1270" s="20" t="n">
        <f aca="false">IF(C1250&gt;0,Assumptions!$C$17,C1245)</f>
        <v>1</v>
      </c>
    </row>
    <row r="1271" customFormat="false" ht="15" hidden="false" customHeight="false" outlineLevel="0" collapsed="false">
      <c r="A1271" s="5" t="s">
        <v>458</v>
      </c>
      <c r="C1271" s="20" t="n">
        <f aca="false">IF(C1251&gt;0,Assumptions!$C$17,C1246)</f>
        <v>2</v>
      </c>
    </row>
    <row r="1272" customFormat="false" ht="15" hidden="false" customHeight="false" outlineLevel="0" collapsed="false">
      <c r="A1272" s="5" t="s">
        <v>459</v>
      </c>
      <c r="C1272" s="20" t="n">
        <f aca="false">IF(C1252&gt;0,Assumptions!$C$17,C1247)</f>
        <v>3</v>
      </c>
    </row>
    <row r="1273" customFormat="false" ht="15" hidden="false" customHeight="false" outlineLevel="0" collapsed="false">
      <c r="A1273" s="5" t="s">
        <v>460</v>
      </c>
      <c r="C1273" s="20" t="n">
        <f aca="false">IF(C1253&gt;0,Assumptions!$C$17,C1248)</f>
        <v>4</v>
      </c>
    </row>
    <row r="1274" customFormat="false" ht="15" hidden="false" customHeight="false" outlineLevel="0" collapsed="false">
      <c r="A1274" s="23" t="s">
        <v>467</v>
      </c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</row>
    <row r="1275" customFormat="false" ht="15" hidden="false" customHeight="false" outlineLevel="0" collapsed="false">
      <c r="A1275" s="5" t="s">
        <v>457</v>
      </c>
      <c r="C1275" s="25" t="n">
        <f aca="false">SUMPRODUCT(($C$1270:$C$1273&lt;C1270)*$C$1265:$C$1268)</f>
        <v>0</v>
      </c>
    </row>
    <row r="1276" customFormat="false" ht="15" hidden="false" customHeight="false" outlineLevel="0" collapsed="false">
      <c r="A1276" s="5" t="s">
        <v>458</v>
      </c>
      <c r="C1276" s="25" t="n">
        <f aca="false">SUMPRODUCT(($C$1270:$C$1273&lt;C1271)*$C$1265:$C$1268)</f>
        <v>249.58352</v>
      </c>
    </row>
    <row r="1277" customFormat="false" ht="15" hidden="false" customHeight="false" outlineLevel="0" collapsed="false">
      <c r="A1277" s="5" t="s">
        <v>459</v>
      </c>
      <c r="C1277" s="25" t="n">
        <f aca="false">SUMPRODUCT(($C$1270:$C$1273&lt;C1272)*$C$1265:$C$1268)</f>
        <v>771.98722</v>
      </c>
    </row>
    <row r="1278" customFormat="false" ht="15" hidden="false" customHeight="false" outlineLevel="0" collapsed="false">
      <c r="A1278" s="5" t="s">
        <v>460</v>
      </c>
      <c r="C1278" s="25" t="n">
        <f aca="false">SUMPRODUCT(($C$1270:$C$1273&lt;C1273)*$C$1265:$C$1268)</f>
        <v>1028.86222</v>
      </c>
    </row>
    <row r="1279" customFormat="false" ht="15" hidden="false" customHeight="false" outlineLevel="0" collapsed="false">
      <c r="A1279" s="23" t="s">
        <v>468</v>
      </c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</row>
    <row r="1280" customFormat="false" ht="15" hidden="false" customHeight="false" outlineLevel="0" collapsed="false">
      <c r="A1280" s="5" t="s">
        <v>457</v>
      </c>
      <c r="C1280" s="25" t="n">
        <f aca="false">SUMPRODUCT(($C$1270:$C$1273=C1270)*$C$1265:$C$1268)</f>
        <v>249.58352</v>
      </c>
    </row>
    <row r="1281" customFormat="false" ht="15" hidden="false" customHeight="false" outlineLevel="0" collapsed="false">
      <c r="A1281" s="5" t="s">
        <v>458</v>
      </c>
      <c r="C1281" s="25" t="n">
        <f aca="false">SUMPRODUCT(($C$1270:$C$1273=C1271)*$C$1265:$C$1268)</f>
        <v>522.4037</v>
      </c>
    </row>
    <row r="1282" customFormat="false" ht="15" hidden="false" customHeight="false" outlineLevel="0" collapsed="false">
      <c r="A1282" s="5" t="s">
        <v>459</v>
      </c>
      <c r="C1282" s="25" t="n">
        <f aca="false">SUMPRODUCT(($C$1270:$C$1273=C1272)*$C$1265:$C$1268)</f>
        <v>256.875</v>
      </c>
    </row>
    <row r="1283" customFormat="false" ht="15" hidden="false" customHeight="false" outlineLevel="0" collapsed="false">
      <c r="A1283" s="5" t="s">
        <v>460</v>
      </c>
      <c r="C1283" s="25" t="n">
        <f aca="false">SUMPRODUCT(($C$1270:$C$1273=C1273)*$C$1265:$C$1268)</f>
        <v>305.625</v>
      </c>
    </row>
    <row r="1284" customFormat="false" ht="15" hidden="false" customHeight="false" outlineLevel="0" collapsed="false">
      <c r="A1284" s="23" t="s">
        <v>469</v>
      </c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</row>
    <row r="1285" customFormat="false" ht="15" hidden="false" customHeight="false" outlineLevel="0" collapsed="false">
      <c r="A1285" s="5" t="s">
        <v>457</v>
      </c>
      <c r="C1285" s="25" t="n">
        <f aca="false">IF(C1280=0,0,C1265/C1280*MAX(0,MIN(C1280,$C$1238-SUM($C$1255:$C$1258)-C1275)))</f>
        <v>249.58352</v>
      </c>
    </row>
    <row r="1286" customFormat="false" ht="15" hidden="false" customHeight="false" outlineLevel="0" collapsed="false">
      <c r="A1286" s="5" t="s">
        <v>458</v>
      </c>
      <c r="C1286" s="25" t="n">
        <f aca="false">IF(C1281=0,0,C1266/C1281*MAX(0,MIN(C1281,$C$1238-SUM($C$1255:$C$1258)-C1276)))</f>
        <v>349.45648</v>
      </c>
    </row>
    <row r="1287" customFormat="false" ht="15" hidden="false" customHeight="false" outlineLevel="0" collapsed="false">
      <c r="A1287" s="5" t="s">
        <v>459</v>
      </c>
      <c r="C1287" s="25" t="n">
        <f aca="false">IF(C1282=0,0,C1267/C1282*MAX(0,MIN(C1282,$C$1238-SUM($C$1255:$C$1258)-C1277)))</f>
        <v>0</v>
      </c>
    </row>
    <row r="1288" customFormat="false" ht="15" hidden="false" customHeight="false" outlineLevel="0" collapsed="false">
      <c r="A1288" s="5" t="s">
        <v>460</v>
      </c>
      <c r="C1288" s="25" t="n">
        <f aca="false">IF(C1283=0,0,C1268/C1283*MAX(0,MIN(C1283,$C$1238-SUM($C$1255:$C$1258)-C1278)))</f>
        <v>0</v>
      </c>
    </row>
    <row r="1289" customFormat="false" ht="15" hidden="false" customHeight="false" outlineLevel="0" collapsed="false">
      <c r="A1289" s="23" t="s">
        <v>470</v>
      </c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</row>
    <row r="1290" customFormat="false" ht="15" hidden="false" customHeight="false" outlineLevel="0" collapsed="false">
      <c r="A1290" s="2" t="s">
        <v>457</v>
      </c>
      <c r="C1290" s="16" t="n">
        <f aca="false">C1255+C1285</f>
        <v>249.58352</v>
      </c>
    </row>
    <row r="1291" customFormat="false" ht="15" hidden="false" customHeight="false" outlineLevel="0" collapsed="false">
      <c r="A1291" s="2" t="s">
        <v>458</v>
      </c>
      <c r="C1291" s="16" t="n">
        <f aca="false">C1256+C1286</f>
        <v>349.45648</v>
      </c>
    </row>
    <row r="1292" customFormat="false" ht="15" hidden="false" customHeight="false" outlineLevel="0" collapsed="false">
      <c r="A1292" s="2" t="s">
        <v>459</v>
      </c>
      <c r="C1292" s="16" t="n">
        <f aca="false">C1257+C1287</f>
        <v>0</v>
      </c>
    </row>
    <row r="1293" customFormat="false" ht="15" hidden="false" customHeight="false" outlineLevel="0" collapsed="false">
      <c r="A1293" s="2" t="s">
        <v>460</v>
      </c>
      <c r="C1293" s="16" t="n">
        <f aca="false">C1258+C1288</f>
        <v>0</v>
      </c>
    </row>
    <row r="1294" customFormat="false" ht="15" hidden="false" customHeight="false" outlineLevel="0" collapsed="false">
      <c r="A1294" s="23" t="s">
        <v>471</v>
      </c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</row>
    <row r="1295" customFormat="false" ht="15" hidden="false" customHeight="false" outlineLevel="0" collapsed="false">
      <c r="A1295" s="5" t="s">
        <v>457</v>
      </c>
      <c r="C1295" s="21" t="n">
        <f aca="false">IF(C1240=0,1,C1290/C1240)</f>
        <v>1</v>
      </c>
    </row>
    <row r="1296" customFormat="false" ht="15" hidden="false" customHeight="false" outlineLevel="0" collapsed="false">
      <c r="A1296" s="5" t="s">
        <v>458</v>
      </c>
      <c r="C1296" s="21" t="n">
        <f aca="false">IF(C1241=0,1,C1291/C1241)</f>
        <v>0.668939519379361</v>
      </c>
    </row>
    <row r="1297" customFormat="false" ht="15" hidden="false" customHeight="false" outlineLevel="0" collapsed="false">
      <c r="A1297" s="5" t="s">
        <v>459</v>
      </c>
      <c r="C1297" s="21" t="n">
        <f aca="false">IF(C1242=0,1,C1292/C1242)</f>
        <v>0</v>
      </c>
    </row>
    <row r="1298" customFormat="false" ht="15" hidden="false" customHeight="false" outlineLevel="0" collapsed="false">
      <c r="A1298" s="5" t="s">
        <v>460</v>
      </c>
      <c r="C1298" s="21" t="n">
        <f aca="false">IF(C1243=0,1,C1293/C1243)</f>
        <v>0</v>
      </c>
    </row>
    <row r="1299" customFormat="false" ht="15" hidden="false" customHeight="false" outlineLevel="0" collapsed="false">
      <c r="A1299" s="23" t="s">
        <v>472</v>
      </c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</row>
    <row r="1300" customFormat="false" ht="15" hidden="false" customHeight="false" outlineLevel="0" collapsed="false">
      <c r="A1300" s="5" t="s">
        <v>457</v>
      </c>
      <c r="C1300" s="25" t="n">
        <f aca="false">C1240-C1290</f>
        <v>0</v>
      </c>
    </row>
    <row r="1301" customFormat="false" ht="15" hidden="false" customHeight="false" outlineLevel="0" collapsed="false">
      <c r="A1301" s="5" t="s">
        <v>458</v>
      </c>
      <c r="C1301" s="25" t="n">
        <f aca="false">C1241-C1291</f>
        <v>172.94722</v>
      </c>
    </row>
    <row r="1302" customFormat="false" ht="15" hidden="false" customHeight="false" outlineLevel="0" collapsed="false">
      <c r="A1302" s="5" t="s">
        <v>459</v>
      </c>
      <c r="C1302" s="25" t="n">
        <f aca="false">C1242-C1292</f>
        <v>256.875</v>
      </c>
    </row>
    <row r="1303" customFormat="false" ht="15" hidden="false" customHeight="false" outlineLevel="0" collapsed="false">
      <c r="A1303" s="5" t="s">
        <v>460</v>
      </c>
      <c r="C1303" s="25" t="n">
        <f aca="false">C1243-C1293</f>
        <v>305.625</v>
      </c>
    </row>
    <row r="1304" customFormat="false" ht="15" hidden="false" customHeight="false" outlineLevel="0" collapsed="false">
      <c r="A1304" s="23" t="s">
        <v>473</v>
      </c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</row>
    <row r="1305" customFormat="false" ht="15" hidden="false" customHeight="false" outlineLevel="0" collapsed="false">
      <c r="A1305" s="5" t="s">
        <v>457</v>
      </c>
      <c r="C1305" s="21" t="n">
        <f aca="false">IF(C1240=0,0,C1300/C1240)</f>
        <v>0</v>
      </c>
    </row>
    <row r="1306" customFormat="false" ht="15" hidden="false" customHeight="false" outlineLevel="0" collapsed="false">
      <c r="A1306" s="5" t="s">
        <v>458</v>
      </c>
      <c r="C1306" s="21" t="n">
        <f aca="false">IF(C1241=0,0,C1301/C1241)</f>
        <v>0.331060480620639</v>
      </c>
    </row>
    <row r="1307" customFormat="false" ht="15" hidden="false" customHeight="false" outlineLevel="0" collapsed="false">
      <c r="A1307" s="5" t="s">
        <v>459</v>
      </c>
      <c r="C1307" s="21" t="n">
        <f aca="false">IF(C1242=0,0,C1302/C1242)</f>
        <v>1</v>
      </c>
    </row>
    <row r="1308" customFormat="false" ht="15" hidden="false" customHeight="false" outlineLevel="0" collapsed="false">
      <c r="A1308" s="5" t="s">
        <v>460</v>
      </c>
      <c r="C1308" s="21" t="n">
        <f aca="false">IF(C1243=0,0,C1303/C1243)</f>
        <v>1</v>
      </c>
    </row>
    <row r="1309" customFormat="false" ht="15" hidden="false" customHeight="false" outlineLevel="0" collapsed="false">
      <c r="A1309" s="2" t="s">
        <v>474</v>
      </c>
      <c r="C1309" s="16" t="n">
        <f aca="false">MAX(0,$C$1238-SUM($C$1255:$C$1258)-SUM($C$1265:$C$1268))</f>
        <v>0</v>
      </c>
    </row>
    <row r="1310" customFormat="false" ht="15" hidden="false" customHeight="false" outlineLevel="0" collapsed="false">
      <c r="A1310" s="5" t="s">
        <v>475</v>
      </c>
      <c r="C1310" s="25" t="n">
        <f aca="false">SUM($C$1290:$C$1293)+C1309+C1237-C1236</f>
        <v>0</v>
      </c>
    </row>
    <row r="1312" customFormat="false" ht="15" hidden="false" customHeight="false" outlineLevel="0" collapsed="false">
      <c r="A1312" s="23" t="s">
        <v>478</v>
      </c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</row>
    <row r="1313" customFormat="false" ht="15" hidden="false" customHeight="false" outlineLevel="0" collapsed="false">
      <c r="A1313" s="5" t="s">
        <v>479</v>
      </c>
      <c r="C1313" s="26" t="n">
        <f aca="false">Assumptions!$C$30</f>
        <v>2</v>
      </c>
    </row>
    <row r="1314" customFormat="false" ht="15" hidden="false" customHeight="false" outlineLevel="0" collapsed="false">
      <c r="A1314" s="5" t="s">
        <v>480</v>
      </c>
      <c r="C1314" s="28" t="n">
        <f aca="false">Assumptions!$C$31</f>
        <v>100</v>
      </c>
    </row>
    <row r="1315" customFormat="false" ht="15" hidden="false" customHeight="false" outlineLevel="0" collapsed="false">
      <c r="A1315" s="5" t="s">
        <v>481</v>
      </c>
      <c r="C1315" s="39" t="n">
        <f aca="false">Assumptions!$C$32</f>
        <v>78</v>
      </c>
    </row>
    <row r="1316" customFormat="false" ht="15" hidden="false" customHeight="false" outlineLevel="0" collapsed="false">
      <c r="A1316" s="5" t="s">
        <v>482</v>
      </c>
      <c r="C1316" s="25" t="n">
        <f aca="false">C1314*C1315/100*(1+Assumptions!$C$33)</f>
        <v>78.39</v>
      </c>
    </row>
    <row r="1317" customFormat="false" ht="15" hidden="false" customHeight="false" outlineLevel="0" collapsed="false">
      <c r="A1317" s="5" t="s">
        <v>483</v>
      </c>
      <c r="C1317" s="26" t="n">
        <f aca="false">Assumptions!$C$34</f>
        <v>2</v>
      </c>
    </row>
    <row r="1318" customFormat="false" ht="15" hidden="false" customHeight="false" outlineLevel="0" collapsed="false">
      <c r="A1318" s="5" t="s">
        <v>484</v>
      </c>
      <c r="C1318" s="20" t="n">
        <f aca="false">IF(C1229=1,SUMPRODUCT($G$1197:$K$1197,$G$1073:$K$1073),0)</f>
        <v>2</v>
      </c>
    </row>
    <row r="1319" customFormat="false" ht="15" hidden="false" customHeight="false" outlineLevel="0" collapsed="false">
      <c r="A1319" s="5" t="s">
        <v>485</v>
      </c>
      <c r="C1319" s="21" t="n">
        <f aca="false">IFERROR(C1314/CHOOSE(C1313,SUMPRODUCT($G$1228:$K$1228,$G$1119:$K$1119),SUMPRODUCT($G$1228:$K$1228,$G$1132:$K$1132),SUMPRODUCT($G$1228:$K$1228,$G$1145:$K$1145),SUMPRODUCT($G$1228:$K$1228,$G$1158:$K$1158)),0)</f>
        <v>0.196232339089482</v>
      </c>
    </row>
    <row r="1320" customFormat="false" ht="15" hidden="false" customHeight="false" outlineLevel="0" collapsed="false">
      <c r="A1320" s="5" t="s">
        <v>486</v>
      </c>
      <c r="C1320" s="25" t="n">
        <f aca="false">CHOOSE(C1313,C1290,C1291,C1292,C1293)*C1319</f>
        <v>68.5746624803768</v>
      </c>
    </row>
    <row r="1321" customFormat="false" ht="15" hidden="false" customHeight="false" outlineLevel="0" collapsed="false">
      <c r="A1321" s="5" t="s">
        <v>487</v>
      </c>
      <c r="C1321" s="21" t="n">
        <f aca="false">CHOOSE(C1313,C1295,C1296,C1297,C1298)</f>
        <v>0.668939519379361</v>
      </c>
    </row>
    <row r="1322" customFormat="false" ht="15" hidden="false" customHeight="false" outlineLevel="0" collapsed="false">
      <c r="A1322" s="5" t="s">
        <v>488</v>
      </c>
      <c r="C1322" s="20" t="n">
        <f aca="false">IF(C1229=1,C1318,C1317)</f>
        <v>2</v>
      </c>
    </row>
    <row r="1323" customFormat="false" ht="15" hidden="false" customHeight="false" outlineLevel="0" collapsed="false">
      <c r="A1323" s="5" t="s">
        <v>489</v>
      </c>
      <c r="C1323" s="33" t="n">
        <f aca="false">CHOOSE($C$1065,Assumptions!$C$77,Assumptions!$C$96,Assumptions!$C$115)</f>
        <v>100</v>
      </c>
    </row>
    <row r="1324" customFormat="false" ht="15" hidden="false" customHeight="false" outlineLevel="0" collapsed="false">
      <c r="A1324" s="5" t="s">
        <v>490</v>
      </c>
      <c r="C1324" s="25" t="n">
        <f aca="false">INDEX($G$1082:$K$1082,C1317)*CHOOSE($C$1065,Assumptions!$C$76,Assumptions!$C$95,Assumptions!$C$114)+MAX(0,INDEX($G$1194:$K$1194,C1317))</f>
        <v>412.81812</v>
      </c>
    </row>
    <row r="1325" customFormat="false" ht="15" hidden="false" customHeight="false" outlineLevel="0" collapsed="false">
      <c r="A1325" s="23" t="s">
        <v>491</v>
      </c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</row>
    <row r="1326" customFormat="false" ht="15" hidden="false" customHeight="false" outlineLevel="0" collapsed="false">
      <c r="A1326" s="5" t="s">
        <v>457</v>
      </c>
      <c r="C1326" s="25" t="n">
        <f aca="false">INDEX($G$1119:$K$1119,C1317)</f>
        <v>244.48</v>
      </c>
    </row>
    <row r="1327" customFormat="false" ht="15" hidden="false" customHeight="false" outlineLevel="0" collapsed="false">
      <c r="A1327" s="5" t="s">
        <v>458</v>
      </c>
      <c r="C1327" s="25" t="n">
        <f aca="false">INDEX($G$1132:$K$1132,C1317)</f>
        <v>509.6</v>
      </c>
    </row>
    <row r="1328" customFormat="false" ht="15" hidden="false" customHeight="false" outlineLevel="0" collapsed="false">
      <c r="A1328" s="5" t="s">
        <v>459</v>
      </c>
      <c r="C1328" s="25" t="n">
        <f aca="false">INDEX($G$1145:$K$1145,C1317)</f>
        <v>250</v>
      </c>
    </row>
    <row r="1329" customFormat="false" ht="15" hidden="false" customHeight="false" outlineLevel="0" collapsed="false">
      <c r="A1329" s="5" t="s">
        <v>460</v>
      </c>
      <c r="C1329" s="25" t="n">
        <f aca="false">INDEX($G$1158:$K$1158,C1317)</f>
        <v>300</v>
      </c>
    </row>
    <row r="1330" customFormat="false" ht="15" hidden="false" customHeight="false" outlineLevel="0" collapsed="false">
      <c r="A1330" s="23" t="s">
        <v>461</v>
      </c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</row>
    <row r="1331" customFormat="false" ht="15" hidden="false" customHeight="false" outlineLevel="0" collapsed="false">
      <c r="A1331" s="5" t="s">
        <v>457</v>
      </c>
      <c r="C1331" s="26" t="n">
        <f aca="false">Assumptions!$M$53</f>
        <v>1</v>
      </c>
    </row>
    <row r="1332" customFormat="false" ht="15" hidden="false" customHeight="false" outlineLevel="0" collapsed="false">
      <c r="A1332" s="5" t="s">
        <v>458</v>
      </c>
      <c r="C1332" s="26" t="n">
        <f aca="false">Assumptions!$M$54</f>
        <v>2</v>
      </c>
    </row>
    <row r="1333" customFormat="false" ht="15" hidden="false" customHeight="false" outlineLevel="0" collapsed="false">
      <c r="A1333" s="5" t="s">
        <v>459</v>
      </c>
      <c r="C1333" s="26" t="n">
        <f aca="false">Assumptions!$M$55</f>
        <v>3</v>
      </c>
    </row>
    <row r="1334" customFormat="false" ht="15" hidden="false" customHeight="false" outlineLevel="0" collapsed="false">
      <c r="A1334" s="5" t="s">
        <v>460</v>
      </c>
      <c r="C1334" s="26" t="n">
        <f aca="false">Assumptions!$M$56</f>
        <v>4</v>
      </c>
    </row>
    <row r="1335" customFormat="false" ht="15" hidden="false" customHeight="false" outlineLevel="0" collapsed="false">
      <c r="A1335" s="23" t="s">
        <v>462</v>
      </c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</row>
    <row r="1336" customFormat="false" ht="15" hidden="false" customHeight="false" outlineLevel="0" collapsed="false">
      <c r="A1336" s="5" t="s">
        <v>457</v>
      </c>
      <c r="C1336" s="34" t="n">
        <f aca="false">Assumptions!$Q$53</f>
        <v>0</v>
      </c>
    </row>
    <row r="1337" customFormat="false" ht="15" hidden="false" customHeight="false" outlineLevel="0" collapsed="false">
      <c r="A1337" s="5" t="s">
        <v>458</v>
      </c>
      <c r="C1337" s="34" t="n">
        <f aca="false">Assumptions!$Q$54</f>
        <v>0</v>
      </c>
    </row>
    <row r="1338" customFormat="false" ht="15" hidden="false" customHeight="false" outlineLevel="0" collapsed="false">
      <c r="A1338" s="5" t="s">
        <v>459</v>
      </c>
      <c r="C1338" s="34" t="n">
        <f aca="false">Assumptions!$Q$55</f>
        <v>0</v>
      </c>
    </row>
    <row r="1339" customFormat="false" ht="15" hidden="false" customHeight="false" outlineLevel="0" collapsed="false">
      <c r="A1339" s="5" t="s">
        <v>460</v>
      </c>
      <c r="C1339" s="34" t="n">
        <f aca="false">Assumptions!$Q$56</f>
        <v>0</v>
      </c>
    </row>
    <row r="1340" customFormat="false" ht="15" hidden="false" customHeight="false" outlineLevel="0" collapsed="false">
      <c r="A1340" s="23" t="s">
        <v>463</v>
      </c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</row>
    <row r="1341" customFormat="false" ht="15" hidden="false" customHeight="false" outlineLevel="0" collapsed="false">
      <c r="A1341" s="5" t="s">
        <v>457</v>
      </c>
      <c r="C1341" s="25" t="n">
        <f aca="false">IF(C1336&gt;0,MIN(C1326,C1336*$C$1324),0)</f>
        <v>0</v>
      </c>
    </row>
    <row r="1342" customFormat="false" ht="15" hidden="false" customHeight="false" outlineLevel="0" collapsed="false">
      <c r="A1342" s="5" t="s">
        <v>458</v>
      </c>
      <c r="C1342" s="25" t="n">
        <f aca="false">IF(C1337&gt;0,MIN(C1327,C1337*$C$1324),0)</f>
        <v>0</v>
      </c>
    </row>
    <row r="1343" customFormat="false" ht="15" hidden="false" customHeight="false" outlineLevel="0" collapsed="false">
      <c r="A1343" s="5" t="s">
        <v>459</v>
      </c>
      <c r="C1343" s="25" t="n">
        <f aca="false">IF(C1338&gt;0,MIN(C1328,C1338*$C$1324),0)</f>
        <v>0</v>
      </c>
    </row>
    <row r="1344" customFormat="false" ht="15" hidden="false" customHeight="false" outlineLevel="0" collapsed="false">
      <c r="A1344" s="5" t="s">
        <v>460</v>
      </c>
      <c r="C1344" s="25" t="n">
        <f aca="false">IF(C1339&gt;0,MIN(C1329,C1339*$C$1324),0)</f>
        <v>0</v>
      </c>
    </row>
    <row r="1345" customFormat="false" ht="15" hidden="false" customHeight="false" outlineLevel="0" collapsed="false">
      <c r="A1345" s="23" t="s">
        <v>464</v>
      </c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</row>
    <row r="1346" customFormat="false" ht="15" hidden="false" customHeight="false" outlineLevel="0" collapsed="false">
      <c r="A1346" s="5" t="s">
        <v>457</v>
      </c>
      <c r="C1346" s="25" t="n">
        <f aca="false">IF(C1336&gt;0,C1326-C1341,0)</f>
        <v>0</v>
      </c>
    </row>
    <row r="1347" customFormat="false" ht="15" hidden="false" customHeight="false" outlineLevel="0" collapsed="false">
      <c r="A1347" s="5" t="s">
        <v>458</v>
      </c>
      <c r="C1347" s="25" t="n">
        <f aca="false">IF(C1337&gt;0,C1327-C1342,0)</f>
        <v>0</v>
      </c>
    </row>
    <row r="1348" customFormat="false" ht="15" hidden="false" customHeight="false" outlineLevel="0" collapsed="false">
      <c r="A1348" s="5" t="s">
        <v>459</v>
      </c>
      <c r="C1348" s="25" t="n">
        <f aca="false">IF(C1338&gt;0,C1328-C1343,0)</f>
        <v>0</v>
      </c>
    </row>
    <row r="1349" customFormat="false" ht="15" hidden="false" customHeight="false" outlineLevel="0" collapsed="false">
      <c r="A1349" s="5" t="s">
        <v>460</v>
      </c>
      <c r="C1349" s="25" t="n">
        <f aca="false">IF(C1339&gt;0,C1329-C1344,0)</f>
        <v>0</v>
      </c>
    </row>
    <row r="1350" customFormat="false" ht="15" hidden="false" customHeight="false" outlineLevel="0" collapsed="false">
      <c r="A1350" s="23" t="s">
        <v>465</v>
      </c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</row>
    <row r="1351" customFormat="false" ht="15" hidden="false" customHeight="false" outlineLevel="0" collapsed="false">
      <c r="A1351" s="5" t="s">
        <v>457</v>
      </c>
      <c r="C1351" s="25" t="n">
        <f aca="false">IF(C1336&gt;0,C1346,C1326)</f>
        <v>244.48</v>
      </c>
    </row>
    <row r="1352" customFormat="false" ht="15" hidden="false" customHeight="false" outlineLevel="0" collapsed="false">
      <c r="A1352" s="5" t="s">
        <v>458</v>
      </c>
      <c r="C1352" s="25" t="n">
        <f aca="false">IF(C1337&gt;0,C1347,C1327)</f>
        <v>509.6</v>
      </c>
    </row>
    <row r="1353" customFormat="false" ht="15" hidden="false" customHeight="false" outlineLevel="0" collapsed="false">
      <c r="A1353" s="5" t="s">
        <v>459</v>
      </c>
      <c r="C1353" s="25" t="n">
        <f aca="false">IF(C1338&gt;0,C1348,C1328)</f>
        <v>250</v>
      </c>
    </row>
    <row r="1354" customFormat="false" ht="15" hidden="false" customHeight="false" outlineLevel="0" collapsed="false">
      <c r="A1354" s="5" t="s">
        <v>460</v>
      </c>
      <c r="C1354" s="25" t="n">
        <f aca="false">IF(C1339&gt;0,C1349,C1329)</f>
        <v>300</v>
      </c>
    </row>
    <row r="1355" customFormat="false" ht="15" hidden="false" customHeight="false" outlineLevel="0" collapsed="false">
      <c r="A1355" s="23" t="s">
        <v>466</v>
      </c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</row>
    <row r="1356" customFormat="false" ht="15" hidden="false" customHeight="false" outlineLevel="0" collapsed="false">
      <c r="A1356" s="5" t="s">
        <v>457</v>
      </c>
      <c r="C1356" s="20" t="n">
        <f aca="false">IF(C1336&gt;0,Assumptions!$C$17,C1331)</f>
        <v>1</v>
      </c>
    </row>
    <row r="1357" customFormat="false" ht="15" hidden="false" customHeight="false" outlineLevel="0" collapsed="false">
      <c r="A1357" s="5" t="s">
        <v>458</v>
      </c>
      <c r="C1357" s="20" t="n">
        <f aca="false">IF(C1337&gt;0,Assumptions!$C$17,C1332)</f>
        <v>2</v>
      </c>
    </row>
    <row r="1358" customFormat="false" ht="15" hidden="false" customHeight="false" outlineLevel="0" collapsed="false">
      <c r="A1358" s="5" t="s">
        <v>459</v>
      </c>
      <c r="C1358" s="20" t="n">
        <f aca="false">IF(C1338&gt;0,Assumptions!$C$17,C1333)</f>
        <v>3</v>
      </c>
    </row>
    <row r="1359" customFormat="false" ht="15" hidden="false" customHeight="false" outlineLevel="0" collapsed="false">
      <c r="A1359" s="5" t="s">
        <v>460</v>
      </c>
      <c r="C1359" s="20" t="n">
        <f aca="false">IF(C1339&gt;0,Assumptions!$C$17,C1334)</f>
        <v>4</v>
      </c>
    </row>
    <row r="1360" customFormat="false" ht="15" hidden="false" customHeight="false" outlineLevel="0" collapsed="false">
      <c r="A1360" s="23" t="s">
        <v>467</v>
      </c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</row>
    <row r="1361" customFormat="false" ht="15" hidden="false" customHeight="false" outlineLevel="0" collapsed="false">
      <c r="A1361" s="5" t="s">
        <v>457</v>
      </c>
      <c r="C1361" s="25" t="n">
        <f aca="false">SUMPRODUCT(($C$1356:$C$1359&lt;C1356)*$C$1351:$C$1354)</f>
        <v>0</v>
      </c>
    </row>
    <row r="1362" customFormat="false" ht="15" hidden="false" customHeight="false" outlineLevel="0" collapsed="false">
      <c r="A1362" s="5" t="s">
        <v>458</v>
      </c>
      <c r="C1362" s="25" t="n">
        <f aca="false">SUMPRODUCT(($C$1356:$C$1359&lt;C1357)*$C$1351:$C$1354)</f>
        <v>244.48</v>
      </c>
    </row>
    <row r="1363" customFormat="false" ht="15" hidden="false" customHeight="false" outlineLevel="0" collapsed="false">
      <c r="A1363" s="5" t="s">
        <v>459</v>
      </c>
      <c r="C1363" s="25" t="n">
        <f aca="false">SUMPRODUCT(($C$1356:$C$1359&lt;C1358)*$C$1351:$C$1354)</f>
        <v>754.08</v>
      </c>
    </row>
    <row r="1364" customFormat="false" ht="15" hidden="false" customHeight="false" outlineLevel="0" collapsed="false">
      <c r="A1364" s="5" t="s">
        <v>460</v>
      </c>
      <c r="C1364" s="25" t="n">
        <f aca="false">SUMPRODUCT(($C$1356:$C$1359&lt;C1359)*$C$1351:$C$1354)</f>
        <v>1004.08</v>
      </c>
    </row>
    <row r="1365" customFormat="false" ht="15" hidden="false" customHeight="false" outlineLevel="0" collapsed="false">
      <c r="A1365" s="23" t="s">
        <v>468</v>
      </c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</row>
    <row r="1366" customFormat="false" ht="15" hidden="false" customHeight="false" outlineLevel="0" collapsed="false">
      <c r="A1366" s="5" t="s">
        <v>457</v>
      </c>
      <c r="C1366" s="25" t="n">
        <f aca="false">SUMPRODUCT(($C$1356:$C$1359=C1356)*$C$1351:$C$1354)</f>
        <v>244.48</v>
      </c>
    </row>
    <row r="1367" customFormat="false" ht="15" hidden="false" customHeight="false" outlineLevel="0" collapsed="false">
      <c r="A1367" s="5" t="s">
        <v>458</v>
      </c>
      <c r="C1367" s="25" t="n">
        <f aca="false">SUMPRODUCT(($C$1356:$C$1359=C1357)*$C$1351:$C$1354)</f>
        <v>509.6</v>
      </c>
    </row>
    <row r="1368" customFormat="false" ht="15" hidden="false" customHeight="false" outlineLevel="0" collapsed="false">
      <c r="A1368" s="5" t="s">
        <v>459</v>
      </c>
      <c r="C1368" s="25" t="n">
        <f aca="false">SUMPRODUCT(($C$1356:$C$1359=C1358)*$C$1351:$C$1354)</f>
        <v>250</v>
      </c>
    </row>
    <row r="1369" customFormat="false" ht="15" hidden="false" customHeight="false" outlineLevel="0" collapsed="false">
      <c r="A1369" s="5" t="s">
        <v>460</v>
      </c>
      <c r="C1369" s="25" t="n">
        <f aca="false">SUMPRODUCT(($C$1356:$C$1359=C1359)*$C$1351:$C$1354)</f>
        <v>300</v>
      </c>
    </row>
    <row r="1370" customFormat="false" ht="15" hidden="false" customHeight="false" outlineLevel="0" collapsed="false">
      <c r="A1370" s="23" t="s">
        <v>469</v>
      </c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</row>
    <row r="1371" customFormat="false" ht="15" hidden="false" customHeight="false" outlineLevel="0" collapsed="false">
      <c r="A1371" s="5" t="s">
        <v>457</v>
      </c>
      <c r="C1371" s="25" t="n">
        <f aca="false">IF(C1366=0,0,C1351/C1366*MAX(0,MIN(C1366,$C$1324-SUM($C$1341:$C$1344)-C1361)))</f>
        <v>244.48</v>
      </c>
    </row>
    <row r="1372" customFormat="false" ht="15" hidden="false" customHeight="false" outlineLevel="0" collapsed="false">
      <c r="A1372" s="5" t="s">
        <v>458</v>
      </c>
      <c r="C1372" s="25" t="n">
        <f aca="false">IF(C1367=0,0,C1352/C1367*MAX(0,MIN(C1367,$C$1324-SUM($C$1341:$C$1344)-C1362)))</f>
        <v>168.33812</v>
      </c>
    </row>
    <row r="1373" customFormat="false" ht="15" hidden="false" customHeight="false" outlineLevel="0" collapsed="false">
      <c r="A1373" s="5" t="s">
        <v>459</v>
      </c>
      <c r="C1373" s="25" t="n">
        <f aca="false">IF(C1368=0,0,C1353/C1368*MAX(0,MIN(C1368,$C$1324-SUM($C$1341:$C$1344)-C1363)))</f>
        <v>0</v>
      </c>
    </row>
    <row r="1374" customFormat="false" ht="15" hidden="false" customHeight="false" outlineLevel="0" collapsed="false">
      <c r="A1374" s="5" t="s">
        <v>460</v>
      </c>
      <c r="C1374" s="25" t="n">
        <f aca="false">IF(C1369=0,0,C1354/C1369*MAX(0,MIN(C1369,$C$1324-SUM($C$1341:$C$1344)-C1364)))</f>
        <v>0</v>
      </c>
    </row>
    <row r="1375" customFormat="false" ht="15" hidden="false" customHeight="false" outlineLevel="0" collapsed="false">
      <c r="A1375" s="23" t="s">
        <v>470</v>
      </c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</row>
    <row r="1376" customFormat="false" ht="15" hidden="false" customHeight="false" outlineLevel="0" collapsed="false">
      <c r="A1376" s="2" t="s">
        <v>457</v>
      </c>
      <c r="C1376" s="16" t="n">
        <f aca="false">C1341+C1371</f>
        <v>244.48</v>
      </c>
    </row>
    <row r="1377" customFormat="false" ht="15" hidden="false" customHeight="false" outlineLevel="0" collapsed="false">
      <c r="A1377" s="2" t="s">
        <v>458</v>
      </c>
      <c r="C1377" s="16" t="n">
        <f aca="false">C1342+C1372</f>
        <v>168.33812</v>
      </c>
    </row>
    <row r="1378" customFormat="false" ht="15" hidden="false" customHeight="false" outlineLevel="0" collapsed="false">
      <c r="A1378" s="2" t="s">
        <v>459</v>
      </c>
      <c r="C1378" s="16" t="n">
        <f aca="false">C1343+C1373</f>
        <v>0</v>
      </c>
    </row>
    <row r="1379" customFormat="false" ht="15" hidden="false" customHeight="false" outlineLevel="0" collapsed="false">
      <c r="A1379" s="2" t="s">
        <v>460</v>
      </c>
      <c r="C1379" s="16" t="n">
        <f aca="false">C1344+C1374</f>
        <v>0</v>
      </c>
    </row>
    <row r="1380" customFormat="false" ht="15" hidden="false" customHeight="false" outlineLevel="0" collapsed="false">
      <c r="A1380" s="23" t="s">
        <v>471</v>
      </c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</row>
    <row r="1381" customFormat="false" ht="15" hidden="false" customHeight="false" outlineLevel="0" collapsed="false">
      <c r="A1381" s="5" t="s">
        <v>457</v>
      </c>
      <c r="C1381" s="21" t="n">
        <f aca="false">IF(C1326=0,1,C1376/C1326)</f>
        <v>1</v>
      </c>
    </row>
    <row r="1382" customFormat="false" ht="15" hidden="false" customHeight="false" outlineLevel="0" collapsed="false">
      <c r="A1382" s="5" t="s">
        <v>458</v>
      </c>
      <c r="C1382" s="21" t="n">
        <f aca="false">IF(C1327=0,1,C1377/C1327)</f>
        <v>0.330333830455259</v>
      </c>
    </row>
    <row r="1383" customFormat="false" ht="15" hidden="false" customHeight="false" outlineLevel="0" collapsed="false">
      <c r="A1383" s="5" t="s">
        <v>459</v>
      </c>
      <c r="C1383" s="21" t="n">
        <f aca="false">IF(C1328=0,1,C1378/C1328)</f>
        <v>0</v>
      </c>
    </row>
    <row r="1384" customFormat="false" ht="15" hidden="false" customHeight="false" outlineLevel="0" collapsed="false">
      <c r="A1384" s="5" t="s">
        <v>460</v>
      </c>
      <c r="C1384" s="21" t="n">
        <f aca="false">IF(C1329=0,1,C1379/C1329)</f>
        <v>0</v>
      </c>
    </row>
    <row r="1385" customFormat="false" ht="15" hidden="false" customHeight="false" outlineLevel="0" collapsed="false">
      <c r="A1385" s="23" t="s">
        <v>472</v>
      </c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</row>
    <row r="1386" customFormat="false" ht="15" hidden="false" customHeight="false" outlineLevel="0" collapsed="false">
      <c r="A1386" s="5" t="s">
        <v>457</v>
      </c>
      <c r="C1386" s="25" t="n">
        <f aca="false">C1326-C1376</f>
        <v>0</v>
      </c>
    </row>
    <row r="1387" customFormat="false" ht="15" hidden="false" customHeight="false" outlineLevel="0" collapsed="false">
      <c r="A1387" s="5" t="s">
        <v>458</v>
      </c>
      <c r="C1387" s="25" t="n">
        <f aca="false">C1327-C1377</f>
        <v>341.26188</v>
      </c>
    </row>
    <row r="1388" customFormat="false" ht="15" hidden="false" customHeight="false" outlineLevel="0" collapsed="false">
      <c r="A1388" s="5" t="s">
        <v>459</v>
      </c>
      <c r="C1388" s="25" t="n">
        <f aca="false">C1328-C1378</f>
        <v>250</v>
      </c>
    </row>
    <row r="1389" customFormat="false" ht="15" hidden="false" customHeight="false" outlineLevel="0" collapsed="false">
      <c r="A1389" s="5" t="s">
        <v>460</v>
      </c>
      <c r="C1389" s="25" t="n">
        <f aca="false">C1329-C1379</f>
        <v>300</v>
      </c>
    </row>
    <row r="1390" customFormat="false" ht="15" hidden="false" customHeight="false" outlineLevel="0" collapsed="false">
      <c r="A1390" s="23" t="s">
        <v>473</v>
      </c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</row>
    <row r="1391" customFormat="false" ht="15" hidden="false" customHeight="false" outlineLevel="0" collapsed="false">
      <c r="A1391" s="5" t="s">
        <v>457</v>
      </c>
      <c r="C1391" s="21" t="n">
        <f aca="false">IF(C1326=0,0,C1386/C1326)</f>
        <v>0</v>
      </c>
    </row>
    <row r="1392" customFormat="false" ht="15" hidden="false" customHeight="false" outlineLevel="0" collapsed="false">
      <c r="A1392" s="5" t="s">
        <v>458</v>
      </c>
      <c r="C1392" s="21" t="n">
        <f aca="false">IF(C1327=0,0,C1387/C1327)</f>
        <v>0.669666169544741</v>
      </c>
    </row>
    <row r="1393" customFormat="false" ht="15" hidden="false" customHeight="false" outlineLevel="0" collapsed="false">
      <c r="A1393" s="5" t="s">
        <v>459</v>
      </c>
      <c r="C1393" s="21" t="n">
        <f aca="false">IF(C1328=0,0,C1388/C1328)</f>
        <v>1</v>
      </c>
    </row>
    <row r="1394" customFormat="false" ht="15" hidden="false" customHeight="false" outlineLevel="0" collapsed="false">
      <c r="A1394" s="5" t="s">
        <v>460</v>
      </c>
      <c r="C1394" s="21" t="n">
        <f aca="false">IF(C1329=0,0,C1389/C1329)</f>
        <v>1</v>
      </c>
    </row>
    <row r="1395" customFormat="false" ht="15" hidden="false" customHeight="false" outlineLevel="0" collapsed="false">
      <c r="A1395" s="2" t="s">
        <v>474</v>
      </c>
      <c r="C1395" s="16" t="n">
        <f aca="false">MAX(0,$C$1324-SUM($C$1341:$C$1344)-SUM($C$1351:$C$1354))</f>
        <v>0</v>
      </c>
    </row>
    <row r="1396" customFormat="false" ht="15" hidden="false" customHeight="false" outlineLevel="0" collapsed="false">
      <c r="A1396" s="5" t="s">
        <v>492</v>
      </c>
      <c r="C1396" s="33" t="n">
        <f aca="false">MIN(C1323,100*CHOOSE(C1313,C1381,C1382,C1383,C1384))</f>
        <v>33.0333830455259</v>
      </c>
    </row>
    <row r="1397" customFormat="false" ht="15" hidden="false" customHeight="false" outlineLevel="0" collapsed="false">
      <c r="A1397" s="5" t="s">
        <v>493</v>
      </c>
      <c r="C1397" s="20" t="n">
        <f aca="false">IF(C1229=1,C1318+Assumptions!$C$36,C1317)</f>
        <v>3</v>
      </c>
    </row>
    <row r="1398" customFormat="false" ht="15" hidden="false" customHeight="false" outlineLevel="0" collapsed="false">
      <c r="A1398" s="23" t="s">
        <v>494</v>
      </c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</row>
    <row r="1399" customFormat="false" ht="15" hidden="false" customHeight="false" outlineLevel="0" collapsed="false">
      <c r="A1399" s="5" t="s">
        <v>495</v>
      </c>
      <c r="C1399" s="20" t="n">
        <f aca="false">COLUMN()-COLUMN($C$1)</f>
        <v>0</v>
      </c>
      <c r="D1399" s="20" t="n">
        <f aca="false">COLUMN()-COLUMN($C$1)</f>
        <v>1</v>
      </c>
      <c r="E1399" s="20" t="n">
        <f aca="false">COLUMN()-COLUMN($C$1)</f>
        <v>2</v>
      </c>
      <c r="F1399" s="20" t="n">
        <f aca="false">COLUMN()-COLUMN($C$1)</f>
        <v>3</v>
      </c>
      <c r="G1399" s="20" t="n">
        <f aca="false">COLUMN()-COLUMN($C$1)</f>
        <v>4</v>
      </c>
      <c r="H1399" s="20" t="n">
        <f aca="false">COLUMN()-COLUMN($C$1)</f>
        <v>5</v>
      </c>
      <c r="I1399" s="20" t="n">
        <f aca="false">COLUMN()-COLUMN($C$1)</f>
        <v>6</v>
      </c>
    </row>
    <row r="1400" customFormat="false" ht="15" hidden="false" customHeight="false" outlineLevel="0" collapsed="false">
      <c r="A1400" s="5" t="s">
        <v>496</v>
      </c>
      <c r="D1400" s="30" t="n">
        <f aca="false">CHOOSE($C$1313,G1111,G1124,G1137,G1150)</f>
        <v>0.103</v>
      </c>
      <c r="E1400" s="30" t="n">
        <f aca="false">CHOOSE($C$1313,H1111,H1124,H1137,H1150)</f>
        <v>0.1005</v>
      </c>
      <c r="F1400" s="30" t="n">
        <f aca="false">CHOOSE($C$1313,I1111,I1124,I1137,I1150)</f>
        <v>0.098</v>
      </c>
      <c r="G1400" s="30" t="n">
        <f aca="false">CHOOSE($C$1313,J1111,J1124,J1137,J1150)</f>
        <v>0.098</v>
      </c>
      <c r="H1400" s="30" t="n">
        <f aca="false">CHOOSE($C$1313,K1111,K1124,K1137,K1150)</f>
        <v>0.098</v>
      </c>
    </row>
    <row r="1401" customFormat="false" ht="15" hidden="false" customHeight="false" outlineLevel="0" collapsed="false">
      <c r="A1401" s="5" t="s">
        <v>497</v>
      </c>
      <c r="D1401" s="25" t="n">
        <f aca="false">IF(D1399&lt;=$C$1322,$C$1314*D1400,0)</f>
        <v>10.3</v>
      </c>
      <c r="E1401" s="25" t="n">
        <f aca="false">IF(E1399&lt;=$C$1322,$C$1314*E1400,0)</f>
        <v>10.05</v>
      </c>
      <c r="F1401" s="25" t="n">
        <f aca="false">IF(F1399&lt;=$C$1322,$C$1314*F1400,0)</f>
        <v>0</v>
      </c>
      <c r="G1401" s="25" t="n">
        <f aca="false">IF(G1399&lt;=$C$1322,$C$1314*G1400,0)</f>
        <v>0</v>
      </c>
      <c r="H1401" s="25" t="n">
        <f aca="false">IF(H1399&lt;=$C$1322,$C$1314*H1400,0)</f>
        <v>0</v>
      </c>
    </row>
    <row r="1402" customFormat="false" ht="15" hidden="false" customHeight="false" outlineLevel="0" collapsed="false">
      <c r="A1402" s="5" t="s">
        <v>498</v>
      </c>
      <c r="D1402" s="25" t="n">
        <f aca="false">IF(AND($C$1229=0,D1399=$C$1317),$C$1314*$C$1396/100,0)+IF(AND($C$1229=1,D1399=$C$1397),$C$1320,0)</f>
        <v>0</v>
      </c>
      <c r="E1402" s="25" t="n">
        <f aca="false">IF(AND($C$1229=0,E1399=$C$1317),$C$1314*$C$1396/100,0)+IF(AND($C$1229=1,E1399=$C$1397),$C$1320,0)</f>
        <v>0</v>
      </c>
      <c r="F1402" s="25" t="n">
        <f aca="false">IF(AND($C$1229=0,F1399=$C$1317),$C$1314*$C$1396/100,0)+IF(AND($C$1229=1,F1399=$C$1397),$C$1320,0)</f>
        <v>68.5746624803768</v>
      </c>
      <c r="G1402" s="25" t="n">
        <f aca="false">IF(AND($C$1229=0,G1399=$C$1317),$C$1314*$C$1396/100,0)+IF(AND($C$1229=1,G1399=$C$1397),$C$1320,0)</f>
        <v>0</v>
      </c>
      <c r="H1402" s="25" t="n">
        <f aca="false">IF(AND($C$1229=0,H1399=$C$1317),$C$1314*$C$1396/100,0)+IF(AND($C$1229=1,H1399=$C$1397),$C$1320,0)</f>
        <v>0</v>
      </c>
      <c r="I1402" s="25" t="n">
        <f aca="false">IF(AND($C$1229=0,I1399=$C$1317),$C$1314*$C$1396/100,0)+IF(AND($C$1229=1,I1399=$C$1397),$C$1320,0)</f>
        <v>0</v>
      </c>
    </row>
    <row r="1403" customFormat="false" ht="15" hidden="false" customHeight="false" outlineLevel="0" collapsed="false">
      <c r="A1403" s="2" t="s">
        <v>499</v>
      </c>
      <c r="C1403" s="16" t="n">
        <f aca="false">-$C$1316</f>
        <v>-78.39</v>
      </c>
      <c r="D1403" s="16" t="n">
        <f aca="false">D1401+D1402</f>
        <v>10.3</v>
      </c>
      <c r="E1403" s="16" t="n">
        <f aca="false">E1401+E1402</f>
        <v>10.05</v>
      </c>
      <c r="F1403" s="16" t="n">
        <f aca="false">F1401+F1402</f>
        <v>68.5746624803768</v>
      </c>
      <c r="G1403" s="16" t="n">
        <f aca="false">G1401+G1402</f>
        <v>0</v>
      </c>
      <c r="H1403" s="16" t="n">
        <f aca="false">H1401+H1402</f>
        <v>0</v>
      </c>
      <c r="I1403" s="16" t="n">
        <f aca="false">I1401+I1402</f>
        <v>0</v>
      </c>
    </row>
    <row r="1404" customFormat="false" ht="15" hidden="false" customHeight="false" outlineLevel="0" collapsed="false">
      <c r="A1404" s="5" t="s">
        <v>500</v>
      </c>
      <c r="C1404" s="25" t="n">
        <f aca="false">SUM($C$1401:$I$1401)</f>
        <v>20.35</v>
      </c>
    </row>
    <row r="1405" customFormat="false" ht="15" hidden="false" customHeight="false" outlineLevel="0" collapsed="false">
      <c r="A1405" s="5" t="s">
        <v>501</v>
      </c>
      <c r="C1405" s="25" t="n">
        <f aca="false">SUM($C$1402:$I$1402)</f>
        <v>68.5746624803768</v>
      </c>
    </row>
    <row r="1406" customFormat="false" ht="15" hidden="false" customHeight="false" outlineLevel="0" collapsed="false">
      <c r="A1406" s="5" t="s">
        <v>502</v>
      </c>
      <c r="C1406" s="25" t="n">
        <f aca="false">C1404+C1405</f>
        <v>88.9246624803768</v>
      </c>
    </row>
    <row r="1407" customFormat="false" ht="15" hidden="false" customHeight="false" outlineLevel="0" collapsed="false">
      <c r="A1407" s="5" t="s">
        <v>503</v>
      </c>
      <c r="C1407" s="25" t="n">
        <f aca="false">C1405-C1314*C1315/100</f>
        <v>-9.42533751962324</v>
      </c>
    </row>
    <row r="1408" customFormat="false" ht="15" hidden="false" customHeight="false" outlineLevel="0" collapsed="false">
      <c r="A1408" s="5" t="s">
        <v>504</v>
      </c>
      <c r="C1408" s="25" t="n">
        <f aca="false">C1406-C1316</f>
        <v>10.5346624803768</v>
      </c>
    </row>
    <row r="1409" customFormat="false" ht="15" hidden="false" customHeight="false" outlineLevel="0" collapsed="false">
      <c r="A1409" s="2" t="s">
        <v>385</v>
      </c>
      <c r="C1409" s="43" t="n">
        <f aca="false">C1406/C1316</f>
        <v>1.1343878362084</v>
      </c>
    </row>
    <row r="1410" customFormat="false" ht="15" hidden="false" customHeight="false" outlineLevel="0" collapsed="false">
      <c r="A1410" s="2" t="s">
        <v>384</v>
      </c>
      <c r="C1410" s="41" t="n">
        <f aca="false">IF(C1406&lt;=0,-1,IFERROR(IRR($C$1403:$I$1403,MAX(-0.9,C1409^(1/C1397)-1)),IRR($C$1403:$I$1403,0.1)))</f>
        <v>0.0488416761243115</v>
      </c>
    </row>
    <row r="1411" customFormat="false" ht="15" hidden="false" customHeight="false" outlineLevel="0" collapsed="false">
      <c r="A1411" s="5" t="s">
        <v>505</v>
      </c>
      <c r="C1411" s="31" t="n">
        <f aca="false">MAX($G$1205:$K$1205)</f>
        <v>22.3775840205268</v>
      </c>
    </row>
    <row r="1412" customFormat="false" ht="15" hidden="false" customHeight="false" outlineLevel="0" collapsed="false">
      <c r="A1412" s="5" t="s">
        <v>506</v>
      </c>
      <c r="C1412" s="31" t="n">
        <f aca="false">MIN($G$1206:$K$1206)</f>
        <v>0.498991935483871</v>
      </c>
    </row>
    <row r="1413" customFormat="false" ht="15" hidden="false" customHeight="false" outlineLevel="0" collapsed="false">
      <c r="A1413" s="5" t="s">
        <v>507</v>
      </c>
      <c r="C1413" s="25" t="n">
        <f aca="false">SUM($G$1095:$K$1095)</f>
        <v>-480.44409175032</v>
      </c>
    </row>
    <row r="1417" customFormat="false" ht="15" hidden="false" customHeight="false" outlineLevel="0" collapsed="false">
      <c r="A1417" s="9" t="s">
        <v>630</v>
      </c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</row>
    <row r="1418" customFormat="false" ht="15" hidden="false" customHeight="false" outlineLevel="0" collapsed="false">
      <c r="A1418" s="5" t="s">
        <v>622</v>
      </c>
      <c r="C1418" s="11" t="n">
        <v>1</v>
      </c>
    </row>
    <row r="1419" customFormat="false" ht="15" hidden="false" customHeight="false" outlineLevel="0" collapsed="false">
      <c r="A1419" s="5" t="s">
        <v>623</v>
      </c>
      <c r="C1419" s="18" t="n">
        <v>0</v>
      </c>
    </row>
    <row r="1420" customFormat="false" ht="15" hidden="false" customHeight="false" outlineLevel="0" collapsed="false">
      <c r="A1420" s="5" t="s">
        <v>624</v>
      </c>
      <c r="C1420" s="29" t="n">
        <f aca="false">Sensitivities!$A$31</f>
        <v>-0.02</v>
      </c>
    </row>
    <row r="1421" customFormat="false" ht="15" hidden="false" customHeight="false" outlineLevel="0" collapsed="false">
      <c r="A1421" s="5" t="s">
        <v>625</v>
      </c>
      <c r="C1421" s="18" t="n">
        <v>0</v>
      </c>
    </row>
    <row r="1422" customFormat="false" ht="15" hidden="false" customHeight="false" outlineLevel="0" collapsed="false">
      <c r="A1422" s="5" t="s">
        <v>626</v>
      </c>
      <c r="C1422" s="15" t="n">
        <v>0</v>
      </c>
    </row>
    <row r="1424" customFormat="false" ht="15" hidden="false" customHeight="false" outlineLevel="0" collapsed="false">
      <c r="A1424" s="23" t="s">
        <v>237</v>
      </c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</row>
    <row r="1425" customFormat="false" ht="15" hidden="false" customHeight="false" outlineLevel="0" collapsed="false">
      <c r="A1425" s="5" t="s">
        <v>238</v>
      </c>
      <c r="F1425" s="26" t="n">
        <f aca="false">Assumptions!$C$6</f>
        <v>2025</v>
      </c>
      <c r="G1425" s="20" t="n">
        <f aca="false">F1425+1</f>
        <v>2026</v>
      </c>
      <c r="H1425" s="20" t="n">
        <f aca="false">G1425+1</f>
        <v>2027</v>
      </c>
      <c r="I1425" s="20" t="n">
        <f aca="false">H1425+1</f>
        <v>2028</v>
      </c>
      <c r="J1425" s="20" t="n">
        <f aca="false">I1425+1</f>
        <v>2029</v>
      </c>
      <c r="K1425" s="20" t="n">
        <f aca="false">J1425+1</f>
        <v>2030</v>
      </c>
    </row>
    <row r="1426" customFormat="false" ht="15" hidden="false" customHeight="false" outlineLevel="0" collapsed="false">
      <c r="A1426" s="5" t="s">
        <v>239</v>
      </c>
      <c r="G1426" s="20" t="n">
        <f aca="false">G1425-Assumptions!$C$6</f>
        <v>1</v>
      </c>
      <c r="H1426" s="20" t="n">
        <f aca="false">H1425-Assumptions!$C$6</f>
        <v>2</v>
      </c>
      <c r="I1426" s="20" t="n">
        <f aca="false">I1425-Assumptions!$C$6</f>
        <v>3</v>
      </c>
      <c r="J1426" s="20" t="n">
        <f aca="false">J1425-Assumptions!$C$6</f>
        <v>4</v>
      </c>
      <c r="K1426" s="20" t="n">
        <f aca="false">K1425-Assumptions!$C$6</f>
        <v>5</v>
      </c>
    </row>
    <row r="1427" customFormat="false" ht="15" hidden="false" customHeight="false" outlineLevel="0" collapsed="false">
      <c r="A1427" s="5" t="s">
        <v>149</v>
      </c>
      <c r="G1427" s="21" t="n">
        <f aca="false">CHOOSE($C$1418,Assumptions!$G$65,Assumptions!$G$84,Assumptions!$G$103)+$C$1419</f>
        <v>-0.01</v>
      </c>
      <c r="H1427" s="21" t="n">
        <f aca="false">CHOOSE($C$1418,Assumptions!$H$65,Assumptions!$H$84,Assumptions!$H$103)+$C$1419</f>
        <v>-0.01</v>
      </c>
      <c r="I1427" s="21" t="n">
        <f aca="false">CHOOSE($C$1418,Assumptions!$I$65,Assumptions!$I$84,Assumptions!$I$103)+$C$1419</f>
        <v>-0.01</v>
      </c>
      <c r="J1427" s="21" t="n">
        <f aca="false">CHOOSE($C$1418,Assumptions!$J$65,Assumptions!$J$84,Assumptions!$J$103)+$C$1419</f>
        <v>-0.01</v>
      </c>
      <c r="K1427" s="21" t="n">
        <f aca="false">CHOOSE($C$1418,Assumptions!$K$65,Assumptions!$K$84,Assumptions!$K$103)+$C$1419</f>
        <v>-0.01</v>
      </c>
    </row>
    <row r="1428" customFormat="false" ht="15" hidden="false" customHeight="false" outlineLevel="0" collapsed="false">
      <c r="A1428" s="5" t="s">
        <v>150</v>
      </c>
      <c r="G1428" s="21" t="n">
        <f aca="false">CHOOSE($C$1418,Assumptions!$G$66,Assumptions!$G$85,Assumptions!$G$104)</f>
        <v>0.36</v>
      </c>
      <c r="H1428" s="21" t="n">
        <f aca="false">CHOOSE($C$1418,Assumptions!$H$66,Assumptions!$H$85,Assumptions!$H$104)</f>
        <v>0.362</v>
      </c>
      <c r="I1428" s="21" t="n">
        <f aca="false">CHOOSE($C$1418,Assumptions!$I$66,Assumptions!$I$85,Assumptions!$I$104)</f>
        <v>0.364</v>
      </c>
      <c r="J1428" s="21" t="n">
        <f aca="false">CHOOSE($C$1418,Assumptions!$J$66,Assumptions!$J$85,Assumptions!$J$104)</f>
        <v>0.366</v>
      </c>
      <c r="K1428" s="21" t="n">
        <f aca="false">CHOOSE($C$1418,Assumptions!$K$66,Assumptions!$K$85,Assumptions!$K$104)</f>
        <v>0.368</v>
      </c>
    </row>
    <row r="1429" customFormat="false" ht="15" hidden="false" customHeight="false" outlineLevel="0" collapsed="false">
      <c r="A1429" s="5" t="s">
        <v>151</v>
      </c>
      <c r="G1429" s="21" t="n">
        <f aca="false">CHOOSE($C$1418,Assumptions!$G$67,Assumptions!$G$86,Assumptions!$G$105)+$C$1420</f>
        <v>0.045</v>
      </c>
      <c r="H1429" s="21" t="n">
        <f aca="false">CHOOSE($C$1418,Assumptions!$H$67,Assumptions!$H$86,Assumptions!$H$105)+$C$1420</f>
        <v>0.047</v>
      </c>
      <c r="I1429" s="21" t="n">
        <f aca="false">CHOOSE($C$1418,Assumptions!$I$67,Assumptions!$I$86,Assumptions!$I$105)+$C$1420</f>
        <v>0.049</v>
      </c>
      <c r="J1429" s="21" t="n">
        <f aca="false">CHOOSE($C$1418,Assumptions!$J$67,Assumptions!$J$86,Assumptions!$J$105)+$C$1420</f>
        <v>0.051</v>
      </c>
      <c r="K1429" s="21" t="n">
        <f aca="false">CHOOSE($C$1418,Assumptions!$K$67,Assumptions!$K$86,Assumptions!$K$105)+$C$1420</f>
        <v>0.053</v>
      </c>
    </row>
    <row r="1430" customFormat="false" ht="15" hidden="false" customHeight="false" outlineLevel="0" collapsed="false">
      <c r="A1430" s="23" t="s">
        <v>240</v>
      </c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</row>
    <row r="1431" customFormat="false" ht="15" hidden="false" customHeight="false" outlineLevel="0" collapsed="false">
      <c r="A1431" s="2" t="s">
        <v>207</v>
      </c>
      <c r="F1431" s="27" t="n">
        <f aca="false">'Historical Financials'!E17</f>
        <v>2400</v>
      </c>
      <c r="G1431" s="16" t="n">
        <f aca="false">F1431*(1+G1427)</f>
        <v>2376</v>
      </c>
      <c r="H1431" s="16" t="n">
        <f aca="false">G1431*(1+H1427)</f>
        <v>2352.24</v>
      </c>
      <c r="I1431" s="16" t="n">
        <f aca="false">H1431*(1+I1427)</f>
        <v>2328.7176</v>
      </c>
      <c r="J1431" s="16" t="n">
        <f aca="false">I1431*(1+J1427)</f>
        <v>2305.430424</v>
      </c>
      <c r="K1431" s="16" t="n">
        <f aca="false">J1431*(1+K1427)</f>
        <v>2282.37611976</v>
      </c>
    </row>
    <row r="1432" customFormat="false" ht="15" hidden="false" customHeight="false" outlineLevel="0" collapsed="false">
      <c r="A1432" s="5" t="s">
        <v>217</v>
      </c>
      <c r="G1432" s="25" t="n">
        <f aca="false">G1431*(1-G1428)</f>
        <v>1520.64</v>
      </c>
      <c r="H1432" s="25" t="n">
        <f aca="false">H1431*(1-H1428)</f>
        <v>1500.72912</v>
      </c>
      <c r="I1432" s="25" t="n">
        <f aca="false">I1431*(1-I1428)</f>
        <v>1481.0643936</v>
      </c>
      <c r="J1432" s="25" t="n">
        <f aca="false">J1431*(1-J1428)</f>
        <v>1461.642888816</v>
      </c>
      <c r="K1432" s="25" t="n">
        <f aca="false">K1431*(1-K1428)</f>
        <v>1442.46170768832</v>
      </c>
    </row>
    <row r="1433" customFormat="false" ht="15" hidden="false" customHeight="false" outlineLevel="0" collapsed="false">
      <c r="A1433" s="2" t="s">
        <v>218</v>
      </c>
      <c r="G1433" s="16" t="n">
        <f aca="false">G1431-G1432</f>
        <v>855.36</v>
      </c>
      <c r="H1433" s="16" t="n">
        <f aca="false">H1431-H1432</f>
        <v>851.51088</v>
      </c>
      <c r="I1433" s="16" t="n">
        <f aca="false">I1431-I1432</f>
        <v>847.6532064</v>
      </c>
      <c r="J1433" s="16" t="n">
        <f aca="false">J1431-J1432</f>
        <v>843.787535184</v>
      </c>
      <c r="K1433" s="16" t="n">
        <f aca="false">K1431-K1432</f>
        <v>839.91441207168</v>
      </c>
    </row>
    <row r="1434" customFormat="false" ht="15" hidden="false" customHeight="false" outlineLevel="0" collapsed="false">
      <c r="A1434" s="5" t="s">
        <v>241</v>
      </c>
      <c r="G1434" s="25" t="n">
        <f aca="false">G1433-G1435</f>
        <v>748.44</v>
      </c>
      <c r="H1434" s="25" t="n">
        <f aca="false">H1433-H1435</f>
        <v>740.9556</v>
      </c>
      <c r="I1434" s="25" t="n">
        <f aca="false">I1433-I1435</f>
        <v>733.546044</v>
      </c>
      <c r="J1434" s="25" t="n">
        <f aca="false">J1433-J1435</f>
        <v>726.21058356</v>
      </c>
      <c r="K1434" s="25" t="n">
        <f aca="false">K1433-K1435</f>
        <v>718.9484777244</v>
      </c>
    </row>
    <row r="1435" customFormat="false" ht="15" hidden="false" customHeight="false" outlineLevel="0" collapsed="false">
      <c r="A1435" s="2" t="s">
        <v>242</v>
      </c>
      <c r="G1435" s="16" t="n">
        <f aca="false">G1431*G1429</f>
        <v>106.92</v>
      </c>
      <c r="H1435" s="16" t="n">
        <f aca="false">H1431*H1429</f>
        <v>110.55528</v>
      </c>
      <c r="I1435" s="16" t="n">
        <f aca="false">I1431*I1429</f>
        <v>114.1071624</v>
      </c>
      <c r="J1435" s="16" t="n">
        <f aca="false">J1431*J1429</f>
        <v>117.576951624</v>
      </c>
      <c r="K1435" s="16" t="n">
        <f aca="false">K1431*K1429</f>
        <v>120.96593434728</v>
      </c>
    </row>
    <row r="1436" customFormat="false" ht="15" hidden="false" customHeight="false" outlineLevel="0" collapsed="false">
      <c r="A1436" s="5" t="s">
        <v>243</v>
      </c>
      <c r="G1436" s="25" t="n">
        <f aca="false">G1431*'Historical Financials'!E22/'Historical Financials'!E17</f>
        <v>52.272</v>
      </c>
      <c r="H1436" s="25" t="n">
        <f aca="false">H1431*'Historical Financials'!E22/'Historical Financials'!E17</f>
        <v>51.74928</v>
      </c>
      <c r="I1436" s="25" t="n">
        <f aca="false">I1431*'Historical Financials'!E22/'Historical Financials'!E17</f>
        <v>51.2317872</v>
      </c>
      <c r="J1436" s="25" t="n">
        <f aca="false">J1431*'Historical Financials'!E22/'Historical Financials'!E17</f>
        <v>50.719469328</v>
      </c>
      <c r="K1436" s="25" t="n">
        <f aca="false">K1431*'Historical Financials'!E22/'Historical Financials'!E17</f>
        <v>50.21227463472</v>
      </c>
    </row>
    <row r="1437" customFormat="false" ht="15" hidden="false" customHeight="false" outlineLevel="0" collapsed="false">
      <c r="A1437" s="5" t="s">
        <v>244</v>
      </c>
      <c r="G1437" s="25" t="n">
        <f aca="false">G1431*'Historical Financials'!E23/'Historical Financials'!E17</f>
        <v>0</v>
      </c>
      <c r="H1437" s="25" t="n">
        <f aca="false">H1431*'Historical Financials'!E23/'Historical Financials'!E17</f>
        <v>0</v>
      </c>
      <c r="I1437" s="25" t="n">
        <f aca="false">I1431*'Historical Financials'!E23/'Historical Financials'!E17</f>
        <v>0</v>
      </c>
      <c r="J1437" s="25" t="n">
        <f aca="false">J1431*'Historical Financials'!E23/'Historical Financials'!E17</f>
        <v>0</v>
      </c>
      <c r="K1437" s="25" t="n">
        <f aca="false">K1431*'Historical Financials'!E23/'Historical Financials'!E17</f>
        <v>0</v>
      </c>
    </row>
    <row r="1438" customFormat="false" ht="15" hidden="false" customHeight="false" outlineLevel="0" collapsed="false">
      <c r="A1438" s="2" t="s">
        <v>245</v>
      </c>
      <c r="G1438" s="16" t="n">
        <f aca="false">G1435-G1436-G1437</f>
        <v>54.648</v>
      </c>
      <c r="H1438" s="16" t="n">
        <f aca="false">H1435-H1436-H1437</f>
        <v>58.806</v>
      </c>
      <c r="I1438" s="16" t="n">
        <f aca="false">I1435-I1436-I1437</f>
        <v>62.8753752</v>
      </c>
      <c r="J1438" s="16" t="n">
        <f aca="false">J1435-J1436-J1437</f>
        <v>66.857482296</v>
      </c>
      <c r="K1438" s="16" t="n">
        <f aca="false">K1435-K1436-K1437</f>
        <v>70.75365971256</v>
      </c>
    </row>
    <row r="1439" customFormat="false" ht="15" hidden="false" customHeight="false" outlineLevel="0" collapsed="false">
      <c r="A1439" s="5" t="s">
        <v>246</v>
      </c>
      <c r="G1439" s="25" t="n">
        <f aca="false">G1465+G1478+G1491+G1504</f>
        <v>119.04</v>
      </c>
      <c r="H1439" s="25" t="n">
        <f aca="false">H1465+H1478+H1491+H1504</f>
        <v>118.18356</v>
      </c>
      <c r="I1439" s="25" t="n">
        <f aca="false">I1465+I1478+I1491+I1504</f>
        <v>115.89456</v>
      </c>
      <c r="J1439" s="25" t="n">
        <f aca="false">J1465+J1478+J1491+J1504</f>
        <v>115.38496</v>
      </c>
      <c r="K1439" s="25" t="n">
        <f aca="false">K1465+K1478+K1491+K1504</f>
        <v>114.87536</v>
      </c>
    </row>
    <row r="1440" customFormat="false" ht="15" hidden="false" customHeight="false" outlineLevel="0" collapsed="false">
      <c r="A1440" s="5" t="s">
        <v>247</v>
      </c>
      <c r="G1440" s="25" t="n">
        <f aca="false">G1466+G1479+G1492+G1505</f>
        <v>0</v>
      </c>
      <c r="H1440" s="25" t="n">
        <f aca="false">H1466+H1479+H1492+H1505</f>
        <v>0</v>
      </c>
      <c r="I1440" s="25" t="n">
        <f aca="false">I1466+I1479+I1492+I1505</f>
        <v>0</v>
      </c>
      <c r="J1440" s="25" t="n">
        <f aca="false">J1466+J1479+J1492+J1505</f>
        <v>0</v>
      </c>
      <c r="K1440" s="25" t="n">
        <f aca="false">K1466+K1479+K1492+K1505</f>
        <v>0</v>
      </c>
    </row>
    <row r="1441" customFormat="false" ht="15" hidden="false" customHeight="false" outlineLevel="0" collapsed="false">
      <c r="A1441" s="5" t="s">
        <v>212</v>
      </c>
      <c r="G1441" s="25" t="n">
        <f aca="false">G1439+G1440</f>
        <v>119.04</v>
      </c>
      <c r="H1441" s="25" t="n">
        <f aca="false">H1439+H1440</f>
        <v>118.18356</v>
      </c>
      <c r="I1441" s="25" t="n">
        <f aca="false">I1439+I1440</f>
        <v>115.89456</v>
      </c>
      <c r="J1441" s="25" t="n">
        <f aca="false">J1439+J1440</f>
        <v>115.38496</v>
      </c>
      <c r="K1441" s="25" t="n">
        <f aca="false">K1439+K1440</f>
        <v>114.87536</v>
      </c>
    </row>
    <row r="1442" customFormat="false" ht="15" hidden="false" customHeight="false" outlineLevel="0" collapsed="false">
      <c r="A1442" s="2" t="s">
        <v>223</v>
      </c>
      <c r="G1442" s="16" t="n">
        <f aca="false">G1438-G1441</f>
        <v>-64.392</v>
      </c>
      <c r="H1442" s="16" t="n">
        <f aca="false">H1438-H1441</f>
        <v>-59.37756</v>
      </c>
      <c r="I1442" s="16" t="n">
        <f aca="false">I1438-I1441</f>
        <v>-53.0191848</v>
      </c>
      <c r="J1442" s="16" t="n">
        <f aca="false">J1438-J1441</f>
        <v>-48.527477704</v>
      </c>
      <c r="K1442" s="16" t="n">
        <f aca="false">K1438-K1441</f>
        <v>-44.12170028744</v>
      </c>
    </row>
    <row r="1443" customFormat="false" ht="15" hidden="false" customHeight="false" outlineLevel="0" collapsed="false">
      <c r="A1443" s="5" t="s">
        <v>213</v>
      </c>
      <c r="G1443" s="25" t="n">
        <f aca="false">MAX(0,G1442)*Assumptions!$C$9</f>
        <v>0</v>
      </c>
      <c r="H1443" s="25" t="n">
        <f aca="false">MAX(0,H1442)*Assumptions!$C$9</f>
        <v>0</v>
      </c>
      <c r="I1443" s="25" t="n">
        <f aca="false">MAX(0,I1442)*Assumptions!$C$9</f>
        <v>0</v>
      </c>
      <c r="J1443" s="25" t="n">
        <f aca="false">MAX(0,J1442)*Assumptions!$C$9</f>
        <v>0</v>
      </c>
      <c r="K1443" s="25" t="n">
        <f aca="false">MAX(0,K1442)*Assumptions!$C$9</f>
        <v>0</v>
      </c>
    </row>
    <row r="1444" customFormat="false" ht="15" hidden="false" customHeight="false" outlineLevel="0" collapsed="false">
      <c r="A1444" s="2" t="s">
        <v>248</v>
      </c>
      <c r="G1444" s="16" t="n">
        <f aca="false">G1442-G1443</f>
        <v>-64.392</v>
      </c>
      <c r="H1444" s="16" t="n">
        <f aca="false">H1442-H1443</f>
        <v>-59.37756</v>
      </c>
      <c r="I1444" s="16" t="n">
        <f aca="false">I1442-I1443</f>
        <v>-53.0191848</v>
      </c>
      <c r="J1444" s="16" t="n">
        <f aca="false">J1442-J1443</f>
        <v>-48.527477704</v>
      </c>
      <c r="K1444" s="16" t="n">
        <f aca="false">K1442-K1443</f>
        <v>-44.12170028744</v>
      </c>
    </row>
    <row r="1445" customFormat="false" ht="15" hidden="false" customHeight="false" outlineLevel="0" collapsed="false">
      <c r="A1445" s="23" t="s">
        <v>249</v>
      </c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</row>
    <row r="1446" customFormat="false" ht="15" hidden="false" customHeight="false" outlineLevel="0" collapsed="false">
      <c r="A1446" s="5" t="s">
        <v>153</v>
      </c>
      <c r="G1446" s="25" t="n">
        <f aca="false">G1431*CHOOSE($C$1418,Assumptions!$C$69,Assumptions!$C$88,Assumptions!$C$107)</f>
        <v>47.52</v>
      </c>
      <c r="H1446" s="25" t="n">
        <f aca="false">H1431*CHOOSE($C$1418,Assumptions!$C$69,Assumptions!$C$88,Assumptions!$C$107)</f>
        <v>47.0448</v>
      </c>
      <c r="I1446" s="25" t="n">
        <f aca="false">I1431*CHOOSE($C$1418,Assumptions!$C$69,Assumptions!$C$88,Assumptions!$C$107)</f>
        <v>46.574352</v>
      </c>
      <c r="J1446" s="25" t="n">
        <f aca="false">J1431*CHOOSE($C$1418,Assumptions!$C$69,Assumptions!$C$88,Assumptions!$C$107)</f>
        <v>46.10860848</v>
      </c>
      <c r="K1446" s="25" t="n">
        <f aca="false">K1431*CHOOSE($C$1418,Assumptions!$C$69,Assumptions!$C$88,Assumptions!$C$107)</f>
        <v>45.6475223952</v>
      </c>
    </row>
    <row r="1447" customFormat="false" ht="15" hidden="false" customHeight="false" outlineLevel="0" collapsed="false">
      <c r="A1447" s="5" t="s">
        <v>250</v>
      </c>
      <c r="G1447" s="25" t="n">
        <f aca="false">CHOOSE($C$1418,Assumptions!$C$70,Assumptions!$C$89,Assumptions!$C$108)*(G1431-F1431)+CHOOSE($C$1418,Assumptions!$C$71,Assumptions!$C$90,Assumptions!$C$109)*G1431</f>
        <v>-2.88</v>
      </c>
      <c r="H1447" s="25" t="n">
        <f aca="false">CHOOSE($C$1418,Assumptions!$C$70,Assumptions!$C$89,Assumptions!$C$108)*(H1431-G1431)+CHOOSE($C$1418,Assumptions!$C$71,Assumptions!$C$90,Assumptions!$C$109)*H1431</f>
        <v>-2.85120000000003</v>
      </c>
      <c r="I1447" s="25" t="n">
        <f aca="false">CHOOSE($C$1418,Assumptions!$C$70,Assumptions!$C$89,Assumptions!$C$108)*(I1431-H1431)+CHOOSE($C$1418,Assumptions!$C$71,Assumptions!$C$90,Assumptions!$C$109)*I1431</f>
        <v>-2.82268799999998</v>
      </c>
      <c r="J1447" s="25" t="n">
        <f aca="false">CHOOSE($C$1418,Assumptions!$C$70,Assumptions!$C$89,Assumptions!$C$108)*(J1431-I1431)+CHOOSE($C$1418,Assumptions!$C$71,Assumptions!$C$90,Assumptions!$C$109)*J1431</f>
        <v>-2.79446111999998</v>
      </c>
      <c r="K1447" s="25" t="n">
        <f aca="false">CHOOSE($C$1418,Assumptions!$C$70,Assumptions!$C$89,Assumptions!$C$108)*(K1431-J1431)+CHOOSE($C$1418,Assumptions!$C$71,Assumptions!$C$90,Assumptions!$C$109)*K1431</f>
        <v>-2.7665165088</v>
      </c>
    </row>
    <row r="1448" customFormat="false" ht="15" hidden="false" customHeight="false" outlineLevel="0" collapsed="false">
      <c r="A1448" s="2" t="s">
        <v>251</v>
      </c>
      <c r="G1448" s="16" t="n">
        <f aca="false">G1444+G1436+G1437+G1440-G1446-G1447</f>
        <v>-56.76</v>
      </c>
      <c r="H1448" s="16" t="n">
        <f aca="false">H1444+H1436+H1437+H1440-H1446-H1447</f>
        <v>-51.82188</v>
      </c>
      <c r="I1448" s="16" t="n">
        <f aca="false">I1444+I1436+I1437+I1440-I1446-I1447</f>
        <v>-45.5390616</v>
      </c>
      <c r="J1448" s="16" t="n">
        <f aca="false">J1444+J1436+J1437+J1440-J1446-J1447</f>
        <v>-41.122155736</v>
      </c>
      <c r="K1448" s="16" t="n">
        <f aca="false">K1444+K1436+K1437+K1440-K1446-K1447</f>
        <v>-36.79043153912</v>
      </c>
    </row>
    <row r="1450" customFormat="false" ht="15" hidden="false" customHeight="false" outlineLevel="0" collapsed="false">
      <c r="A1450" s="23" t="s">
        <v>253</v>
      </c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</row>
    <row r="1451" customFormat="false" ht="15" hidden="false" customHeight="false" outlineLevel="0" collapsed="false">
      <c r="A1451" s="5" t="s">
        <v>254</v>
      </c>
      <c r="G1451" s="29" t="n">
        <f aca="false">Assumptions!$G$49</f>
        <v>0.0425</v>
      </c>
      <c r="H1451" s="29" t="n">
        <f aca="false">Assumptions!$H$49</f>
        <v>0.04</v>
      </c>
      <c r="I1451" s="29" t="n">
        <f aca="false">Assumptions!$I$49</f>
        <v>0.0375</v>
      </c>
      <c r="J1451" s="29" t="n">
        <f aca="false">Assumptions!$J$49</f>
        <v>0.0375</v>
      </c>
      <c r="K1451" s="29" t="n">
        <f aca="false">Assumptions!$K$49</f>
        <v>0.0375</v>
      </c>
    </row>
    <row r="1452" customFormat="false" ht="15" hidden="false" customHeight="false" outlineLevel="0" collapsed="false">
      <c r="A1452" s="5" t="s">
        <v>255</v>
      </c>
      <c r="C1452" s="30" t="n">
        <f aca="false">CHOOSE($C$1418,Assumptions!$C$72,Assumptions!$C$91,Assumptions!$C$110)+$C$1421</f>
        <v>0</v>
      </c>
    </row>
    <row r="1453" customFormat="false" ht="15" hidden="false" customHeight="false" outlineLevel="0" collapsed="false">
      <c r="A1453" s="5" t="s">
        <v>256</v>
      </c>
      <c r="C1453" s="30" t="n">
        <f aca="false">CHOOSE($C$1418,Assumptions!$C$73,Assumptions!$C$92,Assumptions!$C$111)</f>
        <v>0.11</v>
      </c>
    </row>
    <row r="1454" customFormat="false" ht="15" hidden="false" customHeight="false" outlineLevel="0" collapsed="false">
      <c r="A1454" s="5" t="s">
        <v>257</v>
      </c>
      <c r="C1454" s="31" t="n">
        <f aca="false">CHOOSE($C$1418,Assumptions!$C$74,Assumptions!$C$93,Assumptions!$C$112)</f>
        <v>8.5</v>
      </c>
    </row>
    <row r="1455" customFormat="false" ht="15" hidden="false" customHeight="false" outlineLevel="0" collapsed="false">
      <c r="A1455" s="5" t="s">
        <v>258</v>
      </c>
      <c r="C1455" s="31" t="n">
        <f aca="false">CHOOSE($C$1418,Assumptions!$C$75,Assumptions!$C$94,Assumptions!$C$113)</f>
        <v>1.2</v>
      </c>
    </row>
    <row r="1456" customFormat="false" ht="15" hidden="false" customHeight="false" outlineLevel="0" collapsed="false">
      <c r="A1456" s="5" t="s">
        <v>259</v>
      </c>
      <c r="G1456" s="25" t="n">
        <f aca="false">G1461+G1474+G1487+G1500</f>
        <v>1250</v>
      </c>
      <c r="H1456" s="25" t="n">
        <f aca="false">H1461+H1474+H1487+H1500</f>
        <v>1261.76</v>
      </c>
      <c r="I1456" s="25" t="n">
        <f aca="false">I1461+I1474+I1487+I1500</f>
        <v>1256.56</v>
      </c>
      <c r="J1456" s="25" t="n">
        <f aca="false">J1461+J1474+J1487+J1500</f>
        <v>1251.36</v>
      </c>
      <c r="K1456" s="25" t="n">
        <f aca="false">K1461+K1474+K1487+K1500</f>
        <v>1246.16</v>
      </c>
    </row>
    <row r="1457" customFormat="false" ht="15" hidden="false" customHeight="false" outlineLevel="0" collapsed="false">
      <c r="A1457" s="5" t="s">
        <v>260</v>
      </c>
      <c r="G1457" s="25" t="n">
        <f aca="false">F1547</f>
        <v>45</v>
      </c>
      <c r="H1457" s="25" t="n">
        <f aca="false">G1547</f>
        <v>0</v>
      </c>
      <c r="I1457" s="25" t="n">
        <f aca="false">H1547</f>
        <v>-57.02188</v>
      </c>
      <c r="J1457" s="25" t="n">
        <f aca="false">I1547</f>
        <v>-107.7609416</v>
      </c>
      <c r="K1457" s="25" t="n">
        <f aca="false">J1547</f>
        <v>-154.083097336</v>
      </c>
    </row>
    <row r="1458" customFormat="false" ht="15" hidden="false" customHeight="false" outlineLevel="0" collapsed="false">
      <c r="A1458" s="5" t="s">
        <v>261</v>
      </c>
      <c r="G1458" s="25" t="n">
        <f aca="false">G1461*IF(G1462=1,$C$1453,IF(Assumptions!$I$53=1,MAX(G1451,Assumptions!$G$53)+Assumptions!$F$53+$C$1452,Assumptions!$E$53))+G1474*IF(G1475=1,$C$1453,IF(Assumptions!$I$54=1,MAX(G1451,Assumptions!$G$54)+Assumptions!$F$54+$C$1452,Assumptions!$E$54))+G1487*IF(G1488=1,$C$1453,IF(Assumptions!$I$55=1,MAX(G1451,Assumptions!$G$55)+Assumptions!$F$55+$C$1452,Assumptions!$E$55))+G1500*IF(G1501=1,$C$1453,IF(Assumptions!$I$56=1,MAX(G1451,Assumptions!$G$56)+Assumptions!$F$56+$C$1452,Assumptions!$E$56))</f>
        <v>119.04</v>
      </c>
      <c r="H1458" s="25" t="n">
        <f aca="false">H1461*IF(OR(H1462=1,G1613=1),$C$1453,IF(Assumptions!$I$53=1,MAX(H1451,Assumptions!$G$53)+Assumptions!$F$53+$C$1452,Assumptions!$E$53))+H1474*IF(OR(H1475=1,G1614=1),$C$1453,IF(Assumptions!$I$54=1,MAX(H1451,Assumptions!$G$54)+Assumptions!$F$54+$C$1452,Assumptions!$E$54))+H1487*IF(OR(H1488=1,G1615=1),$C$1453,IF(Assumptions!$I$55=1,MAX(H1451,Assumptions!$G$55)+Assumptions!$F$55+$C$1452,Assumptions!$E$55))+H1500*IF(OR(H1501=1,G1616=1),$C$1453,IF(Assumptions!$I$56=1,MAX(H1451,Assumptions!$G$56)+Assumptions!$F$56+$C$1452,Assumptions!$E$56))</f>
        <v>133.903</v>
      </c>
      <c r="I1458" s="25" t="n">
        <f aca="false">I1461*IF(OR(I1462=1,H1613=1),$C$1453,IF(Assumptions!$I$53=1,MAX(I1451,Assumptions!$G$53)+Assumptions!$F$53+$C$1452,Assumptions!$E$53))+I1474*IF(OR(I1475=1,H1614=1),$C$1453,IF(Assumptions!$I$54=1,MAX(I1451,Assumptions!$G$54)+Assumptions!$F$54+$C$1452,Assumptions!$E$54))+I1487*IF(OR(I1488=1,H1615=1),$C$1453,IF(Assumptions!$I$55=1,MAX(I1451,Assumptions!$G$55)+Assumptions!$F$55+$C$1452,Assumptions!$E$55))+I1500*IF(OR(I1501=1,H1616=1),$C$1453,IF(Assumptions!$I$56=1,MAX(I1451,Assumptions!$G$56)+Assumptions!$F$56+$C$1452,Assumptions!$E$56))</f>
        <v>122.00976</v>
      </c>
      <c r="J1458" s="25" t="n">
        <f aca="false">J1461*IF(OR(J1462=1,I1613=1),$C$1453,IF(Assumptions!$I$53=1,MAX(J1451,Assumptions!$G$53)+Assumptions!$F$53+$C$1452,Assumptions!$E$53))+J1474*IF(OR(J1475=1,I1614=1),$C$1453,IF(Assumptions!$I$54=1,MAX(J1451,Assumptions!$G$54)+Assumptions!$F$54+$C$1452,Assumptions!$E$54))+J1487*IF(OR(J1488=1,I1615=1),$C$1453,IF(Assumptions!$I$55=1,MAX(J1451,Assumptions!$G$55)+Assumptions!$F$55+$C$1452,Assumptions!$E$55))+J1500*IF(OR(J1501=1,I1616=1),$C$1453,IF(Assumptions!$I$56=1,MAX(J1451,Assumptions!$G$56)+Assumptions!$F$56+$C$1452,Assumptions!$E$56))</f>
        <v>115.38496</v>
      </c>
      <c r="K1458" s="25" t="n">
        <f aca="false">K1461*IF(OR(K1462=1,J1613=1),$C$1453,IF(Assumptions!$I$53=1,MAX(K1451,Assumptions!$G$53)+Assumptions!$F$53+$C$1452,Assumptions!$E$53))+K1474*IF(OR(K1475=1,J1614=1),$C$1453,IF(Assumptions!$I$54=1,MAX(K1451,Assumptions!$G$54)+Assumptions!$F$54+$C$1452,Assumptions!$E$54))+K1487*IF(OR(K1488=1,J1615=1),$C$1453,IF(Assumptions!$I$55=1,MAX(K1451,Assumptions!$G$55)+Assumptions!$F$55+$C$1452,Assumptions!$E$55))+K1500*IF(OR(K1501=1,J1616=1),$C$1453,IF(Assumptions!$I$56=1,MAX(K1451,Assumptions!$G$56)+Assumptions!$F$56+$C$1452,Assumptions!$E$56))</f>
        <v>114.87536</v>
      </c>
    </row>
    <row r="1459" customFormat="false" ht="15" hidden="false" customHeight="false" outlineLevel="0" collapsed="false">
      <c r="A1459" s="5" t="s">
        <v>262</v>
      </c>
      <c r="G1459" s="20" t="n">
        <f aca="false">IF(G1435&lt;=0,0,IF(AND((G1456-G1457)/G1435&lt;=$C$1454,G1435/G1458&gt;=$C$1455),1,0))</f>
        <v>0</v>
      </c>
      <c r="H1459" s="20" t="n">
        <f aca="false">IF(H1435&lt;=0,0,IF(AND((H1456-H1457)/H1435&lt;=$C$1454,H1435/H1458&gt;=$C$1455),1,0))</f>
        <v>0</v>
      </c>
      <c r="I1459" s="20" t="n">
        <f aca="false">IF(I1435&lt;=0,0,IF(AND((I1456-I1457)/I1435&lt;=$C$1454,I1435/I1458&gt;=$C$1455),1,0))</f>
        <v>0</v>
      </c>
      <c r="J1459" s="20" t="n">
        <f aca="false">IF(J1435&lt;=0,0,IF(AND((J1456-J1457)/J1435&lt;=$C$1454,J1435/J1458&gt;=$C$1455),1,0))</f>
        <v>0</v>
      </c>
      <c r="K1459" s="20" t="n">
        <f aca="false">IF(K1435&lt;=0,0,IF(AND((K1456-K1457)/K1435&lt;=$C$1454,K1435/K1458&gt;=$C$1455),1,0))</f>
        <v>0</v>
      </c>
    </row>
    <row r="1460" customFormat="false" ht="15" hidden="false" customHeight="false" outlineLevel="0" collapsed="false">
      <c r="A1460" s="23" t="s">
        <v>263</v>
      </c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</row>
    <row r="1461" customFormat="false" ht="15" hidden="false" customHeight="false" outlineLevel="0" collapsed="false">
      <c r="A1461" s="5" t="s">
        <v>264</v>
      </c>
      <c r="G1461" s="25" t="n">
        <f aca="false">F1472</f>
        <v>180</v>
      </c>
      <c r="H1461" s="25" t="n">
        <f aca="false">G1472</f>
        <v>196.96</v>
      </c>
      <c r="I1461" s="25" t="n">
        <f aca="false">H1472</f>
        <v>196.96</v>
      </c>
      <c r="J1461" s="25" t="n">
        <f aca="false">I1472</f>
        <v>196.96</v>
      </c>
      <c r="K1461" s="25" t="n">
        <f aca="false">J1472</f>
        <v>196.96</v>
      </c>
    </row>
    <row r="1462" customFormat="false" ht="15" hidden="false" customHeight="false" outlineLevel="0" collapsed="false">
      <c r="A1462" s="5" t="s">
        <v>265</v>
      </c>
      <c r="G1462" s="20" t="n">
        <f aca="false">IF(G1425=Assumptions!$K$53,1,0)</f>
        <v>0</v>
      </c>
      <c r="H1462" s="20" t="n">
        <f aca="false">IF(H1425=Assumptions!$K$53,1,0)</f>
        <v>1</v>
      </c>
      <c r="I1462" s="20" t="n">
        <f aca="false">IF(I1425=Assumptions!$K$53,1,0)</f>
        <v>0</v>
      </c>
      <c r="J1462" s="20" t="n">
        <f aca="false">IF(J1425=Assumptions!$K$53,1,0)</f>
        <v>0</v>
      </c>
      <c r="K1462" s="20" t="n">
        <f aca="false">IF(K1425=Assumptions!$K$53,1,0)</f>
        <v>0</v>
      </c>
    </row>
    <row r="1464" customFormat="false" ht="15" hidden="false" customHeight="false" outlineLevel="0" collapsed="false">
      <c r="A1464" s="5" t="s">
        <v>266</v>
      </c>
      <c r="G1464" s="30" t="n">
        <f aca="false">IF(Assumptions!$I$53=1,MAX(G1451,Assumptions!$G$53)+Assumptions!$F$53+$C$1452,Assumptions!$E$53)</f>
        <v>0.086</v>
      </c>
      <c r="H1464" s="30" t="n">
        <f aca="false">IF(G1613=1,$C$1453,IF(Assumptions!$I$53=1,MAX(H1451,Assumptions!$G$53)+Assumptions!$F$53+$C$1452,Assumptions!$E$53))</f>
        <v>0.0835</v>
      </c>
      <c r="I1464" s="30" t="n">
        <f aca="false">IF(H1613=1,$C$1453,IF(Assumptions!$I$53=1,MAX(I1451,Assumptions!$G$53)+Assumptions!$F$53+$C$1452,Assumptions!$E$53))</f>
        <v>0.081</v>
      </c>
      <c r="J1464" s="30" t="n">
        <f aca="false">IF(I1613=1,$C$1453,IF(Assumptions!$I$53=1,MAX(J1451,Assumptions!$G$53)+Assumptions!$F$53+$C$1452,Assumptions!$E$53))</f>
        <v>0.081</v>
      </c>
      <c r="K1464" s="30" t="n">
        <f aca="false">IF(J1613=1,$C$1453,IF(Assumptions!$I$53=1,MAX(K1451,Assumptions!$G$53)+Assumptions!$F$53+$C$1452,Assumptions!$E$53))</f>
        <v>0.081</v>
      </c>
    </row>
    <row r="1465" customFormat="false" ht="15" hidden="false" customHeight="false" outlineLevel="0" collapsed="false">
      <c r="A1465" s="5" t="s">
        <v>267</v>
      </c>
      <c r="G1465" s="25" t="n">
        <f aca="false">G1461*G1464</f>
        <v>15.48</v>
      </c>
      <c r="H1465" s="25" t="n">
        <f aca="false">H1461*H1464</f>
        <v>16.44616</v>
      </c>
      <c r="I1465" s="25" t="n">
        <f aca="false">I1461*I1464</f>
        <v>15.95376</v>
      </c>
      <c r="J1465" s="25" t="n">
        <f aca="false">J1461*J1464</f>
        <v>15.95376</v>
      </c>
      <c r="K1465" s="25" t="n">
        <f aca="false">K1461*K1464</f>
        <v>15.95376</v>
      </c>
    </row>
    <row r="1466" customFormat="false" ht="15" hidden="false" customHeight="false" outlineLevel="0" collapsed="false">
      <c r="A1466" s="5" t="s">
        <v>268</v>
      </c>
      <c r="G1466" s="25" t="n">
        <f aca="false">G1461*Assumptions!$H$53</f>
        <v>0</v>
      </c>
      <c r="H1466" s="25" t="n">
        <f aca="false">H1461*Assumptions!$H$53</f>
        <v>0</v>
      </c>
      <c r="I1466" s="25" t="n">
        <f aca="false">I1461*Assumptions!$H$53</f>
        <v>0</v>
      </c>
      <c r="J1466" s="25" t="n">
        <f aca="false">J1461*Assumptions!$H$53</f>
        <v>0</v>
      </c>
      <c r="K1466" s="25" t="n">
        <f aca="false">K1461*Assumptions!$H$53</f>
        <v>0</v>
      </c>
    </row>
    <row r="1467" customFormat="false" ht="15" hidden="false" customHeight="false" outlineLevel="0" collapsed="false">
      <c r="A1467" s="5" t="s">
        <v>269</v>
      </c>
      <c r="G1467" s="25" t="n">
        <f aca="false">MIN(G1461,Assumptions!$L$53*Assumptions!$C$53)</f>
        <v>0</v>
      </c>
      <c r="H1467" s="25" t="n">
        <f aca="false">MIN(H1461,Assumptions!$L$53*Assumptions!$C$53)</f>
        <v>0</v>
      </c>
      <c r="I1467" s="25" t="n">
        <f aca="false">MIN(I1461,Assumptions!$L$53*Assumptions!$C$53)</f>
        <v>0</v>
      </c>
      <c r="J1467" s="25" t="n">
        <f aca="false">MIN(J1461,Assumptions!$L$53*Assumptions!$C$53)</f>
        <v>0</v>
      </c>
      <c r="K1467" s="25" t="n">
        <f aca="false">MIN(K1461,Assumptions!$L$53*Assumptions!$C$53)</f>
        <v>0</v>
      </c>
    </row>
    <row r="1468" customFormat="false" ht="15" hidden="false" customHeight="false" outlineLevel="0" collapsed="false">
      <c r="A1468" s="5" t="s">
        <v>270</v>
      </c>
      <c r="G1468" s="25" t="n">
        <f aca="false">IF(AND(Assumptions!$P$53=1,G1425&lt;Assumptions!$K$53),MIN(MAX(0,-G1539),MAX(0,Assumptions!$D$53-G1461)),0)</f>
        <v>16.96</v>
      </c>
      <c r="H1468" s="25" t="n">
        <f aca="false">IF(AND(Assumptions!$P$53=1,OR(H1425&lt;Assumptions!$K$53,G1613=1)),MIN(MAX(0,-H1539),MAX(0,Assumptions!$D$53-H1461)),0)</f>
        <v>0</v>
      </c>
      <c r="I1468" s="25" t="n">
        <f aca="false">IF(AND(Assumptions!$P$53=1,OR(I1425&lt;Assumptions!$K$53,H1613=1)),MIN(MAX(0,-I1539),MAX(0,Assumptions!$D$53-I1461)),0)</f>
        <v>0</v>
      </c>
      <c r="J1468" s="25" t="n">
        <f aca="false">IF(AND(Assumptions!$P$53=1,OR(J1425&lt;Assumptions!$K$53,I1613=1)),MIN(MAX(0,-J1539),MAX(0,Assumptions!$D$53-J1461)),0)</f>
        <v>0</v>
      </c>
      <c r="K1468" s="25" t="n">
        <f aca="false">IF(AND(Assumptions!$P$53=1,OR(K1425&lt;Assumptions!$K$53,J1613=1)),MIN(MAX(0,-K1539),MAX(0,Assumptions!$D$53-K1461)),0)</f>
        <v>0</v>
      </c>
    </row>
    <row r="1469" customFormat="false" ht="15" hidden="false" customHeight="false" outlineLevel="0" collapsed="false">
      <c r="A1469" s="5" t="s">
        <v>271</v>
      </c>
      <c r="G1469" s="25" t="n">
        <f aca="false">G1462*MIN(G1461-G1467+G1466,MAX(0,G1541-Assumptions!$C$12*G1459))</f>
        <v>0</v>
      </c>
      <c r="H1469" s="25" t="n">
        <f aca="false">H1462*MIN(H1461-H1467+H1466,MAX(0,H1541-Assumptions!$C$12*H1459))</f>
        <v>0</v>
      </c>
      <c r="I1469" s="25" t="n">
        <f aca="false">I1462*MIN(I1461-I1467+I1466,MAX(0,I1541-Assumptions!$C$12*I1459))</f>
        <v>0</v>
      </c>
      <c r="J1469" s="25" t="n">
        <f aca="false">J1462*MIN(J1461-J1467+J1466,MAX(0,J1541-Assumptions!$C$12*J1459))</f>
        <v>0</v>
      </c>
      <c r="K1469" s="25" t="n">
        <f aca="false">K1462*MIN(K1461-K1467+K1466,MAX(0,K1541-Assumptions!$C$12*K1459))</f>
        <v>0</v>
      </c>
    </row>
    <row r="1470" customFormat="false" ht="15" hidden="false" customHeight="false" outlineLevel="0" collapsed="false">
      <c r="A1470" s="5" t="s">
        <v>272</v>
      </c>
      <c r="G1470" s="25" t="n">
        <f aca="false">Assumptions!$N$53*MIN(G1461+G1468+G1466-G1467-G1469,MAX(0,G1545))</f>
        <v>0</v>
      </c>
      <c r="H1470" s="25" t="n">
        <f aca="false">Assumptions!$N$53*MIN(H1461+H1468+H1466-H1467-H1469,MAX(0,H1545))</f>
        <v>0</v>
      </c>
      <c r="I1470" s="25" t="n">
        <f aca="false">Assumptions!$N$53*MIN(I1461+I1468+I1466-I1467-I1469,MAX(0,I1545))</f>
        <v>0</v>
      </c>
      <c r="J1470" s="25" t="n">
        <f aca="false">Assumptions!$N$53*MIN(J1461+J1468+J1466-J1467-J1469,MAX(0,J1545))</f>
        <v>0</v>
      </c>
      <c r="K1470" s="25" t="n">
        <f aca="false">Assumptions!$N$53*MIN(K1461+K1468+K1466-K1467-K1469,MAX(0,K1545))</f>
        <v>0</v>
      </c>
    </row>
    <row r="1471" customFormat="false" ht="15" hidden="false" customHeight="false" outlineLevel="0" collapsed="false">
      <c r="A1471" s="5" t="s">
        <v>273</v>
      </c>
      <c r="G1471" s="25" t="n">
        <f aca="false">G1462*(1-G1459)*(G1461-G1467+G1466-G1469)</f>
        <v>0</v>
      </c>
      <c r="H1471" s="25" t="n">
        <f aca="false">H1462*(1-H1459)*(H1461-H1467+H1466-H1469)</f>
        <v>196.96</v>
      </c>
      <c r="I1471" s="25" t="n">
        <f aca="false">I1462*(1-I1459)*(I1461-I1467+I1466-I1469)</f>
        <v>0</v>
      </c>
      <c r="J1471" s="25" t="n">
        <f aca="false">J1462*(1-J1459)*(J1461-J1467+J1466-J1469)</f>
        <v>0</v>
      </c>
      <c r="K1471" s="25" t="n">
        <f aca="false">K1462*(1-K1459)*(K1461-K1467+K1466-K1469)</f>
        <v>0</v>
      </c>
    </row>
    <row r="1472" customFormat="false" ht="15" hidden="false" customHeight="false" outlineLevel="0" collapsed="false">
      <c r="A1472" s="2" t="s">
        <v>274</v>
      </c>
      <c r="F1472" s="27" t="n">
        <f aca="false">Assumptions!$C$53</f>
        <v>180</v>
      </c>
      <c r="G1472" s="16" t="n">
        <f aca="false">G1461+G1468+G1466-G1467-G1469-G1470</f>
        <v>196.96</v>
      </c>
      <c r="H1472" s="16" t="n">
        <f aca="false">H1461+H1468+H1466-H1467-H1469-H1470</f>
        <v>196.96</v>
      </c>
      <c r="I1472" s="16" t="n">
        <f aca="false">I1461+I1468+I1466-I1467-I1469-I1470</f>
        <v>196.96</v>
      </c>
      <c r="J1472" s="16" t="n">
        <f aca="false">J1461+J1468+J1466-J1467-J1469-J1470</f>
        <v>196.96</v>
      </c>
      <c r="K1472" s="16" t="n">
        <f aca="false">K1461+K1468+K1466-K1467-K1469-K1470</f>
        <v>196.96</v>
      </c>
    </row>
    <row r="1473" customFormat="false" ht="15" hidden="false" customHeight="false" outlineLevel="0" collapsed="false">
      <c r="A1473" s="23" t="s">
        <v>275</v>
      </c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</row>
    <row r="1474" customFormat="false" ht="15" hidden="false" customHeight="false" outlineLevel="0" collapsed="false">
      <c r="A1474" s="5" t="s">
        <v>264</v>
      </c>
      <c r="G1474" s="25" t="n">
        <f aca="false">F1485</f>
        <v>520</v>
      </c>
      <c r="H1474" s="25" t="n">
        <f aca="false">G1485</f>
        <v>514.8</v>
      </c>
      <c r="I1474" s="25" t="n">
        <f aca="false">H1485</f>
        <v>509.6</v>
      </c>
      <c r="J1474" s="25" t="n">
        <f aca="false">I1485</f>
        <v>504.4</v>
      </c>
      <c r="K1474" s="25" t="n">
        <f aca="false">J1485</f>
        <v>499.2</v>
      </c>
    </row>
    <row r="1475" customFormat="false" ht="15" hidden="false" customHeight="false" outlineLevel="0" collapsed="false">
      <c r="A1475" s="5" t="s">
        <v>265</v>
      </c>
      <c r="G1475" s="20" t="n">
        <f aca="false">IF(G1425=Assumptions!$K$54,1,0)</f>
        <v>0</v>
      </c>
      <c r="H1475" s="20" t="n">
        <f aca="false">IF(H1425=Assumptions!$K$54,1,0)</f>
        <v>0</v>
      </c>
      <c r="I1475" s="20" t="n">
        <f aca="false">IF(I1425=Assumptions!$K$54,1,0)</f>
        <v>1</v>
      </c>
      <c r="J1475" s="20" t="n">
        <f aca="false">IF(J1425=Assumptions!$K$54,1,0)</f>
        <v>0</v>
      </c>
      <c r="K1475" s="20" t="n">
        <f aca="false">IF(K1425=Assumptions!$K$54,1,0)</f>
        <v>0</v>
      </c>
    </row>
    <row r="1477" customFormat="false" ht="15" hidden="false" customHeight="false" outlineLevel="0" collapsed="false">
      <c r="A1477" s="5" t="s">
        <v>266</v>
      </c>
      <c r="G1477" s="30" t="n">
        <f aca="false">IF(Assumptions!$I$54=1,MAX(G1451,Assumptions!$G$54)+Assumptions!$F$54+$C$1452,Assumptions!$E$54)</f>
        <v>0.103</v>
      </c>
      <c r="H1477" s="30" t="n">
        <f aca="false">IF(G1614=1,$C$1453,IF(Assumptions!$I$54=1,MAX(H1451,Assumptions!$G$54)+Assumptions!$F$54+$C$1452,Assumptions!$E$54))</f>
        <v>0.1005</v>
      </c>
      <c r="I1477" s="30" t="n">
        <f aca="false">IF(H1614=1,$C$1453,IF(Assumptions!$I$54=1,MAX(I1451,Assumptions!$G$54)+Assumptions!$F$54+$C$1452,Assumptions!$E$54))</f>
        <v>0.098</v>
      </c>
      <c r="J1477" s="30" t="n">
        <f aca="false">IF(I1614=1,$C$1453,IF(Assumptions!$I$54=1,MAX(J1451,Assumptions!$G$54)+Assumptions!$F$54+$C$1452,Assumptions!$E$54))</f>
        <v>0.098</v>
      </c>
      <c r="K1477" s="30" t="n">
        <f aca="false">IF(J1614=1,$C$1453,IF(Assumptions!$I$54=1,MAX(K1451,Assumptions!$G$54)+Assumptions!$F$54+$C$1452,Assumptions!$E$54))</f>
        <v>0.098</v>
      </c>
    </row>
    <row r="1478" customFormat="false" ht="15" hidden="false" customHeight="false" outlineLevel="0" collapsed="false">
      <c r="A1478" s="5" t="s">
        <v>267</v>
      </c>
      <c r="G1478" s="25" t="n">
        <f aca="false">G1474*G1477</f>
        <v>53.56</v>
      </c>
      <c r="H1478" s="25" t="n">
        <f aca="false">H1474*H1477</f>
        <v>51.7374</v>
      </c>
      <c r="I1478" s="25" t="n">
        <f aca="false">I1474*I1477</f>
        <v>49.9408</v>
      </c>
      <c r="J1478" s="25" t="n">
        <f aca="false">J1474*J1477</f>
        <v>49.4312</v>
      </c>
      <c r="K1478" s="25" t="n">
        <f aca="false">K1474*K1477</f>
        <v>48.9216</v>
      </c>
    </row>
    <row r="1479" customFormat="false" ht="15" hidden="false" customHeight="false" outlineLevel="0" collapsed="false">
      <c r="A1479" s="5" t="s">
        <v>268</v>
      </c>
      <c r="G1479" s="25" t="n">
        <f aca="false">G1474*Assumptions!$H$54</f>
        <v>0</v>
      </c>
      <c r="H1479" s="25" t="n">
        <f aca="false">H1474*Assumptions!$H$54</f>
        <v>0</v>
      </c>
      <c r="I1479" s="25" t="n">
        <f aca="false">I1474*Assumptions!$H$54</f>
        <v>0</v>
      </c>
      <c r="J1479" s="25" t="n">
        <f aca="false">J1474*Assumptions!$H$54</f>
        <v>0</v>
      </c>
      <c r="K1479" s="25" t="n">
        <f aca="false">K1474*Assumptions!$H$54</f>
        <v>0</v>
      </c>
    </row>
    <row r="1480" customFormat="false" ht="15" hidden="false" customHeight="false" outlineLevel="0" collapsed="false">
      <c r="A1480" s="5" t="s">
        <v>269</v>
      </c>
      <c r="G1480" s="25" t="n">
        <f aca="false">MIN(G1474,Assumptions!$L$54*Assumptions!$C$54)</f>
        <v>5.2</v>
      </c>
      <c r="H1480" s="25" t="n">
        <f aca="false">MIN(H1474,Assumptions!$L$54*Assumptions!$C$54)</f>
        <v>5.2</v>
      </c>
      <c r="I1480" s="25" t="n">
        <f aca="false">MIN(I1474,Assumptions!$L$54*Assumptions!$C$54)</f>
        <v>5.2</v>
      </c>
      <c r="J1480" s="25" t="n">
        <f aca="false">MIN(J1474,Assumptions!$L$54*Assumptions!$C$54)</f>
        <v>5.2</v>
      </c>
      <c r="K1480" s="25" t="n">
        <f aca="false">MIN(K1474,Assumptions!$L$54*Assumptions!$C$54)</f>
        <v>5.2</v>
      </c>
    </row>
    <row r="1481" customFormat="false" ht="15" hidden="false" customHeight="false" outlineLevel="0" collapsed="false">
      <c r="A1481" s="5" t="s">
        <v>270</v>
      </c>
      <c r="G1481" s="25" t="n">
        <f aca="false">IF(AND(Assumptions!$P$54=1,G1425&lt;Assumptions!$K$54),MIN(MAX(0,-G1539),MAX(0,Assumptions!$D$54-G1474)),0)</f>
        <v>0</v>
      </c>
      <c r="H1481" s="25" t="n">
        <f aca="false">IF(AND(Assumptions!$P$54=1,OR(H1425&lt;Assumptions!$K$54,G1614=1)),MIN(MAX(0,-H1539),MAX(0,Assumptions!$D$54-H1474)),0)</f>
        <v>0</v>
      </c>
      <c r="I1481" s="25" t="n">
        <f aca="false">IF(AND(Assumptions!$P$54=1,OR(I1425&lt;Assumptions!$K$54,H1614=1)),MIN(MAX(0,-I1539),MAX(0,Assumptions!$D$54-I1474)),0)</f>
        <v>0</v>
      </c>
      <c r="J1481" s="25" t="n">
        <f aca="false">IF(AND(Assumptions!$P$54=1,OR(J1425&lt;Assumptions!$K$54,I1614=1)),MIN(MAX(0,-J1539),MAX(0,Assumptions!$D$54-J1474)),0)</f>
        <v>0</v>
      </c>
      <c r="K1481" s="25" t="n">
        <f aca="false">IF(AND(Assumptions!$P$54=1,OR(K1425&lt;Assumptions!$K$54,J1614=1)),MIN(MAX(0,-K1539),MAX(0,Assumptions!$D$54-K1474)),0)</f>
        <v>0</v>
      </c>
    </row>
    <row r="1482" customFormat="false" ht="15" hidden="false" customHeight="false" outlineLevel="0" collapsed="false">
      <c r="A1482" s="5" t="s">
        <v>271</v>
      </c>
      <c r="G1482" s="25" t="n">
        <f aca="false">G1475*MIN(G1474-G1480+G1479,MAX(0,G1541-Assumptions!$C$12*G1459-G1469))</f>
        <v>0</v>
      </c>
      <c r="H1482" s="25" t="n">
        <f aca="false">H1475*MIN(H1474-H1480+H1479,MAX(0,H1541-Assumptions!$C$12*H1459-H1469))</f>
        <v>0</v>
      </c>
      <c r="I1482" s="25" t="n">
        <f aca="false">I1475*MIN(I1474-I1480+I1479,MAX(0,I1541-Assumptions!$C$12*I1459-I1469))</f>
        <v>0</v>
      </c>
      <c r="J1482" s="25" t="n">
        <f aca="false">J1475*MIN(J1474-J1480+J1479,MAX(0,J1541-Assumptions!$C$12*J1459-J1469))</f>
        <v>0</v>
      </c>
      <c r="K1482" s="25" t="n">
        <f aca="false">K1475*MIN(K1474-K1480+K1479,MAX(0,K1541-Assumptions!$C$12*K1459-K1469))</f>
        <v>0</v>
      </c>
    </row>
    <row r="1483" customFormat="false" ht="15" hidden="false" customHeight="false" outlineLevel="0" collapsed="false">
      <c r="A1483" s="5" t="s">
        <v>272</v>
      </c>
      <c r="G1483" s="25" t="n">
        <f aca="false">Assumptions!$N$54*MIN(G1474+G1481+G1479-G1480-G1482,MAX(0,G1545-G1470))</f>
        <v>0</v>
      </c>
      <c r="H1483" s="25" t="n">
        <f aca="false">Assumptions!$N$54*MIN(H1474+H1481+H1479-H1480-H1482,MAX(0,H1545-H1470))</f>
        <v>0</v>
      </c>
      <c r="I1483" s="25" t="n">
        <f aca="false">Assumptions!$N$54*MIN(I1474+I1481+I1479-I1480-I1482,MAX(0,I1545-I1470))</f>
        <v>0</v>
      </c>
      <c r="J1483" s="25" t="n">
        <f aca="false">Assumptions!$N$54*MIN(J1474+J1481+J1479-J1480-J1482,MAX(0,J1545-J1470))</f>
        <v>0</v>
      </c>
      <c r="K1483" s="25" t="n">
        <f aca="false">Assumptions!$N$54*MIN(K1474+K1481+K1479-K1480-K1482,MAX(0,K1545-K1470))</f>
        <v>0</v>
      </c>
    </row>
    <row r="1484" customFormat="false" ht="15" hidden="false" customHeight="false" outlineLevel="0" collapsed="false">
      <c r="A1484" s="5" t="s">
        <v>273</v>
      </c>
      <c r="G1484" s="25" t="n">
        <f aca="false">G1475*(1-G1459)*(G1474-G1480+G1479-G1482)</f>
        <v>0</v>
      </c>
      <c r="H1484" s="25" t="n">
        <f aca="false">H1475*(1-H1459)*(H1474-H1480+H1479-H1482)</f>
        <v>0</v>
      </c>
      <c r="I1484" s="25" t="n">
        <f aca="false">I1475*(1-I1459)*(I1474-I1480+I1479-I1482)</f>
        <v>504.4</v>
      </c>
      <c r="J1484" s="25" t="n">
        <f aca="false">J1475*(1-J1459)*(J1474-J1480+J1479-J1482)</f>
        <v>0</v>
      </c>
      <c r="K1484" s="25" t="n">
        <f aca="false">K1475*(1-K1459)*(K1474-K1480+K1479-K1482)</f>
        <v>0</v>
      </c>
    </row>
    <row r="1485" customFormat="false" ht="15" hidden="false" customHeight="false" outlineLevel="0" collapsed="false">
      <c r="A1485" s="2" t="s">
        <v>274</v>
      </c>
      <c r="F1485" s="27" t="n">
        <f aca="false">Assumptions!$C$54</f>
        <v>520</v>
      </c>
      <c r="G1485" s="16" t="n">
        <f aca="false">G1474+G1481+G1479-G1480-G1482-G1483</f>
        <v>514.8</v>
      </c>
      <c r="H1485" s="16" t="n">
        <f aca="false">H1474+H1481+H1479-H1480-H1482-H1483</f>
        <v>509.6</v>
      </c>
      <c r="I1485" s="16" t="n">
        <f aca="false">I1474+I1481+I1479-I1480-I1482-I1483</f>
        <v>504.4</v>
      </c>
      <c r="J1485" s="16" t="n">
        <f aca="false">J1474+J1481+J1479-J1480-J1482-J1483</f>
        <v>499.2</v>
      </c>
      <c r="K1485" s="16" t="n">
        <f aca="false">K1474+K1481+K1479-K1480-K1482-K1483</f>
        <v>494</v>
      </c>
    </row>
    <row r="1486" customFormat="false" ht="15" hidden="false" customHeight="false" outlineLevel="0" collapsed="false">
      <c r="A1486" s="23" t="s">
        <v>276</v>
      </c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</row>
    <row r="1487" customFormat="false" ht="15" hidden="false" customHeight="false" outlineLevel="0" collapsed="false">
      <c r="A1487" s="5" t="s">
        <v>264</v>
      </c>
      <c r="G1487" s="25" t="n">
        <f aca="false">F1498</f>
        <v>250</v>
      </c>
      <c r="H1487" s="25" t="n">
        <f aca="false">G1498</f>
        <v>250</v>
      </c>
      <c r="I1487" s="25" t="n">
        <f aca="false">H1498</f>
        <v>250</v>
      </c>
      <c r="J1487" s="25" t="n">
        <f aca="false">I1498</f>
        <v>250</v>
      </c>
      <c r="K1487" s="25" t="n">
        <f aca="false">J1498</f>
        <v>250</v>
      </c>
    </row>
    <row r="1488" customFormat="false" ht="15" hidden="false" customHeight="false" outlineLevel="0" collapsed="false">
      <c r="A1488" s="5" t="s">
        <v>265</v>
      </c>
      <c r="G1488" s="20" t="n">
        <f aca="false">IF(G1425=Assumptions!$K$55,1,0)</f>
        <v>0</v>
      </c>
      <c r="H1488" s="20" t="n">
        <f aca="false">IF(H1425=Assumptions!$K$55,1,0)</f>
        <v>0</v>
      </c>
      <c r="I1488" s="20" t="n">
        <f aca="false">IF(I1425=Assumptions!$K$55,1,0)</f>
        <v>0</v>
      </c>
      <c r="J1488" s="20" t="n">
        <f aca="false">IF(J1425=Assumptions!$K$55,1,0)</f>
        <v>1</v>
      </c>
      <c r="K1488" s="20" t="n">
        <f aca="false">IF(K1425=Assumptions!$K$55,1,0)</f>
        <v>0</v>
      </c>
    </row>
    <row r="1490" customFormat="false" ht="15" hidden="false" customHeight="false" outlineLevel="0" collapsed="false">
      <c r="A1490" s="5" t="s">
        <v>266</v>
      </c>
      <c r="G1490" s="30" t="n">
        <f aca="false">IF(Assumptions!$I$55=1,MAX(G1451,Assumptions!$G$55)+Assumptions!$F$55+$C$1452,Assumptions!$E$55)</f>
        <v>0.11</v>
      </c>
      <c r="H1490" s="30" t="n">
        <f aca="false">IF(G1615=1,$C$1453,IF(Assumptions!$I$55=1,MAX(H1451,Assumptions!$G$55)+Assumptions!$F$55+$C$1452,Assumptions!$E$55))</f>
        <v>0.11</v>
      </c>
      <c r="I1490" s="30" t="n">
        <f aca="false">IF(H1615=1,$C$1453,IF(Assumptions!$I$55=1,MAX(I1451,Assumptions!$G$55)+Assumptions!$F$55+$C$1452,Assumptions!$E$55))</f>
        <v>0.11</v>
      </c>
      <c r="J1490" s="30" t="n">
        <f aca="false">IF(I1615=1,$C$1453,IF(Assumptions!$I$55=1,MAX(J1451,Assumptions!$G$55)+Assumptions!$F$55+$C$1452,Assumptions!$E$55))</f>
        <v>0.11</v>
      </c>
      <c r="K1490" s="30" t="n">
        <f aca="false">IF(J1615=1,$C$1453,IF(Assumptions!$I$55=1,MAX(K1451,Assumptions!$G$55)+Assumptions!$F$55+$C$1452,Assumptions!$E$55))</f>
        <v>0.11</v>
      </c>
    </row>
    <row r="1491" customFormat="false" ht="15" hidden="false" customHeight="false" outlineLevel="0" collapsed="false">
      <c r="A1491" s="5" t="s">
        <v>267</v>
      </c>
      <c r="G1491" s="25" t="n">
        <f aca="false">G1487*G1490</f>
        <v>27.5</v>
      </c>
      <c r="H1491" s="25" t="n">
        <f aca="false">H1487*H1490</f>
        <v>27.5</v>
      </c>
      <c r="I1491" s="25" t="n">
        <f aca="false">I1487*I1490</f>
        <v>27.5</v>
      </c>
      <c r="J1491" s="25" t="n">
        <f aca="false">J1487*J1490</f>
        <v>27.5</v>
      </c>
      <c r="K1491" s="25" t="n">
        <f aca="false">K1487*K1490</f>
        <v>27.5</v>
      </c>
    </row>
    <row r="1492" customFormat="false" ht="15" hidden="false" customHeight="false" outlineLevel="0" collapsed="false">
      <c r="A1492" s="5" t="s">
        <v>268</v>
      </c>
      <c r="G1492" s="25" t="n">
        <f aca="false">G1487*Assumptions!$H$55</f>
        <v>0</v>
      </c>
      <c r="H1492" s="25" t="n">
        <f aca="false">H1487*Assumptions!$H$55</f>
        <v>0</v>
      </c>
      <c r="I1492" s="25" t="n">
        <f aca="false">I1487*Assumptions!$H$55</f>
        <v>0</v>
      </c>
      <c r="J1492" s="25" t="n">
        <f aca="false">J1487*Assumptions!$H$55</f>
        <v>0</v>
      </c>
      <c r="K1492" s="25" t="n">
        <f aca="false">K1487*Assumptions!$H$55</f>
        <v>0</v>
      </c>
    </row>
    <row r="1493" customFormat="false" ht="15" hidden="false" customHeight="false" outlineLevel="0" collapsed="false">
      <c r="A1493" s="5" t="s">
        <v>269</v>
      </c>
      <c r="G1493" s="25" t="n">
        <f aca="false">MIN(G1487,Assumptions!$L$55*Assumptions!$C$55)</f>
        <v>0</v>
      </c>
      <c r="H1493" s="25" t="n">
        <f aca="false">MIN(H1487,Assumptions!$L$55*Assumptions!$C$55)</f>
        <v>0</v>
      </c>
      <c r="I1493" s="25" t="n">
        <f aca="false">MIN(I1487,Assumptions!$L$55*Assumptions!$C$55)</f>
        <v>0</v>
      </c>
      <c r="J1493" s="25" t="n">
        <f aca="false">MIN(J1487,Assumptions!$L$55*Assumptions!$C$55)</f>
        <v>0</v>
      </c>
      <c r="K1493" s="25" t="n">
        <f aca="false">MIN(K1487,Assumptions!$L$55*Assumptions!$C$55)</f>
        <v>0</v>
      </c>
    </row>
    <row r="1494" customFormat="false" ht="15" hidden="false" customHeight="false" outlineLevel="0" collapsed="false">
      <c r="A1494" s="5" t="s">
        <v>270</v>
      </c>
      <c r="G1494" s="25" t="n">
        <f aca="false">IF(AND(Assumptions!$P$55=1,G1425&lt;Assumptions!$K$55),MIN(MAX(0,-G1539),MAX(0,Assumptions!$D$55-G1487)),0)</f>
        <v>0</v>
      </c>
      <c r="H1494" s="25" t="n">
        <f aca="false">IF(AND(Assumptions!$P$55=1,OR(H1425&lt;Assumptions!$K$55,G1615=1)),MIN(MAX(0,-H1539),MAX(0,Assumptions!$D$55-H1487)),0)</f>
        <v>0</v>
      </c>
      <c r="I1494" s="25" t="n">
        <f aca="false">IF(AND(Assumptions!$P$55=1,OR(I1425&lt;Assumptions!$K$55,H1615=1)),MIN(MAX(0,-I1539),MAX(0,Assumptions!$D$55-I1487)),0)</f>
        <v>0</v>
      </c>
      <c r="J1494" s="25" t="n">
        <f aca="false">IF(AND(Assumptions!$P$55=1,OR(J1425&lt;Assumptions!$K$55,I1615=1)),MIN(MAX(0,-J1539),MAX(0,Assumptions!$D$55-J1487)),0)</f>
        <v>0</v>
      </c>
      <c r="K1494" s="25" t="n">
        <f aca="false">IF(AND(Assumptions!$P$55=1,OR(K1425&lt;Assumptions!$K$55,J1615=1)),MIN(MAX(0,-K1539),MAX(0,Assumptions!$D$55-K1487)),0)</f>
        <v>0</v>
      </c>
    </row>
    <row r="1495" customFormat="false" ht="15" hidden="false" customHeight="false" outlineLevel="0" collapsed="false">
      <c r="A1495" s="5" t="s">
        <v>271</v>
      </c>
      <c r="G1495" s="25" t="n">
        <f aca="false">G1488*MIN(G1487-G1493+G1492,MAX(0,G1541-Assumptions!$C$12*G1459-G1469-G1482))</f>
        <v>0</v>
      </c>
      <c r="H1495" s="25" t="n">
        <f aca="false">H1488*MIN(H1487-H1493+H1492,MAX(0,H1541-Assumptions!$C$12*H1459-H1469-H1482))</f>
        <v>0</v>
      </c>
      <c r="I1495" s="25" t="n">
        <f aca="false">I1488*MIN(I1487-I1493+I1492,MAX(0,I1541-Assumptions!$C$12*I1459-I1469-I1482))</f>
        <v>0</v>
      </c>
      <c r="J1495" s="25" t="n">
        <f aca="false">J1488*MIN(J1487-J1493+J1492,MAX(0,J1541-Assumptions!$C$12*J1459-J1469-J1482))</f>
        <v>0</v>
      </c>
      <c r="K1495" s="25" t="n">
        <f aca="false">K1488*MIN(K1487-K1493+K1492,MAX(0,K1541-Assumptions!$C$12*K1459-K1469-K1482))</f>
        <v>0</v>
      </c>
    </row>
    <row r="1496" customFormat="false" ht="15" hidden="false" customHeight="false" outlineLevel="0" collapsed="false">
      <c r="A1496" s="5" t="s">
        <v>272</v>
      </c>
      <c r="G1496" s="25" t="n">
        <f aca="false">Assumptions!$N$55*MIN(G1487+G1494+G1492-G1493-G1495,MAX(0,G1545-G1470-G1483))</f>
        <v>0</v>
      </c>
      <c r="H1496" s="25" t="n">
        <f aca="false">Assumptions!$N$55*MIN(H1487+H1494+H1492-H1493-H1495,MAX(0,H1545-H1470-H1483))</f>
        <v>0</v>
      </c>
      <c r="I1496" s="25" t="n">
        <f aca="false">Assumptions!$N$55*MIN(I1487+I1494+I1492-I1493-I1495,MAX(0,I1545-I1470-I1483))</f>
        <v>0</v>
      </c>
      <c r="J1496" s="25" t="n">
        <f aca="false">Assumptions!$N$55*MIN(J1487+J1494+J1492-J1493-J1495,MAX(0,J1545-J1470-J1483))</f>
        <v>0</v>
      </c>
      <c r="K1496" s="25" t="n">
        <f aca="false">Assumptions!$N$55*MIN(K1487+K1494+K1492-K1493-K1495,MAX(0,K1545-K1470-K1483))</f>
        <v>0</v>
      </c>
    </row>
    <row r="1497" customFormat="false" ht="15" hidden="false" customHeight="false" outlineLevel="0" collapsed="false">
      <c r="A1497" s="5" t="s">
        <v>273</v>
      </c>
      <c r="G1497" s="25" t="n">
        <f aca="false">G1488*(1-G1459)*(G1487-G1493+G1492-G1495)</f>
        <v>0</v>
      </c>
      <c r="H1497" s="25" t="n">
        <f aca="false">H1488*(1-H1459)*(H1487-H1493+H1492-H1495)</f>
        <v>0</v>
      </c>
      <c r="I1497" s="25" t="n">
        <f aca="false">I1488*(1-I1459)*(I1487-I1493+I1492-I1495)</f>
        <v>0</v>
      </c>
      <c r="J1497" s="25" t="n">
        <f aca="false">J1488*(1-J1459)*(J1487-J1493+J1492-J1495)</f>
        <v>250</v>
      </c>
      <c r="K1497" s="25" t="n">
        <f aca="false">K1488*(1-K1459)*(K1487-K1493+K1492-K1495)</f>
        <v>0</v>
      </c>
    </row>
    <row r="1498" customFormat="false" ht="15" hidden="false" customHeight="false" outlineLevel="0" collapsed="false">
      <c r="A1498" s="2" t="s">
        <v>274</v>
      </c>
      <c r="F1498" s="27" t="n">
        <f aca="false">Assumptions!$C$55</f>
        <v>250</v>
      </c>
      <c r="G1498" s="16" t="n">
        <f aca="false">G1487+G1494+G1492-G1493-G1495-G1496</f>
        <v>250</v>
      </c>
      <c r="H1498" s="16" t="n">
        <f aca="false">H1487+H1494+H1492-H1493-H1495-H1496</f>
        <v>250</v>
      </c>
      <c r="I1498" s="16" t="n">
        <f aca="false">I1487+I1494+I1492-I1493-I1495-I1496</f>
        <v>250</v>
      </c>
      <c r="J1498" s="16" t="n">
        <f aca="false">J1487+J1494+J1492-J1493-J1495-J1496</f>
        <v>250</v>
      </c>
      <c r="K1498" s="16" t="n">
        <f aca="false">K1487+K1494+K1492-K1493-K1495-K1496</f>
        <v>250</v>
      </c>
    </row>
    <row r="1499" customFormat="false" ht="15" hidden="false" customHeight="false" outlineLevel="0" collapsed="false">
      <c r="A1499" s="23" t="s">
        <v>277</v>
      </c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</row>
    <row r="1500" customFormat="false" ht="15" hidden="false" customHeight="false" outlineLevel="0" collapsed="false">
      <c r="A1500" s="5" t="s">
        <v>264</v>
      </c>
      <c r="G1500" s="25" t="n">
        <f aca="false">F1511</f>
        <v>300</v>
      </c>
      <c r="H1500" s="25" t="n">
        <f aca="false">G1511</f>
        <v>300</v>
      </c>
      <c r="I1500" s="25" t="n">
        <f aca="false">H1511</f>
        <v>300</v>
      </c>
      <c r="J1500" s="25" t="n">
        <f aca="false">I1511</f>
        <v>300</v>
      </c>
      <c r="K1500" s="25" t="n">
        <f aca="false">J1511</f>
        <v>300</v>
      </c>
    </row>
    <row r="1501" customFormat="false" ht="15" hidden="false" customHeight="false" outlineLevel="0" collapsed="false">
      <c r="A1501" s="5" t="s">
        <v>265</v>
      </c>
      <c r="G1501" s="20" t="n">
        <f aca="false">IF(G1425=Assumptions!$K$56,1,0)</f>
        <v>0</v>
      </c>
      <c r="H1501" s="20" t="n">
        <f aca="false">IF(H1425=Assumptions!$K$56,1,0)</f>
        <v>1</v>
      </c>
      <c r="I1501" s="20" t="n">
        <f aca="false">IF(I1425=Assumptions!$K$56,1,0)</f>
        <v>0</v>
      </c>
      <c r="J1501" s="20" t="n">
        <f aca="false">IF(J1425=Assumptions!$K$56,1,0)</f>
        <v>0</v>
      </c>
      <c r="K1501" s="20" t="n">
        <f aca="false">IF(K1425=Assumptions!$K$56,1,0)</f>
        <v>0</v>
      </c>
    </row>
    <row r="1503" customFormat="false" ht="15" hidden="false" customHeight="false" outlineLevel="0" collapsed="false">
      <c r="A1503" s="5" t="s">
        <v>266</v>
      </c>
      <c r="G1503" s="30" t="n">
        <f aca="false">IF(Assumptions!$I$56=1,MAX(G1451,Assumptions!$G$56)+Assumptions!$F$56+$C$1452,Assumptions!$E$56)</f>
        <v>0.075</v>
      </c>
      <c r="H1503" s="30" t="n">
        <f aca="false">IF(G1616=1,$C$1453,IF(Assumptions!$I$56=1,MAX(H1451,Assumptions!$G$56)+Assumptions!$F$56+$C$1452,Assumptions!$E$56))</f>
        <v>0.075</v>
      </c>
      <c r="I1503" s="30" t="n">
        <f aca="false">IF(H1616=1,$C$1453,IF(Assumptions!$I$56=1,MAX(I1451,Assumptions!$G$56)+Assumptions!$F$56+$C$1452,Assumptions!$E$56))</f>
        <v>0.075</v>
      </c>
      <c r="J1503" s="30" t="n">
        <f aca="false">IF(I1616=1,$C$1453,IF(Assumptions!$I$56=1,MAX(J1451,Assumptions!$G$56)+Assumptions!$F$56+$C$1452,Assumptions!$E$56))</f>
        <v>0.075</v>
      </c>
      <c r="K1503" s="30" t="n">
        <f aca="false">IF(J1616=1,$C$1453,IF(Assumptions!$I$56=1,MAX(K1451,Assumptions!$G$56)+Assumptions!$F$56+$C$1452,Assumptions!$E$56))</f>
        <v>0.075</v>
      </c>
    </row>
    <row r="1504" customFormat="false" ht="15" hidden="false" customHeight="false" outlineLevel="0" collapsed="false">
      <c r="A1504" s="5" t="s">
        <v>267</v>
      </c>
      <c r="G1504" s="25" t="n">
        <f aca="false">G1500*G1503</f>
        <v>22.5</v>
      </c>
      <c r="H1504" s="25" t="n">
        <f aca="false">H1500*H1503</f>
        <v>22.5</v>
      </c>
      <c r="I1504" s="25" t="n">
        <f aca="false">I1500*I1503</f>
        <v>22.5</v>
      </c>
      <c r="J1504" s="25" t="n">
        <f aca="false">J1500*J1503</f>
        <v>22.5</v>
      </c>
      <c r="K1504" s="25" t="n">
        <f aca="false">K1500*K1503</f>
        <v>22.5</v>
      </c>
    </row>
    <row r="1505" customFormat="false" ht="15" hidden="false" customHeight="false" outlineLevel="0" collapsed="false">
      <c r="A1505" s="5" t="s">
        <v>268</v>
      </c>
      <c r="G1505" s="25" t="n">
        <f aca="false">G1500*Assumptions!$H$56</f>
        <v>0</v>
      </c>
      <c r="H1505" s="25" t="n">
        <f aca="false">H1500*Assumptions!$H$56</f>
        <v>0</v>
      </c>
      <c r="I1505" s="25" t="n">
        <f aca="false">I1500*Assumptions!$H$56</f>
        <v>0</v>
      </c>
      <c r="J1505" s="25" t="n">
        <f aca="false">J1500*Assumptions!$H$56</f>
        <v>0</v>
      </c>
      <c r="K1505" s="25" t="n">
        <f aca="false">K1500*Assumptions!$H$56</f>
        <v>0</v>
      </c>
    </row>
    <row r="1506" customFormat="false" ht="15" hidden="false" customHeight="false" outlineLevel="0" collapsed="false">
      <c r="A1506" s="5" t="s">
        <v>269</v>
      </c>
      <c r="G1506" s="25" t="n">
        <f aca="false">MIN(G1500,Assumptions!$L$56*Assumptions!$C$56)</f>
        <v>0</v>
      </c>
      <c r="H1506" s="25" t="n">
        <f aca="false">MIN(H1500,Assumptions!$L$56*Assumptions!$C$56)</f>
        <v>0</v>
      </c>
      <c r="I1506" s="25" t="n">
        <f aca="false">MIN(I1500,Assumptions!$L$56*Assumptions!$C$56)</f>
        <v>0</v>
      </c>
      <c r="J1506" s="25" t="n">
        <f aca="false">MIN(J1500,Assumptions!$L$56*Assumptions!$C$56)</f>
        <v>0</v>
      </c>
      <c r="K1506" s="25" t="n">
        <f aca="false">MIN(K1500,Assumptions!$L$56*Assumptions!$C$56)</f>
        <v>0</v>
      </c>
    </row>
    <row r="1507" customFormat="false" ht="15" hidden="false" customHeight="false" outlineLevel="0" collapsed="false">
      <c r="A1507" s="5" t="s">
        <v>270</v>
      </c>
      <c r="G1507" s="25" t="n">
        <f aca="false">IF(AND(Assumptions!$P$56=1,G1425&lt;Assumptions!$K$56),MIN(MAX(0,-G1539),MAX(0,Assumptions!$D$56-G1500)),0)</f>
        <v>0</v>
      </c>
      <c r="H1507" s="25" t="n">
        <f aca="false">IF(AND(Assumptions!$P$56=1,OR(H1425&lt;Assumptions!$K$56,G1616=1)),MIN(MAX(0,-H1539),MAX(0,Assumptions!$D$56-H1500)),0)</f>
        <v>0</v>
      </c>
      <c r="I1507" s="25" t="n">
        <f aca="false">IF(AND(Assumptions!$P$56=1,OR(I1425&lt;Assumptions!$K$56,H1616=1)),MIN(MAX(0,-I1539),MAX(0,Assumptions!$D$56-I1500)),0)</f>
        <v>0</v>
      </c>
      <c r="J1507" s="25" t="n">
        <f aca="false">IF(AND(Assumptions!$P$56=1,OR(J1425&lt;Assumptions!$K$56,I1616=1)),MIN(MAX(0,-J1539),MAX(0,Assumptions!$D$56-J1500)),0)</f>
        <v>0</v>
      </c>
      <c r="K1507" s="25" t="n">
        <f aca="false">IF(AND(Assumptions!$P$56=1,OR(K1425&lt;Assumptions!$K$56,J1616=1)),MIN(MAX(0,-K1539),MAX(0,Assumptions!$D$56-K1500)),0)</f>
        <v>0</v>
      </c>
    </row>
    <row r="1508" customFormat="false" ht="15" hidden="false" customHeight="false" outlineLevel="0" collapsed="false">
      <c r="A1508" s="5" t="s">
        <v>271</v>
      </c>
      <c r="G1508" s="25" t="n">
        <f aca="false">G1501*MIN(G1500-G1506+G1505,MAX(0,G1541-Assumptions!$C$12*G1459-G1469-G1482-G1495))</f>
        <v>0</v>
      </c>
      <c r="H1508" s="25" t="n">
        <f aca="false">H1501*MIN(H1500-H1506+H1505,MAX(0,H1541-Assumptions!$C$12*H1459-H1469-H1482-H1495))</f>
        <v>0</v>
      </c>
      <c r="I1508" s="25" t="n">
        <f aca="false">I1501*MIN(I1500-I1506+I1505,MAX(0,I1541-Assumptions!$C$12*I1459-I1469-I1482-I1495))</f>
        <v>0</v>
      </c>
      <c r="J1508" s="25" t="n">
        <f aca="false">J1501*MIN(J1500-J1506+J1505,MAX(0,J1541-Assumptions!$C$12*J1459-J1469-J1482-J1495))</f>
        <v>0</v>
      </c>
      <c r="K1508" s="25" t="n">
        <f aca="false">K1501*MIN(K1500-K1506+K1505,MAX(0,K1541-Assumptions!$C$12*K1459-K1469-K1482-K1495))</f>
        <v>0</v>
      </c>
    </row>
    <row r="1509" customFormat="false" ht="15" hidden="false" customHeight="false" outlineLevel="0" collapsed="false">
      <c r="A1509" s="5" t="s">
        <v>272</v>
      </c>
      <c r="G1509" s="25" t="n">
        <f aca="false">Assumptions!$N$56*MIN(G1500+G1507+G1505-G1506-G1508,MAX(0,G1545-G1470-G1483-G1496))</f>
        <v>0</v>
      </c>
      <c r="H1509" s="25" t="n">
        <f aca="false">Assumptions!$N$56*MIN(H1500+H1507+H1505-H1506-H1508,MAX(0,H1545-H1470-H1483-H1496))</f>
        <v>0</v>
      </c>
      <c r="I1509" s="25" t="n">
        <f aca="false">Assumptions!$N$56*MIN(I1500+I1507+I1505-I1506-I1508,MAX(0,I1545-I1470-I1483-I1496))</f>
        <v>0</v>
      </c>
      <c r="J1509" s="25" t="n">
        <f aca="false">Assumptions!$N$56*MIN(J1500+J1507+J1505-J1506-J1508,MAX(0,J1545-J1470-J1483-J1496))</f>
        <v>0</v>
      </c>
      <c r="K1509" s="25" t="n">
        <f aca="false">Assumptions!$N$56*MIN(K1500+K1507+K1505-K1506-K1508,MAX(0,K1545-K1470-K1483-K1496))</f>
        <v>0</v>
      </c>
    </row>
    <row r="1510" customFormat="false" ht="15" hidden="false" customHeight="false" outlineLevel="0" collapsed="false">
      <c r="A1510" s="5" t="s">
        <v>273</v>
      </c>
      <c r="G1510" s="25" t="n">
        <f aca="false">G1501*(1-G1459)*(G1500-G1506+G1505-G1508)</f>
        <v>0</v>
      </c>
      <c r="H1510" s="25" t="n">
        <f aca="false">H1501*(1-H1459)*(H1500-H1506+H1505-H1508)</f>
        <v>300</v>
      </c>
      <c r="I1510" s="25" t="n">
        <f aca="false">I1501*(1-I1459)*(I1500-I1506+I1505-I1508)</f>
        <v>0</v>
      </c>
      <c r="J1510" s="25" t="n">
        <f aca="false">J1501*(1-J1459)*(J1500-J1506+J1505-J1508)</f>
        <v>0</v>
      </c>
      <c r="K1510" s="25" t="n">
        <f aca="false">K1501*(1-K1459)*(K1500-K1506+K1505-K1508)</f>
        <v>0</v>
      </c>
    </row>
    <row r="1511" customFormat="false" ht="15" hidden="false" customHeight="false" outlineLevel="0" collapsed="false">
      <c r="A1511" s="2" t="s">
        <v>274</v>
      </c>
      <c r="F1511" s="27" t="n">
        <f aca="false">Assumptions!$C$56</f>
        <v>300</v>
      </c>
      <c r="G1511" s="16" t="n">
        <f aca="false">G1500+G1507+G1505-G1506-G1508-G1509</f>
        <v>300</v>
      </c>
      <c r="H1511" s="16" t="n">
        <f aca="false">H1500+H1507+H1505-H1506-H1508-H1509</f>
        <v>300</v>
      </c>
      <c r="I1511" s="16" t="n">
        <f aca="false">I1500+I1507+I1505-I1506-I1508-I1509</f>
        <v>300</v>
      </c>
      <c r="J1511" s="16" t="n">
        <f aca="false">J1500+J1507+J1505-J1506-J1508-J1509</f>
        <v>300</v>
      </c>
      <c r="K1511" s="16" t="n">
        <f aca="false">K1500+K1507+K1505-K1506-K1508-K1509</f>
        <v>300</v>
      </c>
    </row>
    <row r="1512" customFormat="false" ht="15" hidden="false" customHeight="false" outlineLevel="0" collapsed="false">
      <c r="A1512" s="23" t="s">
        <v>278</v>
      </c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</row>
    <row r="1513" customFormat="false" ht="15" hidden="false" customHeight="false" outlineLevel="0" collapsed="false">
      <c r="A1513" s="2" t="s">
        <v>279</v>
      </c>
      <c r="F1513" s="16" t="n">
        <f aca="false">F1472+F1485+F1498+F1511</f>
        <v>1250</v>
      </c>
      <c r="G1513" s="16" t="n">
        <f aca="false">G1472+G1485+G1498+G1511</f>
        <v>1261.76</v>
      </c>
      <c r="H1513" s="16" t="n">
        <f aca="false">H1472+H1485+H1498+H1511</f>
        <v>1256.56</v>
      </c>
      <c r="I1513" s="16" t="n">
        <f aca="false">I1472+I1485+I1498+I1511</f>
        <v>1251.36</v>
      </c>
      <c r="J1513" s="16" t="n">
        <f aca="false">J1472+J1485+J1498+J1511</f>
        <v>1246.16</v>
      </c>
      <c r="K1513" s="16" t="n">
        <f aca="false">K1472+K1485+K1498+K1511</f>
        <v>1240.96</v>
      </c>
    </row>
    <row r="1514" customFormat="false" ht="15" hidden="false" customHeight="false" outlineLevel="0" collapsed="false">
      <c r="A1514" s="5" t="s">
        <v>280</v>
      </c>
      <c r="G1514" s="25" t="n">
        <f aca="false">G1462*Assumptions!$C$53+G1475*Assumptions!$C$54+G1488*Assumptions!$C$55+G1501*Assumptions!$C$56</f>
        <v>0</v>
      </c>
      <c r="H1514" s="25" t="n">
        <f aca="false">H1462*Assumptions!$C$53+H1475*Assumptions!$C$54+H1488*Assumptions!$C$55+H1501*Assumptions!$C$56</f>
        <v>480</v>
      </c>
      <c r="I1514" s="25" t="n">
        <f aca="false">I1462*Assumptions!$C$53+I1475*Assumptions!$C$54+I1488*Assumptions!$C$55+I1501*Assumptions!$C$56</f>
        <v>520</v>
      </c>
      <c r="J1514" s="25" t="n">
        <f aca="false">J1462*Assumptions!$C$53+J1475*Assumptions!$C$54+J1488*Assumptions!$C$55+J1501*Assumptions!$C$56</f>
        <v>250</v>
      </c>
      <c r="K1514" s="25" t="n">
        <f aca="false">K1462*Assumptions!$C$53+K1475*Assumptions!$C$54+K1488*Assumptions!$C$55+K1501*Assumptions!$C$56</f>
        <v>0</v>
      </c>
    </row>
    <row r="1515" customFormat="false" ht="15" hidden="false" customHeight="false" outlineLevel="0" collapsed="false">
      <c r="A1515" s="23" t="s">
        <v>281</v>
      </c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</row>
    <row r="1516" customFormat="false" ht="15" hidden="false" customHeight="false" outlineLevel="0" collapsed="false">
      <c r="A1516" s="5" t="s">
        <v>282</v>
      </c>
      <c r="C1516" s="25" t="n">
        <f aca="false">SUMPRODUCT($G$1462:$K$1462,$G$1461:$K$1461-$G$1467:$K$1467+$G$1466:$K$1466)</f>
        <v>196.96</v>
      </c>
    </row>
    <row r="1517" customFormat="false" ht="15" hidden="false" customHeight="false" outlineLevel="0" collapsed="false">
      <c r="A1517" s="5" t="s">
        <v>283</v>
      </c>
      <c r="C1517" s="25" t="n">
        <f aca="false">SUMPRODUCT($G$1462:$K$1462,$G$1469:$K$1469)</f>
        <v>0</v>
      </c>
    </row>
    <row r="1518" customFormat="false" ht="15" hidden="false" customHeight="false" outlineLevel="0" collapsed="false">
      <c r="A1518" s="5" t="s">
        <v>284</v>
      </c>
      <c r="C1518" s="5" t="str">
        <f aca="false">IF(SUM($G$1462:$K$1462)=0,"n/a (beyond horizon)",IF(SUMPRODUCT($G$1462:$K$1462,$G$1459:$K$1459)&gt;0,"REFINANCING PASS","REFINANCING FAILURE"))</f>
        <v>REFINANCING FAILURE</v>
      </c>
    </row>
    <row r="1519" customFormat="false" ht="15" hidden="false" customHeight="false" outlineLevel="0" collapsed="false">
      <c r="A1519" s="5" t="s">
        <v>285</v>
      </c>
      <c r="C1519" s="5" t="str">
        <f aca="false">IF(SUM($G$1462:$K$1462)=0,"n/a",IF(C1517&gt;=C1516-0.001,"Repaid from cash",IF(SUMPRODUCT($G$1462:$K$1462,$G$1459:$K$1459)&gt;0,IF(C1517&gt;0,"Partly repaid; remainder refinanced","Refinanced"),IF(SUM($G$1471:$K$1471)&gt;0.001,IF(C1517&gt;0,"Partial repayment; PAYMENT DEFAULT","PAYMENT DEFAULT"),"Repaid from cash"))))</f>
        <v>PAYMENT DEFAULT</v>
      </c>
    </row>
    <row r="1520" customFormat="false" ht="15" hidden="false" customHeight="false" outlineLevel="0" collapsed="false">
      <c r="A1520" s="5" t="s">
        <v>286</v>
      </c>
      <c r="C1520" s="25" t="n">
        <f aca="false">SUMPRODUCT($G$1475:$K$1475,$G$1474:$K$1474-$G$1480:$K$1480+$G$1479:$K$1479)</f>
        <v>504.4</v>
      </c>
    </row>
    <row r="1521" customFormat="false" ht="15" hidden="false" customHeight="false" outlineLevel="0" collapsed="false">
      <c r="A1521" s="5" t="s">
        <v>287</v>
      </c>
      <c r="C1521" s="25" t="n">
        <f aca="false">SUMPRODUCT($G$1475:$K$1475,$G$1482:$K$1482)</f>
        <v>0</v>
      </c>
    </row>
    <row r="1522" customFormat="false" ht="15" hidden="false" customHeight="false" outlineLevel="0" collapsed="false">
      <c r="A1522" s="5" t="s">
        <v>288</v>
      </c>
      <c r="C1522" s="5" t="str">
        <f aca="false">IF(SUM($G$1475:$K$1475)=0,"n/a (beyond horizon)",IF(SUMPRODUCT($G$1475:$K$1475,$G$1459:$K$1459)&gt;0,"REFINANCING PASS","REFINANCING FAILURE"))</f>
        <v>REFINANCING FAILURE</v>
      </c>
    </row>
    <row r="1523" customFormat="false" ht="15" hidden="false" customHeight="false" outlineLevel="0" collapsed="false">
      <c r="A1523" s="5" t="s">
        <v>289</v>
      </c>
      <c r="C1523" s="5" t="str">
        <f aca="false">IF(SUM($G$1475:$K$1475)=0,"n/a",IF(C1521&gt;=C1520-0.001,"Repaid from cash",IF(SUMPRODUCT($G$1475:$K$1475,$G$1459:$K$1459)&gt;0,IF(C1521&gt;0,"Partly repaid; remainder refinanced","Refinanced"),IF(SUM($G$1484:$K$1484)&gt;0.001,IF(C1521&gt;0,"Partial repayment; PAYMENT DEFAULT","PAYMENT DEFAULT"),"Repaid from cash"))))</f>
        <v>PAYMENT DEFAULT</v>
      </c>
    </row>
    <row r="1524" customFormat="false" ht="15" hidden="false" customHeight="false" outlineLevel="0" collapsed="false">
      <c r="A1524" s="5" t="s">
        <v>290</v>
      </c>
      <c r="C1524" s="25" t="n">
        <f aca="false">SUMPRODUCT($G$1488:$K$1488,$G$1487:$K$1487-$G$1493:$K$1493+$G$1492:$K$1492)</f>
        <v>250</v>
      </c>
    </row>
    <row r="1525" customFormat="false" ht="15" hidden="false" customHeight="false" outlineLevel="0" collapsed="false">
      <c r="A1525" s="5" t="s">
        <v>291</v>
      </c>
      <c r="C1525" s="25" t="n">
        <f aca="false">SUMPRODUCT($G$1488:$K$1488,$G$1495:$K$1495)</f>
        <v>0</v>
      </c>
    </row>
    <row r="1526" customFormat="false" ht="15" hidden="false" customHeight="false" outlineLevel="0" collapsed="false">
      <c r="A1526" s="5" t="s">
        <v>292</v>
      </c>
      <c r="C1526" s="5" t="str">
        <f aca="false">IF(SUM($G$1488:$K$1488)=0,"n/a (beyond horizon)",IF(SUMPRODUCT($G$1488:$K$1488,$G$1459:$K$1459)&gt;0,"REFINANCING PASS","REFINANCING FAILURE"))</f>
        <v>REFINANCING FAILURE</v>
      </c>
    </row>
    <row r="1527" customFormat="false" ht="15" hidden="false" customHeight="false" outlineLevel="0" collapsed="false">
      <c r="A1527" s="5" t="s">
        <v>293</v>
      </c>
      <c r="C1527" s="5" t="str">
        <f aca="false">IF(SUM($G$1488:$K$1488)=0,"n/a",IF(C1525&gt;=C1524-0.001,"Repaid from cash",IF(SUMPRODUCT($G$1488:$K$1488,$G$1459:$K$1459)&gt;0,IF(C1525&gt;0,"Partly repaid; remainder refinanced","Refinanced"),IF(SUM($G$1497:$K$1497)&gt;0.001,IF(C1525&gt;0,"Partial repayment; PAYMENT DEFAULT","PAYMENT DEFAULT"),"Repaid from cash"))))</f>
        <v>PAYMENT DEFAULT</v>
      </c>
    </row>
    <row r="1528" customFormat="false" ht="15" hidden="false" customHeight="false" outlineLevel="0" collapsed="false">
      <c r="A1528" s="5" t="s">
        <v>294</v>
      </c>
      <c r="C1528" s="25" t="n">
        <f aca="false">SUMPRODUCT($G$1501:$K$1501,$G$1500:$K$1500-$G$1506:$K$1506+$G$1505:$K$1505)</f>
        <v>300</v>
      </c>
    </row>
    <row r="1529" customFormat="false" ht="15" hidden="false" customHeight="false" outlineLevel="0" collapsed="false">
      <c r="A1529" s="5" t="s">
        <v>295</v>
      </c>
      <c r="C1529" s="25" t="n">
        <f aca="false">SUMPRODUCT($G$1501:$K$1501,$G$1508:$K$1508)</f>
        <v>0</v>
      </c>
    </row>
    <row r="1530" customFormat="false" ht="15" hidden="false" customHeight="false" outlineLevel="0" collapsed="false">
      <c r="A1530" s="5" t="s">
        <v>296</v>
      </c>
      <c r="C1530" s="5" t="str">
        <f aca="false">IF(SUM($G$1501:$K$1501)=0,"n/a (beyond horizon)",IF(SUMPRODUCT($G$1501:$K$1501,$G$1459:$K$1459)&gt;0,"REFINANCING PASS","REFINANCING FAILURE"))</f>
        <v>REFINANCING FAILURE</v>
      </c>
    </row>
    <row r="1531" customFormat="false" ht="15" hidden="false" customHeight="false" outlineLevel="0" collapsed="false">
      <c r="A1531" s="5" t="s">
        <v>297</v>
      </c>
      <c r="C1531" s="5" t="str">
        <f aca="false">IF(SUM($G$1501:$K$1501)=0,"n/a",IF(C1529&gt;=C1528-0.001,"Repaid from cash",IF(SUMPRODUCT($G$1501:$K$1501,$G$1459:$K$1459)&gt;0,IF(C1529&gt;0,"Partly repaid; remainder refinanced","Refinanced"),IF(SUM($G$1510:$K$1510)&gt;0.001,IF(C1529&gt;0,"Partial repayment; PAYMENT DEFAULT","PAYMENT DEFAULT"),"Repaid from cash"))))</f>
        <v>PAYMENT DEFAULT</v>
      </c>
    </row>
    <row r="1532" customFormat="false" ht="15" hidden="false" customHeight="false" outlineLevel="0" collapsed="false">
      <c r="A1532" s="5" t="s">
        <v>298</v>
      </c>
      <c r="C1532" s="20" t="n">
        <f aca="false">IF(C1518="REFINANCING FAILURE",1,0)+IF(C1522="REFINANCING FAILURE",1,0)+IF(C1526="REFINANCING FAILURE",1,0)+IF(C1530="REFINANCING FAILURE",1,0)</f>
        <v>4</v>
      </c>
    </row>
    <row r="1534" customFormat="false" ht="15" hidden="false" customHeight="false" outlineLevel="0" collapsed="false">
      <c r="A1534" s="23" t="s">
        <v>300</v>
      </c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</row>
    <row r="1535" customFormat="false" ht="15" hidden="false" customHeight="false" outlineLevel="0" collapsed="false">
      <c r="A1535" s="5" t="s">
        <v>260</v>
      </c>
      <c r="G1535" s="25" t="n">
        <f aca="false">F1547</f>
        <v>45</v>
      </c>
      <c r="H1535" s="25" t="n">
        <f aca="false">G1547</f>
        <v>0</v>
      </c>
      <c r="I1535" s="25" t="n">
        <f aca="false">H1547</f>
        <v>-57.02188</v>
      </c>
      <c r="J1535" s="25" t="n">
        <f aca="false">I1547</f>
        <v>-107.7609416</v>
      </c>
      <c r="K1535" s="25" t="n">
        <f aca="false">J1547</f>
        <v>-154.083097336</v>
      </c>
    </row>
    <row r="1536" customFormat="false" ht="15" hidden="false" customHeight="false" outlineLevel="0" collapsed="false">
      <c r="A1536" s="5" t="s">
        <v>301</v>
      </c>
      <c r="G1536" s="25" t="n">
        <f aca="false">G1448</f>
        <v>-56.76</v>
      </c>
      <c r="H1536" s="25" t="n">
        <f aca="false">H1448</f>
        <v>-51.82188</v>
      </c>
      <c r="I1536" s="25" t="n">
        <f aca="false">I1448</f>
        <v>-45.5390616</v>
      </c>
      <c r="J1536" s="25" t="n">
        <f aca="false">J1448</f>
        <v>-41.122155736</v>
      </c>
      <c r="K1536" s="25" t="n">
        <f aca="false">K1448</f>
        <v>-36.79043153912</v>
      </c>
    </row>
    <row r="1537" customFormat="false" ht="15" hidden="false" customHeight="false" outlineLevel="0" collapsed="false">
      <c r="A1537" s="5" t="s">
        <v>302</v>
      </c>
      <c r="G1537" s="25" t="n">
        <f aca="false">CHOOSE($C$1418,Assumptions!$G$68,Assumptions!$G$87,Assumptions!$G$106)</f>
        <v>0</v>
      </c>
      <c r="H1537" s="25" t="n">
        <f aca="false">CHOOSE($C$1418,Assumptions!$H$68,Assumptions!$H$87,Assumptions!$H$106)</f>
        <v>0</v>
      </c>
      <c r="I1537" s="25" t="n">
        <f aca="false">CHOOSE($C$1418,Assumptions!$I$68,Assumptions!$I$87,Assumptions!$I$106)</f>
        <v>0</v>
      </c>
      <c r="J1537" s="25" t="n">
        <f aca="false">CHOOSE($C$1418,Assumptions!$J$68,Assumptions!$J$87,Assumptions!$J$106)</f>
        <v>0</v>
      </c>
      <c r="K1537" s="25" t="n">
        <f aca="false">CHOOSE($C$1418,Assumptions!$K$68,Assumptions!$K$87,Assumptions!$K$106)</f>
        <v>0</v>
      </c>
    </row>
    <row r="1538" customFormat="false" ht="15" hidden="false" customHeight="false" outlineLevel="0" collapsed="false">
      <c r="A1538" s="5" t="s">
        <v>303</v>
      </c>
      <c r="G1538" s="25" t="n">
        <f aca="false">G1467+G1480+G1493+G1506</f>
        <v>5.2</v>
      </c>
      <c r="H1538" s="25" t="n">
        <f aca="false">H1467+H1480+H1493+H1506</f>
        <v>5.2</v>
      </c>
      <c r="I1538" s="25" t="n">
        <f aca="false">I1467+I1480+I1493+I1506</f>
        <v>5.2</v>
      </c>
      <c r="J1538" s="25" t="n">
        <f aca="false">J1467+J1480+J1493+J1506</f>
        <v>5.2</v>
      </c>
      <c r="K1538" s="25" t="n">
        <f aca="false">K1467+K1480+K1493+K1506</f>
        <v>5.2</v>
      </c>
    </row>
    <row r="1539" customFormat="false" ht="15" hidden="false" customHeight="false" outlineLevel="0" collapsed="false">
      <c r="A1539" s="2" t="s">
        <v>304</v>
      </c>
      <c r="G1539" s="16" t="n">
        <f aca="false">G1535+G1536+G1537-G1538</f>
        <v>-16.96</v>
      </c>
      <c r="H1539" s="16" t="n">
        <f aca="false">H1535+H1536+H1537-H1538</f>
        <v>-57.02188</v>
      </c>
      <c r="I1539" s="16" t="n">
        <f aca="false">I1535+I1536+I1537-I1538</f>
        <v>-107.7609416</v>
      </c>
      <c r="J1539" s="16" t="n">
        <f aca="false">J1535+J1536+J1537-J1538</f>
        <v>-154.083097336</v>
      </c>
      <c r="K1539" s="16" t="n">
        <f aca="false">K1535+K1536+K1537-K1538</f>
        <v>-196.07352887512</v>
      </c>
    </row>
    <row r="1540" customFormat="false" ht="15" hidden="false" customHeight="false" outlineLevel="0" collapsed="false">
      <c r="A1540" s="5" t="s">
        <v>305</v>
      </c>
      <c r="G1540" s="25" t="n">
        <f aca="false">G1468+G1481+G1494+G1507</f>
        <v>16.96</v>
      </c>
      <c r="H1540" s="25" t="n">
        <f aca="false">H1468+H1481+H1494+H1507</f>
        <v>0</v>
      </c>
      <c r="I1540" s="25" t="n">
        <f aca="false">I1468+I1481+I1494+I1507</f>
        <v>0</v>
      </c>
      <c r="J1540" s="25" t="n">
        <f aca="false">J1468+J1481+J1494+J1507</f>
        <v>0</v>
      </c>
      <c r="K1540" s="25" t="n">
        <f aca="false">K1468+K1481+K1494+K1507</f>
        <v>0</v>
      </c>
    </row>
    <row r="1541" customFormat="false" ht="15" hidden="false" customHeight="false" outlineLevel="0" collapsed="false">
      <c r="A1541" s="2" t="s">
        <v>306</v>
      </c>
      <c r="G1541" s="16" t="n">
        <f aca="false">G1539+G1540</f>
        <v>0</v>
      </c>
      <c r="H1541" s="16" t="n">
        <f aca="false">H1539+H1540</f>
        <v>-57.02188</v>
      </c>
      <c r="I1541" s="16" t="n">
        <f aca="false">I1539+I1540</f>
        <v>-107.7609416</v>
      </c>
      <c r="J1541" s="16" t="n">
        <f aca="false">J1539+J1540</f>
        <v>-154.083097336</v>
      </c>
      <c r="K1541" s="16" t="n">
        <f aca="false">K1539+K1540</f>
        <v>-196.07352887512</v>
      </c>
    </row>
    <row r="1542" customFormat="false" ht="15" hidden="false" customHeight="false" outlineLevel="0" collapsed="false">
      <c r="A1542" s="5" t="s">
        <v>307</v>
      </c>
      <c r="G1542" s="25" t="n">
        <f aca="false">G1469+G1482+G1495+G1508</f>
        <v>0</v>
      </c>
      <c r="H1542" s="25" t="n">
        <f aca="false">H1469+H1482+H1495+H1508</f>
        <v>0</v>
      </c>
      <c r="I1542" s="25" t="n">
        <f aca="false">I1469+I1482+I1495+I1508</f>
        <v>0</v>
      </c>
      <c r="J1542" s="25" t="n">
        <f aca="false">J1469+J1482+J1495+J1508</f>
        <v>0</v>
      </c>
      <c r="K1542" s="25" t="n">
        <f aca="false">K1469+K1482+K1495+K1508</f>
        <v>0</v>
      </c>
    </row>
    <row r="1543" customFormat="false" ht="15" hidden="false" customHeight="false" outlineLevel="0" collapsed="false">
      <c r="A1543" s="2" t="s">
        <v>308</v>
      </c>
      <c r="G1543" s="16" t="n">
        <f aca="false">G1541-G1542</f>
        <v>0</v>
      </c>
      <c r="H1543" s="16" t="n">
        <f aca="false">H1541-H1542</f>
        <v>-57.02188</v>
      </c>
      <c r="I1543" s="16" t="n">
        <f aca="false">I1541-I1542</f>
        <v>-107.7609416</v>
      </c>
      <c r="J1543" s="16" t="n">
        <f aca="false">J1541-J1542</f>
        <v>-154.083097336</v>
      </c>
      <c r="K1543" s="16" t="n">
        <f aca="false">K1541-K1542</f>
        <v>-196.07352887512</v>
      </c>
    </row>
    <row r="1544" customFormat="false" ht="15" hidden="false" customHeight="false" outlineLevel="0" collapsed="false">
      <c r="A1544" s="5" t="s">
        <v>309</v>
      </c>
      <c r="G1544" s="25" t="n">
        <f aca="false">MAX(0,-G1543)</f>
        <v>-0</v>
      </c>
      <c r="H1544" s="25" t="n">
        <f aca="false">MAX(0,-H1543)</f>
        <v>57.02188</v>
      </c>
      <c r="I1544" s="25" t="n">
        <f aca="false">MAX(0,-I1543)</f>
        <v>107.7609416</v>
      </c>
      <c r="J1544" s="25" t="n">
        <f aca="false">MAX(0,-J1543)</f>
        <v>154.083097336</v>
      </c>
      <c r="K1544" s="25" t="n">
        <f aca="false">MAX(0,-K1543)</f>
        <v>196.07352887512</v>
      </c>
    </row>
    <row r="1545" customFormat="false" ht="15" hidden="false" customHeight="false" outlineLevel="0" collapsed="false">
      <c r="A1545" s="5" t="s">
        <v>310</v>
      </c>
      <c r="G1545" s="25" t="n">
        <f aca="false">MAX(0,G1543-Assumptions!$C$12)*Assumptions!$C$13</f>
        <v>0</v>
      </c>
      <c r="H1545" s="25" t="n">
        <f aca="false">MAX(0,H1543-Assumptions!$C$12)*Assumptions!$C$13</f>
        <v>0</v>
      </c>
      <c r="I1545" s="25" t="n">
        <f aca="false">MAX(0,I1543-Assumptions!$C$12)*Assumptions!$C$13</f>
        <v>0</v>
      </c>
      <c r="J1545" s="25" t="n">
        <f aca="false">MAX(0,J1543-Assumptions!$C$12)*Assumptions!$C$13</f>
        <v>0</v>
      </c>
      <c r="K1545" s="25" t="n">
        <f aca="false">MAX(0,K1543-Assumptions!$C$12)*Assumptions!$C$13</f>
        <v>0</v>
      </c>
    </row>
    <row r="1546" customFormat="false" ht="15" hidden="false" customHeight="false" outlineLevel="0" collapsed="false">
      <c r="A1546" s="5" t="s">
        <v>311</v>
      </c>
      <c r="G1546" s="25" t="n">
        <f aca="false">G1470+G1483+G1496+G1509</f>
        <v>0</v>
      </c>
      <c r="H1546" s="25" t="n">
        <f aca="false">H1470+H1483+H1496+H1509</f>
        <v>0</v>
      </c>
      <c r="I1546" s="25" t="n">
        <f aca="false">I1470+I1483+I1496+I1509</f>
        <v>0</v>
      </c>
      <c r="J1546" s="25" t="n">
        <f aca="false">J1470+J1483+J1496+J1509</f>
        <v>0</v>
      </c>
      <c r="K1546" s="25" t="n">
        <f aca="false">K1470+K1483+K1496+K1509</f>
        <v>0</v>
      </c>
    </row>
    <row r="1547" customFormat="false" ht="15" hidden="false" customHeight="false" outlineLevel="0" collapsed="false">
      <c r="A1547" s="2" t="s">
        <v>312</v>
      </c>
      <c r="F1547" s="27" t="n">
        <f aca="false">Assumptions!$C$11</f>
        <v>45</v>
      </c>
      <c r="G1547" s="16" t="n">
        <f aca="false">G1543-G1546</f>
        <v>0</v>
      </c>
      <c r="H1547" s="16" t="n">
        <f aca="false">H1543-H1546</f>
        <v>-57.02188</v>
      </c>
      <c r="I1547" s="16" t="n">
        <f aca="false">I1543-I1546</f>
        <v>-107.7609416</v>
      </c>
      <c r="J1547" s="16" t="n">
        <f aca="false">J1543-J1546</f>
        <v>-154.083097336</v>
      </c>
      <c r="K1547" s="16" t="n">
        <f aca="false">K1543-K1546</f>
        <v>-196.07352887512</v>
      </c>
    </row>
    <row r="1548" customFormat="false" ht="15" hidden="false" customHeight="false" outlineLevel="0" collapsed="false">
      <c r="A1548" s="5" t="s">
        <v>313</v>
      </c>
      <c r="G1548" s="25" t="n">
        <f aca="false">G1471+G1484+G1497+G1510</f>
        <v>0</v>
      </c>
      <c r="H1548" s="25" t="n">
        <f aca="false">H1471+H1484+H1497+H1510</f>
        <v>496.96</v>
      </c>
      <c r="I1548" s="25" t="n">
        <f aca="false">I1471+I1484+I1497+I1510</f>
        <v>504.4</v>
      </c>
      <c r="J1548" s="25" t="n">
        <f aca="false">J1471+J1484+J1497+J1510</f>
        <v>250</v>
      </c>
      <c r="K1548" s="25" t="n">
        <f aca="false">K1471+K1484+K1497+K1510</f>
        <v>0</v>
      </c>
    </row>
    <row r="1549" customFormat="false" ht="15" hidden="false" customHeight="false" outlineLevel="0" collapsed="false">
      <c r="A1549" s="5" t="s">
        <v>314</v>
      </c>
      <c r="G1549" s="20" t="n">
        <f aca="false">IF(OR(G1544&gt;0.001,G1548&gt;0.001),1,0)</f>
        <v>0</v>
      </c>
      <c r="H1549" s="20" t="n">
        <f aca="false">IF(OR(H1544&gt;0.001,H1548&gt;0.001),1,0)</f>
        <v>1</v>
      </c>
      <c r="I1549" s="20" t="n">
        <f aca="false">IF(OR(I1544&gt;0.001,I1548&gt;0.001),1,0)</f>
        <v>1</v>
      </c>
      <c r="J1549" s="20" t="n">
        <f aca="false">IF(OR(J1544&gt;0.001,J1548&gt;0.001),1,0)</f>
        <v>1</v>
      </c>
      <c r="K1549" s="20" t="n">
        <f aca="false">IF(OR(K1544&gt;0.001,K1548&gt;0.001),1,0)</f>
        <v>1</v>
      </c>
    </row>
    <row r="1550" customFormat="false" ht="15" hidden="false" customHeight="false" outlineLevel="0" collapsed="false">
      <c r="A1550" s="5" t="s">
        <v>315</v>
      </c>
      <c r="G1550" s="20" t="n">
        <f aca="false">IF(G1549=1,1,0)</f>
        <v>0</v>
      </c>
      <c r="H1550" s="20" t="n">
        <f aca="false">IF(AND(H1549=1,SUM($G$1549:G1549)=0),1,0)</f>
        <v>1</v>
      </c>
      <c r="I1550" s="20" t="n">
        <f aca="false">IF(AND(I1549=1,SUM($G$1549:H1549)=0),1,0)</f>
        <v>0</v>
      </c>
      <c r="J1550" s="20" t="n">
        <f aca="false">IF(AND(J1549=1,SUM($G$1549:I1549)=0),1,0)</f>
        <v>0</v>
      </c>
      <c r="K1550" s="20" t="n">
        <f aca="false">IF(AND(K1549=1,SUM($G$1549:J1549)=0),1,0)</f>
        <v>0</v>
      </c>
    </row>
    <row r="1551" customFormat="false" ht="15" hidden="false" customHeight="false" outlineLevel="0" collapsed="false">
      <c r="A1551" s="5" t="s">
        <v>316</v>
      </c>
      <c r="G1551" s="25" t="n">
        <f aca="false">(G1513-F1513)-(G1540+G1440-G1538-G1542-G1546)</f>
        <v>0</v>
      </c>
      <c r="H1551" s="25" t="n">
        <f aca="false">(H1513-G1513)-(H1540+H1440-H1538-H1542-H1546)</f>
        <v>-4.52970994047064E-014</v>
      </c>
      <c r="I1551" s="25" t="n">
        <f aca="false">(I1513-H1513)-(I1540+I1440-I1538-I1542-I1546)</f>
        <v>1.82076576038526E-013</v>
      </c>
      <c r="J1551" s="25" t="n">
        <f aca="false">(J1513-I1513)-(J1540+J1440-J1538-J1542-J1546)</f>
        <v>-2.72670774847938E-013</v>
      </c>
      <c r="K1551" s="25" t="n">
        <f aca="false">(K1513-J1513)-(K1540+K1440-K1538-K1542-K1546)</f>
        <v>1.82076576038526E-013</v>
      </c>
    </row>
    <row r="1553" customFormat="false" ht="15" hidden="false" customHeight="false" outlineLevel="0" collapsed="false">
      <c r="A1553" s="23" t="s">
        <v>318</v>
      </c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</row>
    <row r="1554" customFormat="false" ht="15" hidden="false" customHeight="false" outlineLevel="0" collapsed="false">
      <c r="A1554" s="5" t="s">
        <v>319</v>
      </c>
      <c r="G1554" s="25" t="n">
        <f aca="false">G1513</f>
        <v>1261.76</v>
      </c>
      <c r="H1554" s="25" t="n">
        <f aca="false">H1513</f>
        <v>1256.56</v>
      </c>
      <c r="I1554" s="25" t="n">
        <f aca="false">I1513</f>
        <v>1251.36</v>
      </c>
      <c r="J1554" s="25" t="n">
        <f aca="false">J1513</f>
        <v>1246.16</v>
      </c>
      <c r="K1554" s="25" t="n">
        <f aca="false">K1513</f>
        <v>1240.96</v>
      </c>
    </row>
    <row r="1555" customFormat="false" ht="15" hidden="false" customHeight="false" outlineLevel="0" collapsed="false">
      <c r="A1555" s="5" t="s">
        <v>320</v>
      </c>
      <c r="G1555" s="25" t="n">
        <f aca="false">Assumptions!$O$53*G1472+Assumptions!$O$54*G1485+Assumptions!$O$55*G1498+Assumptions!$O$56*G1511</f>
        <v>961.76</v>
      </c>
      <c r="H1555" s="25" t="n">
        <f aca="false">Assumptions!$O$53*H1472+Assumptions!$O$54*H1485+Assumptions!$O$55*H1498+Assumptions!$O$56*H1511</f>
        <v>956.56</v>
      </c>
      <c r="I1555" s="25" t="n">
        <f aca="false">Assumptions!$O$53*I1472+Assumptions!$O$54*I1485+Assumptions!$O$55*I1498+Assumptions!$O$56*I1511</f>
        <v>951.36</v>
      </c>
      <c r="J1555" s="25" t="n">
        <f aca="false">Assumptions!$O$53*J1472+Assumptions!$O$54*J1485+Assumptions!$O$55*J1498+Assumptions!$O$56*J1511</f>
        <v>946.16</v>
      </c>
      <c r="K1555" s="25" t="n">
        <f aca="false">Assumptions!$O$53*K1472+Assumptions!$O$54*K1485+Assumptions!$O$55*K1498+Assumptions!$O$56*K1511</f>
        <v>940.96</v>
      </c>
    </row>
    <row r="1556" customFormat="false" ht="15" hidden="false" customHeight="false" outlineLevel="0" collapsed="false">
      <c r="A1556" s="5" t="s">
        <v>321</v>
      </c>
      <c r="G1556" s="25" t="n">
        <f aca="false">G1554-G1547</f>
        <v>1261.76</v>
      </c>
      <c r="H1556" s="25" t="n">
        <f aca="false">H1554-H1547</f>
        <v>1313.58188</v>
      </c>
      <c r="I1556" s="25" t="n">
        <f aca="false">I1554-I1547</f>
        <v>1359.1209416</v>
      </c>
      <c r="J1556" s="25" t="n">
        <f aca="false">J1554-J1547</f>
        <v>1400.243097336</v>
      </c>
      <c r="K1556" s="25" t="n">
        <f aca="false">K1554-K1547</f>
        <v>1437.03352887512</v>
      </c>
    </row>
    <row r="1557" customFormat="false" ht="15" hidden="false" customHeight="false" outlineLevel="0" collapsed="false">
      <c r="A1557" s="5" t="s">
        <v>322</v>
      </c>
      <c r="G1557" s="31" t="n">
        <f aca="false">IF(G1435&gt;0,G1554/G1435,0)</f>
        <v>11.8009726898616</v>
      </c>
      <c r="H1557" s="31" t="n">
        <f aca="false">IF(H1435&gt;0,H1554/H1435,0)</f>
        <v>11.3658976758053</v>
      </c>
      <c r="I1557" s="31" t="n">
        <f aca="false">IF(I1435&gt;0,I1554/I1435,0)</f>
        <v>10.9665333330557</v>
      </c>
      <c r="J1557" s="31" t="n">
        <f aca="false">IF(J1435&gt;0,J1554/J1435,0)</f>
        <v>10.5986758696135</v>
      </c>
      <c r="K1557" s="31" t="n">
        <f aca="false">IF(K1435&gt;0,K1554/K1435,0)</f>
        <v>10.2587559604784</v>
      </c>
    </row>
    <row r="1558" customFormat="false" ht="15" hidden="false" customHeight="false" outlineLevel="0" collapsed="false">
      <c r="A1558" s="5" t="s">
        <v>323</v>
      </c>
      <c r="G1558" s="31" t="n">
        <f aca="false">IF(G1435&gt;0,G1556/G1435,0)</f>
        <v>11.8009726898616</v>
      </c>
      <c r="H1558" s="31" t="n">
        <f aca="false">IF(H1435&gt;0,H1556/H1435,0)</f>
        <v>11.8816747603552</v>
      </c>
      <c r="I1558" s="31" t="n">
        <f aca="false">IF(I1435&gt;0,I1556/I1435,0)</f>
        <v>11.9109170100614</v>
      </c>
      <c r="J1558" s="31" t="n">
        <f aca="false">IF(J1435&gt;0,J1556/J1435,0)</f>
        <v>11.9091631310008</v>
      </c>
      <c r="K1558" s="31" t="n">
        <f aca="false">IF(K1435&gt;0,K1556/K1435,0)</f>
        <v>11.8796546864967</v>
      </c>
    </row>
    <row r="1559" customFormat="false" ht="15" hidden="false" customHeight="false" outlineLevel="0" collapsed="false">
      <c r="A1559" s="5" t="s">
        <v>324</v>
      </c>
      <c r="G1559" s="31" t="n">
        <f aca="false">IF(G1439&gt;0,G1435/G1439,0)</f>
        <v>0.898185483870968</v>
      </c>
      <c r="H1559" s="31" t="n">
        <f aca="false">IF(H1439&gt;0,H1435/H1439,0)</f>
        <v>0.935453966693845</v>
      </c>
      <c r="I1559" s="31" t="n">
        <f aca="false">IF(I1439&gt;0,I1435/I1439,0)</f>
        <v>0.984577381371481</v>
      </c>
      <c r="J1559" s="31" t="n">
        <f aca="false">IF(J1439&gt;0,J1435/J1439,0)</f>
        <v>1.01899720400302</v>
      </c>
      <c r="K1559" s="31" t="n">
        <f aca="false">IF(K1439&gt;0,K1435/K1439,0)</f>
        <v>1.0530189794163</v>
      </c>
    </row>
    <row r="1560" customFormat="false" ht="15" hidden="false" customHeight="false" outlineLevel="0" collapsed="false">
      <c r="A1560" s="5" t="s">
        <v>325</v>
      </c>
      <c r="G1560" s="31" t="n">
        <f aca="false">IF(G1439&gt;0,G1438/G1439,0)</f>
        <v>0.459072580645161</v>
      </c>
      <c r="H1560" s="31" t="n">
        <f aca="false">IF(H1439&gt;0,H1438/H1439,0)</f>
        <v>0.497581897177577</v>
      </c>
      <c r="I1560" s="31" t="n">
        <f aca="false">IF(I1439&gt;0,I1438/I1439,0)</f>
        <v>0.542522230551633</v>
      </c>
      <c r="J1560" s="31" t="n">
        <f aca="false">IF(J1439&gt;0,J1438/J1439,0)</f>
        <v>0.579429782668383</v>
      </c>
      <c r="K1560" s="31" t="n">
        <f aca="false">IF(K1439&gt;0,K1438/K1439,0)</f>
        <v>0.615916761545383</v>
      </c>
    </row>
    <row r="1561" customFormat="false" ht="15" hidden="false" customHeight="false" outlineLevel="0" collapsed="false">
      <c r="A1561" s="5" t="s">
        <v>182</v>
      </c>
      <c r="G1561" s="21" t="n">
        <f aca="false">IF(G1554&gt;0,G1448/G1554,0)</f>
        <v>-0.0449847831600304</v>
      </c>
      <c r="H1561" s="21" t="n">
        <f aca="false">IF(H1554&gt;0,H1448/H1554,0)</f>
        <v>-0.041241070860126</v>
      </c>
      <c r="I1561" s="21" t="n">
        <f aca="false">IF(I1554&gt;0,I1448/I1554,0)</f>
        <v>-0.0363916551591868</v>
      </c>
      <c r="J1561" s="21" t="n">
        <f aca="false">IF(J1554&gt;0,J1448/J1554,0)</f>
        <v>-0.0329990978172947</v>
      </c>
      <c r="K1561" s="21" t="n">
        <f aca="false">IF(K1554&gt;0,K1448/K1554,0)</f>
        <v>-0.0296467505311372</v>
      </c>
    </row>
    <row r="1562" customFormat="false" ht="15" hidden="false" customHeight="false" outlineLevel="0" collapsed="false">
      <c r="A1562" s="5" t="s">
        <v>326</v>
      </c>
      <c r="G1562" s="31" t="n">
        <f aca="false">IF(G1439+G1538&gt;0,(G1435-G1446-G1443)/(G1439+G1538),0)</f>
        <v>0.478106889890534</v>
      </c>
      <c r="H1562" s="31" t="n">
        <f aca="false">IF(H1439+H1538&gt;0,(H1435-H1446-H1443)/(H1439+H1538),0)</f>
        <v>0.51474021336392</v>
      </c>
      <c r="I1562" s="31" t="n">
        <f aca="false">IF(I1439+I1538&gt;0,(I1435-I1446-I1443)/(I1439+I1538),0)</f>
        <v>0.557686574855221</v>
      </c>
      <c r="J1562" s="31" t="n">
        <f aca="false">IF(J1439+J1538&gt;0,(J1435-J1446-J1443)/(J1439+J1538),0)</f>
        <v>0.592680406777097</v>
      </c>
      <c r="K1562" s="31" t="n">
        <f aca="false">IF(K1439+K1538&gt;0,(K1435-K1446-K1443)/(K1439+K1538),0)</f>
        <v>0.627259513959234</v>
      </c>
    </row>
    <row r="1563" customFormat="false" ht="15" hidden="false" customHeight="false" outlineLevel="0" collapsed="false">
      <c r="A1563" s="5" t="s">
        <v>327</v>
      </c>
      <c r="G1563" s="25" t="n">
        <f aca="false">MAX(0,G1547)+Assumptions!$P$53*MAX(0,Assumptions!$D$53-G1472)+Assumptions!$P$54*MAX(0,Assumptions!$D$54-G1485)+Assumptions!$P$55*MAX(0,Assumptions!$D$55-G1498)+Assumptions!$P$56*MAX(0,Assumptions!$D$56-G1511)</f>
        <v>103.04</v>
      </c>
      <c r="H1563" s="25" t="n">
        <f aca="false">MAX(0,H1547)+Assumptions!$P$53*MAX(0,Assumptions!$D$53-H1472)+Assumptions!$P$54*MAX(0,Assumptions!$D$54-H1485)+Assumptions!$P$55*MAX(0,Assumptions!$D$55-H1498)+Assumptions!$P$56*MAX(0,Assumptions!$D$56-H1511)</f>
        <v>103.04</v>
      </c>
      <c r="I1563" s="25" t="n">
        <f aca="false">MAX(0,I1547)+Assumptions!$P$53*MAX(0,Assumptions!$D$53-I1472)+Assumptions!$P$54*MAX(0,Assumptions!$D$54-I1485)+Assumptions!$P$55*MAX(0,Assumptions!$D$55-I1498)+Assumptions!$P$56*MAX(0,Assumptions!$D$56-I1511)</f>
        <v>103.04</v>
      </c>
      <c r="J1563" s="25" t="n">
        <f aca="false">MAX(0,J1547)+Assumptions!$P$53*MAX(0,Assumptions!$D$53-J1472)+Assumptions!$P$54*MAX(0,Assumptions!$D$54-J1485)+Assumptions!$P$55*MAX(0,Assumptions!$D$55-J1498)+Assumptions!$P$56*MAX(0,Assumptions!$D$56-J1511)</f>
        <v>103.04</v>
      </c>
      <c r="K1563" s="25" t="n">
        <f aca="false">MAX(0,K1547)+Assumptions!$P$53*MAX(0,Assumptions!$D$53-K1472)+Assumptions!$P$54*MAX(0,Assumptions!$D$54-K1485)+Assumptions!$P$55*MAX(0,Assumptions!$D$55-K1498)+Assumptions!$P$56*MAX(0,Assumptions!$D$56-K1511)</f>
        <v>103.04</v>
      </c>
    </row>
    <row r="1564" customFormat="false" ht="15" hidden="false" customHeight="false" outlineLevel="0" collapsed="false">
      <c r="A1564" s="5" t="s">
        <v>328</v>
      </c>
      <c r="G1564" s="21" t="n">
        <f aca="false">IF(G1554&gt;0,G1554/(G1554+MAX(0,G1435*CHOOSE($C$1418,Assumptions!$C$76,Assumptions!$C$95,Assumptions!$C$114)-G1556)),0)</f>
        <v>1</v>
      </c>
      <c r="H1564" s="21" t="n">
        <f aca="false">IF(H1554&gt;0,H1554/(H1554+MAX(0,H1435*CHOOSE($C$1418,Assumptions!$C$76,Assumptions!$C$95,Assumptions!$C$114)-H1556)),0)</f>
        <v>1</v>
      </c>
      <c r="I1564" s="21" t="n">
        <f aca="false">IF(I1554&gt;0,I1554/(I1554+MAX(0,I1435*CHOOSE($C$1418,Assumptions!$C$76,Assumptions!$C$95,Assumptions!$C$114)-I1556)),0)</f>
        <v>1</v>
      </c>
      <c r="J1564" s="21" t="n">
        <f aca="false">IF(J1554&gt;0,J1554/(J1554+MAX(0,J1435*CHOOSE($C$1418,Assumptions!$C$76,Assumptions!$C$95,Assumptions!$C$114)-J1556)),0)</f>
        <v>1</v>
      </c>
      <c r="K1564" s="21" t="n">
        <f aca="false">IF(K1554&gt;0,K1554/(K1554+MAX(0,K1435*CHOOSE($C$1418,Assumptions!$C$76,Assumptions!$C$95,Assumptions!$C$114)-K1556)),0)</f>
        <v>1</v>
      </c>
    </row>
    <row r="1565" customFormat="false" ht="15" hidden="false" customHeight="false" outlineLevel="0" collapsed="false">
      <c r="A1565" s="5" t="s">
        <v>329</v>
      </c>
      <c r="G1565" s="21" t="n">
        <f aca="false">IF(G1554&gt;0,MAX(0,G1547)/G1554,0)</f>
        <v>0</v>
      </c>
      <c r="H1565" s="21" t="n">
        <f aca="false">IF(H1554&gt;0,MAX(0,H1547)/H1554,0)</f>
        <v>0</v>
      </c>
      <c r="I1565" s="21" t="n">
        <f aca="false">IF(I1554&gt;0,MAX(0,I1547)/I1554,0)</f>
        <v>0</v>
      </c>
      <c r="J1565" s="21" t="n">
        <f aca="false">IF(J1554&gt;0,MAX(0,J1547)/J1554,0)</f>
        <v>0</v>
      </c>
      <c r="K1565" s="21" t="n">
        <f aca="false">IF(K1554&gt;0,MAX(0,K1547)/K1554,0)</f>
        <v>0</v>
      </c>
    </row>
    <row r="1566" customFormat="false" ht="15" hidden="false" customHeight="false" outlineLevel="0" collapsed="false">
      <c r="A1566" s="5" t="s">
        <v>330</v>
      </c>
      <c r="G1566" s="25" t="n">
        <f aca="false">Assumptions!$C$27*(1-CHOOSE($C$1418,Assumptions!$C$79,Assumptions!$C$98,Assumptions!$C$117))</f>
        <v>1040</v>
      </c>
      <c r="H1566" s="25" t="n">
        <f aca="false">Assumptions!$C$27*(1-CHOOSE($C$1418,Assumptions!$C$79,Assumptions!$C$98,Assumptions!$C$117))</f>
        <v>1040</v>
      </c>
      <c r="I1566" s="25" t="n">
        <f aca="false">Assumptions!$C$27*(1-CHOOSE($C$1418,Assumptions!$C$79,Assumptions!$C$98,Assumptions!$C$117))</f>
        <v>1040</v>
      </c>
      <c r="J1566" s="25" t="n">
        <f aca="false">Assumptions!$C$27*(1-CHOOSE($C$1418,Assumptions!$C$79,Assumptions!$C$98,Assumptions!$C$117))</f>
        <v>1040</v>
      </c>
      <c r="K1566" s="25" t="n">
        <f aca="false">Assumptions!$C$27*(1-CHOOSE($C$1418,Assumptions!$C$79,Assumptions!$C$98,Assumptions!$C$117))</f>
        <v>1040</v>
      </c>
    </row>
    <row r="1567" customFormat="false" ht="15" hidden="false" customHeight="false" outlineLevel="0" collapsed="false">
      <c r="A1567" s="23" t="s">
        <v>331</v>
      </c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</row>
    <row r="1568" customFormat="false" ht="15" hidden="false" customHeight="false" outlineLevel="0" collapsed="false">
      <c r="A1568" s="23" t="s">
        <v>332</v>
      </c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</row>
    <row r="1569" customFormat="false" ht="15" hidden="false" customHeight="false" outlineLevel="0" collapsed="false">
      <c r="A1569" s="5" t="s">
        <v>333</v>
      </c>
      <c r="G1569" s="31" t="n">
        <f aca="false">IF(G1435&gt;0,G1556/G1435,99)</f>
        <v>11.8009726898616</v>
      </c>
      <c r="H1569" s="31" t="n">
        <f aca="false">IF(H1435&gt;0,H1556/H1435,99)</f>
        <v>11.8816747603552</v>
      </c>
      <c r="I1569" s="31" t="n">
        <f aca="false">IF(I1435&gt;0,I1556/I1435,99)</f>
        <v>11.9109170100614</v>
      </c>
      <c r="J1569" s="31" t="n">
        <f aca="false">IF(J1435&gt;0,J1556/J1435,99)</f>
        <v>11.9091631310008</v>
      </c>
      <c r="K1569" s="31" t="n">
        <f aca="false">IF(K1435&gt;0,K1556/K1435,99)</f>
        <v>11.8796546864967</v>
      </c>
    </row>
    <row r="1570" customFormat="false" ht="15" hidden="false" customHeight="false" outlineLevel="0" collapsed="false">
      <c r="A1570" s="5" t="s">
        <v>334</v>
      </c>
      <c r="G1570" s="32" t="n">
        <f aca="false">Assumptions!$G$61</f>
        <v>8.5</v>
      </c>
      <c r="H1570" s="32" t="n">
        <f aca="false">Assumptions!$H$61</f>
        <v>8.5</v>
      </c>
      <c r="I1570" s="32" t="n">
        <f aca="false">Assumptions!$I$61</f>
        <v>8.5</v>
      </c>
      <c r="J1570" s="32" t="n">
        <f aca="false">Assumptions!$J$61</f>
        <v>8.5</v>
      </c>
      <c r="K1570" s="32" t="n">
        <f aca="false">Assumptions!$K$61</f>
        <v>8.5</v>
      </c>
    </row>
    <row r="1571" customFormat="false" ht="15" hidden="false" customHeight="false" outlineLevel="0" collapsed="false">
      <c r="A1571" s="5" t="s">
        <v>335</v>
      </c>
      <c r="G1571" s="31" t="n">
        <f aca="false">G1570-G1569</f>
        <v>-3.30097268986158</v>
      </c>
      <c r="H1571" s="31" t="n">
        <f aca="false">H1570-H1569</f>
        <v>-3.38167476035518</v>
      </c>
      <c r="I1571" s="31" t="n">
        <f aca="false">I1570-I1569</f>
        <v>-3.41091701006141</v>
      </c>
      <c r="J1571" s="31" t="n">
        <f aca="false">J1570-J1569</f>
        <v>-3.40916313100075</v>
      </c>
      <c r="K1571" s="31" t="n">
        <f aca="false">K1570-K1569</f>
        <v>-3.37965468649672</v>
      </c>
    </row>
    <row r="1572" customFormat="false" ht="15" hidden="false" customHeight="false" outlineLevel="0" collapsed="false">
      <c r="A1572" s="5" t="s">
        <v>336</v>
      </c>
      <c r="G1572" s="21" t="n">
        <f aca="false">IF(G1570=0,0,G1571/ABS(G1570))</f>
        <v>-0.388349728219009</v>
      </c>
      <c r="H1572" s="21" t="n">
        <f aca="false">IF(H1570=0,0,H1571/ABS(H1570))</f>
        <v>-0.397844089453551</v>
      </c>
      <c r="I1572" s="21" t="n">
        <f aca="false">IF(I1570=0,0,I1571/ABS(I1570))</f>
        <v>-0.401284354124872</v>
      </c>
      <c r="J1572" s="21" t="n">
        <f aca="false">IF(J1570=0,0,J1571/ABS(J1570))</f>
        <v>-0.401078015411853</v>
      </c>
      <c r="K1572" s="21" t="n">
        <f aca="false">IF(K1570=0,0,K1571/ABS(K1570))</f>
        <v>-0.397606433705497</v>
      </c>
    </row>
    <row r="1573" customFormat="false" ht="15" hidden="false" customHeight="false" outlineLevel="0" collapsed="false">
      <c r="A1573" s="5" t="s">
        <v>337</v>
      </c>
      <c r="G1573" s="20" t="n">
        <f aca="false">IF(G1571&lt;0,1,0)</f>
        <v>1</v>
      </c>
      <c r="H1573" s="20" t="n">
        <f aca="false">IF(H1571&lt;0,1,0)</f>
        <v>1</v>
      </c>
      <c r="I1573" s="20" t="n">
        <f aca="false">IF(I1571&lt;0,1,0)</f>
        <v>1</v>
      </c>
      <c r="J1573" s="20" t="n">
        <f aca="false">IF(J1571&lt;0,1,0)</f>
        <v>1</v>
      </c>
      <c r="K1573" s="20" t="n">
        <f aca="false">IF(K1571&lt;0,1,0)</f>
        <v>1</v>
      </c>
    </row>
    <row r="1574" customFormat="false" ht="15" hidden="false" customHeight="false" outlineLevel="0" collapsed="false">
      <c r="A1574" s="5" t="s">
        <v>338</v>
      </c>
      <c r="C1574" s="20" t="n">
        <f aca="false">IFERROR(INDEX($G$1425:$K$1425,MATCH(1,$G$1573:$K$1573,0)),0)</f>
        <v>2026</v>
      </c>
    </row>
    <row r="1575" customFormat="false" ht="15" hidden="false" customHeight="false" outlineLevel="0" collapsed="false">
      <c r="A1575" s="5" t="s">
        <v>339</v>
      </c>
      <c r="C1575" s="21" t="n">
        <f aca="false">MIN($G$1572:$K$1572)</f>
        <v>-0.401284354124872</v>
      </c>
    </row>
    <row r="1576" customFormat="false" ht="15" hidden="false" customHeight="false" outlineLevel="0" collapsed="false">
      <c r="A1576" s="5" t="s">
        <v>340</v>
      </c>
      <c r="G1576" s="20" t="n">
        <f aca="false">G1573</f>
        <v>1</v>
      </c>
      <c r="H1576" s="20" t="n">
        <f aca="false">H1573</f>
        <v>1</v>
      </c>
      <c r="I1576" s="20" t="n">
        <f aca="false">I1573</f>
        <v>1</v>
      </c>
      <c r="J1576" s="20" t="n">
        <f aca="false">J1573</f>
        <v>1</v>
      </c>
      <c r="K1576" s="20" t="n">
        <f aca="false">K1573</f>
        <v>1</v>
      </c>
    </row>
    <row r="1577" customFormat="false" ht="15" hidden="false" customHeight="false" outlineLevel="0" collapsed="false">
      <c r="A1577" s="5" t="s">
        <v>341</v>
      </c>
      <c r="C1577" s="20" t="n">
        <f aca="false">SUM($G$1576:$K$1576)</f>
        <v>5</v>
      </c>
    </row>
    <row r="1578" customFormat="false" ht="15" hidden="false" customHeight="false" outlineLevel="0" collapsed="false">
      <c r="A1578" s="5" t="s">
        <v>342</v>
      </c>
      <c r="C1578" s="21" t="n">
        <f aca="false">MIN(C1575)</f>
        <v>-0.401284354124872</v>
      </c>
    </row>
    <row r="1580" customFormat="false" ht="15" hidden="false" customHeight="false" outlineLevel="0" collapsed="false">
      <c r="A1580" s="23" t="s">
        <v>444</v>
      </c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</row>
    <row r="1581" customFormat="false" ht="15" hidden="false" customHeight="false" outlineLevel="0" collapsed="false">
      <c r="A1581" s="5" t="s">
        <v>445</v>
      </c>
      <c r="G1581" s="20" t="n">
        <f aca="false">IF($C$1582=1,G1550,IF(G1435=MIN($G$1435:$K$1435),1,0))</f>
        <v>0</v>
      </c>
      <c r="H1581" s="20" t="n">
        <f aca="false">IF($C$1582=1,H1550,IF(AND(H1435=MIN($G$1435:$K$1435),SUM($G$1581:G1581)=0),1,0))</f>
        <v>1</v>
      </c>
      <c r="I1581" s="20" t="n">
        <f aca="false">IF($C$1582=1,I1550,IF(AND(I1435=MIN($G$1435:$K$1435),SUM($G$1581:H1581)=0),1,0))</f>
        <v>0</v>
      </c>
      <c r="J1581" s="20" t="n">
        <f aca="false">IF($C$1582=1,J1550,IF(AND(J1435=MIN($G$1435:$K$1435),SUM($G$1581:I1581)=0),1,0))</f>
        <v>0</v>
      </c>
      <c r="K1581" s="20" t="n">
        <f aca="false">IF($C$1582=1,K1550,IF(AND(K1435=MIN($G$1435:$K$1435),SUM($G$1581:J1581)=0),1,0))</f>
        <v>0</v>
      </c>
    </row>
    <row r="1582" customFormat="false" ht="15" hidden="false" customHeight="false" outlineLevel="0" collapsed="false">
      <c r="A1582" s="5" t="s">
        <v>446</v>
      </c>
      <c r="C1582" s="20" t="n">
        <f aca="false">IF(SUM($G$1550:$K$1550)&gt;0,1,0)</f>
        <v>1</v>
      </c>
    </row>
    <row r="1583" customFormat="false" ht="15" hidden="false" customHeight="false" outlineLevel="0" collapsed="false">
      <c r="A1583" s="5" t="s">
        <v>447</v>
      </c>
      <c r="C1583" s="20" t="n">
        <f aca="false">SUMPRODUCT($G$1581:$K$1581,$G$1425:$K$1425)</f>
        <v>2027</v>
      </c>
    </row>
    <row r="1584" customFormat="false" ht="15" hidden="false" customHeight="false" outlineLevel="0" collapsed="false">
      <c r="A1584" s="5" t="s">
        <v>448</v>
      </c>
      <c r="C1584" s="25" t="n">
        <f aca="false">SUMPRODUCT($G$1581:$K$1581,$G$1435:$K$1435)</f>
        <v>110.55528</v>
      </c>
    </row>
    <row r="1585" customFormat="false" ht="15" hidden="false" customHeight="false" outlineLevel="0" collapsed="false">
      <c r="A1585" s="5" t="s">
        <v>449</v>
      </c>
      <c r="C1585" s="25" t="n">
        <f aca="false">MAX(0,SUMPRODUCT($G$1581:$K$1581,$G$1547:$K$1547))</f>
        <v>0</v>
      </c>
    </row>
    <row r="1586" customFormat="false" ht="15" hidden="false" customHeight="false" outlineLevel="0" collapsed="false">
      <c r="A1586" s="5" t="s">
        <v>450</v>
      </c>
      <c r="C1586" s="25" t="n">
        <f aca="false">(CHOOSE($C$1418,Assumptions!$C$78,Assumptions!$C$97,Assumptions!$C$116)+$C$1422)*C1584</f>
        <v>442.22112</v>
      </c>
    </row>
    <row r="1587" customFormat="false" ht="15" hidden="false" customHeight="false" outlineLevel="0" collapsed="false">
      <c r="A1587" s="5" t="s">
        <v>451</v>
      </c>
      <c r="C1587" s="25" t="n">
        <f aca="false">Assumptions!$C$27*(1-CHOOSE($C$1418,Assumptions!$C$79,Assumptions!$C$98,Assumptions!$C$117))*CHOOSE($C$1418,Assumptions!$C$80,Assumptions!$C$99,Assumptions!$C$118)</f>
        <v>624</v>
      </c>
    </row>
    <row r="1588" customFormat="false" ht="15" hidden="false" customHeight="false" outlineLevel="0" collapsed="false">
      <c r="A1588" s="5" t="s">
        <v>452</v>
      </c>
      <c r="C1588" s="25" t="n">
        <f aca="false">MAX(C1586,C1587)+C1585</f>
        <v>624</v>
      </c>
    </row>
    <row r="1589" customFormat="false" ht="15" hidden="false" customHeight="false" outlineLevel="0" collapsed="false">
      <c r="A1589" s="2" t="s">
        <v>453</v>
      </c>
      <c r="C1589" s="16" t="n">
        <f aca="false">IF(ISNUMBER(Assumptions!$C$14),Assumptions!$C$14,C1588)</f>
        <v>624</v>
      </c>
    </row>
    <row r="1590" customFormat="false" ht="15" hidden="false" customHeight="false" outlineLevel="0" collapsed="false">
      <c r="A1590" s="5" t="s">
        <v>454</v>
      </c>
      <c r="C1590" s="25" t="n">
        <f aca="false">C1589*Assumptions!$C$15</f>
        <v>24.96</v>
      </c>
    </row>
    <row r="1591" customFormat="false" ht="15" hidden="false" customHeight="false" outlineLevel="0" collapsed="false">
      <c r="A1591" s="2" t="s">
        <v>455</v>
      </c>
      <c r="C1591" s="16" t="n">
        <f aca="false">C1589-C1590</f>
        <v>599.04</v>
      </c>
    </row>
    <row r="1592" customFormat="false" ht="15" hidden="false" customHeight="false" outlineLevel="0" collapsed="false">
      <c r="A1592" s="23" t="s">
        <v>456</v>
      </c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</row>
    <row r="1593" customFormat="false" ht="15" hidden="false" customHeight="false" outlineLevel="0" collapsed="false">
      <c r="A1593" s="5" t="s">
        <v>457</v>
      </c>
      <c r="C1593" s="25" t="n">
        <f aca="false">SUMPRODUCT($G$1581:$K$1581,$G$1472:$K$1472)*(1+SUMPRODUCT($G$1581:$K$1581,$G$1464:$K$1464)*Assumptions!$C$16/12)</f>
        <v>201.07154</v>
      </c>
    </row>
    <row r="1594" customFormat="false" ht="15" hidden="false" customHeight="false" outlineLevel="0" collapsed="false">
      <c r="A1594" s="5" t="s">
        <v>458</v>
      </c>
      <c r="C1594" s="25" t="n">
        <f aca="false">SUMPRODUCT($G$1581:$K$1581,$G$1485:$K$1485)*(1+SUMPRODUCT($G$1581:$K$1581,$G$1477:$K$1477)*Assumptions!$C$16/12)</f>
        <v>522.4037</v>
      </c>
    </row>
    <row r="1595" customFormat="false" ht="15" hidden="false" customHeight="false" outlineLevel="0" collapsed="false">
      <c r="A1595" s="5" t="s">
        <v>459</v>
      </c>
      <c r="C1595" s="25" t="n">
        <f aca="false">SUMPRODUCT($G$1581:$K$1581,$G$1498:$K$1498)*(1+SUMPRODUCT($G$1581:$K$1581,$G$1490:$K$1490)*Assumptions!$C$16/12)</f>
        <v>256.875</v>
      </c>
    </row>
    <row r="1596" customFormat="false" ht="15" hidden="false" customHeight="false" outlineLevel="0" collapsed="false">
      <c r="A1596" s="5" t="s">
        <v>460</v>
      </c>
      <c r="C1596" s="25" t="n">
        <f aca="false">SUMPRODUCT($G$1581:$K$1581,$G$1511:$K$1511)*(1+SUMPRODUCT($G$1581:$K$1581,$G$1503:$K$1503)*Assumptions!$C$16/12)</f>
        <v>305.625</v>
      </c>
    </row>
    <row r="1597" customFormat="false" ht="15" hidden="false" customHeight="false" outlineLevel="0" collapsed="false">
      <c r="A1597" s="23" t="s">
        <v>461</v>
      </c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</row>
    <row r="1598" customFormat="false" ht="15" hidden="false" customHeight="false" outlineLevel="0" collapsed="false">
      <c r="A1598" s="5" t="s">
        <v>457</v>
      </c>
      <c r="C1598" s="26" t="n">
        <f aca="false">Assumptions!$M$53</f>
        <v>1</v>
      </c>
    </row>
    <row r="1599" customFormat="false" ht="15" hidden="false" customHeight="false" outlineLevel="0" collapsed="false">
      <c r="A1599" s="5" t="s">
        <v>458</v>
      </c>
      <c r="C1599" s="26" t="n">
        <f aca="false">Assumptions!$M$54</f>
        <v>2</v>
      </c>
    </row>
    <row r="1600" customFormat="false" ht="15" hidden="false" customHeight="false" outlineLevel="0" collapsed="false">
      <c r="A1600" s="5" t="s">
        <v>459</v>
      </c>
      <c r="C1600" s="26" t="n">
        <f aca="false">Assumptions!$M$55</f>
        <v>3</v>
      </c>
    </row>
    <row r="1601" customFormat="false" ht="15" hidden="false" customHeight="false" outlineLevel="0" collapsed="false">
      <c r="A1601" s="5" t="s">
        <v>460</v>
      </c>
      <c r="C1601" s="26" t="n">
        <f aca="false">Assumptions!$M$56</f>
        <v>4</v>
      </c>
    </row>
    <row r="1602" customFormat="false" ht="15" hidden="false" customHeight="false" outlineLevel="0" collapsed="false">
      <c r="A1602" s="23" t="s">
        <v>462</v>
      </c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</row>
    <row r="1603" customFormat="false" ht="15" hidden="false" customHeight="false" outlineLevel="0" collapsed="false">
      <c r="A1603" s="5" t="s">
        <v>457</v>
      </c>
      <c r="C1603" s="34" t="n">
        <f aca="false">Assumptions!$Q$53</f>
        <v>0</v>
      </c>
    </row>
    <row r="1604" customFormat="false" ht="15" hidden="false" customHeight="false" outlineLevel="0" collapsed="false">
      <c r="A1604" s="5" t="s">
        <v>458</v>
      </c>
      <c r="C1604" s="34" t="n">
        <f aca="false">Assumptions!$Q$54</f>
        <v>0</v>
      </c>
    </row>
    <row r="1605" customFormat="false" ht="15" hidden="false" customHeight="false" outlineLevel="0" collapsed="false">
      <c r="A1605" s="5" t="s">
        <v>459</v>
      </c>
      <c r="C1605" s="34" t="n">
        <f aca="false">Assumptions!$Q$55</f>
        <v>0</v>
      </c>
    </row>
    <row r="1606" customFormat="false" ht="15" hidden="false" customHeight="false" outlineLevel="0" collapsed="false">
      <c r="A1606" s="5" t="s">
        <v>460</v>
      </c>
      <c r="C1606" s="34" t="n">
        <f aca="false">Assumptions!$Q$56</f>
        <v>0</v>
      </c>
    </row>
    <row r="1607" customFormat="false" ht="15" hidden="false" customHeight="false" outlineLevel="0" collapsed="false">
      <c r="A1607" s="23" t="s">
        <v>463</v>
      </c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</row>
    <row r="1608" customFormat="false" ht="15" hidden="false" customHeight="false" outlineLevel="0" collapsed="false">
      <c r="A1608" s="5" t="s">
        <v>457</v>
      </c>
      <c r="C1608" s="25" t="n">
        <f aca="false">IF(C1603&gt;0,MIN(C1593,C1603*$C$1591),0)</f>
        <v>0</v>
      </c>
    </row>
    <row r="1609" customFormat="false" ht="15" hidden="false" customHeight="false" outlineLevel="0" collapsed="false">
      <c r="A1609" s="5" t="s">
        <v>458</v>
      </c>
      <c r="C1609" s="25" t="n">
        <f aca="false">IF(C1604&gt;0,MIN(C1594,C1604*$C$1591),0)</f>
        <v>0</v>
      </c>
    </row>
    <row r="1610" customFormat="false" ht="15" hidden="false" customHeight="false" outlineLevel="0" collapsed="false">
      <c r="A1610" s="5" t="s">
        <v>459</v>
      </c>
      <c r="C1610" s="25" t="n">
        <f aca="false">IF(C1605&gt;0,MIN(C1595,C1605*$C$1591),0)</f>
        <v>0</v>
      </c>
    </row>
    <row r="1611" customFormat="false" ht="15" hidden="false" customHeight="false" outlineLevel="0" collapsed="false">
      <c r="A1611" s="5" t="s">
        <v>460</v>
      </c>
      <c r="C1611" s="25" t="n">
        <f aca="false">IF(C1606&gt;0,MIN(C1596,C1606*$C$1591),0)</f>
        <v>0</v>
      </c>
    </row>
    <row r="1612" customFormat="false" ht="15" hidden="false" customHeight="false" outlineLevel="0" collapsed="false">
      <c r="A1612" s="23" t="s">
        <v>464</v>
      </c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</row>
    <row r="1613" customFormat="false" ht="15" hidden="false" customHeight="false" outlineLevel="0" collapsed="false">
      <c r="A1613" s="5" t="s">
        <v>457</v>
      </c>
      <c r="C1613" s="25" t="n">
        <f aca="false">IF(C1603&gt;0,C1593-C1608,0)</f>
        <v>0</v>
      </c>
      <c r="G1613" s="20" t="n">
        <f aca="false">IF(AND(G1462=1,G1459=1),1,0)</f>
        <v>0</v>
      </c>
      <c r="H1613" s="20" t="n">
        <f aca="false">IF(G1613=1,1,IF(AND(H1462=1,H1459=1),1,0))</f>
        <v>0</v>
      </c>
      <c r="I1613" s="20" t="n">
        <f aca="false">IF(H1613=1,1,IF(AND(I1462=1,I1459=1),1,0))</f>
        <v>0</v>
      </c>
      <c r="J1613" s="20" t="n">
        <f aca="false">IF(I1613=1,1,IF(AND(J1462=1,J1459=1),1,0))</f>
        <v>0</v>
      </c>
      <c r="K1613" s="20" t="n">
        <f aca="false">IF(J1613=1,1,IF(AND(K1462=1,K1459=1),1,0))</f>
        <v>0</v>
      </c>
    </row>
    <row r="1614" customFormat="false" ht="15" hidden="false" customHeight="false" outlineLevel="0" collapsed="false">
      <c r="A1614" s="5" t="s">
        <v>458</v>
      </c>
      <c r="C1614" s="25" t="n">
        <f aca="false">IF(C1604&gt;0,C1594-C1609,0)</f>
        <v>0</v>
      </c>
      <c r="G1614" s="20" t="n">
        <f aca="false">IF(AND(G1475=1,G1459=1),1,0)</f>
        <v>0</v>
      </c>
      <c r="H1614" s="20" t="n">
        <f aca="false">IF(G1614=1,1,IF(AND(H1475=1,H1459=1),1,0))</f>
        <v>0</v>
      </c>
      <c r="I1614" s="20" t="n">
        <f aca="false">IF(H1614=1,1,IF(AND(I1475=1,I1459=1),1,0))</f>
        <v>0</v>
      </c>
      <c r="J1614" s="20" t="n">
        <f aca="false">IF(I1614=1,1,IF(AND(J1475=1,J1459=1),1,0))</f>
        <v>0</v>
      </c>
      <c r="K1614" s="20" t="n">
        <f aca="false">IF(J1614=1,1,IF(AND(K1475=1,K1459=1),1,0))</f>
        <v>0</v>
      </c>
    </row>
    <row r="1615" customFormat="false" ht="15" hidden="false" customHeight="false" outlineLevel="0" collapsed="false">
      <c r="A1615" s="5" t="s">
        <v>459</v>
      </c>
      <c r="C1615" s="25" t="n">
        <f aca="false">IF(C1605&gt;0,C1595-C1610,0)</f>
        <v>0</v>
      </c>
      <c r="G1615" s="20" t="n">
        <f aca="false">IF(AND(G1488=1,G1459=1),1,0)</f>
        <v>0</v>
      </c>
      <c r="H1615" s="20" t="n">
        <f aca="false">IF(G1615=1,1,IF(AND(H1488=1,H1459=1),1,0))</f>
        <v>0</v>
      </c>
      <c r="I1615" s="20" t="n">
        <f aca="false">IF(H1615=1,1,IF(AND(I1488=1,I1459=1),1,0))</f>
        <v>0</v>
      </c>
      <c r="J1615" s="20" t="n">
        <f aca="false">IF(I1615=1,1,IF(AND(J1488=1,J1459=1),1,0))</f>
        <v>0</v>
      </c>
      <c r="K1615" s="20" t="n">
        <f aca="false">IF(J1615=1,1,IF(AND(K1488=1,K1459=1),1,0))</f>
        <v>0</v>
      </c>
    </row>
    <row r="1616" customFormat="false" ht="15" hidden="false" customHeight="false" outlineLevel="0" collapsed="false">
      <c r="A1616" s="5" t="s">
        <v>460</v>
      </c>
      <c r="C1616" s="25" t="n">
        <f aca="false">IF(C1606&gt;0,C1596-C1611,0)</f>
        <v>0</v>
      </c>
      <c r="G1616" s="20" t="n">
        <f aca="false">IF(AND(G1501=1,G1459=1),1,0)</f>
        <v>0</v>
      </c>
      <c r="H1616" s="20" t="n">
        <f aca="false">IF(G1616=1,1,IF(AND(H1501=1,H1459=1),1,0))</f>
        <v>0</v>
      </c>
      <c r="I1616" s="20" t="n">
        <f aca="false">IF(H1616=1,1,IF(AND(I1501=1,I1459=1),1,0))</f>
        <v>0</v>
      </c>
      <c r="J1616" s="20" t="n">
        <f aca="false">IF(I1616=1,1,IF(AND(J1501=1,J1459=1),1,0))</f>
        <v>0</v>
      </c>
      <c r="K1616" s="20" t="n">
        <f aca="false">IF(J1616=1,1,IF(AND(K1501=1,K1459=1),1,0))</f>
        <v>0</v>
      </c>
    </row>
    <row r="1617" customFormat="false" ht="15" hidden="false" customHeight="false" outlineLevel="0" collapsed="false">
      <c r="A1617" s="23" t="s">
        <v>465</v>
      </c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</row>
    <row r="1618" customFormat="false" ht="15" hidden="false" customHeight="false" outlineLevel="0" collapsed="false">
      <c r="A1618" s="5" t="s">
        <v>457</v>
      </c>
      <c r="C1618" s="25" t="n">
        <f aca="false">IF(C1603&gt;0,C1613,C1593)</f>
        <v>201.07154</v>
      </c>
    </row>
    <row r="1619" customFormat="false" ht="15" hidden="false" customHeight="false" outlineLevel="0" collapsed="false">
      <c r="A1619" s="5" t="s">
        <v>458</v>
      </c>
      <c r="C1619" s="25" t="n">
        <f aca="false">IF(C1604&gt;0,C1614,C1594)</f>
        <v>522.4037</v>
      </c>
    </row>
    <row r="1620" customFormat="false" ht="15" hidden="false" customHeight="false" outlineLevel="0" collapsed="false">
      <c r="A1620" s="5" t="s">
        <v>459</v>
      </c>
      <c r="C1620" s="25" t="n">
        <f aca="false">IF(C1605&gt;0,C1615,C1595)</f>
        <v>256.875</v>
      </c>
    </row>
    <row r="1621" customFormat="false" ht="15" hidden="false" customHeight="false" outlineLevel="0" collapsed="false">
      <c r="A1621" s="5" t="s">
        <v>460</v>
      </c>
      <c r="C1621" s="25" t="n">
        <f aca="false">IF(C1606&gt;0,C1616,C1596)</f>
        <v>305.625</v>
      </c>
    </row>
    <row r="1622" customFormat="false" ht="15" hidden="false" customHeight="false" outlineLevel="0" collapsed="false">
      <c r="A1622" s="23" t="s">
        <v>466</v>
      </c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</row>
    <row r="1623" customFormat="false" ht="15" hidden="false" customHeight="false" outlineLevel="0" collapsed="false">
      <c r="A1623" s="5" t="s">
        <v>457</v>
      </c>
      <c r="C1623" s="20" t="n">
        <f aca="false">IF(C1603&gt;0,Assumptions!$C$17,C1598)</f>
        <v>1</v>
      </c>
    </row>
    <row r="1624" customFormat="false" ht="15" hidden="false" customHeight="false" outlineLevel="0" collapsed="false">
      <c r="A1624" s="5" t="s">
        <v>458</v>
      </c>
      <c r="C1624" s="20" t="n">
        <f aca="false">IF(C1604&gt;0,Assumptions!$C$17,C1599)</f>
        <v>2</v>
      </c>
    </row>
    <row r="1625" customFormat="false" ht="15" hidden="false" customHeight="false" outlineLevel="0" collapsed="false">
      <c r="A1625" s="5" t="s">
        <v>459</v>
      </c>
      <c r="C1625" s="20" t="n">
        <f aca="false">IF(C1605&gt;0,Assumptions!$C$17,C1600)</f>
        <v>3</v>
      </c>
    </row>
    <row r="1626" customFormat="false" ht="15" hidden="false" customHeight="false" outlineLevel="0" collapsed="false">
      <c r="A1626" s="5" t="s">
        <v>460</v>
      </c>
      <c r="C1626" s="20" t="n">
        <f aca="false">IF(C1606&gt;0,Assumptions!$C$17,C1601)</f>
        <v>4</v>
      </c>
    </row>
    <row r="1627" customFormat="false" ht="15" hidden="false" customHeight="false" outlineLevel="0" collapsed="false">
      <c r="A1627" s="23" t="s">
        <v>467</v>
      </c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</row>
    <row r="1628" customFormat="false" ht="15" hidden="false" customHeight="false" outlineLevel="0" collapsed="false">
      <c r="A1628" s="5" t="s">
        <v>457</v>
      </c>
      <c r="C1628" s="25" t="n">
        <f aca="false">SUMPRODUCT(($C$1623:$C$1626&lt;C1623)*$C$1618:$C$1621)</f>
        <v>0</v>
      </c>
    </row>
    <row r="1629" customFormat="false" ht="15" hidden="false" customHeight="false" outlineLevel="0" collapsed="false">
      <c r="A1629" s="5" t="s">
        <v>458</v>
      </c>
      <c r="C1629" s="25" t="n">
        <f aca="false">SUMPRODUCT(($C$1623:$C$1626&lt;C1624)*$C$1618:$C$1621)</f>
        <v>201.07154</v>
      </c>
    </row>
    <row r="1630" customFormat="false" ht="15" hidden="false" customHeight="false" outlineLevel="0" collapsed="false">
      <c r="A1630" s="5" t="s">
        <v>459</v>
      </c>
      <c r="C1630" s="25" t="n">
        <f aca="false">SUMPRODUCT(($C$1623:$C$1626&lt;C1625)*$C$1618:$C$1621)</f>
        <v>723.47524</v>
      </c>
    </row>
    <row r="1631" customFormat="false" ht="15" hidden="false" customHeight="false" outlineLevel="0" collapsed="false">
      <c r="A1631" s="5" t="s">
        <v>460</v>
      </c>
      <c r="C1631" s="25" t="n">
        <f aca="false">SUMPRODUCT(($C$1623:$C$1626&lt;C1626)*$C$1618:$C$1621)</f>
        <v>980.35024</v>
      </c>
    </row>
    <row r="1632" customFormat="false" ht="15" hidden="false" customHeight="false" outlineLevel="0" collapsed="false">
      <c r="A1632" s="23" t="s">
        <v>468</v>
      </c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</row>
    <row r="1633" customFormat="false" ht="15" hidden="false" customHeight="false" outlineLevel="0" collapsed="false">
      <c r="A1633" s="5" t="s">
        <v>457</v>
      </c>
      <c r="C1633" s="25" t="n">
        <f aca="false">SUMPRODUCT(($C$1623:$C$1626=C1623)*$C$1618:$C$1621)</f>
        <v>201.07154</v>
      </c>
    </row>
    <row r="1634" customFormat="false" ht="15" hidden="false" customHeight="false" outlineLevel="0" collapsed="false">
      <c r="A1634" s="5" t="s">
        <v>458</v>
      </c>
      <c r="C1634" s="25" t="n">
        <f aca="false">SUMPRODUCT(($C$1623:$C$1626=C1624)*$C$1618:$C$1621)</f>
        <v>522.4037</v>
      </c>
    </row>
    <row r="1635" customFormat="false" ht="15" hidden="false" customHeight="false" outlineLevel="0" collapsed="false">
      <c r="A1635" s="5" t="s">
        <v>459</v>
      </c>
      <c r="C1635" s="25" t="n">
        <f aca="false">SUMPRODUCT(($C$1623:$C$1626=C1625)*$C$1618:$C$1621)</f>
        <v>256.875</v>
      </c>
    </row>
    <row r="1636" customFormat="false" ht="15" hidden="false" customHeight="false" outlineLevel="0" collapsed="false">
      <c r="A1636" s="5" t="s">
        <v>460</v>
      </c>
      <c r="C1636" s="25" t="n">
        <f aca="false">SUMPRODUCT(($C$1623:$C$1626=C1626)*$C$1618:$C$1621)</f>
        <v>305.625</v>
      </c>
    </row>
    <row r="1637" customFormat="false" ht="15" hidden="false" customHeight="false" outlineLevel="0" collapsed="false">
      <c r="A1637" s="23" t="s">
        <v>469</v>
      </c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</row>
    <row r="1638" customFormat="false" ht="15" hidden="false" customHeight="false" outlineLevel="0" collapsed="false">
      <c r="A1638" s="5" t="s">
        <v>457</v>
      </c>
      <c r="C1638" s="25" t="n">
        <f aca="false">IF(C1633=0,0,C1618/C1633*MAX(0,MIN(C1633,$C$1591-SUM($C$1608:$C$1611)-C1628)))</f>
        <v>201.07154</v>
      </c>
    </row>
    <row r="1639" customFormat="false" ht="15" hidden="false" customHeight="false" outlineLevel="0" collapsed="false">
      <c r="A1639" s="5" t="s">
        <v>458</v>
      </c>
      <c r="C1639" s="25" t="n">
        <f aca="false">IF(C1634=0,0,C1619/C1634*MAX(0,MIN(C1634,$C$1591-SUM($C$1608:$C$1611)-C1629)))</f>
        <v>397.96846</v>
      </c>
    </row>
    <row r="1640" customFormat="false" ht="15" hidden="false" customHeight="false" outlineLevel="0" collapsed="false">
      <c r="A1640" s="5" t="s">
        <v>459</v>
      </c>
      <c r="C1640" s="25" t="n">
        <f aca="false">IF(C1635=0,0,C1620/C1635*MAX(0,MIN(C1635,$C$1591-SUM($C$1608:$C$1611)-C1630)))</f>
        <v>0</v>
      </c>
    </row>
    <row r="1641" customFormat="false" ht="15" hidden="false" customHeight="false" outlineLevel="0" collapsed="false">
      <c r="A1641" s="5" t="s">
        <v>460</v>
      </c>
      <c r="C1641" s="25" t="n">
        <f aca="false">IF(C1636=0,0,C1621/C1636*MAX(0,MIN(C1636,$C$1591-SUM($C$1608:$C$1611)-C1631)))</f>
        <v>0</v>
      </c>
    </row>
    <row r="1642" customFormat="false" ht="15" hidden="false" customHeight="false" outlineLevel="0" collapsed="false">
      <c r="A1642" s="23" t="s">
        <v>470</v>
      </c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</row>
    <row r="1643" customFormat="false" ht="15" hidden="false" customHeight="false" outlineLevel="0" collapsed="false">
      <c r="A1643" s="2" t="s">
        <v>457</v>
      </c>
      <c r="C1643" s="16" t="n">
        <f aca="false">C1608+C1638</f>
        <v>201.07154</v>
      </c>
    </row>
    <row r="1644" customFormat="false" ht="15" hidden="false" customHeight="false" outlineLevel="0" collapsed="false">
      <c r="A1644" s="2" t="s">
        <v>458</v>
      </c>
      <c r="C1644" s="16" t="n">
        <f aca="false">C1609+C1639</f>
        <v>397.96846</v>
      </c>
    </row>
    <row r="1645" customFormat="false" ht="15" hidden="false" customHeight="false" outlineLevel="0" collapsed="false">
      <c r="A1645" s="2" t="s">
        <v>459</v>
      </c>
      <c r="C1645" s="16" t="n">
        <f aca="false">C1610+C1640</f>
        <v>0</v>
      </c>
    </row>
    <row r="1646" customFormat="false" ht="15" hidden="false" customHeight="false" outlineLevel="0" collapsed="false">
      <c r="A1646" s="2" t="s">
        <v>460</v>
      </c>
      <c r="C1646" s="16" t="n">
        <f aca="false">C1611+C1641</f>
        <v>0</v>
      </c>
    </row>
    <row r="1647" customFormat="false" ht="15" hidden="false" customHeight="false" outlineLevel="0" collapsed="false">
      <c r="A1647" s="23" t="s">
        <v>471</v>
      </c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</row>
    <row r="1648" customFormat="false" ht="15" hidden="false" customHeight="false" outlineLevel="0" collapsed="false">
      <c r="A1648" s="5" t="s">
        <v>457</v>
      </c>
      <c r="C1648" s="21" t="n">
        <f aca="false">IF(C1593=0,1,C1643/C1593)</f>
        <v>1</v>
      </c>
    </row>
    <row r="1649" customFormat="false" ht="15" hidden="false" customHeight="false" outlineLevel="0" collapsed="false">
      <c r="A1649" s="5" t="s">
        <v>458</v>
      </c>
      <c r="C1649" s="21" t="n">
        <f aca="false">IF(C1594=0,1,C1644/C1594)</f>
        <v>0.761802529346557</v>
      </c>
    </row>
    <row r="1650" customFormat="false" ht="15" hidden="false" customHeight="false" outlineLevel="0" collapsed="false">
      <c r="A1650" s="5" t="s">
        <v>459</v>
      </c>
      <c r="C1650" s="21" t="n">
        <f aca="false">IF(C1595=0,1,C1645/C1595)</f>
        <v>0</v>
      </c>
    </row>
    <row r="1651" customFormat="false" ht="15" hidden="false" customHeight="false" outlineLevel="0" collapsed="false">
      <c r="A1651" s="5" t="s">
        <v>460</v>
      </c>
      <c r="C1651" s="21" t="n">
        <f aca="false">IF(C1596=0,1,C1646/C1596)</f>
        <v>0</v>
      </c>
    </row>
    <row r="1652" customFormat="false" ht="15" hidden="false" customHeight="false" outlineLevel="0" collapsed="false">
      <c r="A1652" s="23" t="s">
        <v>472</v>
      </c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</row>
    <row r="1653" customFormat="false" ht="15" hidden="false" customHeight="false" outlineLevel="0" collapsed="false">
      <c r="A1653" s="5" t="s">
        <v>457</v>
      </c>
      <c r="C1653" s="25" t="n">
        <f aca="false">C1593-C1643</f>
        <v>0</v>
      </c>
    </row>
    <row r="1654" customFormat="false" ht="15" hidden="false" customHeight="false" outlineLevel="0" collapsed="false">
      <c r="A1654" s="5" t="s">
        <v>458</v>
      </c>
      <c r="C1654" s="25" t="n">
        <f aca="false">C1594-C1644</f>
        <v>124.43524</v>
      </c>
    </row>
    <row r="1655" customFormat="false" ht="15" hidden="false" customHeight="false" outlineLevel="0" collapsed="false">
      <c r="A1655" s="5" t="s">
        <v>459</v>
      </c>
      <c r="C1655" s="25" t="n">
        <f aca="false">C1595-C1645</f>
        <v>256.875</v>
      </c>
    </row>
    <row r="1656" customFormat="false" ht="15" hidden="false" customHeight="false" outlineLevel="0" collapsed="false">
      <c r="A1656" s="5" t="s">
        <v>460</v>
      </c>
      <c r="C1656" s="25" t="n">
        <f aca="false">C1596-C1646</f>
        <v>305.625</v>
      </c>
    </row>
    <row r="1657" customFormat="false" ht="15" hidden="false" customHeight="false" outlineLevel="0" collapsed="false">
      <c r="A1657" s="23" t="s">
        <v>473</v>
      </c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</row>
    <row r="1658" customFormat="false" ht="15" hidden="false" customHeight="false" outlineLevel="0" collapsed="false">
      <c r="A1658" s="5" t="s">
        <v>457</v>
      </c>
      <c r="C1658" s="21" t="n">
        <f aca="false">IF(C1593=0,0,C1653/C1593)</f>
        <v>0</v>
      </c>
    </row>
    <row r="1659" customFormat="false" ht="15" hidden="false" customHeight="false" outlineLevel="0" collapsed="false">
      <c r="A1659" s="5" t="s">
        <v>458</v>
      </c>
      <c r="C1659" s="21" t="n">
        <f aca="false">IF(C1594=0,0,C1654/C1594)</f>
        <v>0.238197470653443</v>
      </c>
    </row>
    <row r="1660" customFormat="false" ht="15" hidden="false" customHeight="false" outlineLevel="0" collapsed="false">
      <c r="A1660" s="5" t="s">
        <v>459</v>
      </c>
      <c r="C1660" s="21" t="n">
        <f aca="false">IF(C1595=0,0,C1655/C1595)</f>
        <v>1</v>
      </c>
    </row>
    <row r="1661" customFormat="false" ht="15" hidden="false" customHeight="false" outlineLevel="0" collapsed="false">
      <c r="A1661" s="5" t="s">
        <v>460</v>
      </c>
      <c r="C1661" s="21" t="n">
        <f aca="false">IF(C1596=0,0,C1656/C1596)</f>
        <v>1</v>
      </c>
    </row>
    <row r="1662" customFormat="false" ht="15" hidden="false" customHeight="false" outlineLevel="0" collapsed="false">
      <c r="A1662" s="2" t="s">
        <v>474</v>
      </c>
      <c r="C1662" s="16" t="n">
        <f aca="false">MAX(0,$C$1591-SUM($C$1608:$C$1611)-SUM($C$1618:$C$1621))</f>
        <v>0</v>
      </c>
    </row>
    <row r="1663" customFormat="false" ht="15" hidden="false" customHeight="false" outlineLevel="0" collapsed="false">
      <c r="A1663" s="5" t="s">
        <v>475</v>
      </c>
      <c r="C1663" s="25" t="n">
        <f aca="false">SUM($C$1643:$C$1646)+C1662+C1590-C1589</f>
        <v>0</v>
      </c>
    </row>
    <row r="1665" customFormat="false" ht="15" hidden="false" customHeight="false" outlineLevel="0" collapsed="false">
      <c r="A1665" s="23" t="s">
        <v>478</v>
      </c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</row>
    <row r="1666" customFormat="false" ht="15" hidden="false" customHeight="false" outlineLevel="0" collapsed="false">
      <c r="A1666" s="5" t="s">
        <v>479</v>
      </c>
      <c r="C1666" s="26" t="n">
        <f aca="false">Assumptions!$C$30</f>
        <v>2</v>
      </c>
    </row>
    <row r="1667" customFormat="false" ht="15" hidden="false" customHeight="false" outlineLevel="0" collapsed="false">
      <c r="A1667" s="5" t="s">
        <v>480</v>
      </c>
      <c r="C1667" s="28" t="n">
        <f aca="false">Assumptions!$C$31</f>
        <v>100</v>
      </c>
    </row>
    <row r="1668" customFormat="false" ht="15" hidden="false" customHeight="false" outlineLevel="0" collapsed="false">
      <c r="A1668" s="5" t="s">
        <v>481</v>
      </c>
      <c r="C1668" s="39" t="n">
        <f aca="false">Assumptions!$C$32</f>
        <v>78</v>
      </c>
    </row>
    <row r="1669" customFormat="false" ht="15" hidden="false" customHeight="false" outlineLevel="0" collapsed="false">
      <c r="A1669" s="5" t="s">
        <v>482</v>
      </c>
      <c r="C1669" s="25" t="n">
        <f aca="false">C1667*C1668/100*(1+Assumptions!$C$33)</f>
        <v>78.39</v>
      </c>
    </row>
    <row r="1670" customFormat="false" ht="15" hidden="false" customHeight="false" outlineLevel="0" collapsed="false">
      <c r="A1670" s="5" t="s">
        <v>483</v>
      </c>
      <c r="C1670" s="26" t="n">
        <f aca="false">Assumptions!$C$34</f>
        <v>2</v>
      </c>
    </row>
    <row r="1671" customFormat="false" ht="15" hidden="false" customHeight="false" outlineLevel="0" collapsed="false">
      <c r="A1671" s="5" t="s">
        <v>484</v>
      </c>
      <c r="C1671" s="20" t="n">
        <f aca="false">IF(C1582=1,SUMPRODUCT($G$1550:$K$1550,$G$1426:$K$1426),0)</f>
        <v>2</v>
      </c>
    </row>
    <row r="1672" customFormat="false" ht="15" hidden="false" customHeight="false" outlineLevel="0" collapsed="false">
      <c r="A1672" s="5" t="s">
        <v>485</v>
      </c>
      <c r="C1672" s="21" t="n">
        <f aca="false">IFERROR(C1667/CHOOSE(C1666,SUMPRODUCT($G$1581:$K$1581,$G$1472:$K$1472),SUMPRODUCT($G$1581:$K$1581,$G$1485:$K$1485),SUMPRODUCT($G$1581:$K$1581,$G$1498:$K$1498),SUMPRODUCT($G$1581:$K$1581,$G$1511:$K$1511)),0)</f>
        <v>0.196232339089482</v>
      </c>
    </row>
    <row r="1673" customFormat="false" ht="15" hidden="false" customHeight="false" outlineLevel="0" collapsed="false">
      <c r="A1673" s="5" t="s">
        <v>486</v>
      </c>
      <c r="C1673" s="25" t="n">
        <f aca="false">CHOOSE(C1666,C1643,C1644,C1645,C1646)*C1672</f>
        <v>78.0942817896389</v>
      </c>
    </row>
    <row r="1674" customFormat="false" ht="15" hidden="false" customHeight="false" outlineLevel="0" collapsed="false">
      <c r="A1674" s="5" t="s">
        <v>487</v>
      </c>
      <c r="C1674" s="21" t="n">
        <f aca="false">CHOOSE(C1666,C1648,C1649,C1650,C1651)</f>
        <v>0.761802529346557</v>
      </c>
    </row>
    <row r="1675" customFormat="false" ht="15" hidden="false" customHeight="false" outlineLevel="0" collapsed="false">
      <c r="A1675" s="5" t="s">
        <v>488</v>
      </c>
      <c r="C1675" s="20" t="n">
        <f aca="false">IF(C1582=1,C1671,C1670)</f>
        <v>2</v>
      </c>
    </row>
    <row r="1676" customFormat="false" ht="15" hidden="false" customHeight="false" outlineLevel="0" collapsed="false">
      <c r="A1676" s="5" t="s">
        <v>489</v>
      </c>
      <c r="C1676" s="33" t="n">
        <f aca="false">CHOOSE($C$1418,Assumptions!$C$77,Assumptions!$C$96,Assumptions!$C$115)</f>
        <v>100</v>
      </c>
    </row>
    <row r="1677" customFormat="false" ht="15" hidden="false" customHeight="false" outlineLevel="0" collapsed="false">
      <c r="A1677" s="5" t="s">
        <v>490</v>
      </c>
      <c r="C1677" s="25" t="n">
        <f aca="false">INDEX($G$1435:$K$1435,C1670)*CHOOSE($C$1418,Assumptions!$C$76,Assumptions!$C$95,Assumptions!$C$114)+MAX(0,INDEX($G$1547:$K$1547,C1670))</f>
        <v>718.60932</v>
      </c>
    </row>
    <row r="1678" customFormat="false" ht="15" hidden="false" customHeight="false" outlineLevel="0" collapsed="false">
      <c r="A1678" s="23" t="s">
        <v>491</v>
      </c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</row>
    <row r="1679" customFormat="false" ht="15" hidden="false" customHeight="false" outlineLevel="0" collapsed="false">
      <c r="A1679" s="5" t="s">
        <v>457</v>
      </c>
      <c r="C1679" s="25" t="n">
        <f aca="false">INDEX($G$1472:$K$1472,C1670)</f>
        <v>196.96</v>
      </c>
    </row>
    <row r="1680" customFormat="false" ht="15" hidden="false" customHeight="false" outlineLevel="0" collapsed="false">
      <c r="A1680" s="5" t="s">
        <v>458</v>
      </c>
      <c r="C1680" s="25" t="n">
        <f aca="false">INDEX($G$1485:$K$1485,C1670)</f>
        <v>509.6</v>
      </c>
    </row>
    <row r="1681" customFormat="false" ht="15" hidden="false" customHeight="false" outlineLevel="0" collapsed="false">
      <c r="A1681" s="5" t="s">
        <v>459</v>
      </c>
      <c r="C1681" s="25" t="n">
        <f aca="false">INDEX($G$1498:$K$1498,C1670)</f>
        <v>250</v>
      </c>
    </row>
    <row r="1682" customFormat="false" ht="15" hidden="false" customHeight="false" outlineLevel="0" collapsed="false">
      <c r="A1682" s="5" t="s">
        <v>460</v>
      </c>
      <c r="C1682" s="25" t="n">
        <f aca="false">INDEX($G$1511:$K$1511,C1670)</f>
        <v>300</v>
      </c>
    </row>
    <row r="1683" customFormat="false" ht="15" hidden="false" customHeight="false" outlineLevel="0" collapsed="false">
      <c r="A1683" s="23" t="s">
        <v>461</v>
      </c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</row>
    <row r="1684" customFormat="false" ht="15" hidden="false" customHeight="false" outlineLevel="0" collapsed="false">
      <c r="A1684" s="5" t="s">
        <v>457</v>
      </c>
      <c r="C1684" s="26" t="n">
        <f aca="false">Assumptions!$M$53</f>
        <v>1</v>
      </c>
    </row>
    <row r="1685" customFormat="false" ht="15" hidden="false" customHeight="false" outlineLevel="0" collapsed="false">
      <c r="A1685" s="5" t="s">
        <v>458</v>
      </c>
      <c r="C1685" s="26" t="n">
        <f aca="false">Assumptions!$M$54</f>
        <v>2</v>
      </c>
    </row>
    <row r="1686" customFormat="false" ht="15" hidden="false" customHeight="false" outlineLevel="0" collapsed="false">
      <c r="A1686" s="5" t="s">
        <v>459</v>
      </c>
      <c r="C1686" s="26" t="n">
        <f aca="false">Assumptions!$M$55</f>
        <v>3</v>
      </c>
    </row>
    <row r="1687" customFormat="false" ht="15" hidden="false" customHeight="false" outlineLevel="0" collapsed="false">
      <c r="A1687" s="5" t="s">
        <v>460</v>
      </c>
      <c r="C1687" s="26" t="n">
        <f aca="false">Assumptions!$M$56</f>
        <v>4</v>
      </c>
    </row>
    <row r="1688" customFormat="false" ht="15" hidden="false" customHeight="false" outlineLevel="0" collapsed="false">
      <c r="A1688" s="23" t="s">
        <v>462</v>
      </c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</row>
    <row r="1689" customFormat="false" ht="15" hidden="false" customHeight="false" outlineLevel="0" collapsed="false">
      <c r="A1689" s="5" t="s">
        <v>457</v>
      </c>
      <c r="C1689" s="34" t="n">
        <f aca="false">Assumptions!$Q$53</f>
        <v>0</v>
      </c>
    </row>
    <row r="1690" customFormat="false" ht="15" hidden="false" customHeight="false" outlineLevel="0" collapsed="false">
      <c r="A1690" s="5" t="s">
        <v>458</v>
      </c>
      <c r="C1690" s="34" t="n">
        <f aca="false">Assumptions!$Q$54</f>
        <v>0</v>
      </c>
    </row>
    <row r="1691" customFormat="false" ht="15" hidden="false" customHeight="false" outlineLevel="0" collapsed="false">
      <c r="A1691" s="5" t="s">
        <v>459</v>
      </c>
      <c r="C1691" s="34" t="n">
        <f aca="false">Assumptions!$Q$55</f>
        <v>0</v>
      </c>
    </row>
    <row r="1692" customFormat="false" ht="15" hidden="false" customHeight="false" outlineLevel="0" collapsed="false">
      <c r="A1692" s="5" t="s">
        <v>460</v>
      </c>
      <c r="C1692" s="34" t="n">
        <f aca="false">Assumptions!$Q$56</f>
        <v>0</v>
      </c>
    </row>
    <row r="1693" customFormat="false" ht="15" hidden="false" customHeight="false" outlineLevel="0" collapsed="false">
      <c r="A1693" s="23" t="s">
        <v>463</v>
      </c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</row>
    <row r="1694" customFormat="false" ht="15" hidden="false" customHeight="false" outlineLevel="0" collapsed="false">
      <c r="A1694" s="5" t="s">
        <v>457</v>
      </c>
      <c r="C1694" s="25" t="n">
        <f aca="false">IF(C1689&gt;0,MIN(C1679,C1689*$C$1677),0)</f>
        <v>0</v>
      </c>
    </row>
    <row r="1695" customFormat="false" ht="15" hidden="false" customHeight="false" outlineLevel="0" collapsed="false">
      <c r="A1695" s="5" t="s">
        <v>458</v>
      </c>
      <c r="C1695" s="25" t="n">
        <f aca="false">IF(C1690&gt;0,MIN(C1680,C1690*$C$1677),0)</f>
        <v>0</v>
      </c>
    </row>
    <row r="1696" customFormat="false" ht="15" hidden="false" customHeight="false" outlineLevel="0" collapsed="false">
      <c r="A1696" s="5" t="s">
        <v>459</v>
      </c>
      <c r="C1696" s="25" t="n">
        <f aca="false">IF(C1691&gt;0,MIN(C1681,C1691*$C$1677),0)</f>
        <v>0</v>
      </c>
    </row>
    <row r="1697" customFormat="false" ht="15" hidden="false" customHeight="false" outlineLevel="0" collapsed="false">
      <c r="A1697" s="5" t="s">
        <v>460</v>
      </c>
      <c r="C1697" s="25" t="n">
        <f aca="false">IF(C1692&gt;0,MIN(C1682,C1692*$C$1677),0)</f>
        <v>0</v>
      </c>
    </row>
    <row r="1698" customFormat="false" ht="15" hidden="false" customHeight="false" outlineLevel="0" collapsed="false">
      <c r="A1698" s="23" t="s">
        <v>464</v>
      </c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</row>
    <row r="1699" customFormat="false" ht="15" hidden="false" customHeight="false" outlineLevel="0" collapsed="false">
      <c r="A1699" s="5" t="s">
        <v>457</v>
      </c>
      <c r="C1699" s="25" t="n">
        <f aca="false">IF(C1689&gt;0,C1679-C1694,0)</f>
        <v>0</v>
      </c>
    </row>
    <row r="1700" customFormat="false" ht="15" hidden="false" customHeight="false" outlineLevel="0" collapsed="false">
      <c r="A1700" s="5" t="s">
        <v>458</v>
      </c>
      <c r="C1700" s="25" t="n">
        <f aca="false">IF(C1690&gt;0,C1680-C1695,0)</f>
        <v>0</v>
      </c>
    </row>
    <row r="1701" customFormat="false" ht="15" hidden="false" customHeight="false" outlineLevel="0" collapsed="false">
      <c r="A1701" s="5" t="s">
        <v>459</v>
      </c>
      <c r="C1701" s="25" t="n">
        <f aca="false">IF(C1691&gt;0,C1681-C1696,0)</f>
        <v>0</v>
      </c>
    </row>
    <row r="1702" customFormat="false" ht="15" hidden="false" customHeight="false" outlineLevel="0" collapsed="false">
      <c r="A1702" s="5" t="s">
        <v>460</v>
      </c>
      <c r="C1702" s="25" t="n">
        <f aca="false">IF(C1692&gt;0,C1682-C1697,0)</f>
        <v>0</v>
      </c>
    </row>
    <row r="1703" customFormat="false" ht="15" hidden="false" customHeight="false" outlineLevel="0" collapsed="false">
      <c r="A1703" s="23" t="s">
        <v>465</v>
      </c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</row>
    <row r="1704" customFormat="false" ht="15" hidden="false" customHeight="false" outlineLevel="0" collapsed="false">
      <c r="A1704" s="5" t="s">
        <v>457</v>
      </c>
      <c r="C1704" s="25" t="n">
        <f aca="false">IF(C1689&gt;0,C1699,C1679)</f>
        <v>196.96</v>
      </c>
    </row>
    <row r="1705" customFormat="false" ht="15" hidden="false" customHeight="false" outlineLevel="0" collapsed="false">
      <c r="A1705" s="5" t="s">
        <v>458</v>
      </c>
      <c r="C1705" s="25" t="n">
        <f aca="false">IF(C1690&gt;0,C1700,C1680)</f>
        <v>509.6</v>
      </c>
    </row>
    <row r="1706" customFormat="false" ht="15" hidden="false" customHeight="false" outlineLevel="0" collapsed="false">
      <c r="A1706" s="5" t="s">
        <v>459</v>
      </c>
      <c r="C1706" s="25" t="n">
        <f aca="false">IF(C1691&gt;0,C1701,C1681)</f>
        <v>250</v>
      </c>
    </row>
    <row r="1707" customFormat="false" ht="15" hidden="false" customHeight="false" outlineLevel="0" collapsed="false">
      <c r="A1707" s="5" t="s">
        <v>460</v>
      </c>
      <c r="C1707" s="25" t="n">
        <f aca="false">IF(C1692&gt;0,C1702,C1682)</f>
        <v>300</v>
      </c>
    </row>
    <row r="1708" customFormat="false" ht="15" hidden="false" customHeight="false" outlineLevel="0" collapsed="false">
      <c r="A1708" s="23" t="s">
        <v>466</v>
      </c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</row>
    <row r="1709" customFormat="false" ht="15" hidden="false" customHeight="false" outlineLevel="0" collapsed="false">
      <c r="A1709" s="5" t="s">
        <v>457</v>
      </c>
      <c r="C1709" s="20" t="n">
        <f aca="false">IF(C1689&gt;0,Assumptions!$C$17,C1684)</f>
        <v>1</v>
      </c>
    </row>
    <row r="1710" customFormat="false" ht="15" hidden="false" customHeight="false" outlineLevel="0" collapsed="false">
      <c r="A1710" s="5" t="s">
        <v>458</v>
      </c>
      <c r="C1710" s="20" t="n">
        <f aca="false">IF(C1690&gt;0,Assumptions!$C$17,C1685)</f>
        <v>2</v>
      </c>
    </row>
    <row r="1711" customFormat="false" ht="15" hidden="false" customHeight="false" outlineLevel="0" collapsed="false">
      <c r="A1711" s="5" t="s">
        <v>459</v>
      </c>
      <c r="C1711" s="20" t="n">
        <f aca="false">IF(C1691&gt;0,Assumptions!$C$17,C1686)</f>
        <v>3</v>
      </c>
    </row>
    <row r="1712" customFormat="false" ht="15" hidden="false" customHeight="false" outlineLevel="0" collapsed="false">
      <c r="A1712" s="5" t="s">
        <v>460</v>
      </c>
      <c r="C1712" s="20" t="n">
        <f aca="false">IF(C1692&gt;0,Assumptions!$C$17,C1687)</f>
        <v>4</v>
      </c>
    </row>
    <row r="1713" customFormat="false" ht="15" hidden="false" customHeight="false" outlineLevel="0" collapsed="false">
      <c r="A1713" s="23" t="s">
        <v>467</v>
      </c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</row>
    <row r="1714" customFormat="false" ht="15" hidden="false" customHeight="false" outlineLevel="0" collapsed="false">
      <c r="A1714" s="5" t="s">
        <v>457</v>
      </c>
      <c r="C1714" s="25" t="n">
        <f aca="false">SUMPRODUCT(($C$1709:$C$1712&lt;C1709)*$C$1704:$C$1707)</f>
        <v>0</v>
      </c>
    </row>
    <row r="1715" customFormat="false" ht="15" hidden="false" customHeight="false" outlineLevel="0" collapsed="false">
      <c r="A1715" s="5" t="s">
        <v>458</v>
      </c>
      <c r="C1715" s="25" t="n">
        <f aca="false">SUMPRODUCT(($C$1709:$C$1712&lt;C1710)*$C$1704:$C$1707)</f>
        <v>196.96</v>
      </c>
    </row>
    <row r="1716" customFormat="false" ht="15" hidden="false" customHeight="false" outlineLevel="0" collapsed="false">
      <c r="A1716" s="5" t="s">
        <v>459</v>
      </c>
      <c r="C1716" s="25" t="n">
        <f aca="false">SUMPRODUCT(($C$1709:$C$1712&lt;C1711)*$C$1704:$C$1707)</f>
        <v>706.56</v>
      </c>
    </row>
    <row r="1717" customFormat="false" ht="15" hidden="false" customHeight="false" outlineLevel="0" collapsed="false">
      <c r="A1717" s="5" t="s">
        <v>460</v>
      </c>
      <c r="C1717" s="25" t="n">
        <f aca="false">SUMPRODUCT(($C$1709:$C$1712&lt;C1712)*$C$1704:$C$1707)</f>
        <v>956.56</v>
      </c>
    </row>
    <row r="1718" customFormat="false" ht="15" hidden="false" customHeight="false" outlineLevel="0" collapsed="false">
      <c r="A1718" s="23" t="s">
        <v>468</v>
      </c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</row>
    <row r="1719" customFormat="false" ht="15" hidden="false" customHeight="false" outlineLevel="0" collapsed="false">
      <c r="A1719" s="5" t="s">
        <v>457</v>
      </c>
      <c r="C1719" s="25" t="n">
        <f aca="false">SUMPRODUCT(($C$1709:$C$1712=C1709)*$C$1704:$C$1707)</f>
        <v>196.96</v>
      </c>
    </row>
    <row r="1720" customFormat="false" ht="15" hidden="false" customHeight="false" outlineLevel="0" collapsed="false">
      <c r="A1720" s="5" t="s">
        <v>458</v>
      </c>
      <c r="C1720" s="25" t="n">
        <f aca="false">SUMPRODUCT(($C$1709:$C$1712=C1710)*$C$1704:$C$1707)</f>
        <v>509.6</v>
      </c>
    </row>
    <row r="1721" customFormat="false" ht="15" hidden="false" customHeight="false" outlineLevel="0" collapsed="false">
      <c r="A1721" s="5" t="s">
        <v>459</v>
      </c>
      <c r="C1721" s="25" t="n">
        <f aca="false">SUMPRODUCT(($C$1709:$C$1712=C1711)*$C$1704:$C$1707)</f>
        <v>250</v>
      </c>
    </row>
    <row r="1722" customFormat="false" ht="15" hidden="false" customHeight="false" outlineLevel="0" collapsed="false">
      <c r="A1722" s="5" t="s">
        <v>460</v>
      </c>
      <c r="C1722" s="25" t="n">
        <f aca="false">SUMPRODUCT(($C$1709:$C$1712=C1712)*$C$1704:$C$1707)</f>
        <v>300</v>
      </c>
    </row>
    <row r="1723" customFormat="false" ht="15" hidden="false" customHeight="false" outlineLevel="0" collapsed="false">
      <c r="A1723" s="23" t="s">
        <v>469</v>
      </c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</row>
    <row r="1724" customFormat="false" ht="15" hidden="false" customHeight="false" outlineLevel="0" collapsed="false">
      <c r="A1724" s="5" t="s">
        <v>457</v>
      </c>
      <c r="C1724" s="25" t="n">
        <f aca="false">IF(C1719=0,0,C1704/C1719*MAX(0,MIN(C1719,$C$1677-SUM($C$1694:$C$1697)-C1714)))</f>
        <v>196.96</v>
      </c>
    </row>
    <row r="1725" customFormat="false" ht="15" hidden="false" customHeight="false" outlineLevel="0" collapsed="false">
      <c r="A1725" s="5" t="s">
        <v>458</v>
      </c>
      <c r="C1725" s="25" t="n">
        <f aca="false">IF(C1720=0,0,C1705/C1720*MAX(0,MIN(C1720,$C$1677-SUM($C$1694:$C$1697)-C1715)))</f>
        <v>509.6</v>
      </c>
    </row>
    <row r="1726" customFormat="false" ht="15" hidden="false" customHeight="false" outlineLevel="0" collapsed="false">
      <c r="A1726" s="5" t="s">
        <v>459</v>
      </c>
      <c r="C1726" s="25" t="n">
        <f aca="false">IF(C1721=0,0,C1706/C1721*MAX(0,MIN(C1721,$C$1677-SUM($C$1694:$C$1697)-C1716)))</f>
        <v>12.0493200000001</v>
      </c>
    </row>
    <row r="1727" customFormat="false" ht="15" hidden="false" customHeight="false" outlineLevel="0" collapsed="false">
      <c r="A1727" s="5" t="s">
        <v>460</v>
      </c>
      <c r="C1727" s="25" t="n">
        <f aca="false">IF(C1722=0,0,C1707/C1722*MAX(0,MIN(C1722,$C$1677-SUM($C$1694:$C$1697)-C1717)))</f>
        <v>0</v>
      </c>
    </row>
    <row r="1728" customFormat="false" ht="15" hidden="false" customHeight="false" outlineLevel="0" collapsed="false">
      <c r="A1728" s="23" t="s">
        <v>470</v>
      </c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</row>
    <row r="1729" customFormat="false" ht="15" hidden="false" customHeight="false" outlineLevel="0" collapsed="false">
      <c r="A1729" s="2" t="s">
        <v>457</v>
      </c>
      <c r="C1729" s="16" t="n">
        <f aca="false">C1694+C1724</f>
        <v>196.96</v>
      </c>
    </row>
    <row r="1730" customFormat="false" ht="15" hidden="false" customHeight="false" outlineLevel="0" collapsed="false">
      <c r="A1730" s="2" t="s">
        <v>458</v>
      </c>
      <c r="C1730" s="16" t="n">
        <f aca="false">C1695+C1725</f>
        <v>509.6</v>
      </c>
    </row>
    <row r="1731" customFormat="false" ht="15" hidden="false" customHeight="false" outlineLevel="0" collapsed="false">
      <c r="A1731" s="2" t="s">
        <v>459</v>
      </c>
      <c r="C1731" s="16" t="n">
        <f aca="false">C1696+C1726</f>
        <v>12.0493200000001</v>
      </c>
    </row>
    <row r="1732" customFormat="false" ht="15" hidden="false" customHeight="false" outlineLevel="0" collapsed="false">
      <c r="A1732" s="2" t="s">
        <v>460</v>
      </c>
      <c r="C1732" s="16" t="n">
        <f aca="false">C1697+C1727</f>
        <v>0</v>
      </c>
    </row>
    <row r="1733" customFormat="false" ht="15" hidden="false" customHeight="false" outlineLevel="0" collapsed="false">
      <c r="A1733" s="23" t="s">
        <v>471</v>
      </c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</row>
    <row r="1734" customFormat="false" ht="15" hidden="false" customHeight="false" outlineLevel="0" collapsed="false">
      <c r="A1734" s="5" t="s">
        <v>457</v>
      </c>
      <c r="C1734" s="21" t="n">
        <f aca="false">IF(C1679=0,1,C1729/C1679)</f>
        <v>1</v>
      </c>
    </row>
    <row r="1735" customFormat="false" ht="15" hidden="false" customHeight="false" outlineLevel="0" collapsed="false">
      <c r="A1735" s="5" t="s">
        <v>458</v>
      </c>
      <c r="C1735" s="21" t="n">
        <f aca="false">IF(C1680=0,1,C1730/C1680)</f>
        <v>1</v>
      </c>
    </row>
    <row r="1736" customFormat="false" ht="15" hidden="false" customHeight="false" outlineLevel="0" collapsed="false">
      <c r="A1736" s="5" t="s">
        <v>459</v>
      </c>
      <c r="C1736" s="21" t="n">
        <f aca="false">IF(C1681=0,1,C1731/C1681)</f>
        <v>0.0481972800000003</v>
      </c>
    </row>
    <row r="1737" customFormat="false" ht="15" hidden="false" customHeight="false" outlineLevel="0" collapsed="false">
      <c r="A1737" s="5" t="s">
        <v>460</v>
      </c>
      <c r="C1737" s="21" t="n">
        <f aca="false">IF(C1682=0,1,C1732/C1682)</f>
        <v>0</v>
      </c>
    </row>
    <row r="1738" customFormat="false" ht="15" hidden="false" customHeight="false" outlineLevel="0" collapsed="false">
      <c r="A1738" s="23" t="s">
        <v>472</v>
      </c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</row>
    <row r="1739" customFormat="false" ht="15" hidden="false" customHeight="false" outlineLevel="0" collapsed="false">
      <c r="A1739" s="5" t="s">
        <v>457</v>
      </c>
      <c r="C1739" s="25" t="n">
        <f aca="false">C1679-C1729</f>
        <v>0</v>
      </c>
    </row>
    <row r="1740" customFormat="false" ht="15" hidden="false" customHeight="false" outlineLevel="0" collapsed="false">
      <c r="A1740" s="5" t="s">
        <v>458</v>
      </c>
      <c r="C1740" s="25" t="n">
        <f aca="false">C1680-C1730</f>
        <v>0</v>
      </c>
    </row>
    <row r="1741" customFormat="false" ht="15" hidden="false" customHeight="false" outlineLevel="0" collapsed="false">
      <c r="A1741" s="5" t="s">
        <v>459</v>
      </c>
      <c r="C1741" s="25" t="n">
        <f aca="false">C1681-C1731</f>
        <v>237.95068</v>
      </c>
    </row>
    <row r="1742" customFormat="false" ht="15" hidden="false" customHeight="false" outlineLevel="0" collapsed="false">
      <c r="A1742" s="5" t="s">
        <v>460</v>
      </c>
      <c r="C1742" s="25" t="n">
        <f aca="false">C1682-C1732</f>
        <v>300</v>
      </c>
    </row>
    <row r="1743" customFormat="false" ht="15" hidden="false" customHeight="false" outlineLevel="0" collapsed="false">
      <c r="A1743" s="23" t="s">
        <v>473</v>
      </c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</row>
    <row r="1744" customFormat="false" ht="15" hidden="false" customHeight="false" outlineLevel="0" collapsed="false">
      <c r="A1744" s="5" t="s">
        <v>457</v>
      </c>
      <c r="C1744" s="21" t="n">
        <f aca="false">IF(C1679=0,0,C1739/C1679)</f>
        <v>0</v>
      </c>
    </row>
    <row r="1745" customFormat="false" ht="15" hidden="false" customHeight="false" outlineLevel="0" collapsed="false">
      <c r="A1745" s="5" t="s">
        <v>458</v>
      </c>
      <c r="C1745" s="21" t="n">
        <f aca="false">IF(C1680=0,0,C1740/C1680)</f>
        <v>0</v>
      </c>
    </row>
    <row r="1746" customFormat="false" ht="15" hidden="false" customHeight="false" outlineLevel="0" collapsed="false">
      <c r="A1746" s="5" t="s">
        <v>459</v>
      </c>
      <c r="C1746" s="21" t="n">
        <f aca="false">IF(C1681=0,0,C1741/C1681)</f>
        <v>0.95180272</v>
      </c>
    </row>
    <row r="1747" customFormat="false" ht="15" hidden="false" customHeight="false" outlineLevel="0" collapsed="false">
      <c r="A1747" s="5" t="s">
        <v>460</v>
      </c>
      <c r="C1747" s="21" t="n">
        <f aca="false">IF(C1682=0,0,C1742/C1682)</f>
        <v>1</v>
      </c>
    </row>
    <row r="1748" customFormat="false" ht="15" hidden="false" customHeight="false" outlineLevel="0" collapsed="false">
      <c r="A1748" s="2" t="s">
        <v>474</v>
      </c>
      <c r="C1748" s="16" t="n">
        <f aca="false">MAX(0,$C$1677-SUM($C$1694:$C$1697)-SUM($C$1704:$C$1707))</f>
        <v>0</v>
      </c>
    </row>
    <row r="1749" customFormat="false" ht="15" hidden="false" customHeight="false" outlineLevel="0" collapsed="false">
      <c r="A1749" s="5" t="s">
        <v>492</v>
      </c>
      <c r="C1749" s="33" t="n">
        <f aca="false">MIN(C1676,100*CHOOSE(C1666,C1734,C1735,C1736,C1737))</f>
        <v>100</v>
      </c>
    </row>
    <row r="1750" customFormat="false" ht="15" hidden="false" customHeight="false" outlineLevel="0" collapsed="false">
      <c r="A1750" s="5" t="s">
        <v>493</v>
      </c>
      <c r="C1750" s="20" t="n">
        <f aca="false">IF(C1582=1,C1671+Assumptions!$C$36,C1670)</f>
        <v>3</v>
      </c>
    </row>
    <row r="1751" customFormat="false" ht="15" hidden="false" customHeight="false" outlineLevel="0" collapsed="false">
      <c r="A1751" s="23" t="s">
        <v>494</v>
      </c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</row>
    <row r="1752" customFormat="false" ht="15" hidden="false" customHeight="false" outlineLevel="0" collapsed="false">
      <c r="A1752" s="5" t="s">
        <v>495</v>
      </c>
      <c r="C1752" s="20" t="n">
        <f aca="false">COLUMN()-COLUMN($C$1)</f>
        <v>0</v>
      </c>
      <c r="D1752" s="20" t="n">
        <f aca="false">COLUMN()-COLUMN($C$1)</f>
        <v>1</v>
      </c>
      <c r="E1752" s="20" t="n">
        <f aca="false">COLUMN()-COLUMN($C$1)</f>
        <v>2</v>
      </c>
      <c r="F1752" s="20" t="n">
        <f aca="false">COLUMN()-COLUMN($C$1)</f>
        <v>3</v>
      </c>
      <c r="G1752" s="20" t="n">
        <f aca="false">COLUMN()-COLUMN($C$1)</f>
        <v>4</v>
      </c>
      <c r="H1752" s="20" t="n">
        <f aca="false">COLUMN()-COLUMN($C$1)</f>
        <v>5</v>
      </c>
      <c r="I1752" s="20" t="n">
        <f aca="false">COLUMN()-COLUMN($C$1)</f>
        <v>6</v>
      </c>
    </row>
    <row r="1753" customFormat="false" ht="15" hidden="false" customHeight="false" outlineLevel="0" collapsed="false">
      <c r="A1753" s="5" t="s">
        <v>496</v>
      </c>
      <c r="D1753" s="30" t="n">
        <f aca="false">CHOOSE($C$1666,G1464,G1477,G1490,G1503)</f>
        <v>0.103</v>
      </c>
      <c r="E1753" s="30" t="n">
        <f aca="false">CHOOSE($C$1666,H1464,H1477,H1490,H1503)</f>
        <v>0.1005</v>
      </c>
      <c r="F1753" s="30" t="n">
        <f aca="false">CHOOSE($C$1666,I1464,I1477,I1490,I1503)</f>
        <v>0.098</v>
      </c>
      <c r="G1753" s="30" t="n">
        <f aca="false">CHOOSE($C$1666,J1464,J1477,J1490,J1503)</f>
        <v>0.098</v>
      </c>
      <c r="H1753" s="30" t="n">
        <f aca="false">CHOOSE($C$1666,K1464,K1477,K1490,K1503)</f>
        <v>0.098</v>
      </c>
    </row>
    <row r="1754" customFormat="false" ht="15" hidden="false" customHeight="false" outlineLevel="0" collapsed="false">
      <c r="A1754" s="5" t="s">
        <v>497</v>
      </c>
      <c r="D1754" s="25" t="n">
        <f aca="false">IF(D1752&lt;=$C$1675,$C$1667*D1753,0)</f>
        <v>10.3</v>
      </c>
      <c r="E1754" s="25" t="n">
        <f aca="false">IF(E1752&lt;=$C$1675,$C$1667*E1753,0)</f>
        <v>10.05</v>
      </c>
      <c r="F1754" s="25" t="n">
        <f aca="false">IF(F1752&lt;=$C$1675,$C$1667*F1753,0)</f>
        <v>0</v>
      </c>
      <c r="G1754" s="25" t="n">
        <f aca="false">IF(G1752&lt;=$C$1675,$C$1667*G1753,0)</f>
        <v>0</v>
      </c>
      <c r="H1754" s="25" t="n">
        <f aca="false">IF(H1752&lt;=$C$1675,$C$1667*H1753,0)</f>
        <v>0</v>
      </c>
    </row>
    <row r="1755" customFormat="false" ht="15" hidden="false" customHeight="false" outlineLevel="0" collapsed="false">
      <c r="A1755" s="5" t="s">
        <v>498</v>
      </c>
      <c r="D1755" s="25" t="n">
        <f aca="false">IF(AND($C$1582=0,D1752=$C$1670),$C$1667*$C$1749/100,0)+IF(AND($C$1582=1,D1752=$C$1750),$C$1673,0)</f>
        <v>0</v>
      </c>
      <c r="E1755" s="25" t="n">
        <f aca="false">IF(AND($C$1582=0,E1752=$C$1670),$C$1667*$C$1749/100,0)+IF(AND($C$1582=1,E1752=$C$1750),$C$1673,0)</f>
        <v>0</v>
      </c>
      <c r="F1755" s="25" t="n">
        <f aca="false">IF(AND($C$1582=0,F1752=$C$1670),$C$1667*$C$1749/100,0)+IF(AND($C$1582=1,F1752=$C$1750),$C$1673,0)</f>
        <v>78.0942817896389</v>
      </c>
      <c r="G1755" s="25" t="n">
        <f aca="false">IF(AND($C$1582=0,G1752=$C$1670),$C$1667*$C$1749/100,0)+IF(AND($C$1582=1,G1752=$C$1750),$C$1673,0)</f>
        <v>0</v>
      </c>
      <c r="H1755" s="25" t="n">
        <f aca="false">IF(AND($C$1582=0,H1752=$C$1670),$C$1667*$C$1749/100,0)+IF(AND($C$1582=1,H1752=$C$1750),$C$1673,0)</f>
        <v>0</v>
      </c>
      <c r="I1755" s="25" t="n">
        <f aca="false">IF(AND($C$1582=0,I1752=$C$1670),$C$1667*$C$1749/100,0)+IF(AND($C$1582=1,I1752=$C$1750),$C$1673,0)</f>
        <v>0</v>
      </c>
    </row>
    <row r="1756" customFormat="false" ht="15" hidden="false" customHeight="false" outlineLevel="0" collapsed="false">
      <c r="A1756" s="2" t="s">
        <v>499</v>
      </c>
      <c r="C1756" s="16" t="n">
        <f aca="false">-$C$1669</f>
        <v>-78.39</v>
      </c>
      <c r="D1756" s="16" t="n">
        <f aca="false">D1754+D1755</f>
        <v>10.3</v>
      </c>
      <c r="E1756" s="16" t="n">
        <f aca="false">E1754+E1755</f>
        <v>10.05</v>
      </c>
      <c r="F1756" s="16" t="n">
        <f aca="false">F1754+F1755</f>
        <v>78.0942817896389</v>
      </c>
      <c r="G1756" s="16" t="n">
        <f aca="false">G1754+G1755</f>
        <v>0</v>
      </c>
      <c r="H1756" s="16" t="n">
        <f aca="false">H1754+H1755</f>
        <v>0</v>
      </c>
      <c r="I1756" s="16" t="n">
        <f aca="false">I1754+I1755</f>
        <v>0</v>
      </c>
    </row>
    <row r="1757" customFormat="false" ht="15" hidden="false" customHeight="false" outlineLevel="0" collapsed="false">
      <c r="A1757" s="5" t="s">
        <v>500</v>
      </c>
      <c r="C1757" s="25" t="n">
        <f aca="false">SUM($C$1754:$I$1754)</f>
        <v>20.35</v>
      </c>
    </row>
    <row r="1758" customFormat="false" ht="15" hidden="false" customHeight="false" outlineLevel="0" collapsed="false">
      <c r="A1758" s="5" t="s">
        <v>501</v>
      </c>
      <c r="C1758" s="25" t="n">
        <f aca="false">SUM($C$1755:$I$1755)</f>
        <v>78.0942817896389</v>
      </c>
    </row>
    <row r="1759" customFormat="false" ht="15" hidden="false" customHeight="false" outlineLevel="0" collapsed="false">
      <c r="A1759" s="5" t="s">
        <v>502</v>
      </c>
      <c r="C1759" s="25" t="n">
        <f aca="false">C1757+C1758</f>
        <v>98.4442817896389</v>
      </c>
    </row>
    <row r="1760" customFormat="false" ht="15" hidden="false" customHeight="false" outlineLevel="0" collapsed="false">
      <c r="A1760" s="5" t="s">
        <v>503</v>
      </c>
      <c r="C1760" s="25" t="n">
        <f aca="false">C1758-C1667*C1668/100</f>
        <v>0.0942817896389272</v>
      </c>
    </row>
    <row r="1761" customFormat="false" ht="15" hidden="false" customHeight="false" outlineLevel="0" collapsed="false">
      <c r="A1761" s="5" t="s">
        <v>504</v>
      </c>
      <c r="C1761" s="25" t="n">
        <f aca="false">C1759-C1669</f>
        <v>20.0542817896389</v>
      </c>
    </row>
    <row r="1762" customFormat="false" ht="15" hidden="false" customHeight="false" outlineLevel="0" collapsed="false">
      <c r="A1762" s="2" t="s">
        <v>385</v>
      </c>
      <c r="C1762" s="43" t="n">
        <f aca="false">C1759/C1669</f>
        <v>1.25582704158233</v>
      </c>
    </row>
    <row r="1763" customFormat="false" ht="15" hidden="false" customHeight="false" outlineLevel="0" collapsed="false">
      <c r="A1763" s="2" t="s">
        <v>384</v>
      </c>
      <c r="C1763" s="41" t="n">
        <f aca="false">IF(C1759&lt;=0,-1,IFERROR(IRR($C$1756:$I$1756,MAX(-0.9,C1762^(1/C1750)-1)),IRR($C$1756:$I$1756,0.1)))</f>
        <v>0.0890630779770287</v>
      </c>
    </row>
    <row r="1764" customFormat="false" ht="15" hidden="false" customHeight="false" outlineLevel="0" collapsed="false">
      <c r="A1764" s="5" t="s">
        <v>505</v>
      </c>
      <c r="C1764" s="31" t="n">
        <f aca="false">MAX($G$1558:$K$1558)</f>
        <v>11.9109170100614</v>
      </c>
    </row>
    <row r="1765" customFormat="false" ht="15" hidden="false" customHeight="false" outlineLevel="0" collapsed="false">
      <c r="A1765" s="5" t="s">
        <v>506</v>
      </c>
      <c r="C1765" s="31" t="n">
        <f aca="false">MIN($G$1559:$K$1559)</f>
        <v>0.898185483870968</v>
      </c>
    </row>
    <row r="1766" customFormat="false" ht="15" hidden="false" customHeight="false" outlineLevel="0" collapsed="false">
      <c r="A1766" s="5" t="s">
        <v>507</v>
      </c>
      <c r="C1766" s="25" t="n">
        <f aca="false">SUM($G$1448:$K$1448)</f>
        <v>-232.03352887512</v>
      </c>
    </row>
    <row r="1770" customFormat="false" ht="15" hidden="false" customHeight="false" outlineLevel="0" collapsed="false">
      <c r="A1770" s="9" t="s">
        <v>631</v>
      </c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</row>
    <row r="1771" customFormat="false" ht="15" hidden="false" customHeight="false" outlineLevel="0" collapsed="false">
      <c r="A1771" s="5" t="s">
        <v>622</v>
      </c>
      <c r="C1771" s="11" t="n">
        <v>1</v>
      </c>
    </row>
    <row r="1772" customFormat="false" ht="15" hidden="false" customHeight="false" outlineLevel="0" collapsed="false">
      <c r="A1772" s="5" t="s">
        <v>623</v>
      </c>
      <c r="C1772" s="18" t="n">
        <v>0</v>
      </c>
    </row>
    <row r="1773" customFormat="false" ht="15" hidden="false" customHeight="false" outlineLevel="0" collapsed="false">
      <c r="A1773" s="5" t="s">
        <v>624</v>
      </c>
      <c r="C1773" s="29" t="n">
        <f aca="false">Sensitivities!$A$32</f>
        <v>0</v>
      </c>
    </row>
    <row r="1774" customFormat="false" ht="15" hidden="false" customHeight="false" outlineLevel="0" collapsed="false">
      <c r="A1774" s="5" t="s">
        <v>625</v>
      </c>
      <c r="C1774" s="18" t="n">
        <v>0</v>
      </c>
    </row>
    <row r="1775" customFormat="false" ht="15" hidden="false" customHeight="false" outlineLevel="0" collapsed="false">
      <c r="A1775" s="5" t="s">
        <v>626</v>
      </c>
      <c r="C1775" s="15" t="n">
        <v>0</v>
      </c>
    </row>
    <row r="1777" customFormat="false" ht="15" hidden="false" customHeight="false" outlineLevel="0" collapsed="false">
      <c r="A1777" s="23" t="s">
        <v>237</v>
      </c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</row>
    <row r="1778" customFormat="false" ht="15" hidden="false" customHeight="false" outlineLevel="0" collapsed="false">
      <c r="A1778" s="5" t="s">
        <v>238</v>
      </c>
      <c r="F1778" s="26" t="n">
        <f aca="false">Assumptions!$C$6</f>
        <v>2025</v>
      </c>
      <c r="G1778" s="20" t="n">
        <f aca="false">F1778+1</f>
        <v>2026</v>
      </c>
      <c r="H1778" s="20" t="n">
        <f aca="false">G1778+1</f>
        <v>2027</v>
      </c>
      <c r="I1778" s="20" t="n">
        <f aca="false">H1778+1</f>
        <v>2028</v>
      </c>
      <c r="J1778" s="20" t="n">
        <f aca="false">I1778+1</f>
        <v>2029</v>
      </c>
      <c r="K1778" s="20" t="n">
        <f aca="false">J1778+1</f>
        <v>2030</v>
      </c>
    </row>
    <row r="1779" customFormat="false" ht="15" hidden="false" customHeight="false" outlineLevel="0" collapsed="false">
      <c r="A1779" s="5" t="s">
        <v>239</v>
      </c>
      <c r="G1779" s="20" t="n">
        <f aca="false">G1778-Assumptions!$C$6</f>
        <v>1</v>
      </c>
      <c r="H1779" s="20" t="n">
        <f aca="false">H1778-Assumptions!$C$6</f>
        <v>2</v>
      </c>
      <c r="I1779" s="20" t="n">
        <f aca="false">I1778-Assumptions!$C$6</f>
        <v>3</v>
      </c>
      <c r="J1779" s="20" t="n">
        <f aca="false">J1778-Assumptions!$C$6</f>
        <v>4</v>
      </c>
      <c r="K1779" s="20" t="n">
        <f aca="false">K1778-Assumptions!$C$6</f>
        <v>5</v>
      </c>
    </row>
    <row r="1780" customFormat="false" ht="15" hidden="false" customHeight="false" outlineLevel="0" collapsed="false">
      <c r="A1780" s="5" t="s">
        <v>149</v>
      </c>
      <c r="G1780" s="21" t="n">
        <f aca="false">CHOOSE($C$1771,Assumptions!$G$65,Assumptions!$G$84,Assumptions!$G$103)+$C$1772</f>
        <v>-0.01</v>
      </c>
      <c r="H1780" s="21" t="n">
        <f aca="false">CHOOSE($C$1771,Assumptions!$H$65,Assumptions!$H$84,Assumptions!$H$103)+$C$1772</f>
        <v>-0.01</v>
      </c>
      <c r="I1780" s="21" t="n">
        <f aca="false">CHOOSE($C$1771,Assumptions!$I$65,Assumptions!$I$84,Assumptions!$I$103)+$C$1772</f>
        <v>-0.01</v>
      </c>
      <c r="J1780" s="21" t="n">
        <f aca="false">CHOOSE($C$1771,Assumptions!$J$65,Assumptions!$J$84,Assumptions!$J$103)+$C$1772</f>
        <v>-0.01</v>
      </c>
      <c r="K1780" s="21" t="n">
        <f aca="false">CHOOSE($C$1771,Assumptions!$K$65,Assumptions!$K$84,Assumptions!$K$103)+$C$1772</f>
        <v>-0.01</v>
      </c>
    </row>
    <row r="1781" customFormat="false" ht="15" hidden="false" customHeight="false" outlineLevel="0" collapsed="false">
      <c r="A1781" s="5" t="s">
        <v>150</v>
      </c>
      <c r="G1781" s="21" t="n">
        <f aca="false">CHOOSE($C$1771,Assumptions!$G$66,Assumptions!$G$85,Assumptions!$G$104)</f>
        <v>0.36</v>
      </c>
      <c r="H1781" s="21" t="n">
        <f aca="false">CHOOSE($C$1771,Assumptions!$H$66,Assumptions!$H$85,Assumptions!$H$104)</f>
        <v>0.362</v>
      </c>
      <c r="I1781" s="21" t="n">
        <f aca="false">CHOOSE($C$1771,Assumptions!$I$66,Assumptions!$I$85,Assumptions!$I$104)</f>
        <v>0.364</v>
      </c>
      <c r="J1781" s="21" t="n">
        <f aca="false">CHOOSE($C$1771,Assumptions!$J$66,Assumptions!$J$85,Assumptions!$J$104)</f>
        <v>0.366</v>
      </c>
      <c r="K1781" s="21" t="n">
        <f aca="false">CHOOSE($C$1771,Assumptions!$K$66,Assumptions!$K$85,Assumptions!$K$104)</f>
        <v>0.368</v>
      </c>
    </row>
    <row r="1782" customFormat="false" ht="15" hidden="false" customHeight="false" outlineLevel="0" collapsed="false">
      <c r="A1782" s="5" t="s">
        <v>151</v>
      </c>
      <c r="G1782" s="21" t="n">
        <f aca="false">CHOOSE($C$1771,Assumptions!$G$67,Assumptions!$G$86,Assumptions!$G$105)+$C$1773</f>
        <v>0.065</v>
      </c>
      <c r="H1782" s="21" t="n">
        <f aca="false">CHOOSE($C$1771,Assumptions!$H$67,Assumptions!$H$86,Assumptions!$H$105)+$C$1773</f>
        <v>0.067</v>
      </c>
      <c r="I1782" s="21" t="n">
        <f aca="false">CHOOSE($C$1771,Assumptions!$I$67,Assumptions!$I$86,Assumptions!$I$105)+$C$1773</f>
        <v>0.069</v>
      </c>
      <c r="J1782" s="21" t="n">
        <f aca="false">CHOOSE($C$1771,Assumptions!$J$67,Assumptions!$J$86,Assumptions!$J$105)+$C$1773</f>
        <v>0.071</v>
      </c>
      <c r="K1782" s="21" t="n">
        <f aca="false">CHOOSE($C$1771,Assumptions!$K$67,Assumptions!$K$86,Assumptions!$K$105)+$C$1773</f>
        <v>0.073</v>
      </c>
    </row>
    <row r="1783" customFormat="false" ht="15" hidden="false" customHeight="false" outlineLevel="0" collapsed="false">
      <c r="A1783" s="23" t="s">
        <v>240</v>
      </c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</row>
    <row r="1784" customFormat="false" ht="15" hidden="false" customHeight="false" outlineLevel="0" collapsed="false">
      <c r="A1784" s="2" t="s">
        <v>207</v>
      </c>
      <c r="F1784" s="27" t="n">
        <f aca="false">'Historical Financials'!E17</f>
        <v>2400</v>
      </c>
      <c r="G1784" s="16" t="n">
        <f aca="false">F1784*(1+G1780)</f>
        <v>2376</v>
      </c>
      <c r="H1784" s="16" t="n">
        <f aca="false">G1784*(1+H1780)</f>
        <v>2352.24</v>
      </c>
      <c r="I1784" s="16" t="n">
        <f aca="false">H1784*(1+I1780)</f>
        <v>2328.7176</v>
      </c>
      <c r="J1784" s="16" t="n">
        <f aca="false">I1784*(1+J1780)</f>
        <v>2305.430424</v>
      </c>
      <c r="K1784" s="16" t="n">
        <f aca="false">J1784*(1+K1780)</f>
        <v>2282.37611976</v>
      </c>
    </row>
    <row r="1785" customFormat="false" ht="15" hidden="false" customHeight="false" outlineLevel="0" collapsed="false">
      <c r="A1785" s="5" t="s">
        <v>217</v>
      </c>
      <c r="G1785" s="25" t="n">
        <f aca="false">G1784*(1-G1781)</f>
        <v>1520.64</v>
      </c>
      <c r="H1785" s="25" t="n">
        <f aca="false">H1784*(1-H1781)</f>
        <v>1500.72912</v>
      </c>
      <c r="I1785" s="25" t="n">
        <f aca="false">I1784*(1-I1781)</f>
        <v>1481.0643936</v>
      </c>
      <c r="J1785" s="25" t="n">
        <f aca="false">J1784*(1-J1781)</f>
        <v>1461.642888816</v>
      </c>
      <c r="K1785" s="25" t="n">
        <f aca="false">K1784*(1-K1781)</f>
        <v>1442.46170768832</v>
      </c>
    </row>
    <row r="1786" customFormat="false" ht="15" hidden="false" customHeight="false" outlineLevel="0" collapsed="false">
      <c r="A1786" s="2" t="s">
        <v>218</v>
      </c>
      <c r="G1786" s="16" t="n">
        <f aca="false">G1784-G1785</f>
        <v>855.36</v>
      </c>
      <c r="H1786" s="16" t="n">
        <f aca="false">H1784-H1785</f>
        <v>851.51088</v>
      </c>
      <c r="I1786" s="16" t="n">
        <f aca="false">I1784-I1785</f>
        <v>847.6532064</v>
      </c>
      <c r="J1786" s="16" t="n">
        <f aca="false">J1784-J1785</f>
        <v>843.787535184</v>
      </c>
      <c r="K1786" s="16" t="n">
        <f aca="false">K1784-K1785</f>
        <v>839.91441207168</v>
      </c>
    </row>
    <row r="1787" customFormat="false" ht="15" hidden="false" customHeight="false" outlineLevel="0" collapsed="false">
      <c r="A1787" s="5" t="s">
        <v>241</v>
      </c>
      <c r="G1787" s="25" t="n">
        <f aca="false">G1786-G1788</f>
        <v>700.92</v>
      </c>
      <c r="H1787" s="25" t="n">
        <f aca="false">H1786-H1788</f>
        <v>693.9108</v>
      </c>
      <c r="I1787" s="25" t="n">
        <f aca="false">I1786-I1788</f>
        <v>686.971692</v>
      </c>
      <c r="J1787" s="25" t="n">
        <f aca="false">J1786-J1788</f>
        <v>680.10197508</v>
      </c>
      <c r="K1787" s="25" t="n">
        <f aca="false">K1786-K1788</f>
        <v>673.3009553292</v>
      </c>
    </row>
    <row r="1788" customFormat="false" ht="15" hidden="false" customHeight="false" outlineLevel="0" collapsed="false">
      <c r="A1788" s="2" t="s">
        <v>242</v>
      </c>
      <c r="G1788" s="16" t="n">
        <f aca="false">G1784*G1782</f>
        <v>154.44</v>
      </c>
      <c r="H1788" s="16" t="n">
        <f aca="false">H1784*H1782</f>
        <v>157.60008</v>
      </c>
      <c r="I1788" s="16" t="n">
        <f aca="false">I1784*I1782</f>
        <v>160.6815144</v>
      </c>
      <c r="J1788" s="16" t="n">
        <f aca="false">J1784*J1782</f>
        <v>163.685560104</v>
      </c>
      <c r="K1788" s="16" t="n">
        <f aca="false">K1784*K1782</f>
        <v>166.61345674248</v>
      </c>
    </row>
    <row r="1789" customFormat="false" ht="15" hidden="false" customHeight="false" outlineLevel="0" collapsed="false">
      <c r="A1789" s="5" t="s">
        <v>243</v>
      </c>
      <c r="G1789" s="25" t="n">
        <f aca="false">G1784*'Historical Financials'!E22/'Historical Financials'!E17</f>
        <v>52.272</v>
      </c>
      <c r="H1789" s="25" t="n">
        <f aca="false">H1784*'Historical Financials'!E22/'Historical Financials'!E17</f>
        <v>51.74928</v>
      </c>
      <c r="I1789" s="25" t="n">
        <f aca="false">I1784*'Historical Financials'!E22/'Historical Financials'!E17</f>
        <v>51.2317872</v>
      </c>
      <c r="J1789" s="25" t="n">
        <f aca="false">J1784*'Historical Financials'!E22/'Historical Financials'!E17</f>
        <v>50.719469328</v>
      </c>
      <c r="K1789" s="25" t="n">
        <f aca="false">K1784*'Historical Financials'!E22/'Historical Financials'!E17</f>
        <v>50.21227463472</v>
      </c>
    </row>
    <row r="1790" customFormat="false" ht="15" hidden="false" customHeight="false" outlineLevel="0" collapsed="false">
      <c r="A1790" s="5" t="s">
        <v>244</v>
      </c>
      <c r="G1790" s="25" t="n">
        <f aca="false">G1784*'Historical Financials'!E23/'Historical Financials'!E17</f>
        <v>0</v>
      </c>
      <c r="H1790" s="25" t="n">
        <f aca="false">H1784*'Historical Financials'!E23/'Historical Financials'!E17</f>
        <v>0</v>
      </c>
      <c r="I1790" s="25" t="n">
        <f aca="false">I1784*'Historical Financials'!E23/'Historical Financials'!E17</f>
        <v>0</v>
      </c>
      <c r="J1790" s="25" t="n">
        <f aca="false">J1784*'Historical Financials'!E23/'Historical Financials'!E17</f>
        <v>0</v>
      </c>
      <c r="K1790" s="25" t="n">
        <f aca="false">K1784*'Historical Financials'!E23/'Historical Financials'!E17</f>
        <v>0</v>
      </c>
    </row>
    <row r="1791" customFormat="false" ht="15" hidden="false" customHeight="false" outlineLevel="0" collapsed="false">
      <c r="A1791" s="2" t="s">
        <v>245</v>
      </c>
      <c r="G1791" s="16" t="n">
        <f aca="false">G1788-G1789-G1790</f>
        <v>102.168</v>
      </c>
      <c r="H1791" s="16" t="n">
        <f aca="false">H1788-H1789-H1790</f>
        <v>105.8508</v>
      </c>
      <c r="I1791" s="16" t="n">
        <f aca="false">I1788-I1789-I1790</f>
        <v>109.4497272</v>
      </c>
      <c r="J1791" s="16" t="n">
        <f aca="false">J1788-J1789-J1790</f>
        <v>112.966090776</v>
      </c>
      <c r="K1791" s="16" t="n">
        <f aca="false">K1788-K1789-K1790</f>
        <v>116.40118210776</v>
      </c>
    </row>
    <row r="1792" customFormat="false" ht="15" hidden="false" customHeight="false" outlineLevel="0" collapsed="false">
      <c r="A1792" s="5" t="s">
        <v>246</v>
      </c>
      <c r="G1792" s="25" t="n">
        <f aca="false">G1818+G1831+G1844+G1857</f>
        <v>119.04</v>
      </c>
      <c r="H1792" s="25" t="n">
        <f aca="false">H1818+H1831+H1844+H1857</f>
        <v>114.21564</v>
      </c>
      <c r="I1792" s="25" t="n">
        <f aca="false">I1818+I1831+I1844+I1857</f>
        <v>126.8792</v>
      </c>
      <c r="J1792" s="25" t="n">
        <f aca="false">J1818+J1831+J1844+J1857</f>
        <v>134.749836056</v>
      </c>
      <c r="K1792" s="25" t="n">
        <f aca="false">K1818+K1831+K1844+K1857</f>
        <v>136.33146262032</v>
      </c>
    </row>
    <row r="1793" customFormat="false" ht="15" hidden="false" customHeight="false" outlineLevel="0" collapsed="false">
      <c r="A1793" s="5" t="s">
        <v>247</v>
      </c>
      <c r="G1793" s="25" t="n">
        <f aca="false">G1819+G1832+G1845+G1858</f>
        <v>0</v>
      </c>
      <c r="H1793" s="25" t="n">
        <f aca="false">H1819+H1832+H1845+H1858</f>
        <v>0</v>
      </c>
      <c r="I1793" s="25" t="n">
        <f aca="false">I1819+I1832+I1845+I1858</f>
        <v>0</v>
      </c>
      <c r="J1793" s="25" t="n">
        <f aca="false">J1819+J1832+J1845+J1858</f>
        <v>0</v>
      </c>
      <c r="K1793" s="25" t="n">
        <f aca="false">K1819+K1832+K1845+K1858</f>
        <v>0</v>
      </c>
    </row>
    <row r="1794" customFormat="false" ht="15" hidden="false" customHeight="false" outlineLevel="0" collapsed="false">
      <c r="A1794" s="5" t="s">
        <v>212</v>
      </c>
      <c r="G1794" s="25" t="n">
        <f aca="false">G1792+G1793</f>
        <v>119.04</v>
      </c>
      <c r="H1794" s="25" t="n">
        <f aca="false">H1792+H1793</f>
        <v>114.21564</v>
      </c>
      <c r="I1794" s="25" t="n">
        <f aca="false">I1792+I1793</f>
        <v>126.8792</v>
      </c>
      <c r="J1794" s="25" t="n">
        <f aca="false">J1792+J1793</f>
        <v>134.749836056</v>
      </c>
      <c r="K1794" s="25" t="n">
        <f aca="false">K1792+K1793</f>
        <v>136.33146262032</v>
      </c>
    </row>
    <row r="1795" customFormat="false" ht="15" hidden="false" customHeight="false" outlineLevel="0" collapsed="false">
      <c r="A1795" s="2" t="s">
        <v>223</v>
      </c>
      <c r="G1795" s="16" t="n">
        <f aca="false">G1791-G1794</f>
        <v>-16.872</v>
      </c>
      <c r="H1795" s="16" t="n">
        <f aca="false">H1791-H1794</f>
        <v>-8.36484</v>
      </c>
      <c r="I1795" s="16" t="n">
        <f aca="false">I1791-I1794</f>
        <v>-17.4294728</v>
      </c>
      <c r="J1795" s="16" t="n">
        <f aca="false">J1791-J1794</f>
        <v>-21.78374528</v>
      </c>
      <c r="K1795" s="16" t="n">
        <f aca="false">K1791-K1794</f>
        <v>-19.93028051256</v>
      </c>
    </row>
    <row r="1796" customFormat="false" ht="15" hidden="false" customHeight="false" outlineLevel="0" collapsed="false">
      <c r="A1796" s="5" t="s">
        <v>213</v>
      </c>
      <c r="G1796" s="25" t="n">
        <f aca="false">MAX(0,G1795)*Assumptions!$C$9</f>
        <v>0</v>
      </c>
      <c r="H1796" s="25" t="n">
        <f aca="false">MAX(0,H1795)*Assumptions!$C$9</f>
        <v>0</v>
      </c>
      <c r="I1796" s="25" t="n">
        <f aca="false">MAX(0,I1795)*Assumptions!$C$9</f>
        <v>0</v>
      </c>
      <c r="J1796" s="25" t="n">
        <f aca="false">MAX(0,J1795)*Assumptions!$C$9</f>
        <v>0</v>
      </c>
      <c r="K1796" s="25" t="n">
        <f aca="false">MAX(0,K1795)*Assumptions!$C$9</f>
        <v>0</v>
      </c>
    </row>
    <row r="1797" customFormat="false" ht="15" hidden="false" customHeight="false" outlineLevel="0" collapsed="false">
      <c r="A1797" s="2" t="s">
        <v>248</v>
      </c>
      <c r="G1797" s="16" t="n">
        <f aca="false">G1795-G1796</f>
        <v>-16.872</v>
      </c>
      <c r="H1797" s="16" t="n">
        <f aca="false">H1795-H1796</f>
        <v>-8.36484</v>
      </c>
      <c r="I1797" s="16" t="n">
        <f aca="false">I1795-I1796</f>
        <v>-17.4294728</v>
      </c>
      <c r="J1797" s="16" t="n">
        <f aca="false">J1795-J1796</f>
        <v>-21.78374528</v>
      </c>
      <c r="K1797" s="16" t="n">
        <f aca="false">K1795-K1796</f>
        <v>-19.93028051256</v>
      </c>
    </row>
    <row r="1798" customFormat="false" ht="15" hidden="false" customHeight="false" outlineLevel="0" collapsed="false">
      <c r="A1798" s="23" t="s">
        <v>249</v>
      </c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</row>
    <row r="1799" customFormat="false" ht="15" hidden="false" customHeight="false" outlineLevel="0" collapsed="false">
      <c r="A1799" s="5" t="s">
        <v>153</v>
      </c>
      <c r="G1799" s="25" t="n">
        <f aca="false">G1784*CHOOSE($C$1771,Assumptions!$C$69,Assumptions!$C$88,Assumptions!$C$107)</f>
        <v>47.52</v>
      </c>
      <c r="H1799" s="25" t="n">
        <f aca="false">H1784*CHOOSE($C$1771,Assumptions!$C$69,Assumptions!$C$88,Assumptions!$C$107)</f>
        <v>47.0448</v>
      </c>
      <c r="I1799" s="25" t="n">
        <f aca="false">I1784*CHOOSE($C$1771,Assumptions!$C$69,Assumptions!$C$88,Assumptions!$C$107)</f>
        <v>46.574352</v>
      </c>
      <c r="J1799" s="25" t="n">
        <f aca="false">J1784*CHOOSE($C$1771,Assumptions!$C$69,Assumptions!$C$88,Assumptions!$C$107)</f>
        <v>46.10860848</v>
      </c>
      <c r="K1799" s="25" t="n">
        <f aca="false">K1784*CHOOSE($C$1771,Assumptions!$C$69,Assumptions!$C$88,Assumptions!$C$107)</f>
        <v>45.6475223952</v>
      </c>
    </row>
    <row r="1800" customFormat="false" ht="15" hidden="false" customHeight="false" outlineLevel="0" collapsed="false">
      <c r="A1800" s="5" t="s">
        <v>250</v>
      </c>
      <c r="G1800" s="25" t="n">
        <f aca="false">CHOOSE($C$1771,Assumptions!$C$70,Assumptions!$C$89,Assumptions!$C$108)*(G1784-F1784)+CHOOSE($C$1771,Assumptions!$C$71,Assumptions!$C$90,Assumptions!$C$109)*G1784</f>
        <v>-2.88</v>
      </c>
      <c r="H1800" s="25" t="n">
        <f aca="false">CHOOSE($C$1771,Assumptions!$C$70,Assumptions!$C$89,Assumptions!$C$108)*(H1784-G1784)+CHOOSE($C$1771,Assumptions!$C$71,Assumptions!$C$90,Assumptions!$C$109)*H1784</f>
        <v>-2.85120000000003</v>
      </c>
      <c r="I1800" s="25" t="n">
        <f aca="false">CHOOSE($C$1771,Assumptions!$C$70,Assumptions!$C$89,Assumptions!$C$108)*(I1784-H1784)+CHOOSE($C$1771,Assumptions!$C$71,Assumptions!$C$90,Assumptions!$C$109)*I1784</f>
        <v>-2.82268799999998</v>
      </c>
      <c r="J1800" s="25" t="n">
        <f aca="false">CHOOSE($C$1771,Assumptions!$C$70,Assumptions!$C$89,Assumptions!$C$108)*(J1784-I1784)+CHOOSE($C$1771,Assumptions!$C$71,Assumptions!$C$90,Assumptions!$C$109)*J1784</f>
        <v>-2.79446111999998</v>
      </c>
      <c r="K1800" s="25" t="n">
        <f aca="false">CHOOSE($C$1771,Assumptions!$C$70,Assumptions!$C$89,Assumptions!$C$108)*(K1784-J1784)+CHOOSE($C$1771,Assumptions!$C$71,Assumptions!$C$90,Assumptions!$C$109)*K1784</f>
        <v>-2.7665165088</v>
      </c>
    </row>
    <row r="1801" customFormat="false" ht="15" hidden="false" customHeight="false" outlineLevel="0" collapsed="false">
      <c r="A1801" s="2" t="s">
        <v>251</v>
      </c>
      <c r="G1801" s="16" t="n">
        <f aca="false">G1797+G1789+G1790+G1793-G1799-G1800</f>
        <v>-9.24000000000001</v>
      </c>
      <c r="H1801" s="16" t="n">
        <f aca="false">H1797+H1789+H1790+H1793-H1799-H1800</f>
        <v>-0.809159999999978</v>
      </c>
      <c r="I1801" s="16" t="n">
        <f aca="false">I1797+I1789+I1790+I1793-I1799-I1800</f>
        <v>-9.94934960000002</v>
      </c>
      <c r="J1801" s="16" t="n">
        <f aca="false">J1797+J1789+J1790+J1793-J1799-J1800</f>
        <v>-14.378423312</v>
      </c>
      <c r="K1801" s="16" t="n">
        <f aca="false">K1797+K1789+K1790+K1793-K1799-K1800</f>
        <v>-12.59901176424</v>
      </c>
    </row>
    <row r="1803" customFormat="false" ht="15" hidden="false" customHeight="false" outlineLevel="0" collapsed="false">
      <c r="A1803" s="23" t="s">
        <v>253</v>
      </c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</row>
    <row r="1804" customFormat="false" ht="15" hidden="false" customHeight="false" outlineLevel="0" collapsed="false">
      <c r="A1804" s="5" t="s">
        <v>254</v>
      </c>
      <c r="G1804" s="29" t="n">
        <f aca="false">Assumptions!$G$49</f>
        <v>0.0425</v>
      </c>
      <c r="H1804" s="29" t="n">
        <f aca="false">Assumptions!$H$49</f>
        <v>0.04</v>
      </c>
      <c r="I1804" s="29" t="n">
        <f aca="false">Assumptions!$I$49</f>
        <v>0.0375</v>
      </c>
      <c r="J1804" s="29" t="n">
        <f aca="false">Assumptions!$J$49</f>
        <v>0.0375</v>
      </c>
      <c r="K1804" s="29" t="n">
        <f aca="false">Assumptions!$K$49</f>
        <v>0.0375</v>
      </c>
    </row>
    <row r="1805" customFormat="false" ht="15" hidden="false" customHeight="false" outlineLevel="0" collapsed="false">
      <c r="A1805" s="5" t="s">
        <v>255</v>
      </c>
      <c r="C1805" s="30" t="n">
        <f aca="false">CHOOSE($C$1771,Assumptions!$C$72,Assumptions!$C$91,Assumptions!$C$110)+$C$1774</f>
        <v>0</v>
      </c>
    </row>
    <row r="1806" customFormat="false" ht="15" hidden="false" customHeight="false" outlineLevel="0" collapsed="false">
      <c r="A1806" s="5" t="s">
        <v>256</v>
      </c>
      <c r="C1806" s="30" t="n">
        <f aca="false">CHOOSE($C$1771,Assumptions!$C$73,Assumptions!$C$92,Assumptions!$C$111)</f>
        <v>0.11</v>
      </c>
    </row>
    <row r="1807" customFormat="false" ht="15" hidden="false" customHeight="false" outlineLevel="0" collapsed="false">
      <c r="A1807" s="5" t="s">
        <v>257</v>
      </c>
      <c r="C1807" s="31" t="n">
        <f aca="false">CHOOSE($C$1771,Assumptions!$C$74,Assumptions!$C$93,Assumptions!$C$112)</f>
        <v>8.5</v>
      </c>
    </row>
    <row r="1808" customFormat="false" ht="15" hidden="false" customHeight="false" outlineLevel="0" collapsed="false">
      <c r="A1808" s="5" t="s">
        <v>258</v>
      </c>
      <c r="C1808" s="31" t="n">
        <f aca="false">CHOOSE($C$1771,Assumptions!$C$75,Assumptions!$C$94,Assumptions!$C$113)</f>
        <v>1.2</v>
      </c>
    </row>
    <row r="1809" customFormat="false" ht="15" hidden="false" customHeight="false" outlineLevel="0" collapsed="false">
      <c r="A1809" s="5" t="s">
        <v>259</v>
      </c>
      <c r="G1809" s="25" t="n">
        <f aca="false">G1814+G1827+G1840+G1853</f>
        <v>1250</v>
      </c>
      <c r="H1809" s="25" t="n">
        <f aca="false">H1814+H1827+H1840+H1853</f>
        <v>1214.24</v>
      </c>
      <c r="I1809" s="25" t="n">
        <f aca="false">I1814+I1827+I1840+I1853</f>
        <v>1209.04</v>
      </c>
      <c r="J1809" s="25" t="n">
        <f aca="false">J1814+J1827+J1840+J1853</f>
        <v>1224.9985096</v>
      </c>
      <c r="K1809" s="25" t="n">
        <f aca="false">K1814+K1827+K1840+K1853</f>
        <v>1239.376932912</v>
      </c>
    </row>
    <row r="1810" customFormat="false" ht="15" hidden="false" customHeight="false" outlineLevel="0" collapsed="false">
      <c r="A1810" s="5" t="s">
        <v>260</v>
      </c>
      <c r="G1810" s="25" t="n">
        <f aca="false">F1900</f>
        <v>45</v>
      </c>
      <c r="H1810" s="25" t="n">
        <f aca="false">G1900</f>
        <v>0</v>
      </c>
      <c r="I1810" s="25" t="n">
        <f aca="false">H1900</f>
        <v>-6.00915999999998</v>
      </c>
      <c r="J1810" s="25" t="n">
        <f aca="false">I1900</f>
        <v>0</v>
      </c>
      <c r="K1810" s="25" t="n">
        <f aca="false">J1900</f>
        <v>0</v>
      </c>
    </row>
    <row r="1811" customFormat="false" ht="15" hidden="false" customHeight="false" outlineLevel="0" collapsed="false">
      <c r="A1811" s="5" t="s">
        <v>261</v>
      </c>
      <c r="G1811" s="25" t="n">
        <f aca="false">G1814*IF(G1815=1,$C$1806,IF(Assumptions!$I$53=1,MAX(G1804,Assumptions!$G$53)+Assumptions!$F$53+$C$1805,Assumptions!$E$53))+G1827*IF(G1828=1,$C$1806,IF(Assumptions!$I$54=1,MAX(G1804,Assumptions!$G$54)+Assumptions!$F$54+$C$1805,Assumptions!$E$54))+G1840*IF(G1841=1,$C$1806,IF(Assumptions!$I$55=1,MAX(G1804,Assumptions!$G$55)+Assumptions!$F$55+$C$1805,Assumptions!$E$55))+G1853*IF(G1854=1,$C$1806,IF(Assumptions!$I$56=1,MAX(G1804,Assumptions!$G$56)+Assumptions!$F$56+$C$1805,Assumptions!$E$56))</f>
        <v>119.04</v>
      </c>
      <c r="H1811" s="25" t="n">
        <f aca="false">H1814*IF(OR(H1815=1,G1966=1),$C$1806,IF(Assumptions!$I$53=1,MAX(H1804,Assumptions!$G$53)+Assumptions!$F$53+$C$1805,Assumptions!$E$53))+H1827*IF(OR(H1828=1,G1967=1),$C$1806,IF(Assumptions!$I$54=1,MAX(H1804,Assumptions!$G$54)+Assumptions!$F$54+$C$1805,Assumptions!$E$54))+H1840*IF(OR(H1841=1,G1968=1),$C$1806,IF(Assumptions!$I$55=1,MAX(H1804,Assumptions!$G$55)+Assumptions!$F$55+$C$1805,Assumptions!$E$55))+H1853*IF(OR(H1854=1,G1969=1),$C$1806,IF(Assumptions!$I$56=1,MAX(H1804,Assumptions!$G$56)+Assumptions!$F$56+$C$1805,Assumptions!$E$56))</f>
        <v>128.6758</v>
      </c>
      <c r="I1811" s="25" t="n">
        <f aca="false">I1814*IF(OR(I1815=1,H1966=1),$C$1806,IF(Assumptions!$I$53=1,MAX(I1804,Assumptions!$G$53)+Assumptions!$F$53+$C$1805,Assumptions!$E$53))+I1827*IF(OR(I1828=1,H1967=1),$C$1806,IF(Assumptions!$I$54=1,MAX(I1804,Assumptions!$G$54)+Assumptions!$F$54+$C$1805,Assumptions!$E$54))+I1840*IF(OR(I1841=1,H1968=1),$C$1806,IF(Assumptions!$I$55=1,MAX(I1804,Assumptions!$G$55)+Assumptions!$F$55+$C$1805,Assumptions!$E$55))+I1853*IF(OR(I1854=1,H1969=1),$C$1806,IF(Assumptions!$I$56=1,MAX(I1804,Assumptions!$G$56)+Assumptions!$F$56+$C$1805,Assumptions!$E$56))</f>
        <v>132.9944</v>
      </c>
      <c r="J1811" s="25" t="n">
        <f aca="false">J1814*IF(OR(J1815=1,I1966=1),$C$1806,IF(Assumptions!$I$53=1,MAX(J1804,Assumptions!$G$53)+Assumptions!$F$53+$C$1805,Assumptions!$E$53))+J1827*IF(OR(J1828=1,I1967=1),$C$1806,IF(Assumptions!$I$54=1,MAX(J1804,Assumptions!$G$54)+Assumptions!$F$54+$C$1805,Assumptions!$E$54))+J1840*IF(OR(J1841=1,I1968=1),$C$1806,IF(Assumptions!$I$55=1,MAX(J1804,Assumptions!$G$55)+Assumptions!$F$55+$C$1805,Assumptions!$E$55))+J1853*IF(OR(J1854=1,I1969=1),$C$1806,IF(Assumptions!$I$56=1,MAX(J1804,Assumptions!$G$56)+Assumptions!$F$56+$C$1805,Assumptions!$E$56))</f>
        <v>134.749836056</v>
      </c>
      <c r="K1811" s="25" t="n">
        <f aca="false">K1814*IF(OR(K1815=1,J1966=1),$C$1806,IF(Assumptions!$I$53=1,MAX(K1804,Assumptions!$G$53)+Assumptions!$F$53+$C$1805,Assumptions!$E$53))+K1827*IF(OR(K1828=1,J1967=1),$C$1806,IF(Assumptions!$I$54=1,MAX(K1804,Assumptions!$G$54)+Assumptions!$F$54+$C$1805,Assumptions!$E$54))+K1840*IF(OR(K1841=1,J1968=1),$C$1806,IF(Assumptions!$I$55=1,MAX(K1804,Assumptions!$G$55)+Assumptions!$F$55+$C$1805,Assumptions!$E$55))+K1853*IF(OR(K1854=1,J1969=1),$C$1806,IF(Assumptions!$I$56=1,MAX(K1804,Assumptions!$G$56)+Assumptions!$F$56+$C$1805,Assumptions!$E$56))</f>
        <v>136.33146262032</v>
      </c>
    </row>
    <row r="1812" customFormat="false" ht="15" hidden="false" customHeight="false" outlineLevel="0" collapsed="false">
      <c r="A1812" s="5" t="s">
        <v>262</v>
      </c>
      <c r="G1812" s="20" t="n">
        <f aca="false">IF(G1788&lt;=0,0,IF(AND((G1809-G1810)/G1788&lt;=$C$1807,G1788/G1811&gt;=$C$1808),1,0))</f>
        <v>1</v>
      </c>
      <c r="H1812" s="20" t="n">
        <f aca="false">IF(H1788&lt;=0,0,IF(AND((H1809-H1810)/H1788&lt;=$C$1807,H1788/H1811&gt;=$C$1808),1,0))</f>
        <v>1</v>
      </c>
      <c r="I1812" s="20" t="n">
        <f aca="false">IF(I1788&lt;=0,0,IF(AND((I1809-I1810)/I1788&lt;=$C$1807,I1788/I1811&gt;=$C$1808),1,0))</f>
        <v>1</v>
      </c>
      <c r="J1812" s="20" t="n">
        <f aca="false">IF(J1788&lt;=0,0,IF(AND((J1809-J1810)/J1788&lt;=$C$1807,J1788/J1811&gt;=$C$1808),1,0))</f>
        <v>1</v>
      </c>
      <c r="K1812" s="20" t="n">
        <f aca="false">IF(K1788&lt;=0,0,IF(AND((K1809-K1810)/K1788&lt;=$C$1807,K1788/K1811&gt;=$C$1808),1,0))</f>
        <v>1</v>
      </c>
    </row>
    <row r="1813" customFormat="false" ht="15" hidden="false" customHeight="false" outlineLevel="0" collapsed="false">
      <c r="A1813" s="23" t="s">
        <v>263</v>
      </c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</row>
    <row r="1814" customFormat="false" ht="15" hidden="false" customHeight="false" outlineLevel="0" collapsed="false">
      <c r="A1814" s="5" t="s">
        <v>264</v>
      </c>
      <c r="G1814" s="25" t="n">
        <f aca="false">F1825</f>
        <v>180</v>
      </c>
      <c r="H1814" s="25" t="n">
        <f aca="false">G1825</f>
        <v>149.44</v>
      </c>
      <c r="I1814" s="25" t="n">
        <f aca="false">H1825</f>
        <v>149.44</v>
      </c>
      <c r="J1814" s="25" t="n">
        <f aca="false">I1825</f>
        <v>170.5985096</v>
      </c>
      <c r="K1814" s="25" t="n">
        <f aca="false">J1825</f>
        <v>190.176932912</v>
      </c>
    </row>
    <row r="1815" customFormat="false" ht="15" hidden="false" customHeight="false" outlineLevel="0" collapsed="false">
      <c r="A1815" s="5" t="s">
        <v>265</v>
      </c>
      <c r="G1815" s="20" t="n">
        <f aca="false">IF(G1778=Assumptions!$K$53,1,0)</f>
        <v>0</v>
      </c>
      <c r="H1815" s="20" t="n">
        <f aca="false">IF(H1778=Assumptions!$K$53,1,0)</f>
        <v>1</v>
      </c>
      <c r="I1815" s="20" t="n">
        <f aca="false">IF(I1778=Assumptions!$K$53,1,0)</f>
        <v>0</v>
      </c>
      <c r="J1815" s="20" t="n">
        <f aca="false">IF(J1778=Assumptions!$K$53,1,0)</f>
        <v>0</v>
      </c>
      <c r="K1815" s="20" t="n">
        <f aca="false">IF(K1778=Assumptions!$K$53,1,0)</f>
        <v>0</v>
      </c>
    </row>
    <row r="1817" customFormat="false" ht="15" hidden="false" customHeight="false" outlineLevel="0" collapsed="false">
      <c r="A1817" s="5" t="s">
        <v>266</v>
      </c>
      <c r="G1817" s="30" t="n">
        <f aca="false">IF(Assumptions!$I$53=1,MAX(G1804,Assumptions!$G$53)+Assumptions!$F$53+$C$1805,Assumptions!$E$53)</f>
        <v>0.086</v>
      </c>
      <c r="H1817" s="30" t="n">
        <f aca="false">IF(G1966=1,$C$1806,IF(Assumptions!$I$53=1,MAX(H1804,Assumptions!$G$53)+Assumptions!$F$53+$C$1805,Assumptions!$E$53))</f>
        <v>0.0835</v>
      </c>
      <c r="I1817" s="30" t="n">
        <f aca="false">IF(H1966=1,$C$1806,IF(Assumptions!$I$53=1,MAX(I1804,Assumptions!$G$53)+Assumptions!$F$53+$C$1805,Assumptions!$E$53))</f>
        <v>0.11</v>
      </c>
      <c r="J1817" s="30" t="n">
        <f aca="false">IF(I1966=1,$C$1806,IF(Assumptions!$I$53=1,MAX(J1804,Assumptions!$G$53)+Assumptions!$F$53+$C$1805,Assumptions!$E$53))</f>
        <v>0.11</v>
      </c>
      <c r="K1817" s="30" t="n">
        <f aca="false">IF(J1966=1,$C$1806,IF(Assumptions!$I$53=1,MAX(K1804,Assumptions!$G$53)+Assumptions!$F$53+$C$1805,Assumptions!$E$53))</f>
        <v>0.11</v>
      </c>
    </row>
    <row r="1818" customFormat="false" ht="15" hidden="false" customHeight="false" outlineLevel="0" collapsed="false">
      <c r="A1818" s="5" t="s">
        <v>267</v>
      </c>
      <c r="G1818" s="25" t="n">
        <f aca="false">G1814*G1817</f>
        <v>15.48</v>
      </c>
      <c r="H1818" s="25" t="n">
        <f aca="false">H1814*H1817</f>
        <v>12.47824</v>
      </c>
      <c r="I1818" s="25" t="n">
        <f aca="false">I1814*I1817</f>
        <v>16.4384</v>
      </c>
      <c r="J1818" s="25" t="n">
        <f aca="false">J1814*J1817</f>
        <v>18.765836056</v>
      </c>
      <c r="K1818" s="25" t="n">
        <f aca="false">K1814*K1817</f>
        <v>20.91946262032</v>
      </c>
    </row>
    <row r="1819" customFormat="false" ht="15" hidden="false" customHeight="false" outlineLevel="0" collapsed="false">
      <c r="A1819" s="5" t="s">
        <v>268</v>
      </c>
      <c r="G1819" s="25" t="n">
        <f aca="false">G1814*Assumptions!$H$53</f>
        <v>0</v>
      </c>
      <c r="H1819" s="25" t="n">
        <f aca="false">H1814*Assumptions!$H$53</f>
        <v>0</v>
      </c>
      <c r="I1819" s="25" t="n">
        <f aca="false">I1814*Assumptions!$H$53</f>
        <v>0</v>
      </c>
      <c r="J1819" s="25" t="n">
        <f aca="false">J1814*Assumptions!$H$53</f>
        <v>0</v>
      </c>
      <c r="K1819" s="25" t="n">
        <f aca="false">K1814*Assumptions!$H$53</f>
        <v>0</v>
      </c>
    </row>
    <row r="1820" customFormat="false" ht="15" hidden="false" customHeight="false" outlineLevel="0" collapsed="false">
      <c r="A1820" s="5" t="s">
        <v>269</v>
      </c>
      <c r="G1820" s="25" t="n">
        <f aca="false">MIN(G1814,Assumptions!$L$53*Assumptions!$C$53)</f>
        <v>0</v>
      </c>
      <c r="H1820" s="25" t="n">
        <f aca="false">MIN(H1814,Assumptions!$L$53*Assumptions!$C$53)</f>
        <v>0</v>
      </c>
      <c r="I1820" s="25" t="n">
        <f aca="false">MIN(I1814,Assumptions!$L$53*Assumptions!$C$53)</f>
        <v>0</v>
      </c>
      <c r="J1820" s="25" t="n">
        <f aca="false">MIN(J1814,Assumptions!$L$53*Assumptions!$C$53)</f>
        <v>0</v>
      </c>
      <c r="K1820" s="25" t="n">
        <f aca="false">MIN(K1814,Assumptions!$L$53*Assumptions!$C$53)</f>
        <v>0</v>
      </c>
    </row>
    <row r="1821" customFormat="false" ht="15" hidden="false" customHeight="false" outlineLevel="0" collapsed="false">
      <c r="A1821" s="5" t="s">
        <v>270</v>
      </c>
      <c r="G1821" s="25" t="n">
        <f aca="false">IF(AND(Assumptions!$P$53=1,G1778&lt;Assumptions!$K$53),MIN(MAX(0,-G1892),MAX(0,Assumptions!$D$53-G1814)),0)</f>
        <v>0</v>
      </c>
      <c r="H1821" s="25" t="n">
        <f aca="false">IF(AND(Assumptions!$P$53=1,OR(H1778&lt;Assumptions!$K$53,G1966=1)),MIN(MAX(0,-H1892),MAX(0,Assumptions!$D$53-H1814)),0)</f>
        <v>0</v>
      </c>
      <c r="I1821" s="25" t="n">
        <f aca="false">IF(AND(Assumptions!$P$53=1,OR(I1778&lt;Assumptions!$K$53,H1966=1)),MIN(MAX(0,-I1892),MAX(0,Assumptions!$D$53-I1814)),0)</f>
        <v>21.1585096</v>
      </c>
      <c r="J1821" s="25" t="n">
        <f aca="false">IF(AND(Assumptions!$P$53=1,OR(J1778&lt;Assumptions!$K$53,I1966=1)),MIN(MAX(0,-J1892),MAX(0,Assumptions!$D$53-J1814)),0)</f>
        <v>19.578423312</v>
      </c>
      <c r="K1821" s="25" t="n">
        <f aca="false">IF(AND(Assumptions!$P$53=1,OR(K1778&lt;Assumptions!$K$53,J1966=1)),MIN(MAX(0,-K1892),MAX(0,Assumptions!$D$53-K1814)),0)</f>
        <v>17.79901176424</v>
      </c>
    </row>
    <row r="1822" customFormat="false" ht="15" hidden="false" customHeight="false" outlineLevel="0" collapsed="false">
      <c r="A1822" s="5" t="s">
        <v>271</v>
      </c>
      <c r="G1822" s="25" t="n">
        <f aca="false">G1815*MIN(G1814-G1820+G1819,MAX(0,G1894-Assumptions!$C$12*G1812))</f>
        <v>0</v>
      </c>
      <c r="H1822" s="25" t="n">
        <f aca="false">H1815*MIN(H1814-H1820+H1819,MAX(0,H1894-Assumptions!$C$12*H1812))</f>
        <v>0</v>
      </c>
      <c r="I1822" s="25" t="n">
        <f aca="false">I1815*MIN(I1814-I1820+I1819,MAX(0,I1894-Assumptions!$C$12*I1812))</f>
        <v>0</v>
      </c>
      <c r="J1822" s="25" t="n">
        <f aca="false">J1815*MIN(J1814-J1820+J1819,MAX(0,J1894-Assumptions!$C$12*J1812))</f>
        <v>0</v>
      </c>
      <c r="K1822" s="25" t="n">
        <f aca="false">K1815*MIN(K1814-K1820+K1819,MAX(0,K1894-Assumptions!$C$12*K1812))</f>
        <v>0</v>
      </c>
    </row>
    <row r="1823" customFormat="false" ht="15" hidden="false" customHeight="false" outlineLevel="0" collapsed="false">
      <c r="A1823" s="5" t="s">
        <v>272</v>
      </c>
      <c r="G1823" s="25" t="n">
        <f aca="false">Assumptions!$N$53*MIN(G1814+G1821+G1819-G1820-G1822,MAX(0,G1898))</f>
        <v>30.56</v>
      </c>
      <c r="H1823" s="25" t="n">
        <f aca="false">Assumptions!$N$53*MIN(H1814+H1821+H1819-H1820-H1822,MAX(0,H1898))</f>
        <v>0</v>
      </c>
      <c r="I1823" s="25" t="n">
        <f aca="false">Assumptions!$N$53*MIN(I1814+I1821+I1819-I1820-I1822,MAX(0,I1898))</f>
        <v>0</v>
      </c>
      <c r="J1823" s="25" t="n">
        <f aca="false">Assumptions!$N$53*MIN(J1814+J1821+J1819-J1820-J1822,MAX(0,J1898))</f>
        <v>0</v>
      </c>
      <c r="K1823" s="25" t="n">
        <f aca="false">Assumptions!$N$53*MIN(K1814+K1821+K1819-K1820-K1822,MAX(0,K1898))</f>
        <v>0</v>
      </c>
    </row>
    <row r="1824" customFormat="false" ht="15" hidden="false" customHeight="false" outlineLevel="0" collapsed="false">
      <c r="A1824" s="5" t="s">
        <v>273</v>
      </c>
      <c r="G1824" s="25" t="n">
        <f aca="false">G1815*(1-G1812)*(G1814-G1820+G1819-G1822)</f>
        <v>0</v>
      </c>
      <c r="H1824" s="25" t="n">
        <f aca="false">H1815*(1-H1812)*(H1814-H1820+H1819-H1822)</f>
        <v>0</v>
      </c>
      <c r="I1824" s="25" t="n">
        <f aca="false">I1815*(1-I1812)*(I1814-I1820+I1819-I1822)</f>
        <v>0</v>
      </c>
      <c r="J1824" s="25" t="n">
        <f aca="false">J1815*(1-J1812)*(J1814-J1820+J1819-J1822)</f>
        <v>0</v>
      </c>
      <c r="K1824" s="25" t="n">
        <f aca="false">K1815*(1-K1812)*(K1814-K1820+K1819-K1822)</f>
        <v>0</v>
      </c>
    </row>
    <row r="1825" customFormat="false" ht="15" hidden="false" customHeight="false" outlineLevel="0" collapsed="false">
      <c r="A1825" s="2" t="s">
        <v>274</v>
      </c>
      <c r="F1825" s="27" t="n">
        <f aca="false">Assumptions!$C$53</f>
        <v>180</v>
      </c>
      <c r="G1825" s="16" t="n">
        <f aca="false">G1814+G1821+G1819-G1820-G1822-G1823</f>
        <v>149.44</v>
      </c>
      <c r="H1825" s="16" t="n">
        <f aca="false">H1814+H1821+H1819-H1820-H1822-H1823</f>
        <v>149.44</v>
      </c>
      <c r="I1825" s="16" t="n">
        <f aca="false">I1814+I1821+I1819-I1820-I1822-I1823</f>
        <v>170.5985096</v>
      </c>
      <c r="J1825" s="16" t="n">
        <f aca="false">J1814+J1821+J1819-J1820-J1822-J1823</f>
        <v>190.176932912</v>
      </c>
      <c r="K1825" s="16" t="n">
        <f aca="false">K1814+K1821+K1819-K1820-K1822-K1823</f>
        <v>207.97594467624</v>
      </c>
    </row>
    <row r="1826" customFormat="false" ht="15" hidden="false" customHeight="false" outlineLevel="0" collapsed="false">
      <c r="A1826" s="23" t="s">
        <v>275</v>
      </c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</row>
    <row r="1827" customFormat="false" ht="15" hidden="false" customHeight="false" outlineLevel="0" collapsed="false">
      <c r="A1827" s="5" t="s">
        <v>264</v>
      </c>
      <c r="G1827" s="25" t="n">
        <f aca="false">F1838</f>
        <v>520</v>
      </c>
      <c r="H1827" s="25" t="n">
        <f aca="false">G1838</f>
        <v>514.8</v>
      </c>
      <c r="I1827" s="25" t="n">
        <f aca="false">H1838</f>
        <v>509.6</v>
      </c>
      <c r="J1827" s="25" t="n">
        <f aca="false">I1838</f>
        <v>504.4</v>
      </c>
      <c r="K1827" s="25" t="n">
        <f aca="false">J1838</f>
        <v>499.2</v>
      </c>
    </row>
    <row r="1828" customFormat="false" ht="15" hidden="false" customHeight="false" outlineLevel="0" collapsed="false">
      <c r="A1828" s="5" t="s">
        <v>265</v>
      </c>
      <c r="G1828" s="20" t="n">
        <f aca="false">IF(G1778=Assumptions!$K$54,1,0)</f>
        <v>0</v>
      </c>
      <c r="H1828" s="20" t="n">
        <f aca="false">IF(H1778=Assumptions!$K$54,1,0)</f>
        <v>0</v>
      </c>
      <c r="I1828" s="20" t="n">
        <f aca="false">IF(I1778=Assumptions!$K$54,1,0)</f>
        <v>1</v>
      </c>
      <c r="J1828" s="20" t="n">
        <f aca="false">IF(J1778=Assumptions!$K$54,1,0)</f>
        <v>0</v>
      </c>
      <c r="K1828" s="20" t="n">
        <f aca="false">IF(K1778=Assumptions!$K$54,1,0)</f>
        <v>0</v>
      </c>
    </row>
    <row r="1830" customFormat="false" ht="15" hidden="false" customHeight="false" outlineLevel="0" collapsed="false">
      <c r="A1830" s="5" t="s">
        <v>266</v>
      </c>
      <c r="G1830" s="30" t="n">
        <f aca="false">IF(Assumptions!$I$54=1,MAX(G1804,Assumptions!$G$54)+Assumptions!$F$54+$C$1805,Assumptions!$E$54)</f>
        <v>0.103</v>
      </c>
      <c r="H1830" s="30" t="n">
        <f aca="false">IF(G1967=1,$C$1806,IF(Assumptions!$I$54=1,MAX(H1804,Assumptions!$G$54)+Assumptions!$F$54+$C$1805,Assumptions!$E$54))</f>
        <v>0.1005</v>
      </c>
      <c r="I1830" s="30" t="n">
        <f aca="false">IF(H1967=1,$C$1806,IF(Assumptions!$I$54=1,MAX(I1804,Assumptions!$G$54)+Assumptions!$F$54+$C$1805,Assumptions!$E$54))</f>
        <v>0.098</v>
      </c>
      <c r="J1830" s="30" t="n">
        <f aca="false">IF(I1967=1,$C$1806,IF(Assumptions!$I$54=1,MAX(J1804,Assumptions!$G$54)+Assumptions!$F$54+$C$1805,Assumptions!$E$54))</f>
        <v>0.11</v>
      </c>
      <c r="K1830" s="30" t="n">
        <f aca="false">IF(J1967=1,$C$1806,IF(Assumptions!$I$54=1,MAX(K1804,Assumptions!$G$54)+Assumptions!$F$54+$C$1805,Assumptions!$E$54))</f>
        <v>0.11</v>
      </c>
    </row>
    <row r="1831" customFormat="false" ht="15" hidden="false" customHeight="false" outlineLevel="0" collapsed="false">
      <c r="A1831" s="5" t="s">
        <v>267</v>
      </c>
      <c r="G1831" s="25" t="n">
        <f aca="false">G1827*G1830</f>
        <v>53.56</v>
      </c>
      <c r="H1831" s="25" t="n">
        <f aca="false">H1827*H1830</f>
        <v>51.7374</v>
      </c>
      <c r="I1831" s="25" t="n">
        <f aca="false">I1827*I1830</f>
        <v>49.9408</v>
      </c>
      <c r="J1831" s="25" t="n">
        <f aca="false">J1827*J1830</f>
        <v>55.484</v>
      </c>
      <c r="K1831" s="25" t="n">
        <f aca="false">K1827*K1830</f>
        <v>54.912</v>
      </c>
    </row>
    <row r="1832" customFormat="false" ht="15" hidden="false" customHeight="false" outlineLevel="0" collapsed="false">
      <c r="A1832" s="5" t="s">
        <v>268</v>
      </c>
      <c r="G1832" s="25" t="n">
        <f aca="false">G1827*Assumptions!$H$54</f>
        <v>0</v>
      </c>
      <c r="H1832" s="25" t="n">
        <f aca="false">H1827*Assumptions!$H$54</f>
        <v>0</v>
      </c>
      <c r="I1832" s="25" t="n">
        <f aca="false">I1827*Assumptions!$H$54</f>
        <v>0</v>
      </c>
      <c r="J1832" s="25" t="n">
        <f aca="false">J1827*Assumptions!$H$54</f>
        <v>0</v>
      </c>
      <c r="K1832" s="25" t="n">
        <f aca="false">K1827*Assumptions!$H$54</f>
        <v>0</v>
      </c>
    </row>
    <row r="1833" customFormat="false" ht="15" hidden="false" customHeight="false" outlineLevel="0" collapsed="false">
      <c r="A1833" s="5" t="s">
        <v>269</v>
      </c>
      <c r="G1833" s="25" t="n">
        <f aca="false">MIN(G1827,Assumptions!$L$54*Assumptions!$C$54)</f>
        <v>5.2</v>
      </c>
      <c r="H1833" s="25" t="n">
        <f aca="false">MIN(H1827,Assumptions!$L$54*Assumptions!$C$54)</f>
        <v>5.2</v>
      </c>
      <c r="I1833" s="25" t="n">
        <f aca="false">MIN(I1827,Assumptions!$L$54*Assumptions!$C$54)</f>
        <v>5.2</v>
      </c>
      <c r="J1833" s="25" t="n">
        <f aca="false">MIN(J1827,Assumptions!$L$54*Assumptions!$C$54)</f>
        <v>5.2</v>
      </c>
      <c r="K1833" s="25" t="n">
        <f aca="false">MIN(K1827,Assumptions!$L$54*Assumptions!$C$54)</f>
        <v>5.2</v>
      </c>
    </row>
    <row r="1834" customFormat="false" ht="15" hidden="false" customHeight="false" outlineLevel="0" collapsed="false">
      <c r="A1834" s="5" t="s">
        <v>270</v>
      </c>
      <c r="G1834" s="25" t="n">
        <f aca="false">IF(AND(Assumptions!$P$54=1,G1778&lt;Assumptions!$K$54),MIN(MAX(0,-G1892),MAX(0,Assumptions!$D$54-G1827)),0)</f>
        <v>0</v>
      </c>
      <c r="H1834" s="25" t="n">
        <f aca="false">IF(AND(Assumptions!$P$54=1,OR(H1778&lt;Assumptions!$K$54,G1967=1)),MIN(MAX(0,-H1892),MAX(0,Assumptions!$D$54-H1827)),0)</f>
        <v>0</v>
      </c>
      <c r="I1834" s="25" t="n">
        <f aca="false">IF(AND(Assumptions!$P$54=1,OR(I1778&lt;Assumptions!$K$54,H1967=1)),MIN(MAX(0,-I1892),MAX(0,Assumptions!$D$54-I1827)),0)</f>
        <v>0</v>
      </c>
      <c r="J1834" s="25" t="n">
        <f aca="false">IF(AND(Assumptions!$P$54=1,OR(J1778&lt;Assumptions!$K$54,I1967=1)),MIN(MAX(0,-J1892),MAX(0,Assumptions!$D$54-J1827)),0)</f>
        <v>0</v>
      </c>
      <c r="K1834" s="25" t="n">
        <f aca="false">IF(AND(Assumptions!$P$54=1,OR(K1778&lt;Assumptions!$K$54,J1967=1)),MIN(MAX(0,-K1892),MAX(0,Assumptions!$D$54-K1827)),0)</f>
        <v>0</v>
      </c>
    </row>
    <row r="1835" customFormat="false" ht="15" hidden="false" customHeight="false" outlineLevel="0" collapsed="false">
      <c r="A1835" s="5" t="s">
        <v>271</v>
      </c>
      <c r="G1835" s="25" t="n">
        <f aca="false">G1828*MIN(G1827-G1833+G1832,MAX(0,G1894-Assumptions!$C$12*G1812-G1822))</f>
        <v>0</v>
      </c>
      <c r="H1835" s="25" t="n">
        <f aca="false">H1828*MIN(H1827-H1833+H1832,MAX(0,H1894-Assumptions!$C$12*H1812-H1822))</f>
        <v>0</v>
      </c>
      <c r="I1835" s="25" t="n">
        <f aca="false">I1828*MIN(I1827-I1833+I1832,MAX(0,I1894-Assumptions!$C$12*I1812-I1822))</f>
        <v>0</v>
      </c>
      <c r="J1835" s="25" t="n">
        <f aca="false">J1828*MIN(J1827-J1833+J1832,MAX(0,J1894-Assumptions!$C$12*J1812-J1822))</f>
        <v>0</v>
      </c>
      <c r="K1835" s="25" t="n">
        <f aca="false">K1828*MIN(K1827-K1833+K1832,MAX(0,K1894-Assumptions!$C$12*K1812-K1822))</f>
        <v>0</v>
      </c>
    </row>
    <row r="1836" customFormat="false" ht="15" hidden="false" customHeight="false" outlineLevel="0" collapsed="false">
      <c r="A1836" s="5" t="s">
        <v>272</v>
      </c>
      <c r="G1836" s="25" t="n">
        <f aca="false">Assumptions!$N$54*MIN(G1827+G1834+G1832-G1833-G1835,MAX(0,G1898-G1823))</f>
        <v>0</v>
      </c>
      <c r="H1836" s="25" t="n">
        <f aca="false">Assumptions!$N$54*MIN(H1827+H1834+H1832-H1833-H1835,MAX(0,H1898-H1823))</f>
        <v>0</v>
      </c>
      <c r="I1836" s="25" t="n">
        <f aca="false">Assumptions!$N$54*MIN(I1827+I1834+I1832-I1833-I1835,MAX(0,I1898-I1823))</f>
        <v>0</v>
      </c>
      <c r="J1836" s="25" t="n">
        <f aca="false">Assumptions!$N$54*MIN(J1827+J1834+J1832-J1833-J1835,MAX(0,J1898-J1823))</f>
        <v>0</v>
      </c>
      <c r="K1836" s="25" t="n">
        <f aca="false">Assumptions!$N$54*MIN(K1827+K1834+K1832-K1833-K1835,MAX(0,K1898-K1823))</f>
        <v>0</v>
      </c>
    </row>
    <row r="1837" customFormat="false" ht="15" hidden="false" customHeight="false" outlineLevel="0" collapsed="false">
      <c r="A1837" s="5" t="s">
        <v>273</v>
      </c>
      <c r="G1837" s="25" t="n">
        <f aca="false">G1828*(1-G1812)*(G1827-G1833+G1832-G1835)</f>
        <v>0</v>
      </c>
      <c r="H1837" s="25" t="n">
        <f aca="false">H1828*(1-H1812)*(H1827-H1833+H1832-H1835)</f>
        <v>0</v>
      </c>
      <c r="I1837" s="25" t="n">
        <f aca="false">I1828*(1-I1812)*(I1827-I1833+I1832-I1835)</f>
        <v>0</v>
      </c>
      <c r="J1837" s="25" t="n">
        <f aca="false">J1828*(1-J1812)*(J1827-J1833+J1832-J1835)</f>
        <v>0</v>
      </c>
      <c r="K1837" s="25" t="n">
        <f aca="false">K1828*(1-K1812)*(K1827-K1833+K1832-K1835)</f>
        <v>0</v>
      </c>
    </row>
    <row r="1838" customFormat="false" ht="15" hidden="false" customHeight="false" outlineLevel="0" collapsed="false">
      <c r="A1838" s="2" t="s">
        <v>274</v>
      </c>
      <c r="F1838" s="27" t="n">
        <f aca="false">Assumptions!$C$54</f>
        <v>520</v>
      </c>
      <c r="G1838" s="16" t="n">
        <f aca="false">G1827+G1834+G1832-G1833-G1835-G1836</f>
        <v>514.8</v>
      </c>
      <c r="H1838" s="16" t="n">
        <f aca="false">H1827+H1834+H1832-H1833-H1835-H1836</f>
        <v>509.6</v>
      </c>
      <c r="I1838" s="16" t="n">
        <f aca="false">I1827+I1834+I1832-I1833-I1835-I1836</f>
        <v>504.4</v>
      </c>
      <c r="J1838" s="16" t="n">
        <f aca="false">J1827+J1834+J1832-J1833-J1835-J1836</f>
        <v>499.2</v>
      </c>
      <c r="K1838" s="16" t="n">
        <f aca="false">K1827+K1834+K1832-K1833-K1835-K1836</f>
        <v>494</v>
      </c>
    </row>
    <row r="1839" customFormat="false" ht="15" hidden="false" customHeight="false" outlineLevel="0" collapsed="false">
      <c r="A1839" s="23" t="s">
        <v>276</v>
      </c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</row>
    <row r="1840" customFormat="false" ht="15" hidden="false" customHeight="false" outlineLevel="0" collapsed="false">
      <c r="A1840" s="5" t="s">
        <v>264</v>
      </c>
      <c r="G1840" s="25" t="n">
        <f aca="false">F1851</f>
        <v>250</v>
      </c>
      <c r="H1840" s="25" t="n">
        <f aca="false">G1851</f>
        <v>250</v>
      </c>
      <c r="I1840" s="25" t="n">
        <f aca="false">H1851</f>
        <v>250</v>
      </c>
      <c r="J1840" s="25" t="n">
        <f aca="false">I1851</f>
        <v>250</v>
      </c>
      <c r="K1840" s="25" t="n">
        <f aca="false">J1851</f>
        <v>250</v>
      </c>
    </row>
    <row r="1841" customFormat="false" ht="15" hidden="false" customHeight="false" outlineLevel="0" collapsed="false">
      <c r="A1841" s="5" t="s">
        <v>265</v>
      </c>
      <c r="G1841" s="20" t="n">
        <f aca="false">IF(G1778=Assumptions!$K$55,1,0)</f>
        <v>0</v>
      </c>
      <c r="H1841" s="20" t="n">
        <f aca="false">IF(H1778=Assumptions!$K$55,1,0)</f>
        <v>0</v>
      </c>
      <c r="I1841" s="20" t="n">
        <f aca="false">IF(I1778=Assumptions!$K$55,1,0)</f>
        <v>0</v>
      </c>
      <c r="J1841" s="20" t="n">
        <f aca="false">IF(J1778=Assumptions!$K$55,1,0)</f>
        <v>1</v>
      </c>
      <c r="K1841" s="20" t="n">
        <f aca="false">IF(K1778=Assumptions!$K$55,1,0)</f>
        <v>0</v>
      </c>
    </row>
    <row r="1843" customFormat="false" ht="15" hidden="false" customHeight="false" outlineLevel="0" collapsed="false">
      <c r="A1843" s="5" t="s">
        <v>266</v>
      </c>
      <c r="G1843" s="30" t="n">
        <f aca="false">IF(Assumptions!$I$55=1,MAX(G1804,Assumptions!$G$55)+Assumptions!$F$55+$C$1805,Assumptions!$E$55)</f>
        <v>0.11</v>
      </c>
      <c r="H1843" s="30" t="n">
        <f aca="false">IF(G1968=1,$C$1806,IF(Assumptions!$I$55=1,MAX(H1804,Assumptions!$G$55)+Assumptions!$F$55+$C$1805,Assumptions!$E$55))</f>
        <v>0.11</v>
      </c>
      <c r="I1843" s="30" t="n">
        <f aca="false">IF(H1968=1,$C$1806,IF(Assumptions!$I$55=1,MAX(I1804,Assumptions!$G$55)+Assumptions!$F$55+$C$1805,Assumptions!$E$55))</f>
        <v>0.11</v>
      </c>
      <c r="J1843" s="30" t="n">
        <f aca="false">IF(I1968=1,$C$1806,IF(Assumptions!$I$55=1,MAX(J1804,Assumptions!$G$55)+Assumptions!$F$55+$C$1805,Assumptions!$E$55))</f>
        <v>0.11</v>
      </c>
      <c r="K1843" s="30" t="n">
        <f aca="false">IF(J1968=1,$C$1806,IF(Assumptions!$I$55=1,MAX(K1804,Assumptions!$G$55)+Assumptions!$F$55+$C$1805,Assumptions!$E$55))</f>
        <v>0.11</v>
      </c>
    </row>
    <row r="1844" customFormat="false" ht="15" hidden="false" customHeight="false" outlineLevel="0" collapsed="false">
      <c r="A1844" s="5" t="s">
        <v>267</v>
      </c>
      <c r="G1844" s="25" t="n">
        <f aca="false">G1840*G1843</f>
        <v>27.5</v>
      </c>
      <c r="H1844" s="25" t="n">
        <f aca="false">H1840*H1843</f>
        <v>27.5</v>
      </c>
      <c r="I1844" s="25" t="n">
        <f aca="false">I1840*I1843</f>
        <v>27.5</v>
      </c>
      <c r="J1844" s="25" t="n">
        <f aca="false">J1840*J1843</f>
        <v>27.5</v>
      </c>
      <c r="K1844" s="25" t="n">
        <f aca="false">K1840*K1843</f>
        <v>27.5</v>
      </c>
    </row>
    <row r="1845" customFormat="false" ht="15" hidden="false" customHeight="false" outlineLevel="0" collapsed="false">
      <c r="A1845" s="5" t="s">
        <v>268</v>
      </c>
      <c r="G1845" s="25" t="n">
        <f aca="false">G1840*Assumptions!$H$55</f>
        <v>0</v>
      </c>
      <c r="H1845" s="25" t="n">
        <f aca="false">H1840*Assumptions!$H$55</f>
        <v>0</v>
      </c>
      <c r="I1845" s="25" t="n">
        <f aca="false">I1840*Assumptions!$H$55</f>
        <v>0</v>
      </c>
      <c r="J1845" s="25" t="n">
        <f aca="false">J1840*Assumptions!$H$55</f>
        <v>0</v>
      </c>
      <c r="K1845" s="25" t="n">
        <f aca="false">K1840*Assumptions!$H$55</f>
        <v>0</v>
      </c>
    </row>
    <row r="1846" customFormat="false" ht="15" hidden="false" customHeight="false" outlineLevel="0" collapsed="false">
      <c r="A1846" s="5" t="s">
        <v>269</v>
      </c>
      <c r="G1846" s="25" t="n">
        <f aca="false">MIN(G1840,Assumptions!$L$55*Assumptions!$C$55)</f>
        <v>0</v>
      </c>
      <c r="H1846" s="25" t="n">
        <f aca="false">MIN(H1840,Assumptions!$L$55*Assumptions!$C$55)</f>
        <v>0</v>
      </c>
      <c r="I1846" s="25" t="n">
        <f aca="false">MIN(I1840,Assumptions!$L$55*Assumptions!$C$55)</f>
        <v>0</v>
      </c>
      <c r="J1846" s="25" t="n">
        <f aca="false">MIN(J1840,Assumptions!$L$55*Assumptions!$C$55)</f>
        <v>0</v>
      </c>
      <c r="K1846" s="25" t="n">
        <f aca="false">MIN(K1840,Assumptions!$L$55*Assumptions!$C$55)</f>
        <v>0</v>
      </c>
    </row>
    <row r="1847" customFormat="false" ht="15" hidden="false" customHeight="false" outlineLevel="0" collapsed="false">
      <c r="A1847" s="5" t="s">
        <v>270</v>
      </c>
      <c r="G1847" s="25" t="n">
        <f aca="false">IF(AND(Assumptions!$P$55=1,G1778&lt;Assumptions!$K$55),MIN(MAX(0,-G1892),MAX(0,Assumptions!$D$55-G1840)),0)</f>
        <v>0</v>
      </c>
      <c r="H1847" s="25" t="n">
        <f aca="false">IF(AND(Assumptions!$P$55=1,OR(H1778&lt;Assumptions!$K$55,G1968=1)),MIN(MAX(0,-H1892),MAX(0,Assumptions!$D$55-H1840)),0)</f>
        <v>0</v>
      </c>
      <c r="I1847" s="25" t="n">
        <f aca="false">IF(AND(Assumptions!$P$55=1,OR(I1778&lt;Assumptions!$K$55,H1968=1)),MIN(MAX(0,-I1892),MAX(0,Assumptions!$D$55-I1840)),0)</f>
        <v>0</v>
      </c>
      <c r="J1847" s="25" t="n">
        <f aca="false">IF(AND(Assumptions!$P$55=1,OR(J1778&lt;Assumptions!$K$55,I1968=1)),MIN(MAX(0,-J1892),MAX(0,Assumptions!$D$55-J1840)),0)</f>
        <v>0</v>
      </c>
      <c r="K1847" s="25" t="n">
        <f aca="false">IF(AND(Assumptions!$P$55=1,OR(K1778&lt;Assumptions!$K$55,J1968=1)),MIN(MAX(0,-K1892),MAX(0,Assumptions!$D$55-K1840)),0)</f>
        <v>0</v>
      </c>
    </row>
    <row r="1848" customFormat="false" ht="15" hidden="false" customHeight="false" outlineLevel="0" collapsed="false">
      <c r="A1848" s="5" t="s">
        <v>271</v>
      </c>
      <c r="G1848" s="25" t="n">
        <f aca="false">G1841*MIN(G1840-G1846+G1845,MAX(0,G1894-Assumptions!$C$12*G1812-G1822-G1835))</f>
        <v>0</v>
      </c>
      <c r="H1848" s="25" t="n">
        <f aca="false">H1841*MIN(H1840-H1846+H1845,MAX(0,H1894-Assumptions!$C$12*H1812-H1822-H1835))</f>
        <v>0</v>
      </c>
      <c r="I1848" s="25" t="n">
        <f aca="false">I1841*MIN(I1840-I1846+I1845,MAX(0,I1894-Assumptions!$C$12*I1812-I1822-I1835))</f>
        <v>0</v>
      </c>
      <c r="J1848" s="25" t="n">
        <f aca="false">J1841*MIN(J1840-J1846+J1845,MAX(0,J1894-Assumptions!$C$12*J1812-J1822-J1835))</f>
        <v>0</v>
      </c>
      <c r="K1848" s="25" t="n">
        <f aca="false">K1841*MIN(K1840-K1846+K1845,MAX(0,K1894-Assumptions!$C$12*K1812-K1822-K1835))</f>
        <v>0</v>
      </c>
    </row>
    <row r="1849" customFormat="false" ht="15" hidden="false" customHeight="false" outlineLevel="0" collapsed="false">
      <c r="A1849" s="5" t="s">
        <v>272</v>
      </c>
      <c r="G1849" s="25" t="n">
        <f aca="false">Assumptions!$N$55*MIN(G1840+G1847+G1845-G1846-G1848,MAX(0,G1898-G1823-G1836))</f>
        <v>0</v>
      </c>
      <c r="H1849" s="25" t="n">
        <f aca="false">Assumptions!$N$55*MIN(H1840+H1847+H1845-H1846-H1848,MAX(0,H1898-H1823-H1836))</f>
        <v>0</v>
      </c>
      <c r="I1849" s="25" t="n">
        <f aca="false">Assumptions!$N$55*MIN(I1840+I1847+I1845-I1846-I1848,MAX(0,I1898-I1823-I1836))</f>
        <v>0</v>
      </c>
      <c r="J1849" s="25" t="n">
        <f aca="false">Assumptions!$N$55*MIN(J1840+J1847+J1845-J1846-J1848,MAX(0,J1898-J1823-J1836))</f>
        <v>0</v>
      </c>
      <c r="K1849" s="25" t="n">
        <f aca="false">Assumptions!$N$55*MIN(K1840+K1847+K1845-K1846-K1848,MAX(0,K1898-K1823-K1836))</f>
        <v>0</v>
      </c>
    </row>
    <row r="1850" customFormat="false" ht="15" hidden="false" customHeight="false" outlineLevel="0" collapsed="false">
      <c r="A1850" s="5" t="s">
        <v>273</v>
      </c>
      <c r="G1850" s="25" t="n">
        <f aca="false">G1841*(1-G1812)*(G1840-G1846+G1845-G1848)</f>
        <v>0</v>
      </c>
      <c r="H1850" s="25" t="n">
        <f aca="false">H1841*(1-H1812)*(H1840-H1846+H1845-H1848)</f>
        <v>0</v>
      </c>
      <c r="I1850" s="25" t="n">
        <f aca="false">I1841*(1-I1812)*(I1840-I1846+I1845-I1848)</f>
        <v>0</v>
      </c>
      <c r="J1850" s="25" t="n">
        <f aca="false">J1841*(1-J1812)*(J1840-J1846+J1845-J1848)</f>
        <v>0</v>
      </c>
      <c r="K1850" s="25" t="n">
        <f aca="false">K1841*(1-K1812)*(K1840-K1846+K1845-K1848)</f>
        <v>0</v>
      </c>
    </row>
    <row r="1851" customFormat="false" ht="15" hidden="false" customHeight="false" outlineLevel="0" collapsed="false">
      <c r="A1851" s="2" t="s">
        <v>274</v>
      </c>
      <c r="F1851" s="27" t="n">
        <f aca="false">Assumptions!$C$55</f>
        <v>250</v>
      </c>
      <c r="G1851" s="16" t="n">
        <f aca="false">G1840+G1847+G1845-G1846-G1848-G1849</f>
        <v>250</v>
      </c>
      <c r="H1851" s="16" t="n">
        <f aca="false">H1840+H1847+H1845-H1846-H1848-H1849</f>
        <v>250</v>
      </c>
      <c r="I1851" s="16" t="n">
        <f aca="false">I1840+I1847+I1845-I1846-I1848-I1849</f>
        <v>250</v>
      </c>
      <c r="J1851" s="16" t="n">
        <f aca="false">J1840+J1847+J1845-J1846-J1848-J1849</f>
        <v>250</v>
      </c>
      <c r="K1851" s="16" t="n">
        <f aca="false">K1840+K1847+K1845-K1846-K1848-K1849</f>
        <v>250</v>
      </c>
    </row>
    <row r="1852" customFormat="false" ht="15" hidden="false" customHeight="false" outlineLevel="0" collapsed="false">
      <c r="A1852" s="23" t="s">
        <v>277</v>
      </c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</row>
    <row r="1853" customFormat="false" ht="15" hidden="false" customHeight="false" outlineLevel="0" collapsed="false">
      <c r="A1853" s="5" t="s">
        <v>264</v>
      </c>
      <c r="G1853" s="25" t="n">
        <f aca="false">F1864</f>
        <v>300</v>
      </c>
      <c r="H1853" s="25" t="n">
        <f aca="false">G1864</f>
        <v>300</v>
      </c>
      <c r="I1853" s="25" t="n">
        <f aca="false">H1864</f>
        <v>300</v>
      </c>
      <c r="J1853" s="25" t="n">
        <f aca="false">I1864</f>
        <v>300</v>
      </c>
      <c r="K1853" s="25" t="n">
        <f aca="false">J1864</f>
        <v>300</v>
      </c>
    </row>
    <row r="1854" customFormat="false" ht="15" hidden="false" customHeight="false" outlineLevel="0" collapsed="false">
      <c r="A1854" s="5" t="s">
        <v>265</v>
      </c>
      <c r="G1854" s="20" t="n">
        <f aca="false">IF(G1778=Assumptions!$K$56,1,0)</f>
        <v>0</v>
      </c>
      <c r="H1854" s="20" t="n">
        <f aca="false">IF(H1778=Assumptions!$K$56,1,0)</f>
        <v>1</v>
      </c>
      <c r="I1854" s="20" t="n">
        <f aca="false">IF(I1778=Assumptions!$K$56,1,0)</f>
        <v>0</v>
      </c>
      <c r="J1854" s="20" t="n">
        <f aca="false">IF(J1778=Assumptions!$K$56,1,0)</f>
        <v>0</v>
      </c>
      <c r="K1854" s="20" t="n">
        <f aca="false">IF(K1778=Assumptions!$K$56,1,0)</f>
        <v>0</v>
      </c>
    </row>
    <row r="1856" customFormat="false" ht="15" hidden="false" customHeight="false" outlineLevel="0" collapsed="false">
      <c r="A1856" s="5" t="s">
        <v>266</v>
      </c>
      <c r="G1856" s="30" t="n">
        <f aca="false">IF(Assumptions!$I$56=1,MAX(G1804,Assumptions!$G$56)+Assumptions!$F$56+$C$1805,Assumptions!$E$56)</f>
        <v>0.075</v>
      </c>
      <c r="H1856" s="30" t="n">
        <f aca="false">IF(G1969=1,$C$1806,IF(Assumptions!$I$56=1,MAX(H1804,Assumptions!$G$56)+Assumptions!$F$56+$C$1805,Assumptions!$E$56))</f>
        <v>0.075</v>
      </c>
      <c r="I1856" s="30" t="n">
        <f aca="false">IF(H1969=1,$C$1806,IF(Assumptions!$I$56=1,MAX(I1804,Assumptions!$G$56)+Assumptions!$F$56+$C$1805,Assumptions!$E$56))</f>
        <v>0.11</v>
      </c>
      <c r="J1856" s="30" t="n">
        <f aca="false">IF(I1969=1,$C$1806,IF(Assumptions!$I$56=1,MAX(J1804,Assumptions!$G$56)+Assumptions!$F$56+$C$1805,Assumptions!$E$56))</f>
        <v>0.11</v>
      </c>
      <c r="K1856" s="30" t="n">
        <f aca="false">IF(J1969=1,$C$1806,IF(Assumptions!$I$56=1,MAX(K1804,Assumptions!$G$56)+Assumptions!$F$56+$C$1805,Assumptions!$E$56))</f>
        <v>0.11</v>
      </c>
    </row>
    <row r="1857" customFormat="false" ht="15" hidden="false" customHeight="false" outlineLevel="0" collapsed="false">
      <c r="A1857" s="5" t="s">
        <v>267</v>
      </c>
      <c r="G1857" s="25" t="n">
        <f aca="false">G1853*G1856</f>
        <v>22.5</v>
      </c>
      <c r="H1857" s="25" t="n">
        <f aca="false">H1853*H1856</f>
        <v>22.5</v>
      </c>
      <c r="I1857" s="25" t="n">
        <f aca="false">I1853*I1856</f>
        <v>33</v>
      </c>
      <c r="J1857" s="25" t="n">
        <f aca="false">J1853*J1856</f>
        <v>33</v>
      </c>
      <c r="K1857" s="25" t="n">
        <f aca="false">K1853*K1856</f>
        <v>33</v>
      </c>
    </row>
    <row r="1858" customFormat="false" ht="15" hidden="false" customHeight="false" outlineLevel="0" collapsed="false">
      <c r="A1858" s="5" t="s">
        <v>268</v>
      </c>
      <c r="G1858" s="25" t="n">
        <f aca="false">G1853*Assumptions!$H$56</f>
        <v>0</v>
      </c>
      <c r="H1858" s="25" t="n">
        <f aca="false">H1853*Assumptions!$H$56</f>
        <v>0</v>
      </c>
      <c r="I1858" s="25" t="n">
        <f aca="false">I1853*Assumptions!$H$56</f>
        <v>0</v>
      </c>
      <c r="J1858" s="25" t="n">
        <f aca="false">J1853*Assumptions!$H$56</f>
        <v>0</v>
      </c>
      <c r="K1858" s="25" t="n">
        <f aca="false">K1853*Assumptions!$H$56</f>
        <v>0</v>
      </c>
    </row>
    <row r="1859" customFormat="false" ht="15" hidden="false" customHeight="false" outlineLevel="0" collapsed="false">
      <c r="A1859" s="5" t="s">
        <v>269</v>
      </c>
      <c r="G1859" s="25" t="n">
        <f aca="false">MIN(G1853,Assumptions!$L$56*Assumptions!$C$56)</f>
        <v>0</v>
      </c>
      <c r="H1859" s="25" t="n">
        <f aca="false">MIN(H1853,Assumptions!$L$56*Assumptions!$C$56)</f>
        <v>0</v>
      </c>
      <c r="I1859" s="25" t="n">
        <f aca="false">MIN(I1853,Assumptions!$L$56*Assumptions!$C$56)</f>
        <v>0</v>
      </c>
      <c r="J1859" s="25" t="n">
        <f aca="false">MIN(J1853,Assumptions!$L$56*Assumptions!$C$56)</f>
        <v>0</v>
      </c>
      <c r="K1859" s="25" t="n">
        <f aca="false">MIN(K1853,Assumptions!$L$56*Assumptions!$C$56)</f>
        <v>0</v>
      </c>
    </row>
    <row r="1860" customFormat="false" ht="15" hidden="false" customHeight="false" outlineLevel="0" collapsed="false">
      <c r="A1860" s="5" t="s">
        <v>270</v>
      </c>
      <c r="G1860" s="25" t="n">
        <f aca="false">IF(AND(Assumptions!$P$56=1,G1778&lt;Assumptions!$K$56),MIN(MAX(0,-G1892),MAX(0,Assumptions!$D$56-G1853)),0)</f>
        <v>0</v>
      </c>
      <c r="H1860" s="25" t="n">
        <f aca="false">IF(AND(Assumptions!$P$56=1,OR(H1778&lt;Assumptions!$K$56,G1969=1)),MIN(MAX(0,-H1892),MAX(0,Assumptions!$D$56-H1853)),0)</f>
        <v>0</v>
      </c>
      <c r="I1860" s="25" t="n">
        <f aca="false">IF(AND(Assumptions!$P$56=1,OR(I1778&lt;Assumptions!$K$56,H1969=1)),MIN(MAX(0,-I1892),MAX(0,Assumptions!$D$56-I1853)),0)</f>
        <v>0</v>
      </c>
      <c r="J1860" s="25" t="n">
        <f aca="false">IF(AND(Assumptions!$P$56=1,OR(J1778&lt;Assumptions!$K$56,I1969=1)),MIN(MAX(0,-J1892),MAX(0,Assumptions!$D$56-J1853)),0)</f>
        <v>0</v>
      </c>
      <c r="K1860" s="25" t="n">
        <f aca="false">IF(AND(Assumptions!$P$56=1,OR(K1778&lt;Assumptions!$K$56,J1969=1)),MIN(MAX(0,-K1892),MAX(0,Assumptions!$D$56-K1853)),0)</f>
        <v>0</v>
      </c>
    </row>
    <row r="1861" customFormat="false" ht="15" hidden="false" customHeight="false" outlineLevel="0" collapsed="false">
      <c r="A1861" s="5" t="s">
        <v>271</v>
      </c>
      <c r="G1861" s="25" t="n">
        <f aca="false">G1854*MIN(G1853-G1859+G1858,MAX(0,G1894-Assumptions!$C$12*G1812-G1822-G1835-G1848))</f>
        <v>0</v>
      </c>
      <c r="H1861" s="25" t="n">
        <f aca="false">H1854*MIN(H1853-H1859+H1858,MAX(0,H1894-Assumptions!$C$12*H1812-H1822-H1835-H1848))</f>
        <v>0</v>
      </c>
      <c r="I1861" s="25" t="n">
        <f aca="false">I1854*MIN(I1853-I1859+I1858,MAX(0,I1894-Assumptions!$C$12*I1812-I1822-I1835-I1848))</f>
        <v>0</v>
      </c>
      <c r="J1861" s="25" t="n">
        <f aca="false">J1854*MIN(J1853-J1859+J1858,MAX(0,J1894-Assumptions!$C$12*J1812-J1822-J1835-J1848))</f>
        <v>0</v>
      </c>
      <c r="K1861" s="25" t="n">
        <f aca="false">K1854*MIN(K1853-K1859+K1858,MAX(0,K1894-Assumptions!$C$12*K1812-K1822-K1835-K1848))</f>
        <v>0</v>
      </c>
    </row>
    <row r="1862" customFormat="false" ht="15" hidden="false" customHeight="false" outlineLevel="0" collapsed="false">
      <c r="A1862" s="5" t="s">
        <v>272</v>
      </c>
      <c r="G1862" s="25" t="n">
        <f aca="false">Assumptions!$N$56*MIN(G1853+G1860+G1858-G1859-G1861,MAX(0,G1898-G1823-G1836-G1849))</f>
        <v>0</v>
      </c>
      <c r="H1862" s="25" t="n">
        <f aca="false">Assumptions!$N$56*MIN(H1853+H1860+H1858-H1859-H1861,MAX(0,H1898-H1823-H1836-H1849))</f>
        <v>0</v>
      </c>
      <c r="I1862" s="25" t="n">
        <f aca="false">Assumptions!$N$56*MIN(I1853+I1860+I1858-I1859-I1861,MAX(0,I1898-I1823-I1836-I1849))</f>
        <v>0</v>
      </c>
      <c r="J1862" s="25" t="n">
        <f aca="false">Assumptions!$N$56*MIN(J1853+J1860+J1858-J1859-J1861,MAX(0,J1898-J1823-J1836-J1849))</f>
        <v>0</v>
      </c>
      <c r="K1862" s="25" t="n">
        <f aca="false">Assumptions!$N$56*MIN(K1853+K1860+K1858-K1859-K1861,MAX(0,K1898-K1823-K1836-K1849))</f>
        <v>0</v>
      </c>
    </row>
    <row r="1863" customFormat="false" ht="15" hidden="false" customHeight="false" outlineLevel="0" collapsed="false">
      <c r="A1863" s="5" t="s">
        <v>273</v>
      </c>
      <c r="G1863" s="25" t="n">
        <f aca="false">G1854*(1-G1812)*(G1853-G1859+G1858-G1861)</f>
        <v>0</v>
      </c>
      <c r="H1863" s="25" t="n">
        <f aca="false">H1854*(1-H1812)*(H1853-H1859+H1858-H1861)</f>
        <v>0</v>
      </c>
      <c r="I1863" s="25" t="n">
        <f aca="false">I1854*(1-I1812)*(I1853-I1859+I1858-I1861)</f>
        <v>0</v>
      </c>
      <c r="J1863" s="25" t="n">
        <f aca="false">J1854*(1-J1812)*(J1853-J1859+J1858-J1861)</f>
        <v>0</v>
      </c>
      <c r="K1863" s="25" t="n">
        <f aca="false">K1854*(1-K1812)*(K1853-K1859+K1858-K1861)</f>
        <v>0</v>
      </c>
    </row>
    <row r="1864" customFormat="false" ht="15" hidden="false" customHeight="false" outlineLevel="0" collapsed="false">
      <c r="A1864" s="2" t="s">
        <v>274</v>
      </c>
      <c r="F1864" s="27" t="n">
        <f aca="false">Assumptions!$C$56</f>
        <v>300</v>
      </c>
      <c r="G1864" s="16" t="n">
        <f aca="false">G1853+G1860+G1858-G1859-G1861-G1862</f>
        <v>300</v>
      </c>
      <c r="H1864" s="16" t="n">
        <f aca="false">H1853+H1860+H1858-H1859-H1861-H1862</f>
        <v>300</v>
      </c>
      <c r="I1864" s="16" t="n">
        <f aca="false">I1853+I1860+I1858-I1859-I1861-I1862</f>
        <v>300</v>
      </c>
      <c r="J1864" s="16" t="n">
        <f aca="false">J1853+J1860+J1858-J1859-J1861-J1862</f>
        <v>300</v>
      </c>
      <c r="K1864" s="16" t="n">
        <f aca="false">K1853+K1860+K1858-K1859-K1861-K1862</f>
        <v>300</v>
      </c>
    </row>
    <row r="1865" customFormat="false" ht="15" hidden="false" customHeight="false" outlineLevel="0" collapsed="false">
      <c r="A1865" s="23" t="s">
        <v>278</v>
      </c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</row>
    <row r="1866" customFormat="false" ht="15" hidden="false" customHeight="false" outlineLevel="0" collapsed="false">
      <c r="A1866" s="2" t="s">
        <v>279</v>
      </c>
      <c r="F1866" s="16" t="n">
        <f aca="false">F1825+F1838+F1851+F1864</f>
        <v>1250</v>
      </c>
      <c r="G1866" s="16" t="n">
        <f aca="false">G1825+G1838+G1851+G1864</f>
        <v>1214.24</v>
      </c>
      <c r="H1866" s="16" t="n">
        <f aca="false">H1825+H1838+H1851+H1864</f>
        <v>1209.04</v>
      </c>
      <c r="I1866" s="16" t="n">
        <f aca="false">I1825+I1838+I1851+I1864</f>
        <v>1224.9985096</v>
      </c>
      <c r="J1866" s="16" t="n">
        <f aca="false">J1825+J1838+J1851+J1864</f>
        <v>1239.376932912</v>
      </c>
      <c r="K1866" s="16" t="n">
        <f aca="false">K1825+K1838+K1851+K1864</f>
        <v>1251.97594467624</v>
      </c>
    </row>
    <row r="1867" customFormat="false" ht="15" hidden="false" customHeight="false" outlineLevel="0" collapsed="false">
      <c r="A1867" s="5" t="s">
        <v>280</v>
      </c>
      <c r="G1867" s="25" t="n">
        <f aca="false">G1815*Assumptions!$C$53+G1828*Assumptions!$C$54+G1841*Assumptions!$C$55+G1854*Assumptions!$C$56</f>
        <v>0</v>
      </c>
      <c r="H1867" s="25" t="n">
        <f aca="false">H1815*Assumptions!$C$53+H1828*Assumptions!$C$54+H1841*Assumptions!$C$55+H1854*Assumptions!$C$56</f>
        <v>480</v>
      </c>
      <c r="I1867" s="25" t="n">
        <f aca="false">I1815*Assumptions!$C$53+I1828*Assumptions!$C$54+I1841*Assumptions!$C$55+I1854*Assumptions!$C$56</f>
        <v>520</v>
      </c>
      <c r="J1867" s="25" t="n">
        <f aca="false">J1815*Assumptions!$C$53+J1828*Assumptions!$C$54+J1841*Assumptions!$C$55+J1854*Assumptions!$C$56</f>
        <v>250</v>
      </c>
      <c r="K1867" s="25" t="n">
        <f aca="false">K1815*Assumptions!$C$53+K1828*Assumptions!$C$54+K1841*Assumptions!$C$55+K1854*Assumptions!$C$56</f>
        <v>0</v>
      </c>
    </row>
    <row r="1868" customFormat="false" ht="15" hidden="false" customHeight="false" outlineLevel="0" collapsed="false">
      <c r="A1868" s="23" t="s">
        <v>281</v>
      </c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</row>
    <row r="1869" customFormat="false" ht="15" hidden="false" customHeight="false" outlineLevel="0" collapsed="false">
      <c r="A1869" s="5" t="s">
        <v>282</v>
      </c>
      <c r="C1869" s="25" t="n">
        <f aca="false">SUMPRODUCT($G$1815:$K$1815,$G$1814:$K$1814-$G$1820:$K$1820+$G$1819:$K$1819)</f>
        <v>149.44</v>
      </c>
    </row>
    <row r="1870" customFormat="false" ht="15" hidden="false" customHeight="false" outlineLevel="0" collapsed="false">
      <c r="A1870" s="5" t="s">
        <v>283</v>
      </c>
      <c r="C1870" s="25" t="n">
        <f aca="false">SUMPRODUCT($G$1815:$K$1815,$G$1822:$K$1822)</f>
        <v>0</v>
      </c>
    </row>
    <row r="1871" customFormat="false" ht="15" hidden="false" customHeight="false" outlineLevel="0" collapsed="false">
      <c r="A1871" s="5" t="s">
        <v>284</v>
      </c>
      <c r="C1871" s="5" t="str">
        <f aca="false">IF(SUM($G$1815:$K$1815)=0,"n/a (beyond horizon)",IF(SUMPRODUCT($G$1815:$K$1815,$G$1812:$K$1812)&gt;0,"REFINANCING PASS","REFINANCING FAILURE"))</f>
        <v>REFINANCING PASS</v>
      </c>
    </row>
    <row r="1872" customFormat="false" ht="15" hidden="false" customHeight="false" outlineLevel="0" collapsed="false">
      <c r="A1872" s="5" t="s">
        <v>285</v>
      </c>
      <c r="C1872" s="5" t="str">
        <f aca="false">IF(SUM($G$1815:$K$1815)=0,"n/a",IF(C1870&gt;=C1869-0.001,"Repaid from cash",IF(SUMPRODUCT($G$1815:$K$1815,$G$1812:$K$1812)&gt;0,IF(C1870&gt;0,"Partly repaid; remainder refinanced","Refinanced"),IF(SUM($G$1824:$K$1824)&gt;0.001,IF(C1870&gt;0,"Partial repayment; PAYMENT DEFAULT","PAYMENT DEFAULT"),"Repaid from cash"))))</f>
        <v>Refinanced</v>
      </c>
    </row>
    <row r="1873" customFormat="false" ht="15" hidden="false" customHeight="false" outlineLevel="0" collapsed="false">
      <c r="A1873" s="5" t="s">
        <v>286</v>
      </c>
      <c r="C1873" s="25" t="n">
        <f aca="false">SUMPRODUCT($G$1828:$K$1828,$G$1827:$K$1827-$G$1833:$K$1833+$G$1832:$K$1832)</f>
        <v>504.4</v>
      </c>
    </row>
    <row r="1874" customFormat="false" ht="15" hidden="false" customHeight="false" outlineLevel="0" collapsed="false">
      <c r="A1874" s="5" t="s">
        <v>287</v>
      </c>
      <c r="C1874" s="25" t="n">
        <f aca="false">SUMPRODUCT($G$1828:$K$1828,$G$1835:$K$1835)</f>
        <v>0</v>
      </c>
    </row>
    <row r="1875" customFormat="false" ht="15" hidden="false" customHeight="false" outlineLevel="0" collapsed="false">
      <c r="A1875" s="5" t="s">
        <v>288</v>
      </c>
      <c r="C1875" s="5" t="str">
        <f aca="false">IF(SUM($G$1828:$K$1828)=0,"n/a (beyond horizon)",IF(SUMPRODUCT($G$1828:$K$1828,$G$1812:$K$1812)&gt;0,"REFINANCING PASS","REFINANCING FAILURE"))</f>
        <v>REFINANCING PASS</v>
      </c>
    </row>
    <row r="1876" customFormat="false" ht="15" hidden="false" customHeight="false" outlineLevel="0" collapsed="false">
      <c r="A1876" s="5" t="s">
        <v>289</v>
      </c>
      <c r="C1876" s="5" t="str">
        <f aca="false">IF(SUM($G$1828:$K$1828)=0,"n/a",IF(C1874&gt;=C1873-0.001,"Repaid from cash",IF(SUMPRODUCT($G$1828:$K$1828,$G$1812:$K$1812)&gt;0,IF(C1874&gt;0,"Partly repaid; remainder refinanced","Refinanced"),IF(SUM($G$1837:$K$1837)&gt;0.001,IF(C1874&gt;0,"Partial repayment; PAYMENT DEFAULT","PAYMENT DEFAULT"),"Repaid from cash"))))</f>
        <v>Refinanced</v>
      </c>
    </row>
    <row r="1877" customFormat="false" ht="15" hidden="false" customHeight="false" outlineLevel="0" collapsed="false">
      <c r="A1877" s="5" t="s">
        <v>290</v>
      </c>
      <c r="C1877" s="25" t="n">
        <f aca="false">SUMPRODUCT($G$1841:$K$1841,$G$1840:$K$1840-$G$1846:$K$1846+$G$1845:$K$1845)</f>
        <v>250</v>
      </c>
    </row>
    <row r="1878" customFormat="false" ht="15" hidden="false" customHeight="false" outlineLevel="0" collapsed="false">
      <c r="A1878" s="5" t="s">
        <v>291</v>
      </c>
      <c r="C1878" s="25" t="n">
        <f aca="false">SUMPRODUCT($G$1841:$K$1841,$G$1848:$K$1848)</f>
        <v>0</v>
      </c>
    </row>
    <row r="1879" customFormat="false" ht="15" hidden="false" customHeight="false" outlineLevel="0" collapsed="false">
      <c r="A1879" s="5" t="s">
        <v>292</v>
      </c>
      <c r="C1879" s="5" t="str">
        <f aca="false">IF(SUM($G$1841:$K$1841)=0,"n/a (beyond horizon)",IF(SUMPRODUCT($G$1841:$K$1841,$G$1812:$K$1812)&gt;0,"REFINANCING PASS","REFINANCING FAILURE"))</f>
        <v>REFINANCING PASS</v>
      </c>
    </row>
    <row r="1880" customFormat="false" ht="15" hidden="false" customHeight="false" outlineLevel="0" collapsed="false">
      <c r="A1880" s="5" t="s">
        <v>293</v>
      </c>
      <c r="C1880" s="5" t="str">
        <f aca="false">IF(SUM($G$1841:$K$1841)=0,"n/a",IF(C1878&gt;=C1877-0.001,"Repaid from cash",IF(SUMPRODUCT($G$1841:$K$1841,$G$1812:$K$1812)&gt;0,IF(C1878&gt;0,"Partly repaid; remainder refinanced","Refinanced"),IF(SUM($G$1850:$K$1850)&gt;0.001,IF(C1878&gt;0,"Partial repayment; PAYMENT DEFAULT","PAYMENT DEFAULT"),"Repaid from cash"))))</f>
        <v>Refinanced</v>
      </c>
    </row>
    <row r="1881" customFormat="false" ht="15" hidden="false" customHeight="false" outlineLevel="0" collapsed="false">
      <c r="A1881" s="5" t="s">
        <v>294</v>
      </c>
      <c r="C1881" s="25" t="n">
        <f aca="false">SUMPRODUCT($G$1854:$K$1854,$G$1853:$K$1853-$G$1859:$K$1859+$G$1858:$K$1858)</f>
        <v>300</v>
      </c>
    </row>
    <row r="1882" customFormat="false" ht="15" hidden="false" customHeight="false" outlineLevel="0" collapsed="false">
      <c r="A1882" s="5" t="s">
        <v>295</v>
      </c>
      <c r="C1882" s="25" t="n">
        <f aca="false">SUMPRODUCT($G$1854:$K$1854,$G$1861:$K$1861)</f>
        <v>0</v>
      </c>
    </row>
    <row r="1883" customFormat="false" ht="15" hidden="false" customHeight="false" outlineLevel="0" collapsed="false">
      <c r="A1883" s="5" t="s">
        <v>296</v>
      </c>
      <c r="C1883" s="5" t="str">
        <f aca="false">IF(SUM($G$1854:$K$1854)=0,"n/a (beyond horizon)",IF(SUMPRODUCT($G$1854:$K$1854,$G$1812:$K$1812)&gt;0,"REFINANCING PASS","REFINANCING FAILURE"))</f>
        <v>REFINANCING PASS</v>
      </c>
    </row>
    <row r="1884" customFormat="false" ht="15" hidden="false" customHeight="false" outlineLevel="0" collapsed="false">
      <c r="A1884" s="5" t="s">
        <v>297</v>
      </c>
      <c r="C1884" s="5" t="str">
        <f aca="false">IF(SUM($G$1854:$K$1854)=0,"n/a",IF(C1882&gt;=C1881-0.001,"Repaid from cash",IF(SUMPRODUCT($G$1854:$K$1854,$G$1812:$K$1812)&gt;0,IF(C1882&gt;0,"Partly repaid; remainder refinanced","Refinanced"),IF(SUM($G$1863:$K$1863)&gt;0.001,IF(C1882&gt;0,"Partial repayment; PAYMENT DEFAULT","PAYMENT DEFAULT"),"Repaid from cash"))))</f>
        <v>Refinanced</v>
      </c>
    </row>
    <row r="1885" customFormat="false" ht="15" hidden="false" customHeight="false" outlineLevel="0" collapsed="false">
      <c r="A1885" s="5" t="s">
        <v>298</v>
      </c>
      <c r="C1885" s="20" t="n">
        <f aca="false">IF(C1871="REFINANCING FAILURE",1,0)+IF(C1875="REFINANCING FAILURE",1,0)+IF(C1879="REFINANCING FAILURE",1,0)+IF(C1883="REFINANCING FAILURE",1,0)</f>
        <v>0</v>
      </c>
    </row>
    <row r="1887" customFormat="false" ht="15" hidden="false" customHeight="false" outlineLevel="0" collapsed="false">
      <c r="A1887" s="23" t="s">
        <v>300</v>
      </c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</row>
    <row r="1888" customFormat="false" ht="15" hidden="false" customHeight="false" outlineLevel="0" collapsed="false">
      <c r="A1888" s="5" t="s">
        <v>260</v>
      </c>
      <c r="G1888" s="25" t="n">
        <f aca="false">F1900</f>
        <v>45</v>
      </c>
      <c r="H1888" s="25" t="n">
        <f aca="false">G1900</f>
        <v>0</v>
      </c>
      <c r="I1888" s="25" t="n">
        <f aca="false">H1900</f>
        <v>-6.00915999999998</v>
      </c>
      <c r="J1888" s="25" t="n">
        <f aca="false">I1900</f>
        <v>0</v>
      </c>
      <c r="K1888" s="25" t="n">
        <f aca="false">J1900</f>
        <v>0</v>
      </c>
    </row>
    <row r="1889" customFormat="false" ht="15" hidden="false" customHeight="false" outlineLevel="0" collapsed="false">
      <c r="A1889" s="5" t="s">
        <v>301</v>
      </c>
      <c r="G1889" s="25" t="n">
        <f aca="false">G1801</f>
        <v>-9.24000000000001</v>
      </c>
      <c r="H1889" s="25" t="n">
        <f aca="false">H1801</f>
        <v>-0.809159999999978</v>
      </c>
      <c r="I1889" s="25" t="n">
        <f aca="false">I1801</f>
        <v>-9.94934960000002</v>
      </c>
      <c r="J1889" s="25" t="n">
        <f aca="false">J1801</f>
        <v>-14.378423312</v>
      </c>
      <c r="K1889" s="25" t="n">
        <f aca="false">K1801</f>
        <v>-12.59901176424</v>
      </c>
    </row>
    <row r="1890" customFormat="false" ht="15" hidden="false" customHeight="false" outlineLevel="0" collapsed="false">
      <c r="A1890" s="5" t="s">
        <v>302</v>
      </c>
      <c r="G1890" s="25" t="n">
        <f aca="false">CHOOSE($C$1771,Assumptions!$G$68,Assumptions!$G$87,Assumptions!$G$106)</f>
        <v>0</v>
      </c>
      <c r="H1890" s="25" t="n">
        <f aca="false">CHOOSE($C$1771,Assumptions!$H$68,Assumptions!$H$87,Assumptions!$H$106)</f>
        <v>0</v>
      </c>
      <c r="I1890" s="25" t="n">
        <f aca="false">CHOOSE($C$1771,Assumptions!$I$68,Assumptions!$I$87,Assumptions!$I$106)</f>
        <v>0</v>
      </c>
      <c r="J1890" s="25" t="n">
        <f aca="false">CHOOSE($C$1771,Assumptions!$J$68,Assumptions!$J$87,Assumptions!$J$106)</f>
        <v>0</v>
      </c>
      <c r="K1890" s="25" t="n">
        <f aca="false">CHOOSE($C$1771,Assumptions!$K$68,Assumptions!$K$87,Assumptions!$K$106)</f>
        <v>0</v>
      </c>
    </row>
    <row r="1891" customFormat="false" ht="15" hidden="false" customHeight="false" outlineLevel="0" collapsed="false">
      <c r="A1891" s="5" t="s">
        <v>303</v>
      </c>
      <c r="G1891" s="25" t="n">
        <f aca="false">G1820+G1833+G1846+G1859</f>
        <v>5.2</v>
      </c>
      <c r="H1891" s="25" t="n">
        <f aca="false">H1820+H1833+H1846+H1859</f>
        <v>5.2</v>
      </c>
      <c r="I1891" s="25" t="n">
        <f aca="false">I1820+I1833+I1846+I1859</f>
        <v>5.2</v>
      </c>
      <c r="J1891" s="25" t="n">
        <f aca="false">J1820+J1833+J1846+J1859</f>
        <v>5.2</v>
      </c>
      <c r="K1891" s="25" t="n">
        <f aca="false">K1820+K1833+K1846+K1859</f>
        <v>5.2</v>
      </c>
    </row>
    <row r="1892" customFormat="false" ht="15" hidden="false" customHeight="false" outlineLevel="0" collapsed="false">
      <c r="A1892" s="2" t="s">
        <v>304</v>
      </c>
      <c r="G1892" s="16" t="n">
        <f aca="false">G1888+G1889+G1890-G1891</f>
        <v>30.56</v>
      </c>
      <c r="H1892" s="16" t="n">
        <f aca="false">H1888+H1889+H1890-H1891</f>
        <v>-6.00915999999998</v>
      </c>
      <c r="I1892" s="16" t="n">
        <f aca="false">I1888+I1889+I1890-I1891</f>
        <v>-21.1585096</v>
      </c>
      <c r="J1892" s="16" t="n">
        <f aca="false">J1888+J1889+J1890-J1891</f>
        <v>-19.578423312</v>
      </c>
      <c r="K1892" s="16" t="n">
        <f aca="false">K1888+K1889+K1890-K1891</f>
        <v>-17.79901176424</v>
      </c>
    </row>
    <row r="1893" customFormat="false" ht="15" hidden="false" customHeight="false" outlineLevel="0" collapsed="false">
      <c r="A1893" s="5" t="s">
        <v>305</v>
      </c>
      <c r="G1893" s="25" t="n">
        <f aca="false">G1821+G1834+G1847+G1860</f>
        <v>0</v>
      </c>
      <c r="H1893" s="25" t="n">
        <f aca="false">H1821+H1834+H1847+H1860</f>
        <v>0</v>
      </c>
      <c r="I1893" s="25" t="n">
        <f aca="false">I1821+I1834+I1847+I1860</f>
        <v>21.1585096</v>
      </c>
      <c r="J1893" s="25" t="n">
        <f aca="false">J1821+J1834+J1847+J1860</f>
        <v>19.578423312</v>
      </c>
      <c r="K1893" s="25" t="n">
        <f aca="false">K1821+K1834+K1847+K1860</f>
        <v>17.79901176424</v>
      </c>
    </row>
    <row r="1894" customFormat="false" ht="15" hidden="false" customHeight="false" outlineLevel="0" collapsed="false">
      <c r="A1894" s="2" t="s">
        <v>306</v>
      </c>
      <c r="G1894" s="16" t="n">
        <f aca="false">G1892+G1893</f>
        <v>30.56</v>
      </c>
      <c r="H1894" s="16" t="n">
        <f aca="false">H1892+H1893</f>
        <v>-6.00915999999998</v>
      </c>
      <c r="I1894" s="16" t="n">
        <f aca="false">I1892+I1893</f>
        <v>0</v>
      </c>
      <c r="J1894" s="16" t="n">
        <f aca="false">J1892+J1893</f>
        <v>0</v>
      </c>
      <c r="K1894" s="16" t="n">
        <f aca="false">K1892+K1893</f>
        <v>0</v>
      </c>
    </row>
    <row r="1895" customFormat="false" ht="15" hidden="false" customHeight="false" outlineLevel="0" collapsed="false">
      <c r="A1895" s="5" t="s">
        <v>307</v>
      </c>
      <c r="G1895" s="25" t="n">
        <f aca="false">G1822+G1835+G1848+G1861</f>
        <v>0</v>
      </c>
      <c r="H1895" s="25" t="n">
        <f aca="false">H1822+H1835+H1848+H1861</f>
        <v>0</v>
      </c>
      <c r="I1895" s="25" t="n">
        <f aca="false">I1822+I1835+I1848+I1861</f>
        <v>0</v>
      </c>
      <c r="J1895" s="25" t="n">
        <f aca="false">J1822+J1835+J1848+J1861</f>
        <v>0</v>
      </c>
      <c r="K1895" s="25" t="n">
        <f aca="false">K1822+K1835+K1848+K1861</f>
        <v>0</v>
      </c>
    </row>
    <row r="1896" customFormat="false" ht="15" hidden="false" customHeight="false" outlineLevel="0" collapsed="false">
      <c r="A1896" s="2" t="s">
        <v>308</v>
      </c>
      <c r="G1896" s="16" t="n">
        <f aca="false">G1894-G1895</f>
        <v>30.56</v>
      </c>
      <c r="H1896" s="16" t="n">
        <f aca="false">H1894-H1895</f>
        <v>-6.00915999999998</v>
      </c>
      <c r="I1896" s="16" t="n">
        <f aca="false">I1894-I1895</f>
        <v>0</v>
      </c>
      <c r="J1896" s="16" t="n">
        <f aca="false">J1894-J1895</f>
        <v>0</v>
      </c>
      <c r="K1896" s="16" t="n">
        <f aca="false">K1894-K1895</f>
        <v>0</v>
      </c>
    </row>
    <row r="1897" customFormat="false" ht="15" hidden="false" customHeight="false" outlineLevel="0" collapsed="false">
      <c r="A1897" s="5" t="s">
        <v>309</v>
      </c>
      <c r="G1897" s="25" t="n">
        <f aca="false">MAX(0,-G1896)</f>
        <v>0</v>
      </c>
      <c r="H1897" s="25" t="n">
        <f aca="false">MAX(0,-H1896)</f>
        <v>6.00915999999998</v>
      </c>
      <c r="I1897" s="25" t="n">
        <f aca="false">MAX(0,-I1896)</f>
        <v>-0</v>
      </c>
      <c r="J1897" s="25" t="n">
        <f aca="false">MAX(0,-J1896)</f>
        <v>-0</v>
      </c>
      <c r="K1897" s="25" t="n">
        <f aca="false">MAX(0,-K1896)</f>
        <v>-0</v>
      </c>
    </row>
    <row r="1898" customFormat="false" ht="15" hidden="false" customHeight="false" outlineLevel="0" collapsed="false">
      <c r="A1898" s="5" t="s">
        <v>310</v>
      </c>
      <c r="G1898" s="25" t="n">
        <f aca="false">MAX(0,G1896-Assumptions!$C$12)*Assumptions!$C$13</f>
        <v>30.56</v>
      </c>
      <c r="H1898" s="25" t="n">
        <f aca="false">MAX(0,H1896-Assumptions!$C$12)*Assumptions!$C$13</f>
        <v>0</v>
      </c>
      <c r="I1898" s="25" t="n">
        <f aca="false">MAX(0,I1896-Assumptions!$C$12)*Assumptions!$C$13</f>
        <v>0</v>
      </c>
      <c r="J1898" s="25" t="n">
        <f aca="false">MAX(0,J1896-Assumptions!$C$12)*Assumptions!$C$13</f>
        <v>0</v>
      </c>
      <c r="K1898" s="25" t="n">
        <f aca="false">MAX(0,K1896-Assumptions!$C$12)*Assumptions!$C$13</f>
        <v>0</v>
      </c>
    </row>
    <row r="1899" customFormat="false" ht="15" hidden="false" customHeight="false" outlineLevel="0" collapsed="false">
      <c r="A1899" s="5" t="s">
        <v>311</v>
      </c>
      <c r="G1899" s="25" t="n">
        <f aca="false">G1823+G1836+G1849+G1862</f>
        <v>30.56</v>
      </c>
      <c r="H1899" s="25" t="n">
        <f aca="false">H1823+H1836+H1849+H1862</f>
        <v>0</v>
      </c>
      <c r="I1899" s="25" t="n">
        <f aca="false">I1823+I1836+I1849+I1862</f>
        <v>0</v>
      </c>
      <c r="J1899" s="25" t="n">
        <f aca="false">J1823+J1836+J1849+J1862</f>
        <v>0</v>
      </c>
      <c r="K1899" s="25" t="n">
        <f aca="false">K1823+K1836+K1849+K1862</f>
        <v>0</v>
      </c>
    </row>
    <row r="1900" customFormat="false" ht="15" hidden="false" customHeight="false" outlineLevel="0" collapsed="false">
      <c r="A1900" s="2" t="s">
        <v>312</v>
      </c>
      <c r="F1900" s="27" t="n">
        <f aca="false">Assumptions!$C$11</f>
        <v>45</v>
      </c>
      <c r="G1900" s="16" t="n">
        <f aca="false">G1896-G1899</f>
        <v>0</v>
      </c>
      <c r="H1900" s="16" t="n">
        <f aca="false">H1896-H1899</f>
        <v>-6.00915999999998</v>
      </c>
      <c r="I1900" s="16" t="n">
        <f aca="false">I1896-I1899</f>
        <v>0</v>
      </c>
      <c r="J1900" s="16" t="n">
        <f aca="false">J1896-J1899</f>
        <v>0</v>
      </c>
      <c r="K1900" s="16" t="n">
        <f aca="false">K1896-K1899</f>
        <v>0</v>
      </c>
    </row>
    <row r="1901" customFormat="false" ht="15" hidden="false" customHeight="false" outlineLevel="0" collapsed="false">
      <c r="A1901" s="5" t="s">
        <v>313</v>
      </c>
      <c r="G1901" s="25" t="n">
        <f aca="false">G1824+G1837+G1850+G1863</f>
        <v>0</v>
      </c>
      <c r="H1901" s="25" t="n">
        <f aca="false">H1824+H1837+H1850+H1863</f>
        <v>0</v>
      </c>
      <c r="I1901" s="25" t="n">
        <f aca="false">I1824+I1837+I1850+I1863</f>
        <v>0</v>
      </c>
      <c r="J1901" s="25" t="n">
        <f aca="false">J1824+J1837+J1850+J1863</f>
        <v>0</v>
      </c>
      <c r="K1901" s="25" t="n">
        <f aca="false">K1824+K1837+K1850+K1863</f>
        <v>0</v>
      </c>
    </row>
    <row r="1902" customFormat="false" ht="15" hidden="false" customHeight="false" outlineLevel="0" collapsed="false">
      <c r="A1902" s="5" t="s">
        <v>314</v>
      </c>
      <c r="G1902" s="20" t="n">
        <f aca="false">IF(OR(G1897&gt;0.001,G1901&gt;0.001),1,0)</f>
        <v>0</v>
      </c>
      <c r="H1902" s="20" t="n">
        <f aca="false">IF(OR(H1897&gt;0.001,H1901&gt;0.001),1,0)</f>
        <v>1</v>
      </c>
      <c r="I1902" s="20" t="n">
        <f aca="false">IF(OR(I1897&gt;0.001,I1901&gt;0.001),1,0)</f>
        <v>0</v>
      </c>
      <c r="J1902" s="20" t="n">
        <f aca="false">IF(OR(J1897&gt;0.001,J1901&gt;0.001),1,0)</f>
        <v>0</v>
      </c>
      <c r="K1902" s="20" t="n">
        <f aca="false">IF(OR(K1897&gt;0.001,K1901&gt;0.001),1,0)</f>
        <v>0</v>
      </c>
    </row>
    <row r="1903" customFormat="false" ht="15" hidden="false" customHeight="false" outlineLevel="0" collapsed="false">
      <c r="A1903" s="5" t="s">
        <v>315</v>
      </c>
      <c r="G1903" s="20" t="n">
        <f aca="false">IF(G1902=1,1,0)</f>
        <v>0</v>
      </c>
      <c r="H1903" s="20" t="n">
        <f aca="false">IF(AND(H1902=1,SUM($G$1902:G1902)=0),1,0)</f>
        <v>1</v>
      </c>
      <c r="I1903" s="20" t="n">
        <f aca="false">IF(AND(I1902=1,SUM($G$1902:H1902)=0),1,0)</f>
        <v>0</v>
      </c>
      <c r="J1903" s="20" t="n">
        <f aca="false">IF(AND(J1902=1,SUM($G$1902:I1902)=0),1,0)</f>
        <v>0</v>
      </c>
      <c r="K1903" s="20" t="n">
        <f aca="false">IF(AND(K1902=1,SUM($G$1902:J1902)=0),1,0)</f>
        <v>0</v>
      </c>
    </row>
    <row r="1904" customFormat="false" ht="15" hidden="false" customHeight="false" outlineLevel="0" collapsed="false">
      <c r="A1904" s="5" t="s">
        <v>316</v>
      </c>
      <c r="G1904" s="25" t="n">
        <f aca="false">(G1866-F1866)-(G1893+G1793-G1891-G1895-G1899)</f>
        <v>0</v>
      </c>
      <c r="H1904" s="25" t="n">
        <f aca="false">(H1866-G1866)-(H1893+H1793-H1891-H1895-H1899)</f>
        <v>-4.52970994047064E-014</v>
      </c>
      <c r="I1904" s="25" t="n">
        <f aca="false">(I1866-H1866)-(I1893+I1793-I1891-I1895-I1899)</f>
        <v>7.46069872548105E-014</v>
      </c>
      <c r="J1904" s="25" t="n">
        <f aca="false">(J1866-I1866)-(J1893+J1793-J1891-J1895-J1899)</f>
        <v>0</v>
      </c>
      <c r="K1904" s="25" t="n">
        <f aca="false">(K1866-J1866)-(K1893+K1793-K1891-K1895-K1899)</f>
        <v>0</v>
      </c>
    </row>
    <row r="1906" customFormat="false" ht="15" hidden="false" customHeight="false" outlineLevel="0" collapsed="false">
      <c r="A1906" s="23" t="s">
        <v>318</v>
      </c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</row>
    <row r="1907" customFormat="false" ht="15" hidden="false" customHeight="false" outlineLevel="0" collapsed="false">
      <c r="A1907" s="5" t="s">
        <v>319</v>
      </c>
      <c r="G1907" s="25" t="n">
        <f aca="false">G1866</f>
        <v>1214.24</v>
      </c>
      <c r="H1907" s="25" t="n">
        <f aca="false">H1866</f>
        <v>1209.04</v>
      </c>
      <c r="I1907" s="25" t="n">
        <f aca="false">I1866</f>
        <v>1224.9985096</v>
      </c>
      <c r="J1907" s="25" t="n">
        <f aca="false">J1866</f>
        <v>1239.376932912</v>
      </c>
      <c r="K1907" s="25" t="n">
        <f aca="false">K1866</f>
        <v>1251.97594467624</v>
      </c>
    </row>
    <row r="1908" customFormat="false" ht="15" hidden="false" customHeight="false" outlineLevel="0" collapsed="false">
      <c r="A1908" s="5" t="s">
        <v>320</v>
      </c>
      <c r="G1908" s="25" t="n">
        <f aca="false">Assumptions!$O$53*G1825+Assumptions!$O$54*G1838+Assumptions!$O$55*G1851+Assumptions!$O$56*G1864</f>
        <v>914.24</v>
      </c>
      <c r="H1908" s="25" t="n">
        <f aca="false">Assumptions!$O$53*H1825+Assumptions!$O$54*H1838+Assumptions!$O$55*H1851+Assumptions!$O$56*H1864</f>
        <v>909.04</v>
      </c>
      <c r="I1908" s="25" t="n">
        <f aca="false">Assumptions!$O$53*I1825+Assumptions!$O$54*I1838+Assumptions!$O$55*I1851+Assumptions!$O$56*I1864</f>
        <v>924.9985096</v>
      </c>
      <c r="J1908" s="25" t="n">
        <f aca="false">Assumptions!$O$53*J1825+Assumptions!$O$54*J1838+Assumptions!$O$55*J1851+Assumptions!$O$56*J1864</f>
        <v>939.376932912</v>
      </c>
      <c r="K1908" s="25" t="n">
        <f aca="false">Assumptions!$O$53*K1825+Assumptions!$O$54*K1838+Assumptions!$O$55*K1851+Assumptions!$O$56*K1864</f>
        <v>951.97594467624</v>
      </c>
    </row>
    <row r="1909" customFormat="false" ht="15" hidden="false" customHeight="false" outlineLevel="0" collapsed="false">
      <c r="A1909" s="5" t="s">
        <v>321</v>
      </c>
      <c r="G1909" s="25" t="n">
        <f aca="false">G1907-G1900</f>
        <v>1214.24</v>
      </c>
      <c r="H1909" s="25" t="n">
        <f aca="false">H1907-H1900</f>
        <v>1215.04916</v>
      </c>
      <c r="I1909" s="25" t="n">
        <f aca="false">I1907-I1900</f>
        <v>1224.9985096</v>
      </c>
      <c r="J1909" s="25" t="n">
        <f aca="false">J1907-J1900</f>
        <v>1239.376932912</v>
      </c>
      <c r="K1909" s="25" t="n">
        <f aca="false">K1907-K1900</f>
        <v>1251.97594467624</v>
      </c>
    </row>
    <row r="1910" customFormat="false" ht="15" hidden="false" customHeight="false" outlineLevel="0" collapsed="false">
      <c r="A1910" s="5" t="s">
        <v>322</v>
      </c>
      <c r="G1910" s="31" t="n">
        <f aca="false">IF(G1788&gt;0,G1907/G1788,0)</f>
        <v>7.86221186221186</v>
      </c>
      <c r="H1910" s="31" t="n">
        <f aca="false">IF(H1788&gt;0,H1907/H1788,0)</f>
        <v>7.67156970986309</v>
      </c>
      <c r="I1910" s="31" t="n">
        <f aca="false">IF(I1788&gt;0,I1907/I1788,0)</f>
        <v>7.62376751410553</v>
      </c>
      <c r="J1910" s="31" t="n">
        <f aca="false">IF(J1788&gt;0,J1907/J1788,0)</f>
        <v>7.5716937530992</v>
      </c>
      <c r="K1910" s="31" t="n">
        <f aca="false">IF(K1788&gt;0,K1907/K1788,0)</f>
        <v>7.51425466558389</v>
      </c>
    </row>
    <row r="1911" customFormat="false" ht="15" hidden="false" customHeight="false" outlineLevel="0" collapsed="false">
      <c r="A1911" s="5" t="s">
        <v>323</v>
      </c>
      <c r="G1911" s="31" t="n">
        <f aca="false">IF(G1788&gt;0,G1909/G1788,0)</f>
        <v>7.86221186221186</v>
      </c>
      <c r="H1911" s="31" t="n">
        <f aca="false">IF(H1788&gt;0,H1909/H1788,0)</f>
        <v>7.70969887832544</v>
      </c>
      <c r="I1911" s="31" t="n">
        <f aca="false">IF(I1788&gt;0,I1909/I1788,0)</f>
        <v>7.62376751410553</v>
      </c>
      <c r="J1911" s="31" t="n">
        <f aca="false">IF(J1788&gt;0,J1909/J1788,0)</f>
        <v>7.5716937530992</v>
      </c>
      <c r="K1911" s="31" t="n">
        <f aca="false">IF(K1788&gt;0,K1909/K1788,0)</f>
        <v>7.51425466558389</v>
      </c>
    </row>
    <row r="1912" customFormat="false" ht="15" hidden="false" customHeight="false" outlineLevel="0" collapsed="false">
      <c r="A1912" s="5" t="s">
        <v>324</v>
      </c>
      <c r="G1912" s="31" t="n">
        <f aca="false">IF(G1792&gt;0,G1788/G1792,0)</f>
        <v>1.29737903225806</v>
      </c>
      <c r="H1912" s="31" t="n">
        <f aca="false">IF(H1792&gt;0,H1788/H1792,0)</f>
        <v>1.37984675303662</v>
      </c>
      <c r="I1912" s="31" t="n">
        <f aca="false">IF(I1792&gt;0,I1788/I1792,0)</f>
        <v>1.26641336326206</v>
      </c>
      <c r="J1912" s="31" t="n">
        <f aca="false">IF(J1792&gt;0,J1788/J1792,0)</f>
        <v>1.21473661783139</v>
      </c>
      <c r="K1912" s="31" t="n">
        <f aca="false">IF(K1792&gt;0,K1788/K1792,0)</f>
        <v>1.22212036414877</v>
      </c>
    </row>
    <row r="1913" customFormat="false" ht="15" hidden="false" customHeight="false" outlineLevel="0" collapsed="false">
      <c r="A1913" s="5" t="s">
        <v>325</v>
      </c>
      <c r="G1913" s="31" t="n">
        <f aca="false">IF(G1792&gt;0,G1791/G1792,0)</f>
        <v>0.858266129032258</v>
      </c>
      <c r="H1913" s="31" t="n">
        <f aca="false">IF(H1792&gt;0,H1791/H1792,0)</f>
        <v>0.926762744576837</v>
      </c>
      <c r="I1913" s="31" t="n">
        <f aca="false">IF(I1792&gt;0,I1791/I1792,0)</f>
        <v>0.862629392366913</v>
      </c>
      <c r="J1913" s="31" t="n">
        <f aca="false">IF(J1792&gt;0,J1791/J1792,0)</f>
        <v>0.838339355968144</v>
      </c>
      <c r="K1913" s="31" t="n">
        <f aca="false">IF(K1792&gt;0,K1791/K1792,0)</f>
        <v>0.853810117419004</v>
      </c>
    </row>
    <row r="1914" customFormat="false" ht="15" hidden="false" customHeight="false" outlineLevel="0" collapsed="false">
      <c r="A1914" s="5" t="s">
        <v>182</v>
      </c>
      <c r="G1914" s="21" t="n">
        <f aca="false">IF(G1907&gt;0,G1801/G1907,0)</f>
        <v>-0.00760969824746344</v>
      </c>
      <c r="H1914" s="21" t="n">
        <f aca="false">IF(H1907&gt;0,H1801/H1907,0)</f>
        <v>-0.000669258254482877</v>
      </c>
      <c r="I1914" s="21" t="n">
        <f aca="false">IF(I1907&gt;0,I1801/I1907,0)</f>
        <v>-0.00812192792238481</v>
      </c>
      <c r="J1914" s="21" t="n">
        <f aca="false">IF(J1907&gt;0,J1801/J1907,0)</f>
        <v>-0.0116013320323922</v>
      </c>
      <c r="K1914" s="21" t="n">
        <f aca="false">IF(K1907&gt;0,K1801/K1907,0)</f>
        <v>-0.0100633017893152</v>
      </c>
    </row>
    <row r="1915" customFormat="false" ht="15" hidden="false" customHeight="false" outlineLevel="0" collapsed="false">
      <c r="A1915" s="5" t="s">
        <v>326</v>
      </c>
      <c r="G1915" s="31" t="n">
        <f aca="false">IF(G1792+G1891&gt;0,(G1788-G1799-G1796)/(G1792+G1891),0)</f>
        <v>0.860592401802962</v>
      </c>
      <c r="H1915" s="31" t="n">
        <f aca="false">IF(H1792+H1891&gt;0,(H1788-H1799-H1796)/(H1792+H1891),0)</f>
        <v>0.925802348838058</v>
      </c>
      <c r="I1915" s="31" t="n">
        <f aca="false">IF(I1792+I1891&gt;0,(I1788-I1799-I1796)/(I1792+I1891),0)</f>
        <v>0.863929842094743</v>
      </c>
      <c r="J1915" s="31" t="n">
        <f aca="false">IF(J1792+J1891&gt;0,(J1788-J1799-J1796)/(J1792+J1891),0)</f>
        <v>0.840136401281331</v>
      </c>
      <c r="K1915" s="31" t="n">
        <f aca="false">IF(K1792+K1891&gt;0,(K1788-K1799-K1796)/(K1792+K1891),0)</f>
        <v>0.854692886710214</v>
      </c>
    </row>
    <row r="1916" customFormat="false" ht="15" hidden="false" customHeight="false" outlineLevel="0" collapsed="false">
      <c r="A1916" s="5" t="s">
        <v>327</v>
      </c>
      <c r="G1916" s="25" t="n">
        <f aca="false">MAX(0,G1900)+Assumptions!$P$53*MAX(0,Assumptions!$D$53-G1825)+Assumptions!$P$54*MAX(0,Assumptions!$D$54-G1838)+Assumptions!$P$55*MAX(0,Assumptions!$D$55-G1851)+Assumptions!$P$56*MAX(0,Assumptions!$D$56-G1864)</f>
        <v>150.56</v>
      </c>
      <c r="H1916" s="25" t="n">
        <f aca="false">MAX(0,H1900)+Assumptions!$P$53*MAX(0,Assumptions!$D$53-H1825)+Assumptions!$P$54*MAX(0,Assumptions!$D$54-H1838)+Assumptions!$P$55*MAX(0,Assumptions!$D$55-H1851)+Assumptions!$P$56*MAX(0,Assumptions!$D$56-H1864)</f>
        <v>150.56</v>
      </c>
      <c r="I1916" s="25" t="n">
        <f aca="false">MAX(0,I1900)+Assumptions!$P$53*MAX(0,Assumptions!$D$53-I1825)+Assumptions!$P$54*MAX(0,Assumptions!$D$54-I1838)+Assumptions!$P$55*MAX(0,Assumptions!$D$55-I1851)+Assumptions!$P$56*MAX(0,Assumptions!$D$56-I1864)</f>
        <v>129.4014904</v>
      </c>
      <c r="J1916" s="25" t="n">
        <f aca="false">MAX(0,J1900)+Assumptions!$P$53*MAX(0,Assumptions!$D$53-J1825)+Assumptions!$P$54*MAX(0,Assumptions!$D$54-J1838)+Assumptions!$P$55*MAX(0,Assumptions!$D$55-J1851)+Assumptions!$P$56*MAX(0,Assumptions!$D$56-J1864)</f>
        <v>109.823067088</v>
      </c>
      <c r="K1916" s="25" t="n">
        <f aca="false">MAX(0,K1900)+Assumptions!$P$53*MAX(0,Assumptions!$D$53-K1825)+Assumptions!$P$54*MAX(0,Assumptions!$D$54-K1838)+Assumptions!$P$55*MAX(0,Assumptions!$D$55-K1851)+Assumptions!$P$56*MAX(0,Assumptions!$D$56-K1864)</f>
        <v>92.02405532376</v>
      </c>
    </row>
    <row r="1917" customFormat="false" ht="15" hidden="false" customHeight="false" outlineLevel="0" collapsed="false">
      <c r="A1917" s="5" t="s">
        <v>328</v>
      </c>
      <c r="G1917" s="21" t="n">
        <f aca="false">IF(G1907&gt;0,G1907/(G1907+MAX(0,G1788*CHOOSE($C$1771,Assumptions!$C$76,Assumptions!$C$95,Assumptions!$C$114)-G1909)),0)</f>
        <v>1</v>
      </c>
      <c r="H1917" s="21" t="n">
        <f aca="false">IF(H1907&gt;0,H1907/(H1907+MAX(0,H1788*CHOOSE($C$1771,Assumptions!$C$76,Assumptions!$C$95,Assumptions!$C$114)-H1909)),0)</f>
        <v>1</v>
      </c>
      <c r="I1917" s="21" t="n">
        <f aca="false">IF(I1907&gt;0,I1907/(I1907+MAX(0,I1788*CHOOSE($C$1771,Assumptions!$C$76,Assumptions!$C$95,Assumptions!$C$114)-I1909)),0)</f>
        <v>1</v>
      </c>
      <c r="J1917" s="21" t="n">
        <f aca="false">IF(J1907&gt;0,J1907/(J1907+MAX(0,J1788*CHOOSE($C$1771,Assumptions!$C$76,Assumptions!$C$95,Assumptions!$C$114)-J1909)),0)</f>
        <v>1</v>
      </c>
      <c r="K1917" s="21" t="n">
        <f aca="false">IF(K1907&gt;0,K1907/(K1907+MAX(0,K1788*CHOOSE($C$1771,Assumptions!$C$76,Assumptions!$C$95,Assumptions!$C$114)-K1909)),0)</f>
        <v>1</v>
      </c>
    </row>
    <row r="1918" customFormat="false" ht="15" hidden="false" customHeight="false" outlineLevel="0" collapsed="false">
      <c r="A1918" s="5" t="s">
        <v>329</v>
      </c>
      <c r="G1918" s="21" t="n">
        <f aca="false">IF(G1907&gt;0,MAX(0,G1900)/G1907,0)</f>
        <v>0</v>
      </c>
      <c r="H1918" s="21" t="n">
        <f aca="false">IF(H1907&gt;0,MAX(0,H1900)/H1907,0)</f>
        <v>0</v>
      </c>
      <c r="I1918" s="21" t="n">
        <f aca="false">IF(I1907&gt;0,MAX(0,I1900)/I1907,0)</f>
        <v>0</v>
      </c>
      <c r="J1918" s="21" t="n">
        <f aca="false">IF(J1907&gt;0,MAX(0,J1900)/J1907,0)</f>
        <v>0</v>
      </c>
      <c r="K1918" s="21" t="n">
        <f aca="false">IF(K1907&gt;0,MAX(0,K1900)/K1907,0)</f>
        <v>0</v>
      </c>
    </row>
    <row r="1919" customFormat="false" ht="15" hidden="false" customHeight="false" outlineLevel="0" collapsed="false">
      <c r="A1919" s="5" t="s">
        <v>330</v>
      </c>
      <c r="G1919" s="25" t="n">
        <f aca="false">Assumptions!$C$27*(1-CHOOSE($C$1771,Assumptions!$C$79,Assumptions!$C$98,Assumptions!$C$117))</f>
        <v>1040</v>
      </c>
      <c r="H1919" s="25" t="n">
        <f aca="false">Assumptions!$C$27*(1-CHOOSE($C$1771,Assumptions!$C$79,Assumptions!$C$98,Assumptions!$C$117))</f>
        <v>1040</v>
      </c>
      <c r="I1919" s="25" t="n">
        <f aca="false">Assumptions!$C$27*(1-CHOOSE($C$1771,Assumptions!$C$79,Assumptions!$C$98,Assumptions!$C$117))</f>
        <v>1040</v>
      </c>
      <c r="J1919" s="25" t="n">
        <f aca="false">Assumptions!$C$27*(1-CHOOSE($C$1771,Assumptions!$C$79,Assumptions!$C$98,Assumptions!$C$117))</f>
        <v>1040</v>
      </c>
      <c r="K1919" s="25" t="n">
        <f aca="false">Assumptions!$C$27*(1-CHOOSE($C$1771,Assumptions!$C$79,Assumptions!$C$98,Assumptions!$C$117))</f>
        <v>1040</v>
      </c>
    </row>
    <row r="1920" customFormat="false" ht="15" hidden="false" customHeight="false" outlineLevel="0" collapsed="false">
      <c r="A1920" s="23" t="s">
        <v>331</v>
      </c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</row>
    <row r="1921" customFormat="false" ht="15" hidden="false" customHeight="false" outlineLevel="0" collapsed="false">
      <c r="A1921" s="23" t="s">
        <v>332</v>
      </c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</row>
    <row r="1922" customFormat="false" ht="15" hidden="false" customHeight="false" outlineLevel="0" collapsed="false">
      <c r="A1922" s="5" t="s">
        <v>333</v>
      </c>
      <c r="G1922" s="31" t="n">
        <f aca="false">IF(G1788&gt;0,G1909/G1788,99)</f>
        <v>7.86221186221186</v>
      </c>
      <c r="H1922" s="31" t="n">
        <f aca="false">IF(H1788&gt;0,H1909/H1788,99)</f>
        <v>7.70969887832544</v>
      </c>
      <c r="I1922" s="31" t="n">
        <f aca="false">IF(I1788&gt;0,I1909/I1788,99)</f>
        <v>7.62376751410553</v>
      </c>
      <c r="J1922" s="31" t="n">
        <f aca="false">IF(J1788&gt;0,J1909/J1788,99)</f>
        <v>7.5716937530992</v>
      </c>
      <c r="K1922" s="31" t="n">
        <f aca="false">IF(K1788&gt;0,K1909/K1788,99)</f>
        <v>7.51425466558389</v>
      </c>
    </row>
    <row r="1923" customFormat="false" ht="15" hidden="false" customHeight="false" outlineLevel="0" collapsed="false">
      <c r="A1923" s="5" t="s">
        <v>334</v>
      </c>
      <c r="G1923" s="32" t="n">
        <f aca="false">Assumptions!$G$61</f>
        <v>8.5</v>
      </c>
      <c r="H1923" s="32" t="n">
        <f aca="false">Assumptions!$H$61</f>
        <v>8.5</v>
      </c>
      <c r="I1923" s="32" t="n">
        <f aca="false">Assumptions!$I$61</f>
        <v>8.5</v>
      </c>
      <c r="J1923" s="32" t="n">
        <f aca="false">Assumptions!$J$61</f>
        <v>8.5</v>
      </c>
      <c r="K1923" s="32" t="n">
        <f aca="false">Assumptions!$K$61</f>
        <v>8.5</v>
      </c>
    </row>
    <row r="1924" customFormat="false" ht="15" hidden="false" customHeight="false" outlineLevel="0" collapsed="false">
      <c r="A1924" s="5" t="s">
        <v>335</v>
      </c>
      <c r="G1924" s="31" t="n">
        <f aca="false">G1923-G1922</f>
        <v>0.637788137788138</v>
      </c>
      <c r="H1924" s="31" t="n">
        <f aca="false">H1923-H1922</f>
        <v>0.790301121674557</v>
      </c>
      <c r="I1924" s="31" t="n">
        <f aca="false">I1923-I1922</f>
        <v>0.876232485894469</v>
      </c>
      <c r="J1924" s="31" t="n">
        <f aca="false">J1923-J1922</f>
        <v>0.928306246900803</v>
      </c>
      <c r="K1924" s="31" t="n">
        <f aca="false">K1923-K1922</f>
        <v>0.985745334416111</v>
      </c>
    </row>
    <row r="1925" customFormat="false" ht="15" hidden="false" customHeight="false" outlineLevel="0" collapsed="false">
      <c r="A1925" s="5" t="s">
        <v>336</v>
      </c>
      <c r="G1925" s="21" t="n">
        <f aca="false">IF(G1923=0,0,G1924/ABS(G1923))</f>
        <v>0.0750338985633103</v>
      </c>
      <c r="H1925" s="21" t="n">
        <f aca="false">IF(H1923=0,0,H1924/ABS(H1923))</f>
        <v>0.0929766025499479</v>
      </c>
      <c r="I1925" s="21" t="n">
        <f aca="false">IF(I1923=0,0,I1924/ABS(I1923))</f>
        <v>0.103086174811114</v>
      </c>
      <c r="J1925" s="21" t="n">
        <f aca="false">IF(J1923=0,0,J1924/ABS(J1923))</f>
        <v>0.109212499635389</v>
      </c>
      <c r="K1925" s="21" t="n">
        <f aca="false">IF(K1923=0,0,K1924/ABS(K1923))</f>
        <v>0.115970039343072</v>
      </c>
    </row>
    <row r="1926" customFormat="false" ht="15" hidden="false" customHeight="false" outlineLevel="0" collapsed="false">
      <c r="A1926" s="5" t="s">
        <v>337</v>
      </c>
      <c r="G1926" s="20" t="n">
        <f aca="false">IF(G1924&lt;0,1,0)</f>
        <v>0</v>
      </c>
      <c r="H1926" s="20" t="n">
        <f aca="false">IF(H1924&lt;0,1,0)</f>
        <v>0</v>
      </c>
      <c r="I1926" s="20" t="n">
        <f aca="false">IF(I1924&lt;0,1,0)</f>
        <v>0</v>
      </c>
      <c r="J1926" s="20" t="n">
        <f aca="false">IF(J1924&lt;0,1,0)</f>
        <v>0</v>
      </c>
      <c r="K1926" s="20" t="n">
        <f aca="false">IF(K1924&lt;0,1,0)</f>
        <v>0</v>
      </c>
    </row>
    <row r="1927" customFormat="false" ht="15" hidden="false" customHeight="false" outlineLevel="0" collapsed="false">
      <c r="A1927" s="5" t="s">
        <v>338</v>
      </c>
      <c r="C1927" s="20" t="n">
        <f aca="false">IFERROR(INDEX($G$1778:$K$1778,MATCH(1,$G$1926:$K$1926,0)),0)</f>
        <v>0</v>
      </c>
    </row>
    <row r="1928" customFormat="false" ht="15" hidden="false" customHeight="false" outlineLevel="0" collapsed="false">
      <c r="A1928" s="5" t="s">
        <v>339</v>
      </c>
      <c r="C1928" s="21" t="n">
        <f aca="false">MIN($G$1925:$K$1925)</f>
        <v>0.0750338985633103</v>
      </c>
    </row>
    <row r="1929" customFormat="false" ht="15" hidden="false" customHeight="false" outlineLevel="0" collapsed="false">
      <c r="A1929" s="5" t="s">
        <v>340</v>
      </c>
      <c r="G1929" s="20" t="n">
        <f aca="false">G1926</f>
        <v>0</v>
      </c>
      <c r="H1929" s="20" t="n">
        <f aca="false">H1926</f>
        <v>0</v>
      </c>
      <c r="I1929" s="20" t="n">
        <f aca="false">I1926</f>
        <v>0</v>
      </c>
      <c r="J1929" s="20" t="n">
        <f aca="false">J1926</f>
        <v>0</v>
      </c>
      <c r="K1929" s="20" t="n">
        <f aca="false">K1926</f>
        <v>0</v>
      </c>
    </row>
    <row r="1930" customFormat="false" ht="15" hidden="false" customHeight="false" outlineLevel="0" collapsed="false">
      <c r="A1930" s="5" t="s">
        <v>341</v>
      </c>
      <c r="C1930" s="20" t="n">
        <f aca="false">SUM($G$1929:$K$1929)</f>
        <v>0</v>
      </c>
    </row>
    <row r="1931" customFormat="false" ht="15" hidden="false" customHeight="false" outlineLevel="0" collapsed="false">
      <c r="A1931" s="5" t="s">
        <v>342</v>
      </c>
      <c r="C1931" s="21" t="n">
        <f aca="false">MIN(C1928)</f>
        <v>0.0750338985633103</v>
      </c>
    </row>
    <row r="1933" customFormat="false" ht="15" hidden="false" customHeight="false" outlineLevel="0" collapsed="false">
      <c r="A1933" s="23" t="s">
        <v>444</v>
      </c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</row>
    <row r="1934" customFormat="false" ht="15" hidden="false" customHeight="false" outlineLevel="0" collapsed="false">
      <c r="A1934" s="5" t="s">
        <v>445</v>
      </c>
      <c r="G1934" s="20" t="n">
        <f aca="false">IF($C$1935=1,G1903,IF(G1788=MIN($G$1788:$K$1788),1,0))</f>
        <v>0</v>
      </c>
      <c r="H1934" s="20" t="n">
        <f aca="false">IF($C$1935=1,H1903,IF(AND(H1788=MIN($G$1788:$K$1788),SUM($G$1934:G1934)=0),1,0))</f>
        <v>1</v>
      </c>
      <c r="I1934" s="20" t="n">
        <f aca="false">IF($C$1935=1,I1903,IF(AND(I1788=MIN($G$1788:$K$1788),SUM($G$1934:H1934)=0),1,0))</f>
        <v>0</v>
      </c>
      <c r="J1934" s="20" t="n">
        <f aca="false">IF($C$1935=1,J1903,IF(AND(J1788=MIN($G$1788:$K$1788),SUM($G$1934:I1934)=0),1,0))</f>
        <v>0</v>
      </c>
      <c r="K1934" s="20" t="n">
        <f aca="false">IF($C$1935=1,K1903,IF(AND(K1788=MIN($G$1788:$K$1788),SUM($G$1934:J1934)=0),1,0))</f>
        <v>0</v>
      </c>
    </row>
    <row r="1935" customFormat="false" ht="15" hidden="false" customHeight="false" outlineLevel="0" collapsed="false">
      <c r="A1935" s="5" t="s">
        <v>446</v>
      </c>
      <c r="C1935" s="20" t="n">
        <f aca="false">IF(SUM($G$1903:$K$1903)&gt;0,1,0)</f>
        <v>1</v>
      </c>
    </row>
    <row r="1936" customFormat="false" ht="15" hidden="false" customHeight="false" outlineLevel="0" collapsed="false">
      <c r="A1936" s="5" t="s">
        <v>447</v>
      </c>
      <c r="C1936" s="20" t="n">
        <f aca="false">SUMPRODUCT($G$1934:$K$1934,$G$1778:$K$1778)</f>
        <v>2027</v>
      </c>
    </row>
    <row r="1937" customFormat="false" ht="15" hidden="false" customHeight="false" outlineLevel="0" collapsed="false">
      <c r="A1937" s="5" t="s">
        <v>448</v>
      </c>
      <c r="C1937" s="25" t="n">
        <f aca="false">SUMPRODUCT($G$1934:$K$1934,$G$1788:$K$1788)</f>
        <v>157.60008</v>
      </c>
    </row>
    <row r="1938" customFormat="false" ht="15" hidden="false" customHeight="false" outlineLevel="0" collapsed="false">
      <c r="A1938" s="5" t="s">
        <v>449</v>
      </c>
      <c r="C1938" s="25" t="n">
        <f aca="false">MAX(0,SUMPRODUCT($G$1934:$K$1934,$G$1900:$K$1900))</f>
        <v>0</v>
      </c>
    </row>
    <row r="1939" customFormat="false" ht="15" hidden="false" customHeight="false" outlineLevel="0" collapsed="false">
      <c r="A1939" s="5" t="s">
        <v>450</v>
      </c>
      <c r="C1939" s="25" t="n">
        <f aca="false">(CHOOSE($C$1771,Assumptions!$C$78,Assumptions!$C$97,Assumptions!$C$116)+$C$1775)*C1937</f>
        <v>630.40032</v>
      </c>
    </row>
    <row r="1940" customFormat="false" ht="15" hidden="false" customHeight="false" outlineLevel="0" collapsed="false">
      <c r="A1940" s="5" t="s">
        <v>451</v>
      </c>
      <c r="C1940" s="25" t="n">
        <f aca="false">Assumptions!$C$27*(1-CHOOSE($C$1771,Assumptions!$C$79,Assumptions!$C$98,Assumptions!$C$117))*CHOOSE($C$1771,Assumptions!$C$80,Assumptions!$C$99,Assumptions!$C$118)</f>
        <v>624</v>
      </c>
    </row>
    <row r="1941" customFormat="false" ht="15" hidden="false" customHeight="false" outlineLevel="0" collapsed="false">
      <c r="A1941" s="5" t="s">
        <v>452</v>
      </c>
      <c r="C1941" s="25" t="n">
        <f aca="false">MAX(C1939,C1940)+C1938</f>
        <v>630.40032</v>
      </c>
    </row>
    <row r="1942" customFormat="false" ht="15" hidden="false" customHeight="false" outlineLevel="0" collapsed="false">
      <c r="A1942" s="2" t="s">
        <v>453</v>
      </c>
      <c r="C1942" s="16" t="n">
        <f aca="false">IF(ISNUMBER(Assumptions!$C$14),Assumptions!$C$14,C1941)</f>
        <v>630.40032</v>
      </c>
    </row>
    <row r="1943" customFormat="false" ht="15" hidden="false" customHeight="false" outlineLevel="0" collapsed="false">
      <c r="A1943" s="5" t="s">
        <v>454</v>
      </c>
      <c r="C1943" s="25" t="n">
        <f aca="false">C1942*Assumptions!$C$15</f>
        <v>25.2160128</v>
      </c>
    </row>
    <row r="1944" customFormat="false" ht="15" hidden="false" customHeight="false" outlineLevel="0" collapsed="false">
      <c r="A1944" s="2" t="s">
        <v>455</v>
      </c>
      <c r="C1944" s="16" t="n">
        <f aca="false">C1942-C1943</f>
        <v>605.1843072</v>
      </c>
    </row>
    <row r="1945" customFormat="false" ht="15" hidden="false" customHeight="false" outlineLevel="0" collapsed="false">
      <c r="A1945" s="23" t="s">
        <v>456</v>
      </c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</row>
    <row r="1946" customFormat="false" ht="15" hidden="false" customHeight="false" outlineLevel="0" collapsed="false">
      <c r="A1946" s="5" t="s">
        <v>457</v>
      </c>
      <c r="C1946" s="25" t="n">
        <f aca="false">SUMPRODUCT($G$1934:$K$1934,$G$1825:$K$1825)*(1+SUMPRODUCT($G$1934:$K$1934,$G$1817:$K$1817)*Assumptions!$C$16/12)</f>
        <v>152.55956</v>
      </c>
    </row>
    <row r="1947" customFormat="false" ht="15" hidden="false" customHeight="false" outlineLevel="0" collapsed="false">
      <c r="A1947" s="5" t="s">
        <v>458</v>
      </c>
      <c r="C1947" s="25" t="n">
        <f aca="false">SUMPRODUCT($G$1934:$K$1934,$G$1838:$K$1838)*(1+SUMPRODUCT($G$1934:$K$1934,$G$1830:$K$1830)*Assumptions!$C$16/12)</f>
        <v>522.4037</v>
      </c>
    </row>
    <row r="1948" customFormat="false" ht="15" hidden="false" customHeight="false" outlineLevel="0" collapsed="false">
      <c r="A1948" s="5" t="s">
        <v>459</v>
      </c>
      <c r="C1948" s="25" t="n">
        <f aca="false">SUMPRODUCT($G$1934:$K$1934,$G$1851:$K$1851)*(1+SUMPRODUCT($G$1934:$K$1934,$G$1843:$K$1843)*Assumptions!$C$16/12)</f>
        <v>256.875</v>
      </c>
    </row>
    <row r="1949" customFormat="false" ht="15" hidden="false" customHeight="false" outlineLevel="0" collapsed="false">
      <c r="A1949" s="5" t="s">
        <v>460</v>
      </c>
      <c r="C1949" s="25" t="n">
        <f aca="false">SUMPRODUCT($G$1934:$K$1934,$G$1864:$K$1864)*(1+SUMPRODUCT($G$1934:$K$1934,$G$1856:$K$1856)*Assumptions!$C$16/12)</f>
        <v>305.625</v>
      </c>
    </row>
    <row r="1950" customFormat="false" ht="15" hidden="false" customHeight="false" outlineLevel="0" collapsed="false">
      <c r="A1950" s="23" t="s">
        <v>461</v>
      </c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</row>
    <row r="1951" customFormat="false" ht="15" hidden="false" customHeight="false" outlineLevel="0" collapsed="false">
      <c r="A1951" s="5" t="s">
        <v>457</v>
      </c>
      <c r="C1951" s="26" t="n">
        <f aca="false">Assumptions!$M$53</f>
        <v>1</v>
      </c>
    </row>
    <row r="1952" customFormat="false" ht="15" hidden="false" customHeight="false" outlineLevel="0" collapsed="false">
      <c r="A1952" s="5" t="s">
        <v>458</v>
      </c>
      <c r="C1952" s="26" t="n">
        <f aca="false">Assumptions!$M$54</f>
        <v>2</v>
      </c>
    </row>
    <row r="1953" customFormat="false" ht="15" hidden="false" customHeight="false" outlineLevel="0" collapsed="false">
      <c r="A1953" s="5" t="s">
        <v>459</v>
      </c>
      <c r="C1953" s="26" t="n">
        <f aca="false">Assumptions!$M$55</f>
        <v>3</v>
      </c>
    </row>
    <row r="1954" customFormat="false" ht="15" hidden="false" customHeight="false" outlineLevel="0" collapsed="false">
      <c r="A1954" s="5" t="s">
        <v>460</v>
      </c>
      <c r="C1954" s="26" t="n">
        <f aca="false">Assumptions!$M$56</f>
        <v>4</v>
      </c>
    </row>
    <row r="1955" customFormat="false" ht="15" hidden="false" customHeight="false" outlineLevel="0" collapsed="false">
      <c r="A1955" s="23" t="s">
        <v>462</v>
      </c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</row>
    <row r="1956" customFormat="false" ht="15" hidden="false" customHeight="false" outlineLevel="0" collapsed="false">
      <c r="A1956" s="5" t="s">
        <v>457</v>
      </c>
      <c r="C1956" s="34" t="n">
        <f aca="false">Assumptions!$Q$53</f>
        <v>0</v>
      </c>
    </row>
    <row r="1957" customFormat="false" ht="15" hidden="false" customHeight="false" outlineLevel="0" collapsed="false">
      <c r="A1957" s="5" t="s">
        <v>458</v>
      </c>
      <c r="C1957" s="34" t="n">
        <f aca="false">Assumptions!$Q$54</f>
        <v>0</v>
      </c>
    </row>
    <row r="1958" customFormat="false" ht="15" hidden="false" customHeight="false" outlineLevel="0" collapsed="false">
      <c r="A1958" s="5" t="s">
        <v>459</v>
      </c>
      <c r="C1958" s="34" t="n">
        <f aca="false">Assumptions!$Q$55</f>
        <v>0</v>
      </c>
    </row>
    <row r="1959" customFormat="false" ht="15" hidden="false" customHeight="false" outlineLevel="0" collapsed="false">
      <c r="A1959" s="5" t="s">
        <v>460</v>
      </c>
      <c r="C1959" s="34" t="n">
        <f aca="false">Assumptions!$Q$56</f>
        <v>0</v>
      </c>
    </row>
    <row r="1960" customFormat="false" ht="15" hidden="false" customHeight="false" outlineLevel="0" collapsed="false">
      <c r="A1960" s="23" t="s">
        <v>463</v>
      </c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</row>
    <row r="1961" customFormat="false" ht="15" hidden="false" customHeight="false" outlineLevel="0" collapsed="false">
      <c r="A1961" s="5" t="s">
        <v>457</v>
      </c>
      <c r="C1961" s="25" t="n">
        <f aca="false">IF(C1956&gt;0,MIN(C1946,C1956*$C$1944),0)</f>
        <v>0</v>
      </c>
    </row>
    <row r="1962" customFormat="false" ht="15" hidden="false" customHeight="false" outlineLevel="0" collapsed="false">
      <c r="A1962" s="5" t="s">
        <v>458</v>
      </c>
      <c r="C1962" s="25" t="n">
        <f aca="false">IF(C1957&gt;0,MIN(C1947,C1957*$C$1944),0)</f>
        <v>0</v>
      </c>
    </row>
    <row r="1963" customFormat="false" ht="15" hidden="false" customHeight="false" outlineLevel="0" collapsed="false">
      <c r="A1963" s="5" t="s">
        <v>459</v>
      </c>
      <c r="C1963" s="25" t="n">
        <f aca="false">IF(C1958&gt;0,MIN(C1948,C1958*$C$1944),0)</f>
        <v>0</v>
      </c>
    </row>
    <row r="1964" customFormat="false" ht="15" hidden="false" customHeight="false" outlineLevel="0" collapsed="false">
      <c r="A1964" s="5" t="s">
        <v>460</v>
      </c>
      <c r="C1964" s="25" t="n">
        <f aca="false">IF(C1959&gt;0,MIN(C1949,C1959*$C$1944),0)</f>
        <v>0</v>
      </c>
    </row>
    <row r="1965" customFormat="false" ht="15" hidden="false" customHeight="false" outlineLevel="0" collapsed="false">
      <c r="A1965" s="23" t="s">
        <v>464</v>
      </c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</row>
    <row r="1966" customFormat="false" ht="15" hidden="false" customHeight="false" outlineLevel="0" collapsed="false">
      <c r="A1966" s="5" t="s">
        <v>457</v>
      </c>
      <c r="C1966" s="25" t="n">
        <f aca="false">IF(C1956&gt;0,C1946-C1961,0)</f>
        <v>0</v>
      </c>
      <c r="G1966" s="20" t="n">
        <f aca="false">IF(AND(G1815=1,G1812=1),1,0)</f>
        <v>0</v>
      </c>
      <c r="H1966" s="20" t="n">
        <f aca="false">IF(G1966=1,1,IF(AND(H1815=1,H1812=1),1,0))</f>
        <v>1</v>
      </c>
      <c r="I1966" s="20" t="n">
        <f aca="false">IF(H1966=1,1,IF(AND(I1815=1,I1812=1),1,0))</f>
        <v>1</v>
      </c>
      <c r="J1966" s="20" t="n">
        <f aca="false">IF(I1966=1,1,IF(AND(J1815=1,J1812=1),1,0))</f>
        <v>1</v>
      </c>
      <c r="K1966" s="20" t="n">
        <f aca="false">IF(J1966=1,1,IF(AND(K1815=1,K1812=1),1,0))</f>
        <v>1</v>
      </c>
    </row>
    <row r="1967" customFormat="false" ht="15" hidden="false" customHeight="false" outlineLevel="0" collapsed="false">
      <c r="A1967" s="5" t="s">
        <v>458</v>
      </c>
      <c r="C1967" s="25" t="n">
        <f aca="false">IF(C1957&gt;0,C1947-C1962,0)</f>
        <v>0</v>
      </c>
      <c r="G1967" s="20" t="n">
        <f aca="false">IF(AND(G1828=1,G1812=1),1,0)</f>
        <v>0</v>
      </c>
      <c r="H1967" s="20" t="n">
        <f aca="false">IF(G1967=1,1,IF(AND(H1828=1,H1812=1),1,0))</f>
        <v>0</v>
      </c>
      <c r="I1967" s="20" t="n">
        <f aca="false">IF(H1967=1,1,IF(AND(I1828=1,I1812=1),1,0))</f>
        <v>1</v>
      </c>
      <c r="J1967" s="20" t="n">
        <f aca="false">IF(I1967=1,1,IF(AND(J1828=1,J1812=1),1,0))</f>
        <v>1</v>
      </c>
      <c r="K1967" s="20" t="n">
        <f aca="false">IF(J1967=1,1,IF(AND(K1828=1,K1812=1),1,0))</f>
        <v>1</v>
      </c>
    </row>
    <row r="1968" customFormat="false" ht="15" hidden="false" customHeight="false" outlineLevel="0" collapsed="false">
      <c r="A1968" s="5" t="s">
        <v>459</v>
      </c>
      <c r="C1968" s="25" t="n">
        <f aca="false">IF(C1958&gt;0,C1948-C1963,0)</f>
        <v>0</v>
      </c>
      <c r="G1968" s="20" t="n">
        <f aca="false">IF(AND(G1841=1,G1812=1),1,0)</f>
        <v>0</v>
      </c>
      <c r="H1968" s="20" t="n">
        <f aca="false">IF(G1968=1,1,IF(AND(H1841=1,H1812=1),1,0))</f>
        <v>0</v>
      </c>
      <c r="I1968" s="20" t="n">
        <f aca="false">IF(H1968=1,1,IF(AND(I1841=1,I1812=1),1,0))</f>
        <v>0</v>
      </c>
      <c r="J1968" s="20" t="n">
        <f aca="false">IF(I1968=1,1,IF(AND(J1841=1,J1812=1),1,0))</f>
        <v>1</v>
      </c>
      <c r="K1968" s="20" t="n">
        <f aca="false">IF(J1968=1,1,IF(AND(K1841=1,K1812=1),1,0))</f>
        <v>1</v>
      </c>
    </row>
    <row r="1969" customFormat="false" ht="15" hidden="false" customHeight="false" outlineLevel="0" collapsed="false">
      <c r="A1969" s="5" t="s">
        <v>460</v>
      </c>
      <c r="C1969" s="25" t="n">
        <f aca="false">IF(C1959&gt;0,C1949-C1964,0)</f>
        <v>0</v>
      </c>
      <c r="G1969" s="20" t="n">
        <f aca="false">IF(AND(G1854=1,G1812=1),1,0)</f>
        <v>0</v>
      </c>
      <c r="H1969" s="20" t="n">
        <f aca="false">IF(G1969=1,1,IF(AND(H1854=1,H1812=1),1,0))</f>
        <v>1</v>
      </c>
      <c r="I1969" s="20" t="n">
        <f aca="false">IF(H1969=1,1,IF(AND(I1854=1,I1812=1),1,0))</f>
        <v>1</v>
      </c>
      <c r="J1969" s="20" t="n">
        <f aca="false">IF(I1969=1,1,IF(AND(J1854=1,J1812=1),1,0))</f>
        <v>1</v>
      </c>
      <c r="K1969" s="20" t="n">
        <f aca="false">IF(J1969=1,1,IF(AND(K1854=1,K1812=1),1,0))</f>
        <v>1</v>
      </c>
    </row>
    <row r="1970" customFormat="false" ht="15" hidden="false" customHeight="false" outlineLevel="0" collapsed="false">
      <c r="A1970" s="23" t="s">
        <v>465</v>
      </c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</row>
    <row r="1971" customFormat="false" ht="15" hidden="false" customHeight="false" outlineLevel="0" collapsed="false">
      <c r="A1971" s="5" t="s">
        <v>457</v>
      </c>
      <c r="C1971" s="25" t="n">
        <f aca="false">IF(C1956&gt;0,C1966,C1946)</f>
        <v>152.55956</v>
      </c>
    </row>
    <row r="1972" customFormat="false" ht="15" hidden="false" customHeight="false" outlineLevel="0" collapsed="false">
      <c r="A1972" s="5" t="s">
        <v>458</v>
      </c>
      <c r="C1972" s="25" t="n">
        <f aca="false">IF(C1957&gt;0,C1967,C1947)</f>
        <v>522.4037</v>
      </c>
    </row>
    <row r="1973" customFormat="false" ht="15" hidden="false" customHeight="false" outlineLevel="0" collapsed="false">
      <c r="A1973" s="5" t="s">
        <v>459</v>
      </c>
      <c r="C1973" s="25" t="n">
        <f aca="false">IF(C1958&gt;0,C1968,C1948)</f>
        <v>256.875</v>
      </c>
    </row>
    <row r="1974" customFormat="false" ht="15" hidden="false" customHeight="false" outlineLevel="0" collapsed="false">
      <c r="A1974" s="5" t="s">
        <v>460</v>
      </c>
      <c r="C1974" s="25" t="n">
        <f aca="false">IF(C1959&gt;0,C1969,C1949)</f>
        <v>305.625</v>
      </c>
    </row>
    <row r="1975" customFormat="false" ht="15" hidden="false" customHeight="false" outlineLevel="0" collapsed="false">
      <c r="A1975" s="23" t="s">
        <v>466</v>
      </c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</row>
    <row r="1976" customFormat="false" ht="15" hidden="false" customHeight="false" outlineLevel="0" collapsed="false">
      <c r="A1976" s="5" t="s">
        <v>457</v>
      </c>
      <c r="C1976" s="20" t="n">
        <f aca="false">IF(C1956&gt;0,Assumptions!$C$17,C1951)</f>
        <v>1</v>
      </c>
    </row>
    <row r="1977" customFormat="false" ht="15" hidden="false" customHeight="false" outlineLevel="0" collapsed="false">
      <c r="A1977" s="5" t="s">
        <v>458</v>
      </c>
      <c r="C1977" s="20" t="n">
        <f aca="false">IF(C1957&gt;0,Assumptions!$C$17,C1952)</f>
        <v>2</v>
      </c>
    </row>
    <row r="1978" customFormat="false" ht="15" hidden="false" customHeight="false" outlineLevel="0" collapsed="false">
      <c r="A1978" s="5" t="s">
        <v>459</v>
      </c>
      <c r="C1978" s="20" t="n">
        <f aca="false">IF(C1958&gt;0,Assumptions!$C$17,C1953)</f>
        <v>3</v>
      </c>
    </row>
    <row r="1979" customFormat="false" ht="15" hidden="false" customHeight="false" outlineLevel="0" collapsed="false">
      <c r="A1979" s="5" t="s">
        <v>460</v>
      </c>
      <c r="C1979" s="20" t="n">
        <f aca="false">IF(C1959&gt;0,Assumptions!$C$17,C1954)</f>
        <v>4</v>
      </c>
    </row>
    <row r="1980" customFormat="false" ht="15" hidden="false" customHeight="false" outlineLevel="0" collapsed="false">
      <c r="A1980" s="23" t="s">
        <v>467</v>
      </c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</row>
    <row r="1981" customFormat="false" ht="15" hidden="false" customHeight="false" outlineLevel="0" collapsed="false">
      <c r="A1981" s="5" t="s">
        <v>457</v>
      </c>
      <c r="C1981" s="25" t="n">
        <f aca="false">SUMPRODUCT(($C$1976:$C$1979&lt;C1976)*$C$1971:$C$1974)</f>
        <v>0</v>
      </c>
    </row>
    <row r="1982" customFormat="false" ht="15" hidden="false" customHeight="false" outlineLevel="0" collapsed="false">
      <c r="A1982" s="5" t="s">
        <v>458</v>
      </c>
      <c r="C1982" s="25" t="n">
        <f aca="false">SUMPRODUCT(($C$1976:$C$1979&lt;C1977)*$C$1971:$C$1974)</f>
        <v>152.55956</v>
      </c>
    </row>
    <row r="1983" customFormat="false" ht="15" hidden="false" customHeight="false" outlineLevel="0" collapsed="false">
      <c r="A1983" s="5" t="s">
        <v>459</v>
      </c>
      <c r="C1983" s="25" t="n">
        <f aca="false">SUMPRODUCT(($C$1976:$C$1979&lt;C1978)*$C$1971:$C$1974)</f>
        <v>674.96326</v>
      </c>
    </row>
    <row r="1984" customFormat="false" ht="15" hidden="false" customHeight="false" outlineLevel="0" collapsed="false">
      <c r="A1984" s="5" t="s">
        <v>460</v>
      </c>
      <c r="C1984" s="25" t="n">
        <f aca="false">SUMPRODUCT(($C$1976:$C$1979&lt;C1979)*$C$1971:$C$1974)</f>
        <v>931.83826</v>
      </c>
    </row>
    <row r="1985" customFormat="false" ht="15" hidden="false" customHeight="false" outlineLevel="0" collapsed="false">
      <c r="A1985" s="23" t="s">
        <v>468</v>
      </c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</row>
    <row r="1986" customFormat="false" ht="15" hidden="false" customHeight="false" outlineLevel="0" collapsed="false">
      <c r="A1986" s="5" t="s">
        <v>457</v>
      </c>
      <c r="C1986" s="25" t="n">
        <f aca="false">SUMPRODUCT(($C$1976:$C$1979=C1976)*$C$1971:$C$1974)</f>
        <v>152.55956</v>
      </c>
    </row>
    <row r="1987" customFormat="false" ht="15" hidden="false" customHeight="false" outlineLevel="0" collapsed="false">
      <c r="A1987" s="5" t="s">
        <v>458</v>
      </c>
      <c r="C1987" s="25" t="n">
        <f aca="false">SUMPRODUCT(($C$1976:$C$1979=C1977)*$C$1971:$C$1974)</f>
        <v>522.4037</v>
      </c>
    </row>
    <row r="1988" customFormat="false" ht="15" hidden="false" customHeight="false" outlineLevel="0" collapsed="false">
      <c r="A1988" s="5" t="s">
        <v>459</v>
      </c>
      <c r="C1988" s="25" t="n">
        <f aca="false">SUMPRODUCT(($C$1976:$C$1979=C1978)*$C$1971:$C$1974)</f>
        <v>256.875</v>
      </c>
    </row>
    <row r="1989" customFormat="false" ht="15" hidden="false" customHeight="false" outlineLevel="0" collapsed="false">
      <c r="A1989" s="5" t="s">
        <v>460</v>
      </c>
      <c r="C1989" s="25" t="n">
        <f aca="false">SUMPRODUCT(($C$1976:$C$1979=C1979)*$C$1971:$C$1974)</f>
        <v>305.625</v>
      </c>
    </row>
    <row r="1990" customFormat="false" ht="15" hidden="false" customHeight="false" outlineLevel="0" collapsed="false">
      <c r="A1990" s="23" t="s">
        <v>469</v>
      </c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</row>
    <row r="1991" customFormat="false" ht="15" hidden="false" customHeight="false" outlineLevel="0" collapsed="false">
      <c r="A1991" s="5" t="s">
        <v>457</v>
      </c>
      <c r="C1991" s="25" t="n">
        <f aca="false">IF(C1986=0,0,C1971/C1986*MAX(0,MIN(C1986,$C$1944-SUM($C$1961:$C$1964)-C1981)))</f>
        <v>152.55956</v>
      </c>
    </row>
    <row r="1992" customFormat="false" ht="15" hidden="false" customHeight="false" outlineLevel="0" collapsed="false">
      <c r="A1992" s="5" t="s">
        <v>458</v>
      </c>
      <c r="C1992" s="25" t="n">
        <f aca="false">IF(C1987=0,0,C1972/C1987*MAX(0,MIN(C1987,$C$1944-SUM($C$1961:$C$1964)-C1982)))</f>
        <v>452.6247472</v>
      </c>
    </row>
    <row r="1993" customFormat="false" ht="15" hidden="false" customHeight="false" outlineLevel="0" collapsed="false">
      <c r="A1993" s="5" t="s">
        <v>459</v>
      </c>
      <c r="C1993" s="25" t="n">
        <f aca="false">IF(C1988=0,0,C1973/C1988*MAX(0,MIN(C1988,$C$1944-SUM($C$1961:$C$1964)-C1983)))</f>
        <v>0</v>
      </c>
    </row>
    <row r="1994" customFormat="false" ht="15" hidden="false" customHeight="false" outlineLevel="0" collapsed="false">
      <c r="A1994" s="5" t="s">
        <v>460</v>
      </c>
      <c r="C1994" s="25" t="n">
        <f aca="false">IF(C1989=0,0,C1974/C1989*MAX(0,MIN(C1989,$C$1944-SUM($C$1961:$C$1964)-C1984)))</f>
        <v>0</v>
      </c>
    </row>
    <row r="1995" customFormat="false" ht="15" hidden="false" customHeight="false" outlineLevel="0" collapsed="false">
      <c r="A1995" s="23" t="s">
        <v>470</v>
      </c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</row>
    <row r="1996" customFormat="false" ht="15" hidden="false" customHeight="false" outlineLevel="0" collapsed="false">
      <c r="A1996" s="2" t="s">
        <v>457</v>
      </c>
      <c r="C1996" s="16" t="n">
        <f aca="false">C1961+C1991</f>
        <v>152.55956</v>
      </c>
    </row>
    <row r="1997" customFormat="false" ht="15" hidden="false" customHeight="false" outlineLevel="0" collapsed="false">
      <c r="A1997" s="2" t="s">
        <v>458</v>
      </c>
      <c r="C1997" s="16" t="n">
        <f aca="false">C1962+C1992</f>
        <v>452.6247472</v>
      </c>
    </row>
    <row r="1998" customFormat="false" ht="15" hidden="false" customHeight="false" outlineLevel="0" collapsed="false">
      <c r="A1998" s="2" t="s">
        <v>459</v>
      </c>
      <c r="C1998" s="16" t="n">
        <f aca="false">C1963+C1993</f>
        <v>0</v>
      </c>
    </row>
    <row r="1999" customFormat="false" ht="15" hidden="false" customHeight="false" outlineLevel="0" collapsed="false">
      <c r="A1999" s="2" t="s">
        <v>460</v>
      </c>
      <c r="C1999" s="16" t="n">
        <f aca="false">C1964+C1994</f>
        <v>0</v>
      </c>
    </row>
    <row r="2000" customFormat="false" ht="15" hidden="false" customHeight="false" outlineLevel="0" collapsed="false">
      <c r="A2000" s="23" t="s">
        <v>471</v>
      </c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</row>
    <row r="2001" customFormat="false" ht="15" hidden="false" customHeight="false" outlineLevel="0" collapsed="false">
      <c r="A2001" s="5" t="s">
        <v>457</v>
      </c>
      <c r="C2001" s="21" t="n">
        <f aca="false">IF(C1946=0,1,C1996/C1946)</f>
        <v>1</v>
      </c>
    </row>
    <row r="2002" customFormat="false" ht="15" hidden="false" customHeight="false" outlineLevel="0" collapsed="false">
      <c r="A2002" s="5" t="s">
        <v>458</v>
      </c>
      <c r="C2002" s="21" t="n">
        <f aca="false">IF(C1947=0,1,C1997/C1947)</f>
        <v>0.866427146668372</v>
      </c>
    </row>
    <row r="2003" customFormat="false" ht="15" hidden="false" customHeight="false" outlineLevel="0" collapsed="false">
      <c r="A2003" s="5" t="s">
        <v>459</v>
      </c>
      <c r="C2003" s="21" t="n">
        <f aca="false">IF(C1948=0,1,C1998/C1948)</f>
        <v>0</v>
      </c>
    </row>
    <row r="2004" customFormat="false" ht="15" hidden="false" customHeight="false" outlineLevel="0" collapsed="false">
      <c r="A2004" s="5" t="s">
        <v>460</v>
      </c>
      <c r="C2004" s="21" t="n">
        <f aca="false">IF(C1949=0,1,C1999/C1949)</f>
        <v>0</v>
      </c>
    </row>
    <row r="2005" customFormat="false" ht="15" hidden="false" customHeight="false" outlineLevel="0" collapsed="false">
      <c r="A2005" s="23" t="s">
        <v>472</v>
      </c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</row>
    <row r="2006" customFormat="false" ht="15" hidden="false" customHeight="false" outlineLevel="0" collapsed="false">
      <c r="A2006" s="5" t="s">
        <v>457</v>
      </c>
      <c r="C2006" s="25" t="n">
        <f aca="false">C1946-C1996</f>
        <v>0</v>
      </c>
    </row>
    <row r="2007" customFormat="false" ht="15" hidden="false" customHeight="false" outlineLevel="0" collapsed="false">
      <c r="A2007" s="5" t="s">
        <v>458</v>
      </c>
      <c r="C2007" s="25" t="n">
        <f aca="false">C1947-C1997</f>
        <v>69.7789528000001</v>
      </c>
    </row>
    <row r="2008" customFormat="false" ht="15" hidden="false" customHeight="false" outlineLevel="0" collapsed="false">
      <c r="A2008" s="5" t="s">
        <v>459</v>
      </c>
      <c r="C2008" s="25" t="n">
        <f aca="false">C1948-C1998</f>
        <v>256.875</v>
      </c>
    </row>
    <row r="2009" customFormat="false" ht="15" hidden="false" customHeight="false" outlineLevel="0" collapsed="false">
      <c r="A2009" s="5" t="s">
        <v>460</v>
      </c>
      <c r="C2009" s="25" t="n">
        <f aca="false">C1949-C1999</f>
        <v>305.625</v>
      </c>
    </row>
    <row r="2010" customFormat="false" ht="15" hidden="false" customHeight="false" outlineLevel="0" collapsed="false">
      <c r="A2010" s="23" t="s">
        <v>473</v>
      </c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</row>
    <row r="2011" customFormat="false" ht="15" hidden="false" customHeight="false" outlineLevel="0" collapsed="false">
      <c r="A2011" s="5" t="s">
        <v>457</v>
      </c>
      <c r="C2011" s="21" t="n">
        <f aca="false">IF(C1946=0,0,C2006/C1946)</f>
        <v>0</v>
      </c>
    </row>
    <row r="2012" customFormat="false" ht="15" hidden="false" customHeight="false" outlineLevel="0" collapsed="false">
      <c r="A2012" s="5" t="s">
        <v>458</v>
      </c>
      <c r="C2012" s="21" t="n">
        <f aca="false">IF(C1947=0,0,C2007/C1947)</f>
        <v>0.133572853331629</v>
      </c>
    </row>
    <row r="2013" customFormat="false" ht="15" hidden="false" customHeight="false" outlineLevel="0" collapsed="false">
      <c r="A2013" s="5" t="s">
        <v>459</v>
      </c>
      <c r="C2013" s="21" t="n">
        <f aca="false">IF(C1948=0,0,C2008/C1948)</f>
        <v>1</v>
      </c>
    </row>
    <row r="2014" customFormat="false" ht="15" hidden="false" customHeight="false" outlineLevel="0" collapsed="false">
      <c r="A2014" s="5" t="s">
        <v>460</v>
      </c>
      <c r="C2014" s="21" t="n">
        <f aca="false">IF(C1949=0,0,C2009/C1949)</f>
        <v>1</v>
      </c>
    </row>
    <row r="2015" customFormat="false" ht="15" hidden="false" customHeight="false" outlineLevel="0" collapsed="false">
      <c r="A2015" s="2" t="s">
        <v>474</v>
      </c>
      <c r="C2015" s="16" t="n">
        <f aca="false">MAX(0,$C$1944-SUM($C$1961:$C$1964)-SUM($C$1971:$C$1974))</f>
        <v>0</v>
      </c>
    </row>
    <row r="2016" customFormat="false" ht="15" hidden="false" customHeight="false" outlineLevel="0" collapsed="false">
      <c r="A2016" s="5" t="s">
        <v>475</v>
      </c>
      <c r="C2016" s="25" t="n">
        <f aca="false">SUM($C$1996:$C$1999)+C2015+C1943-C1942</f>
        <v>0</v>
      </c>
    </row>
    <row r="2018" customFormat="false" ht="15" hidden="false" customHeight="false" outlineLevel="0" collapsed="false">
      <c r="A2018" s="23" t="s">
        <v>478</v>
      </c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</row>
    <row r="2019" customFormat="false" ht="15" hidden="false" customHeight="false" outlineLevel="0" collapsed="false">
      <c r="A2019" s="5" t="s">
        <v>479</v>
      </c>
      <c r="C2019" s="26" t="n">
        <f aca="false">Assumptions!$C$30</f>
        <v>2</v>
      </c>
    </row>
    <row r="2020" customFormat="false" ht="15" hidden="false" customHeight="false" outlineLevel="0" collapsed="false">
      <c r="A2020" s="5" t="s">
        <v>480</v>
      </c>
      <c r="C2020" s="28" t="n">
        <f aca="false">Assumptions!$C$31</f>
        <v>100</v>
      </c>
    </row>
    <row r="2021" customFormat="false" ht="15" hidden="false" customHeight="false" outlineLevel="0" collapsed="false">
      <c r="A2021" s="5" t="s">
        <v>481</v>
      </c>
      <c r="C2021" s="39" t="n">
        <f aca="false">Assumptions!$C$32</f>
        <v>78</v>
      </c>
    </row>
    <row r="2022" customFormat="false" ht="15" hidden="false" customHeight="false" outlineLevel="0" collapsed="false">
      <c r="A2022" s="5" t="s">
        <v>482</v>
      </c>
      <c r="C2022" s="25" t="n">
        <f aca="false">C2020*C2021/100*(1+Assumptions!$C$33)</f>
        <v>78.39</v>
      </c>
    </row>
    <row r="2023" customFormat="false" ht="15" hidden="false" customHeight="false" outlineLevel="0" collapsed="false">
      <c r="A2023" s="5" t="s">
        <v>483</v>
      </c>
      <c r="C2023" s="26" t="n">
        <f aca="false">Assumptions!$C$34</f>
        <v>2</v>
      </c>
    </row>
    <row r="2024" customFormat="false" ht="15" hidden="false" customHeight="false" outlineLevel="0" collapsed="false">
      <c r="A2024" s="5" t="s">
        <v>484</v>
      </c>
      <c r="C2024" s="20" t="n">
        <f aca="false">IF(C1935=1,SUMPRODUCT($G$1903:$K$1903,$G$1779:$K$1779),0)</f>
        <v>2</v>
      </c>
    </row>
    <row r="2025" customFormat="false" ht="15" hidden="false" customHeight="false" outlineLevel="0" collapsed="false">
      <c r="A2025" s="5" t="s">
        <v>485</v>
      </c>
      <c r="C2025" s="21" t="n">
        <f aca="false">IFERROR(C2020/CHOOSE(C2019,SUMPRODUCT($G$1934:$K$1934,$G$1825:$K$1825),SUMPRODUCT($G$1934:$K$1934,$G$1838:$K$1838),SUMPRODUCT($G$1934:$K$1934,$G$1851:$K$1851),SUMPRODUCT($G$1934:$K$1934,$G$1864:$K$1864)),0)</f>
        <v>0.196232339089482</v>
      </c>
    </row>
    <row r="2026" customFormat="false" ht="15" hidden="false" customHeight="false" outlineLevel="0" collapsed="false">
      <c r="A2026" s="5" t="s">
        <v>486</v>
      </c>
      <c r="C2026" s="25" t="n">
        <f aca="false">CHOOSE(C2019,C1996,C1997,C1998,C1999)*C2025</f>
        <v>88.8196128728414</v>
      </c>
    </row>
    <row r="2027" customFormat="false" ht="15" hidden="false" customHeight="false" outlineLevel="0" collapsed="false">
      <c r="A2027" s="5" t="s">
        <v>487</v>
      </c>
      <c r="C2027" s="21" t="n">
        <f aca="false">CHOOSE(C2019,C2001,C2002,C2003,C2004)</f>
        <v>0.866427146668372</v>
      </c>
    </row>
    <row r="2028" customFormat="false" ht="15" hidden="false" customHeight="false" outlineLevel="0" collapsed="false">
      <c r="A2028" s="5" t="s">
        <v>488</v>
      </c>
      <c r="C2028" s="20" t="n">
        <f aca="false">IF(C1935=1,C2024,C2023)</f>
        <v>2</v>
      </c>
    </row>
    <row r="2029" customFormat="false" ht="15" hidden="false" customHeight="false" outlineLevel="0" collapsed="false">
      <c r="A2029" s="5" t="s">
        <v>489</v>
      </c>
      <c r="C2029" s="33" t="n">
        <f aca="false">CHOOSE($C$1771,Assumptions!$C$77,Assumptions!$C$96,Assumptions!$C$115)</f>
        <v>100</v>
      </c>
    </row>
    <row r="2030" customFormat="false" ht="15" hidden="false" customHeight="false" outlineLevel="0" collapsed="false">
      <c r="A2030" s="5" t="s">
        <v>490</v>
      </c>
      <c r="C2030" s="25" t="n">
        <f aca="false">INDEX($G$1788:$K$1788,C2023)*CHOOSE($C$1771,Assumptions!$C$76,Assumptions!$C$95,Assumptions!$C$114)+MAX(0,INDEX($G$1900:$K$1900,C2023))</f>
        <v>1024.40052</v>
      </c>
    </row>
    <row r="2031" customFormat="false" ht="15" hidden="false" customHeight="false" outlineLevel="0" collapsed="false">
      <c r="A2031" s="23" t="s">
        <v>491</v>
      </c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</row>
    <row r="2032" customFormat="false" ht="15" hidden="false" customHeight="false" outlineLevel="0" collapsed="false">
      <c r="A2032" s="5" t="s">
        <v>457</v>
      </c>
      <c r="C2032" s="25" t="n">
        <f aca="false">INDEX($G$1825:$K$1825,C2023)</f>
        <v>149.44</v>
      </c>
    </row>
    <row r="2033" customFormat="false" ht="15" hidden="false" customHeight="false" outlineLevel="0" collapsed="false">
      <c r="A2033" s="5" t="s">
        <v>458</v>
      </c>
      <c r="C2033" s="25" t="n">
        <f aca="false">INDEX($G$1838:$K$1838,C2023)</f>
        <v>509.6</v>
      </c>
    </row>
    <row r="2034" customFormat="false" ht="15" hidden="false" customHeight="false" outlineLevel="0" collapsed="false">
      <c r="A2034" s="5" t="s">
        <v>459</v>
      </c>
      <c r="C2034" s="25" t="n">
        <f aca="false">INDEX($G$1851:$K$1851,C2023)</f>
        <v>250</v>
      </c>
    </row>
    <row r="2035" customFormat="false" ht="15" hidden="false" customHeight="false" outlineLevel="0" collapsed="false">
      <c r="A2035" s="5" t="s">
        <v>460</v>
      </c>
      <c r="C2035" s="25" t="n">
        <f aca="false">INDEX($G$1864:$K$1864,C2023)</f>
        <v>300</v>
      </c>
    </row>
    <row r="2036" customFormat="false" ht="15" hidden="false" customHeight="false" outlineLevel="0" collapsed="false">
      <c r="A2036" s="23" t="s">
        <v>461</v>
      </c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</row>
    <row r="2037" customFormat="false" ht="15" hidden="false" customHeight="false" outlineLevel="0" collapsed="false">
      <c r="A2037" s="5" t="s">
        <v>457</v>
      </c>
      <c r="C2037" s="26" t="n">
        <f aca="false">Assumptions!$M$53</f>
        <v>1</v>
      </c>
    </row>
    <row r="2038" customFormat="false" ht="15" hidden="false" customHeight="false" outlineLevel="0" collapsed="false">
      <c r="A2038" s="5" t="s">
        <v>458</v>
      </c>
      <c r="C2038" s="26" t="n">
        <f aca="false">Assumptions!$M$54</f>
        <v>2</v>
      </c>
    </row>
    <row r="2039" customFormat="false" ht="15" hidden="false" customHeight="false" outlineLevel="0" collapsed="false">
      <c r="A2039" s="5" t="s">
        <v>459</v>
      </c>
      <c r="C2039" s="26" t="n">
        <f aca="false">Assumptions!$M$55</f>
        <v>3</v>
      </c>
    </row>
    <row r="2040" customFormat="false" ht="15" hidden="false" customHeight="false" outlineLevel="0" collapsed="false">
      <c r="A2040" s="5" t="s">
        <v>460</v>
      </c>
      <c r="C2040" s="26" t="n">
        <f aca="false">Assumptions!$M$56</f>
        <v>4</v>
      </c>
    </row>
    <row r="2041" customFormat="false" ht="15" hidden="false" customHeight="false" outlineLevel="0" collapsed="false">
      <c r="A2041" s="23" t="s">
        <v>462</v>
      </c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</row>
    <row r="2042" customFormat="false" ht="15" hidden="false" customHeight="false" outlineLevel="0" collapsed="false">
      <c r="A2042" s="5" t="s">
        <v>457</v>
      </c>
      <c r="C2042" s="34" t="n">
        <f aca="false">Assumptions!$Q$53</f>
        <v>0</v>
      </c>
    </row>
    <row r="2043" customFormat="false" ht="15" hidden="false" customHeight="false" outlineLevel="0" collapsed="false">
      <c r="A2043" s="5" t="s">
        <v>458</v>
      </c>
      <c r="C2043" s="34" t="n">
        <f aca="false">Assumptions!$Q$54</f>
        <v>0</v>
      </c>
    </row>
    <row r="2044" customFormat="false" ht="15" hidden="false" customHeight="false" outlineLevel="0" collapsed="false">
      <c r="A2044" s="5" t="s">
        <v>459</v>
      </c>
      <c r="C2044" s="34" t="n">
        <f aca="false">Assumptions!$Q$55</f>
        <v>0</v>
      </c>
    </row>
    <row r="2045" customFormat="false" ht="15" hidden="false" customHeight="false" outlineLevel="0" collapsed="false">
      <c r="A2045" s="5" t="s">
        <v>460</v>
      </c>
      <c r="C2045" s="34" t="n">
        <f aca="false">Assumptions!$Q$56</f>
        <v>0</v>
      </c>
    </row>
    <row r="2046" customFormat="false" ht="15" hidden="false" customHeight="false" outlineLevel="0" collapsed="false">
      <c r="A2046" s="23" t="s">
        <v>463</v>
      </c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</row>
    <row r="2047" customFormat="false" ht="15" hidden="false" customHeight="false" outlineLevel="0" collapsed="false">
      <c r="A2047" s="5" t="s">
        <v>457</v>
      </c>
      <c r="C2047" s="25" t="n">
        <f aca="false">IF(C2042&gt;0,MIN(C2032,C2042*$C$2030),0)</f>
        <v>0</v>
      </c>
    </row>
    <row r="2048" customFormat="false" ht="15" hidden="false" customHeight="false" outlineLevel="0" collapsed="false">
      <c r="A2048" s="5" t="s">
        <v>458</v>
      </c>
      <c r="C2048" s="25" t="n">
        <f aca="false">IF(C2043&gt;0,MIN(C2033,C2043*$C$2030),0)</f>
        <v>0</v>
      </c>
    </row>
    <row r="2049" customFormat="false" ht="15" hidden="false" customHeight="false" outlineLevel="0" collapsed="false">
      <c r="A2049" s="5" t="s">
        <v>459</v>
      </c>
      <c r="C2049" s="25" t="n">
        <f aca="false">IF(C2044&gt;0,MIN(C2034,C2044*$C$2030),0)</f>
        <v>0</v>
      </c>
    </row>
    <row r="2050" customFormat="false" ht="15" hidden="false" customHeight="false" outlineLevel="0" collapsed="false">
      <c r="A2050" s="5" t="s">
        <v>460</v>
      </c>
      <c r="C2050" s="25" t="n">
        <f aca="false">IF(C2045&gt;0,MIN(C2035,C2045*$C$2030),0)</f>
        <v>0</v>
      </c>
    </row>
    <row r="2051" customFormat="false" ht="15" hidden="false" customHeight="false" outlineLevel="0" collapsed="false">
      <c r="A2051" s="23" t="s">
        <v>464</v>
      </c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</row>
    <row r="2052" customFormat="false" ht="15" hidden="false" customHeight="false" outlineLevel="0" collapsed="false">
      <c r="A2052" s="5" t="s">
        <v>457</v>
      </c>
      <c r="C2052" s="25" t="n">
        <f aca="false">IF(C2042&gt;0,C2032-C2047,0)</f>
        <v>0</v>
      </c>
    </row>
    <row r="2053" customFormat="false" ht="15" hidden="false" customHeight="false" outlineLevel="0" collapsed="false">
      <c r="A2053" s="5" t="s">
        <v>458</v>
      </c>
      <c r="C2053" s="25" t="n">
        <f aca="false">IF(C2043&gt;0,C2033-C2048,0)</f>
        <v>0</v>
      </c>
    </row>
    <row r="2054" customFormat="false" ht="15" hidden="false" customHeight="false" outlineLevel="0" collapsed="false">
      <c r="A2054" s="5" t="s">
        <v>459</v>
      </c>
      <c r="C2054" s="25" t="n">
        <f aca="false">IF(C2044&gt;0,C2034-C2049,0)</f>
        <v>0</v>
      </c>
    </row>
    <row r="2055" customFormat="false" ht="15" hidden="false" customHeight="false" outlineLevel="0" collapsed="false">
      <c r="A2055" s="5" t="s">
        <v>460</v>
      </c>
      <c r="C2055" s="25" t="n">
        <f aca="false">IF(C2045&gt;0,C2035-C2050,0)</f>
        <v>0</v>
      </c>
    </row>
    <row r="2056" customFormat="false" ht="15" hidden="false" customHeight="false" outlineLevel="0" collapsed="false">
      <c r="A2056" s="23" t="s">
        <v>465</v>
      </c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</row>
    <row r="2057" customFormat="false" ht="15" hidden="false" customHeight="false" outlineLevel="0" collapsed="false">
      <c r="A2057" s="5" t="s">
        <v>457</v>
      </c>
      <c r="C2057" s="25" t="n">
        <f aca="false">IF(C2042&gt;0,C2052,C2032)</f>
        <v>149.44</v>
      </c>
    </row>
    <row r="2058" customFormat="false" ht="15" hidden="false" customHeight="false" outlineLevel="0" collapsed="false">
      <c r="A2058" s="5" t="s">
        <v>458</v>
      </c>
      <c r="C2058" s="25" t="n">
        <f aca="false">IF(C2043&gt;0,C2053,C2033)</f>
        <v>509.6</v>
      </c>
    </row>
    <row r="2059" customFormat="false" ht="15" hidden="false" customHeight="false" outlineLevel="0" collapsed="false">
      <c r="A2059" s="5" t="s">
        <v>459</v>
      </c>
      <c r="C2059" s="25" t="n">
        <f aca="false">IF(C2044&gt;0,C2054,C2034)</f>
        <v>250</v>
      </c>
    </row>
    <row r="2060" customFormat="false" ht="15" hidden="false" customHeight="false" outlineLevel="0" collapsed="false">
      <c r="A2060" s="5" t="s">
        <v>460</v>
      </c>
      <c r="C2060" s="25" t="n">
        <f aca="false">IF(C2045&gt;0,C2055,C2035)</f>
        <v>300</v>
      </c>
    </row>
    <row r="2061" customFormat="false" ht="15" hidden="false" customHeight="false" outlineLevel="0" collapsed="false">
      <c r="A2061" s="23" t="s">
        <v>466</v>
      </c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</row>
    <row r="2062" customFormat="false" ht="15" hidden="false" customHeight="false" outlineLevel="0" collapsed="false">
      <c r="A2062" s="5" t="s">
        <v>457</v>
      </c>
      <c r="C2062" s="20" t="n">
        <f aca="false">IF(C2042&gt;0,Assumptions!$C$17,C2037)</f>
        <v>1</v>
      </c>
    </row>
    <row r="2063" customFormat="false" ht="15" hidden="false" customHeight="false" outlineLevel="0" collapsed="false">
      <c r="A2063" s="5" t="s">
        <v>458</v>
      </c>
      <c r="C2063" s="20" t="n">
        <f aca="false">IF(C2043&gt;0,Assumptions!$C$17,C2038)</f>
        <v>2</v>
      </c>
    </row>
    <row r="2064" customFormat="false" ht="15" hidden="false" customHeight="false" outlineLevel="0" collapsed="false">
      <c r="A2064" s="5" t="s">
        <v>459</v>
      </c>
      <c r="C2064" s="20" t="n">
        <f aca="false">IF(C2044&gt;0,Assumptions!$C$17,C2039)</f>
        <v>3</v>
      </c>
    </row>
    <row r="2065" customFormat="false" ht="15" hidden="false" customHeight="false" outlineLevel="0" collapsed="false">
      <c r="A2065" s="5" t="s">
        <v>460</v>
      </c>
      <c r="C2065" s="20" t="n">
        <f aca="false">IF(C2045&gt;0,Assumptions!$C$17,C2040)</f>
        <v>4</v>
      </c>
    </row>
    <row r="2066" customFormat="false" ht="15" hidden="false" customHeight="false" outlineLevel="0" collapsed="false">
      <c r="A2066" s="23" t="s">
        <v>467</v>
      </c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</row>
    <row r="2067" customFormat="false" ht="15" hidden="false" customHeight="false" outlineLevel="0" collapsed="false">
      <c r="A2067" s="5" t="s">
        <v>457</v>
      </c>
      <c r="C2067" s="25" t="n">
        <f aca="false">SUMPRODUCT(($C$2062:$C$2065&lt;C2062)*$C$2057:$C$2060)</f>
        <v>0</v>
      </c>
    </row>
    <row r="2068" customFormat="false" ht="15" hidden="false" customHeight="false" outlineLevel="0" collapsed="false">
      <c r="A2068" s="5" t="s">
        <v>458</v>
      </c>
      <c r="C2068" s="25" t="n">
        <f aca="false">SUMPRODUCT(($C$2062:$C$2065&lt;C2063)*$C$2057:$C$2060)</f>
        <v>149.44</v>
      </c>
    </row>
    <row r="2069" customFormat="false" ht="15" hidden="false" customHeight="false" outlineLevel="0" collapsed="false">
      <c r="A2069" s="5" t="s">
        <v>459</v>
      </c>
      <c r="C2069" s="25" t="n">
        <f aca="false">SUMPRODUCT(($C$2062:$C$2065&lt;C2064)*$C$2057:$C$2060)</f>
        <v>659.04</v>
      </c>
    </row>
    <row r="2070" customFormat="false" ht="15" hidden="false" customHeight="false" outlineLevel="0" collapsed="false">
      <c r="A2070" s="5" t="s">
        <v>460</v>
      </c>
      <c r="C2070" s="25" t="n">
        <f aca="false">SUMPRODUCT(($C$2062:$C$2065&lt;C2065)*$C$2057:$C$2060)</f>
        <v>909.04</v>
      </c>
    </row>
    <row r="2071" customFormat="false" ht="15" hidden="false" customHeight="false" outlineLevel="0" collapsed="false">
      <c r="A2071" s="23" t="s">
        <v>468</v>
      </c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</row>
    <row r="2072" customFormat="false" ht="15" hidden="false" customHeight="false" outlineLevel="0" collapsed="false">
      <c r="A2072" s="5" t="s">
        <v>457</v>
      </c>
      <c r="C2072" s="25" t="n">
        <f aca="false">SUMPRODUCT(($C$2062:$C$2065=C2062)*$C$2057:$C$2060)</f>
        <v>149.44</v>
      </c>
    </row>
    <row r="2073" customFormat="false" ht="15" hidden="false" customHeight="false" outlineLevel="0" collapsed="false">
      <c r="A2073" s="5" t="s">
        <v>458</v>
      </c>
      <c r="C2073" s="25" t="n">
        <f aca="false">SUMPRODUCT(($C$2062:$C$2065=C2063)*$C$2057:$C$2060)</f>
        <v>509.6</v>
      </c>
    </row>
    <row r="2074" customFormat="false" ht="15" hidden="false" customHeight="false" outlineLevel="0" collapsed="false">
      <c r="A2074" s="5" t="s">
        <v>459</v>
      </c>
      <c r="C2074" s="25" t="n">
        <f aca="false">SUMPRODUCT(($C$2062:$C$2065=C2064)*$C$2057:$C$2060)</f>
        <v>250</v>
      </c>
    </row>
    <row r="2075" customFormat="false" ht="15" hidden="false" customHeight="false" outlineLevel="0" collapsed="false">
      <c r="A2075" s="5" t="s">
        <v>460</v>
      </c>
      <c r="C2075" s="25" t="n">
        <f aca="false">SUMPRODUCT(($C$2062:$C$2065=C2065)*$C$2057:$C$2060)</f>
        <v>300</v>
      </c>
    </row>
    <row r="2076" customFormat="false" ht="15" hidden="false" customHeight="false" outlineLevel="0" collapsed="false">
      <c r="A2076" s="23" t="s">
        <v>469</v>
      </c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</row>
    <row r="2077" customFormat="false" ht="15" hidden="false" customHeight="false" outlineLevel="0" collapsed="false">
      <c r="A2077" s="5" t="s">
        <v>457</v>
      </c>
      <c r="C2077" s="25" t="n">
        <f aca="false">IF(C2072=0,0,C2057/C2072*MAX(0,MIN(C2072,$C$2030-SUM($C$2047:$C$2050)-C2067)))</f>
        <v>149.44</v>
      </c>
    </row>
    <row r="2078" customFormat="false" ht="15" hidden="false" customHeight="false" outlineLevel="0" collapsed="false">
      <c r="A2078" s="5" t="s">
        <v>458</v>
      </c>
      <c r="C2078" s="25" t="n">
        <f aca="false">IF(C2073=0,0,C2058/C2073*MAX(0,MIN(C2073,$C$2030-SUM($C$2047:$C$2050)-C2068)))</f>
        <v>509.6</v>
      </c>
    </row>
    <row r="2079" customFormat="false" ht="15" hidden="false" customHeight="false" outlineLevel="0" collapsed="false">
      <c r="A2079" s="5" t="s">
        <v>459</v>
      </c>
      <c r="C2079" s="25" t="n">
        <f aca="false">IF(C2074=0,0,C2059/C2074*MAX(0,MIN(C2074,$C$2030-SUM($C$2047:$C$2050)-C2069)))</f>
        <v>250</v>
      </c>
    </row>
    <row r="2080" customFormat="false" ht="15" hidden="false" customHeight="false" outlineLevel="0" collapsed="false">
      <c r="A2080" s="5" t="s">
        <v>460</v>
      </c>
      <c r="C2080" s="25" t="n">
        <f aca="false">IF(C2075=0,0,C2060/C2075*MAX(0,MIN(C2075,$C$2030-SUM($C$2047:$C$2050)-C2070)))</f>
        <v>115.36052</v>
      </c>
    </row>
    <row r="2081" customFormat="false" ht="15" hidden="false" customHeight="false" outlineLevel="0" collapsed="false">
      <c r="A2081" s="23" t="s">
        <v>470</v>
      </c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</row>
    <row r="2082" customFormat="false" ht="15" hidden="false" customHeight="false" outlineLevel="0" collapsed="false">
      <c r="A2082" s="2" t="s">
        <v>457</v>
      </c>
      <c r="C2082" s="16" t="n">
        <f aca="false">C2047+C2077</f>
        <v>149.44</v>
      </c>
    </row>
    <row r="2083" customFormat="false" ht="15" hidden="false" customHeight="false" outlineLevel="0" collapsed="false">
      <c r="A2083" s="2" t="s">
        <v>458</v>
      </c>
      <c r="C2083" s="16" t="n">
        <f aca="false">C2048+C2078</f>
        <v>509.6</v>
      </c>
    </row>
    <row r="2084" customFormat="false" ht="15" hidden="false" customHeight="false" outlineLevel="0" collapsed="false">
      <c r="A2084" s="2" t="s">
        <v>459</v>
      </c>
      <c r="C2084" s="16" t="n">
        <f aca="false">C2049+C2079</f>
        <v>250</v>
      </c>
    </row>
    <row r="2085" customFormat="false" ht="15" hidden="false" customHeight="false" outlineLevel="0" collapsed="false">
      <c r="A2085" s="2" t="s">
        <v>460</v>
      </c>
      <c r="C2085" s="16" t="n">
        <f aca="false">C2050+C2080</f>
        <v>115.36052</v>
      </c>
    </row>
    <row r="2086" customFormat="false" ht="15" hidden="false" customHeight="false" outlineLevel="0" collapsed="false">
      <c r="A2086" s="23" t="s">
        <v>471</v>
      </c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</row>
    <row r="2087" customFormat="false" ht="15" hidden="false" customHeight="false" outlineLevel="0" collapsed="false">
      <c r="A2087" s="5" t="s">
        <v>457</v>
      </c>
      <c r="C2087" s="21" t="n">
        <f aca="false">IF(C2032=0,1,C2082/C2032)</f>
        <v>1</v>
      </c>
    </row>
    <row r="2088" customFormat="false" ht="15" hidden="false" customHeight="false" outlineLevel="0" collapsed="false">
      <c r="A2088" s="5" t="s">
        <v>458</v>
      </c>
      <c r="C2088" s="21" t="n">
        <f aca="false">IF(C2033=0,1,C2083/C2033)</f>
        <v>1</v>
      </c>
    </row>
    <row r="2089" customFormat="false" ht="15" hidden="false" customHeight="false" outlineLevel="0" collapsed="false">
      <c r="A2089" s="5" t="s">
        <v>459</v>
      </c>
      <c r="C2089" s="21" t="n">
        <f aca="false">IF(C2034=0,1,C2084/C2034)</f>
        <v>1</v>
      </c>
    </row>
    <row r="2090" customFormat="false" ht="15" hidden="false" customHeight="false" outlineLevel="0" collapsed="false">
      <c r="A2090" s="5" t="s">
        <v>460</v>
      </c>
      <c r="C2090" s="21" t="n">
        <f aca="false">IF(C2035=0,1,C2085/C2035)</f>
        <v>0.384535066666667</v>
      </c>
    </row>
    <row r="2091" customFormat="false" ht="15" hidden="false" customHeight="false" outlineLevel="0" collapsed="false">
      <c r="A2091" s="23" t="s">
        <v>472</v>
      </c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</row>
    <row r="2092" customFormat="false" ht="15" hidden="false" customHeight="false" outlineLevel="0" collapsed="false">
      <c r="A2092" s="5" t="s">
        <v>457</v>
      </c>
      <c r="C2092" s="25" t="n">
        <f aca="false">C2032-C2082</f>
        <v>0</v>
      </c>
    </row>
    <row r="2093" customFormat="false" ht="15" hidden="false" customHeight="false" outlineLevel="0" collapsed="false">
      <c r="A2093" s="5" t="s">
        <v>458</v>
      </c>
      <c r="C2093" s="25" t="n">
        <f aca="false">C2033-C2083</f>
        <v>0</v>
      </c>
    </row>
    <row r="2094" customFormat="false" ht="15" hidden="false" customHeight="false" outlineLevel="0" collapsed="false">
      <c r="A2094" s="5" t="s">
        <v>459</v>
      </c>
      <c r="C2094" s="25" t="n">
        <f aca="false">C2034-C2084</f>
        <v>0</v>
      </c>
    </row>
    <row r="2095" customFormat="false" ht="15" hidden="false" customHeight="false" outlineLevel="0" collapsed="false">
      <c r="A2095" s="5" t="s">
        <v>460</v>
      </c>
      <c r="C2095" s="25" t="n">
        <f aca="false">C2035-C2085</f>
        <v>184.63948</v>
      </c>
    </row>
    <row r="2096" customFormat="false" ht="15" hidden="false" customHeight="false" outlineLevel="0" collapsed="false">
      <c r="A2096" s="23" t="s">
        <v>473</v>
      </c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</row>
    <row r="2097" customFormat="false" ht="15" hidden="false" customHeight="false" outlineLevel="0" collapsed="false">
      <c r="A2097" s="5" t="s">
        <v>457</v>
      </c>
      <c r="C2097" s="21" t="n">
        <f aca="false">IF(C2032=0,0,C2092/C2032)</f>
        <v>0</v>
      </c>
    </row>
    <row r="2098" customFormat="false" ht="15" hidden="false" customHeight="false" outlineLevel="0" collapsed="false">
      <c r="A2098" s="5" t="s">
        <v>458</v>
      </c>
      <c r="C2098" s="21" t="n">
        <f aca="false">IF(C2033=0,0,C2093/C2033)</f>
        <v>0</v>
      </c>
    </row>
    <row r="2099" customFormat="false" ht="15" hidden="false" customHeight="false" outlineLevel="0" collapsed="false">
      <c r="A2099" s="5" t="s">
        <v>459</v>
      </c>
      <c r="C2099" s="21" t="n">
        <f aca="false">IF(C2034=0,0,C2094/C2034)</f>
        <v>0</v>
      </c>
    </row>
    <row r="2100" customFormat="false" ht="15" hidden="false" customHeight="false" outlineLevel="0" collapsed="false">
      <c r="A2100" s="5" t="s">
        <v>460</v>
      </c>
      <c r="C2100" s="21" t="n">
        <f aca="false">IF(C2035=0,0,C2095/C2035)</f>
        <v>0.615464933333334</v>
      </c>
    </row>
    <row r="2101" customFormat="false" ht="15" hidden="false" customHeight="false" outlineLevel="0" collapsed="false">
      <c r="A2101" s="2" t="s">
        <v>474</v>
      </c>
      <c r="C2101" s="16" t="n">
        <f aca="false">MAX(0,$C$2030-SUM($C$2047:$C$2050)-SUM($C$2057:$C$2060))</f>
        <v>0</v>
      </c>
    </row>
    <row r="2102" customFormat="false" ht="15" hidden="false" customHeight="false" outlineLevel="0" collapsed="false">
      <c r="A2102" s="5" t="s">
        <v>492</v>
      </c>
      <c r="C2102" s="33" t="n">
        <f aca="false">MIN(C2029,100*CHOOSE(C2019,C2087,C2088,C2089,C2090))</f>
        <v>100</v>
      </c>
    </row>
    <row r="2103" customFormat="false" ht="15" hidden="false" customHeight="false" outlineLevel="0" collapsed="false">
      <c r="A2103" s="5" t="s">
        <v>493</v>
      </c>
      <c r="C2103" s="20" t="n">
        <f aca="false">IF(C1935=1,C2024+Assumptions!$C$36,C2023)</f>
        <v>3</v>
      </c>
    </row>
    <row r="2104" customFormat="false" ht="15" hidden="false" customHeight="false" outlineLevel="0" collapsed="false">
      <c r="A2104" s="23" t="s">
        <v>494</v>
      </c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</row>
    <row r="2105" customFormat="false" ht="15" hidden="false" customHeight="false" outlineLevel="0" collapsed="false">
      <c r="A2105" s="5" t="s">
        <v>495</v>
      </c>
      <c r="C2105" s="20" t="n">
        <f aca="false">COLUMN()-COLUMN($C$1)</f>
        <v>0</v>
      </c>
      <c r="D2105" s="20" t="n">
        <f aca="false">COLUMN()-COLUMN($C$1)</f>
        <v>1</v>
      </c>
      <c r="E2105" s="20" t="n">
        <f aca="false">COLUMN()-COLUMN($C$1)</f>
        <v>2</v>
      </c>
      <c r="F2105" s="20" t="n">
        <f aca="false">COLUMN()-COLUMN($C$1)</f>
        <v>3</v>
      </c>
      <c r="G2105" s="20" t="n">
        <f aca="false">COLUMN()-COLUMN($C$1)</f>
        <v>4</v>
      </c>
      <c r="H2105" s="20" t="n">
        <f aca="false">COLUMN()-COLUMN($C$1)</f>
        <v>5</v>
      </c>
      <c r="I2105" s="20" t="n">
        <f aca="false">COLUMN()-COLUMN($C$1)</f>
        <v>6</v>
      </c>
    </row>
    <row r="2106" customFormat="false" ht="15" hidden="false" customHeight="false" outlineLevel="0" collapsed="false">
      <c r="A2106" s="5" t="s">
        <v>496</v>
      </c>
      <c r="D2106" s="30" t="n">
        <f aca="false">CHOOSE($C$2019,G1817,G1830,G1843,G1856)</f>
        <v>0.103</v>
      </c>
      <c r="E2106" s="30" t="n">
        <f aca="false">CHOOSE($C$2019,H1817,H1830,H1843,H1856)</f>
        <v>0.1005</v>
      </c>
      <c r="F2106" s="30" t="n">
        <f aca="false">CHOOSE($C$2019,I1817,I1830,I1843,I1856)</f>
        <v>0.098</v>
      </c>
      <c r="G2106" s="30" t="n">
        <f aca="false">CHOOSE($C$2019,J1817,J1830,J1843,J1856)</f>
        <v>0.11</v>
      </c>
      <c r="H2106" s="30" t="n">
        <f aca="false">CHOOSE($C$2019,K1817,K1830,K1843,K1856)</f>
        <v>0.11</v>
      </c>
    </row>
    <row r="2107" customFormat="false" ht="15" hidden="false" customHeight="false" outlineLevel="0" collapsed="false">
      <c r="A2107" s="5" t="s">
        <v>497</v>
      </c>
      <c r="D2107" s="25" t="n">
        <f aca="false">IF(D2105&lt;=$C$2028,$C$2020*D2106,0)</f>
        <v>10.3</v>
      </c>
      <c r="E2107" s="25" t="n">
        <f aca="false">IF(E2105&lt;=$C$2028,$C$2020*E2106,0)</f>
        <v>10.05</v>
      </c>
      <c r="F2107" s="25" t="n">
        <f aca="false">IF(F2105&lt;=$C$2028,$C$2020*F2106,0)</f>
        <v>0</v>
      </c>
      <c r="G2107" s="25" t="n">
        <f aca="false">IF(G2105&lt;=$C$2028,$C$2020*G2106,0)</f>
        <v>0</v>
      </c>
      <c r="H2107" s="25" t="n">
        <f aca="false">IF(H2105&lt;=$C$2028,$C$2020*H2106,0)</f>
        <v>0</v>
      </c>
    </row>
    <row r="2108" customFormat="false" ht="15" hidden="false" customHeight="false" outlineLevel="0" collapsed="false">
      <c r="A2108" s="5" t="s">
        <v>498</v>
      </c>
      <c r="D2108" s="25" t="n">
        <f aca="false">IF(AND($C$1935=0,D2105=$C$2023),$C$2020*$C$2102/100,0)+IF(AND($C$1935=1,D2105=$C$2103),$C$2026,0)</f>
        <v>0</v>
      </c>
      <c r="E2108" s="25" t="n">
        <f aca="false">IF(AND($C$1935=0,E2105=$C$2023),$C$2020*$C$2102/100,0)+IF(AND($C$1935=1,E2105=$C$2103),$C$2026,0)</f>
        <v>0</v>
      </c>
      <c r="F2108" s="25" t="n">
        <f aca="false">IF(AND($C$1935=0,F2105=$C$2023),$C$2020*$C$2102/100,0)+IF(AND($C$1935=1,F2105=$C$2103),$C$2026,0)</f>
        <v>88.8196128728414</v>
      </c>
      <c r="G2108" s="25" t="n">
        <f aca="false">IF(AND($C$1935=0,G2105=$C$2023),$C$2020*$C$2102/100,0)+IF(AND($C$1935=1,G2105=$C$2103),$C$2026,0)</f>
        <v>0</v>
      </c>
      <c r="H2108" s="25" t="n">
        <f aca="false">IF(AND($C$1935=0,H2105=$C$2023),$C$2020*$C$2102/100,0)+IF(AND($C$1935=1,H2105=$C$2103),$C$2026,0)</f>
        <v>0</v>
      </c>
      <c r="I2108" s="25" t="n">
        <f aca="false">IF(AND($C$1935=0,I2105=$C$2023),$C$2020*$C$2102/100,0)+IF(AND($C$1935=1,I2105=$C$2103),$C$2026,0)</f>
        <v>0</v>
      </c>
    </row>
    <row r="2109" customFormat="false" ht="15" hidden="false" customHeight="false" outlineLevel="0" collapsed="false">
      <c r="A2109" s="2" t="s">
        <v>499</v>
      </c>
      <c r="C2109" s="16" t="n">
        <f aca="false">-$C$2022</f>
        <v>-78.39</v>
      </c>
      <c r="D2109" s="16" t="n">
        <f aca="false">D2107+D2108</f>
        <v>10.3</v>
      </c>
      <c r="E2109" s="16" t="n">
        <f aca="false">E2107+E2108</f>
        <v>10.05</v>
      </c>
      <c r="F2109" s="16" t="n">
        <f aca="false">F2107+F2108</f>
        <v>88.8196128728414</v>
      </c>
      <c r="G2109" s="16" t="n">
        <f aca="false">G2107+G2108</f>
        <v>0</v>
      </c>
      <c r="H2109" s="16" t="n">
        <f aca="false">H2107+H2108</f>
        <v>0</v>
      </c>
      <c r="I2109" s="16" t="n">
        <f aca="false">I2107+I2108</f>
        <v>0</v>
      </c>
    </row>
    <row r="2110" customFormat="false" ht="15" hidden="false" customHeight="false" outlineLevel="0" collapsed="false">
      <c r="A2110" s="5" t="s">
        <v>500</v>
      </c>
      <c r="C2110" s="25" t="n">
        <f aca="false">SUM($C$2107:$I$2107)</f>
        <v>20.35</v>
      </c>
    </row>
    <row r="2111" customFormat="false" ht="15" hidden="false" customHeight="false" outlineLevel="0" collapsed="false">
      <c r="A2111" s="5" t="s">
        <v>501</v>
      </c>
      <c r="C2111" s="25" t="n">
        <f aca="false">SUM($C$2108:$I$2108)</f>
        <v>88.8196128728414</v>
      </c>
    </row>
    <row r="2112" customFormat="false" ht="15" hidden="false" customHeight="false" outlineLevel="0" collapsed="false">
      <c r="A2112" s="5" t="s">
        <v>502</v>
      </c>
      <c r="C2112" s="25" t="n">
        <f aca="false">C2110+C2111</f>
        <v>109.169612872841</v>
      </c>
    </row>
    <row r="2113" customFormat="false" ht="15" hidden="false" customHeight="false" outlineLevel="0" collapsed="false">
      <c r="A2113" s="5" t="s">
        <v>503</v>
      </c>
      <c r="C2113" s="25" t="n">
        <f aca="false">C2111-C2020*C2021/100</f>
        <v>10.8196128728414</v>
      </c>
    </row>
    <row r="2114" customFormat="false" ht="15" hidden="false" customHeight="false" outlineLevel="0" collapsed="false">
      <c r="A2114" s="5" t="s">
        <v>504</v>
      </c>
      <c r="C2114" s="25" t="n">
        <f aca="false">C2112-C2022</f>
        <v>30.7796128728415</v>
      </c>
    </row>
    <row r="2115" customFormat="false" ht="15" hidden="false" customHeight="false" outlineLevel="0" collapsed="false">
      <c r="A2115" s="2" t="s">
        <v>385</v>
      </c>
      <c r="C2115" s="43" t="n">
        <f aca="false">C2112/C2022</f>
        <v>1.39264718551909</v>
      </c>
    </row>
    <row r="2116" customFormat="false" ht="15" hidden="false" customHeight="false" outlineLevel="0" collapsed="false">
      <c r="A2116" s="2" t="s">
        <v>384</v>
      </c>
      <c r="C2116" s="41" t="n">
        <f aca="false">IF(C2112&lt;=0,-1,IFERROR(IRR($C$2109:$I$2109,MAX(-0.9,C2115^(1/C2103)-1)),IRR($C$2109:$I$2109,0.1)))</f>
        <v>0.130821524311548</v>
      </c>
    </row>
    <row r="2117" customFormat="false" ht="15" hidden="false" customHeight="false" outlineLevel="0" collapsed="false">
      <c r="A2117" s="5" t="s">
        <v>505</v>
      </c>
      <c r="C2117" s="31" t="n">
        <f aca="false">MAX($G$1911:$K$1911)</f>
        <v>7.86221186221186</v>
      </c>
    </row>
    <row r="2118" customFormat="false" ht="15" hidden="false" customHeight="false" outlineLevel="0" collapsed="false">
      <c r="A2118" s="5" t="s">
        <v>506</v>
      </c>
      <c r="C2118" s="31" t="n">
        <f aca="false">MIN($G$1912:$K$1912)</f>
        <v>1.21473661783139</v>
      </c>
    </row>
    <row r="2119" customFormat="false" ht="15" hidden="false" customHeight="false" outlineLevel="0" collapsed="false">
      <c r="A2119" s="5" t="s">
        <v>507</v>
      </c>
      <c r="C2119" s="25" t="n">
        <f aca="false">SUM($G$1801:$K$1801)</f>
        <v>-46.97594467624</v>
      </c>
    </row>
    <row r="2123" customFormat="false" ht="15" hidden="false" customHeight="false" outlineLevel="0" collapsed="false">
      <c r="A2123" s="9" t="s">
        <v>632</v>
      </c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</row>
    <row r="2124" customFormat="false" ht="15" hidden="false" customHeight="false" outlineLevel="0" collapsed="false">
      <c r="A2124" s="5" t="s">
        <v>622</v>
      </c>
      <c r="C2124" s="11" t="n">
        <v>1</v>
      </c>
    </row>
    <row r="2125" customFormat="false" ht="15" hidden="false" customHeight="false" outlineLevel="0" collapsed="false">
      <c r="A2125" s="5" t="s">
        <v>623</v>
      </c>
      <c r="C2125" s="18" t="n">
        <v>0</v>
      </c>
    </row>
    <row r="2126" customFormat="false" ht="15" hidden="false" customHeight="false" outlineLevel="0" collapsed="false">
      <c r="A2126" s="5" t="s">
        <v>624</v>
      </c>
      <c r="C2126" s="29" t="n">
        <f aca="false">Sensitivities!$A$33</f>
        <v>0.02</v>
      </c>
    </row>
    <row r="2127" customFormat="false" ht="15" hidden="false" customHeight="false" outlineLevel="0" collapsed="false">
      <c r="A2127" s="5" t="s">
        <v>625</v>
      </c>
      <c r="C2127" s="18" t="n">
        <v>0</v>
      </c>
    </row>
    <row r="2128" customFormat="false" ht="15" hidden="false" customHeight="false" outlineLevel="0" collapsed="false">
      <c r="A2128" s="5" t="s">
        <v>626</v>
      </c>
      <c r="C2128" s="15" t="n">
        <v>0</v>
      </c>
    </row>
    <row r="2130" customFormat="false" ht="15" hidden="false" customHeight="false" outlineLevel="0" collapsed="false">
      <c r="A2130" s="23" t="s">
        <v>237</v>
      </c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</row>
    <row r="2131" customFormat="false" ht="15" hidden="false" customHeight="false" outlineLevel="0" collapsed="false">
      <c r="A2131" s="5" t="s">
        <v>238</v>
      </c>
      <c r="F2131" s="26" t="n">
        <f aca="false">Assumptions!$C$6</f>
        <v>2025</v>
      </c>
      <c r="G2131" s="20" t="n">
        <f aca="false">F2131+1</f>
        <v>2026</v>
      </c>
      <c r="H2131" s="20" t="n">
        <f aca="false">G2131+1</f>
        <v>2027</v>
      </c>
      <c r="I2131" s="20" t="n">
        <f aca="false">H2131+1</f>
        <v>2028</v>
      </c>
      <c r="J2131" s="20" t="n">
        <f aca="false">I2131+1</f>
        <v>2029</v>
      </c>
      <c r="K2131" s="20" t="n">
        <f aca="false">J2131+1</f>
        <v>2030</v>
      </c>
    </row>
    <row r="2132" customFormat="false" ht="15" hidden="false" customHeight="false" outlineLevel="0" collapsed="false">
      <c r="A2132" s="5" t="s">
        <v>239</v>
      </c>
      <c r="G2132" s="20" t="n">
        <f aca="false">G2131-Assumptions!$C$6</f>
        <v>1</v>
      </c>
      <c r="H2132" s="20" t="n">
        <f aca="false">H2131-Assumptions!$C$6</f>
        <v>2</v>
      </c>
      <c r="I2132" s="20" t="n">
        <f aca="false">I2131-Assumptions!$C$6</f>
        <v>3</v>
      </c>
      <c r="J2132" s="20" t="n">
        <f aca="false">J2131-Assumptions!$C$6</f>
        <v>4</v>
      </c>
      <c r="K2132" s="20" t="n">
        <f aca="false">K2131-Assumptions!$C$6</f>
        <v>5</v>
      </c>
    </row>
    <row r="2133" customFormat="false" ht="15" hidden="false" customHeight="false" outlineLevel="0" collapsed="false">
      <c r="A2133" s="5" t="s">
        <v>149</v>
      </c>
      <c r="G2133" s="21" t="n">
        <f aca="false">CHOOSE($C$2124,Assumptions!$G$65,Assumptions!$G$84,Assumptions!$G$103)+$C$2125</f>
        <v>-0.01</v>
      </c>
      <c r="H2133" s="21" t="n">
        <f aca="false">CHOOSE($C$2124,Assumptions!$H$65,Assumptions!$H$84,Assumptions!$H$103)+$C$2125</f>
        <v>-0.01</v>
      </c>
      <c r="I2133" s="21" t="n">
        <f aca="false">CHOOSE($C$2124,Assumptions!$I$65,Assumptions!$I$84,Assumptions!$I$103)+$C$2125</f>
        <v>-0.01</v>
      </c>
      <c r="J2133" s="21" t="n">
        <f aca="false">CHOOSE($C$2124,Assumptions!$J$65,Assumptions!$J$84,Assumptions!$J$103)+$C$2125</f>
        <v>-0.01</v>
      </c>
      <c r="K2133" s="21" t="n">
        <f aca="false">CHOOSE($C$2124,Assumptions!$K$65,Assumptions!$K$84,Assumptions!$K$103)+$C$2125</f>
        <v>-0.01</v>
      </c>
    </row>
    <row r="2134" customFormat="false" ht="15" hidden="false" customHeight="false" outlineLevel="0" collapsed="false">
      <c r="A2134" s="5" t="s">
        <v>150</v>
      </c>
      <c r="G2134" s="21" t="n">
        <f aca="false">CHOOSE($C$2124,Assumptions!$G$66,Assumptions!$G$85,Assumptions!$G$104)</f>
        <v>0.36</v>
      </c>
      <c r="H2134" s="21" t="n">
        <f aca="false">CHOOSE($C$2124,Assumptions!$H$66,Assumptions!$H$85,Assumptions!$H$104)</f>
        <v>0.362</v>
      </c>
      <c r="I2134" s="21" t="n">
        <f aca="false">CHOOSE($C$2124,Assumptions!$I$66,Assumptions!$I$85,Assumptions!$I$104)</f>
        <v>0.364</v>
      </c>
      <c r="J2134" s="21" t="n">
        <f aca="false">CHOOSE($C$2124,Assumptions!$J$66,Assumptions!$J$85,Assumptions!$J$104)</f>
        <v>0.366</v>
      </c>
      <c r="K2134" s="21" t="n">
        <f aca="false">CHOOSE($C$2124,Assumptions!$K$66,Assumptions!$K$85,Assumptions!$K$104)</f>
        <v>0.368</v>
      </c>
    </row>
    <row r="2135" customFormat="false" ht="15" hidden="false" customHeight="false" outlineLevel="0" collapsed="false">
      <c r="A2135" s="5" t="s">
        <v>151</v>
      </c>
      <c r="G2135" s="21" t="n">
        <f aca="false">CHOOSE($C$2124,Assumptions!$G$67,Assumptions!$G$86,Assumptions!$G$105)+$C$2126</f>
        <v>0.085</v>
      </c>
      <c r="H2135" s="21" t="n">
        <f aca="false">CHOOSE($C$2124,Assumptions!$H$67,Assumptions!$H$86,Assumptions!$H$105)+$C$2126</f>
        <v>0.087</v>
      </c>
      <c r="I2135" s="21" t="n">
        <f aca="false">CHOOSE($C$2124,Assumptions!$I$67,Assumptions!$I$86,Assumptions!$I$105)+$C$2126</f>
        <v>0.089</v>
      </c>
      <c r="J2135" s="21" t="n">
        <f aca="false">CHOOSE($C$2124,Assumptions!$J$67,Assumptions!$J$86,Assumptions!$J$105)+$C$2126</f>
        <v>0.091</v>
      </c>
      <c r="K2135" s="21" t="n">
        <f aca="false">CHOOSE($C$2124,Assumptions!$K$67,Assumptions!$K$86,Assumptions!$K$105)+$C$2126</f>
        <v>0.093</v>
      </c>
    </row>
    <row r="2136" customFormat="false" ht="15" hidden="false" customHeight="false" outlineLevel="0" collapsed="false">
      <c r="A2136" s="23" t="s">
        <v>240</v>
      </c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</row>
    <row r="2137" customFormat="false" ht="15" hidden="false" customHeight="false" outlineLevel="0" collapsed="false">
      <c r="A2137" s="2" t="s">
        <v>207</v>
      </c>
      <c r="F2137" s="27" t="n">
        <f aca="false">'Historical Financials'!E17</f>
        <v>2400</v>
      </c>
      <c r="G2137" s="16" t="n">
        <f aca="false">F2137*(1+G2133)</f>
        <v>2376</v>
      </c>
      <c r="H2137" s="16" t="n">
        <f aca="false">G2137*(1+H2133)</f>
        <v>2352.24</v>
      </c>
      <c r="I2137" s="16" t="n">
        <f aca="false">H2137*(1+I2133)</f>
        <v>2328.7176</v>
      </c>
      <c r="J2137" s="16" t="n">
        <f aca="false">I2137*(1+J2133)</f>
        <v>2305.430424</v>
      </c>
      <c r="K2137" s="16" t="n">
        <f aca="false">J2137*(1+K2133)</f>
        <v>2282.37611976</v>
      </c>
    </row>
    <row r="2138" customFormat="false" ht="15" hidden="false" customHeight="false" outlineLevel="0" collapsed="false">
      <c r="A2138" s="5" t="s">
        <v>217</v>
      </c>
      <c r="G2138" s="25" t="n">
        <f aca="false">G2137*(1-G2134)</f>
        <v>1520.64</v>
      </c>
      <c r="H2138" s="25" t="n">
        <f aca="false">H2137*(1-H2134)</f>
        <v>1500.72912</v>
      </c>
      <c r="I2138" s="25" t="n">
        <f aca="false">I2137*(1-I2134)</f>
        <v>1481.0643936</v>
      </c>
      <c r="J2138" s="25" t="n">
        <f aca="false">J2137*(1-J2134)</f>
        <v>1461.642888816</v>
      </c>
      <c r="K2138" s="25" t="n">
        <f aca="false">K2137*(1-K2134)</f>
        <v>1442.46170768832</v>
      </c>
    </row>
    <row r="2139" customFormat="false" ht="15" hidden="false" customHeight="false" outlineLevel="0" collapsed="false">
      <c r="A2139" s="2" t="s">
        <v>218</v>
      </c>
      <c r="G2139" s="16" t="n">
        <f aca="false">G2137-G2138</f>
        <v>855.36</v>
      </c>
      <c r="H2139" s="16" t="n">
        <f aca="false">H2137-H2138</f>
        <v>851.51088</v>
      </c>
      <c r="I2139" s="16" t="n">
        <f aca="false">I2137-I2138</f>
        <v>847.6532064</v>
      </c>
      <c r="J2139" s="16" t="n">
        <f aca="false">J2137-J2138</f>
        <v>843.787535184</v>
      </c>
      <c r="K2139" s="16" t="n">
        <f aca="false">K2137-K2138</f>
        <v>839.91441207168</v>
      </c>
    </row>
    <row r="2140" customFormat="false" ht="15" hidden="false" customHeight="false" outlineLevel="0" collapsed="false">
      <c r="A2140" s="5" t="s">
        <v>241</v>
      </c>
      <c r="G2140" s="25" t="n">
        <f aca="false">G2139-G2141</f>
        <v>653.4</v>
      </c>
      <c r="H2140" s="25" t="n">
        <f aca="false">H2139-H2141</f>
        <v>646.866</v>
      </c>
      <c r="I2140" s="25" t="n">
        <f aca="false">I2139-I2141</f>
        <v>640.39734</v>
      </c>
      <c r="J2140" s="25" t="n">
        <f aca="false">J2139-J2141</f>
        <v>633.9933666</v>
      </c>
      <c r="K2140" s="25" t="n">
        <f aca="false">K2139-K2141</f>
        <v>627.653432934</v>
      </c>
    </row>
    <row r="2141" customFormat="false" ht="15" hidden="false" customHeight="false" outlineLevel="0" collapsed="false">
      <c r="A2141" s="2" t="s">
        <v>242</v>
      </c>
      <c r="G2141" s="16" t="n">
        <f aca="false">G2137*G2135</f>
        <v>201.96</v>
      </c>
      <c r="H2141" s="16" t="n">
        <f aca="false">H2137*H2135</f>
        <v>204.64488</v>
      </c>
      <c r="I2141" s="16" t="n">
        <f aca="false">I2137*I2135</f>
        <v>207.2558664</v>
      </c>
      <c r="J2141" s="16" t="n">
        <f aca="false">J2137*J2135</f>
        <v>209.794168584</v>
      </c>
      <c r="K2141" s="16" t="n">
        <f aca="false">K2137*K2135</f>
        <v>212.26097913768</v>
      </c>
    </row>
    <row r="2142" customFormat="false" ht="15" hidden="false" customHeight="false" outlineLevel="0" collapsed="false">
      <c r="A2142" s="5" t="s">
        <v>243</v>
      </c>
      <c r="G2142" s="25" t="n">
        <f aca="false">G2137*'Historical Financials'!E22/'Historical Financials'!E17</f>
        <v>52.272</v>
      </c>
      <c r="H2142" s="25" t="n">
        <f aca="false">H2137*'Historical Financials'!E22/'Historical Financials'!E17</f>
        <v>51.74928</v>
      </c>
      <c r="I2142" s="25" t="n">
        <f aca="false">I2137*'Historical Financials'!E22/'Historical Financials'!E17</f>
        <v>51.2317872</v>
      </c>
      <c r="J2142" s="25" t="n">
        <f aca="false">J2137*'Historical Financials'!E22/'Historical Financials'!E17</f>
        <v>50.719469328</v>
      </c>
      <c r="K2142" s="25" t="n">
        <f aca="false">K2137*'Historical Financials'!E22/'Historical Financials'!E17</f>
        <v>50.21227463472</v>
      </c>
    </row>
    <row r="2143" customFormat="false" ht="15" hidden="false" customHeight="false" outlineLevel="0" collapsed="false">
      <c r="A2143" s="5" t="s">
        <v>244</v>
      </c>
      <c r="G2143" s="25" t="n">
        <f aca="false">G2137*'Historical Financials'!E23/'Historical Financials'!E17</f>
        <v>0</v>
      </c>
      <c r="H2143" s="25" t="n">
        <f aca="false">H2137*'Historical Financials'!E23/'Historical Financials'!E17</f>
        <v>0</v>
      </c>
      <c r="I2143" s="25" t="n">
        <f aca="false">I2137*'Historical Financials'!E23/'Historical Financials'!E17</f>
        <v>0</v>
      </c>
      <c r="J2143" s="25" t="n">
        <f aca="false">J2137*'Historical Financials'!E23/'Historical Financials'!E17</f>
        <v>0</v>
      </c>
      <c r="K2143" s="25" t="n">
        <f aca="false">K2137*'Historical Financials'!E23/'Historical Financials'!E17</f>
        <v>0</v>
      </c>
    </row>
    <row r="2144" customFormat="false" ht="15" hidden="false" customHeight="false" outlineLevel="0" collapsed="false">
      <c r="A2144" s="2" t="s">
        <v>245</v>
      </c>
      <c r="G2144" s="16" t="n">
        <f aca="false">G2141-G2142-G2143</f>
        <v>149.688</v>
      </c>
      <c r="H2144" s="16" t="n">
        <f aca="false">H2141-H2142-H2143</f>
        <v>152.8956</v>
      </c>
      <c r="I2144" s="16" t="n">
        <f aca="false">I2141-I2142-I2143</f>
        <v>156.0240792</v>
      </c>
      <c r="J2144" s="16" t="n">
        <f aca="false">J2141-J2142-J2143</f>
        <v>159.074699256</v>
      </c>
      <c r="K2144" s="16" t="n">
        <f aca="false">K2141-K2142-K2143</f>
        <v>162.04870450296</v>
      </c>
    </row>
    <row r="2145" customFormat="false" ht="15" hidden="false" customHeight="false" outlineLevel="0" collapsed="false">
      <c r="A2145" s="5" t="s">
        <v>246</v>
      </c>
      <c r="G2145" s="25" t="n">
        <f aca="false">G2171+G2184+G2197+G2210</f>
        <v>119.04</v>
      </c>
      <c r="H2145" s="25" t="n">
        <f aca="false">H2171+H2184+H2197+H2210</f>
        <v>110.887497</v>
      </c>
      <c r="I2145" s="25" t="n">
        <f aca="false">I2171+I2184+I2197+I2210</f>
        <v>118.7700267025</v>
      </c>
      <c r="J2145" s="25" t="n">
        <f aca="false">J2171+J2184+J2197+J2210</f>
        <v>120.988953819456</v>
      </c>
      <c r="K2145" s="25" t="n">
        <f aca="false">K2171+K2184+K2197+K2210</f>
        <v>117.032294404461</v>
      </c>
    </row>
    <row r="2146" customFormat="false" ht="15" hidden="false" customHeight="false" outlineLevel="0" collapsed="false">
      <c r="A2146" s="5" t="s">
        <v>247</v>
      </c>
      <c r="G2146" s="25" t="n">
        <f aca="false">G2172+G2185+G2198+G2211</f>
        <v>0</v>
      </c>
      <c r="H2146" s="25" t="n">
        <f aca="false">H2172+H2185+H2198+H2211</f>
        <v>0</v>
      </c>
      <c r="I2146" s="25" t="n">
        <f aca="false">I2172+I2185+I2198+I2211</f>
        <v>0</v>
      </c>
      <c r="J2146" s="25" t="n">
        <f aca="false">J2172+J2185+J2198+J2211</f>
        <v>0</v>
      </c>
      <c r="K2146" s="25" t="n">
        <f aca="false">K2172+K2185+K2198+K2211</f>
        <v>0</v>
      </c>
    </row>
    <row r="2147" customFormat="false" ht="15" hidden="false" customHeight="false" outlineLevel="0" collapsed="false">
      <c r="A2147" s="5" t="s">
        <v>212</v>
      </c>
      <c r="G2147" s="25" t="n">
        <f aca="false">G2145+G2146</f>
        <v>119.04</v>
      </c>
      <c r="H2147" s="25" t="n">
        <f aca="false">H2145+H2146</f>
        <v>110.887497</v>
      </c>
      <c r="I2147" s="25" t="n">
        <f aca="false">I2145+I2146</f>
        <v>118.7700267025</v>
      </c>
      <c r="J2147" s="25" t="n">
        <f aca="false">J2145+J2146</f>
        <v>120.988953819456</v>
      </c>
      <c r="K2147" s="25" t="n">
        <f aca="false">K2145+K2146</f>
        <v>117.032294404461</v>
      </c>
    </row>
    <row r="2148" customFormat="false" ht="15" hidden="false" customHeight="false" outlineLevel="0" collapsed="false">
      <c r="A2148" s="2" t="s">
        <v>223</v>
      </c>
      <c r="G2148" s="16" t="n">
        <f aca="false">G2144-G2147</f>
        <v>30.648</v>
      </c>
      <c r="H2148" s="16" t="n">
        <f aca="false">H2144-H2147</f>
        <v>42.008103</v>
      </c>
      <c r="I2148" s="16" t="n">
        <f aca="false">I2144-I2147</f>
        <v>37.2540524975</v>
      </c>
      <c r="J2148" s="16" t="n">
        <f aca="false">J2144-J2147</f>
        <v>38.0857454365438</v>
      </c>
      <c r="K2148" s="16" t="n">
        <f aca="false">K2144-K2147</f>
        <v>45.0164100984987</v>
      </c>
    </row>
    <row r="2149" customFormat="false" ht="15" hidden="false" customHeight="false" outlineLevel="0" collapsed="false">
      <c r="A2149" s="5" t="s">
        <v>213</v>
      </c>
      <c r="G2149" s="25" t="n">
        <f aca="false">MAX(0,G2148)*Assumptions!$C$9</f>
        <v>7.662</v>
      </c>
      <c r="H2149" s="25" t="n">
        <f aca="false">MAX(0,H2148)*Assumptions!$C$9</f>
        <v>10.50202575</v>
      </c>
      <c r="I2149" s="25" t="n">
        <f aca="false">MAX(0,I2148)*Assumptions!$C$9</f>
        <v>9.31351312437501</v>
      </c>
      <c r="J2149" s="25" t="n">
        <f aca="false">MAX(0,J2148)*Assumptions!$C$9</f>
        <v>9.52143635913595</v>
      </c>
      <c r="K2149" s="25" t="n">
        <f aca="false">MAX(0,K2148)*Assumptions!$C$9</f>
        <v>11.2541025246247</v>
      </c>
    </row>
    <row r="2150" customFormat="false" ht="15" hidden="false" customHeight="false" outlineLevel="0" collapsed="false">
      <c r="A2150" s="2" t="s">
        <v>248</v>
      </c>
      <c r="G2150" s="16" t="n">
        <f aca="false">G2148-G2149</f>
        <v>22.986</v>
      </c>
      <c r="H2150" s="16" t="n">
        <f aca="false">H2148-H2149</f>
        <v>31.50607725</v>
      </c>
      <c r="I2150" s="16" t="n">
        <f aca="false">I2148-I2149</f>
        <v>27.940539373125</v>
      </c>
      <c r="J2150" s="16" t="n">
        <f aca="false">J2148-J2149</f>
        <v>28.5643090774078</v>
      </c>
      <c r="K2150" s="16" t="n">
        <f aca="false">K2148-K2149</f>
        <v>33.762307573874</v>
      </c>
    </row>
    <row r="2151" customFormat="false" ht="15" hidden="false" customHeight="false" outlineLevel="0" collapsed="false">
      <c r="A2151" s="23" t="s">
        <v>249</v>
      </c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</row>
    <row r="2152" customFormat="false" ht="15" hidden="false" customHeight="false" outlineLevel="0" collapsed="false">
      <c r="A2152" s="5" t="s">
        <v>153</v>
      </c>
      <c r="G2152" s="25" t="n">
        <f aca="false">G2137*CHOOSE($C$2124,Assumptions!$C$69,Assumptions!$C$88,Assumptions!$C$107)</f>
        <v>47.52</v>
      </c>
      <c r="H2152" s="25" t="n">
        <f aca="false">H2137*CHOOSE($C$2124,Assumptions!$C$69,Assumptions!$C$88,Assumptions!$C$107)</f>
        <v>47.0448</v>
      </c>
      <c r="I2152" s="25" t="n">
        <f aca="false">I2137*CHOOSE($C$2124,Assumptions!$C$69,Assumptions!$C$88,Assumptions!$C$107)</f>
        <v>46.574352</v>
      </c>
      <c r="J2152" s="25" t="n">
        <f aca="false">J2137*CHOOSE($C$2124,Assumptions!$C$69,Assumptions!$C$88,Assumptions!$C$107)</f>
        <v>46.10860848</v>
      </c>
      <c r="K2152" s="25" t="n">
        <f aca="false">K2137*CHOOSE($C$2124,Assumptions!$C$69,Assumptions!$C$88,Assumptions!$C$107)</f>
        <v>45.6475223952</v>
      </c>
    </row>
    <row r="2153" customFormat="false" ht="15" hidden="false" customHeight="false" outlineLevel="0" collapsed="false">
      <c r="A2153" s="5" t="s">
        <v>250</v>
      </c>
      <c r="G2153" s="25" t="n">
        <f aca="false">CHOOSE($C$2124,Assumptions!$C$70,Assumptions!$C$89,Assumptions!$C$108)*(G2137-F2137)+CHOOSE($C$2124,Assumptions!$C$71,Assumptions!$C$90,Assumptions!$C$109)*G2137</f>
        <v>-2.88</v>
      </c>
      <c r="H2153" s="25" t="n">
        <f aca="false">CHOOSE($C$2124,Assumptions!$C$70,Assumptions!$C$89,Assumptions!$C$108)*(H2137-G2137)+CHOOSE($C$2124,Assumptions!$C$71,Assumptions!$C$90,Assumptions!$C$109)*H2137</f>
        <v>-2.85120000000003</v>
      </c>
      <c r="I2153" s="25" t="n">
        <f aca="false">CHOOSE($C$2124,Assumptions!$C$70,Assumptions!$C$89,Assumptions!$C$108)*(I2137-H2137)+CHOOSE($C$2124,Assumptions!$C$71,Assumptions!$C$90,Assumptions!$C$109)*I2137</f>
        <v>-2.82268799999998</v>
      </c>
      <c r="J2153" s="25" t="n">
        <f aca="false">CHOOSE($C$2124,Assumptions!$C$70,Assumptions!$C$89,Assumptions!$C$108)*(J2137-I2137)+CHOOSE($C$2124,Assumptions!$C$71,Assumptions!$C$90,Assumptions!$C$109)*J2137</f>
        <v>-2.79446111999998</v>
      </c>
      <c r="K2153" s="25" t="n">
        <f aca="false">CHOOSE($C$2124,Assumptions!$C$70,Assumptions!$C$89,Assumptions!$C$108)*(K2137-J2137)+CHOOSE($C$2124,Assumptions!$C$71,Assumptions!$C$90,Assumptions!$C$109)*K2137</f>
        <v>-2.7665165088</v>
      </c>
    </row>
    <row r="2154" customFormat="false" ht="15" hidden="false" customHeight="false" outlineLevel="0" collapsed="false">
      <c r="A2154" s="2" t="s">
        <v>251</v>
      </c>
      <c r="G2154" s="16" t="n">
        <f aca="false">G2150+G2142+G2143+G2146-G2152-G2153</f>
        <v>30.618</v>
      </c>
      <c r="H2154" s="16" t="n">
        <f aca="false">H2150+H2142+H2143+H2146-H2152-H2153</f>
        <v>39.06175725</v>
      </c>
      <c r="I2154" s="16" t="n">
        <f aca="false">I2150+I2142+I2143+I2146-I2152-I2153</f>
        <v>35.420662573125</v>
      </c>
      <c r="J2154" s="16" t="n">
        <f aca="false">J2150+J2142+J2143+J2146-J2152-J2153</f>
        <v>35.9696310454078</v>
      </c>
      <c r="K2154" s="16" t="n">
        <f aca="false">K2150+K2142+K2143+K2146-K2152-K2153</f>
        <v>41.093576322194</v>
      </c>
    </row>
    <row r="2156" customFormat="false" ht="15" hidden="false" customHeight="false" outlineLevel="0" collapsed="false">
      <c r="A2156" s="23" t="s">
        <v>253</v>
      </c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</row>
    <row r="2157" customFormat="false" ht="15" hidden="false" customHeight="false" outlineLevel="0" collapsed="false">
      <c r="A2157" s="5" t="s">
        <v>254</v>
      </c>
      <c r="G2157" s="29" t="n">
        <f aca="false">Assumptions!$G$49</f>
        <v>0.0425</v>
      </c>
      <c r="H2157" s="29" t="n">
        <f aca="false">Assumptions!$H$49</f>
        <v>0.04</v>
      </c>
      <c r="I2157" s="29" t="n">
        <f aca="false">Assumptions!$I$49</f>
        <v>0.0375</v>
      </c>
      <c r="J2157" s="29" t="n">
        <f aca="false">Assumptions!$J$49</f>
        <v>0.0375</v>
      </c>
      <c r="K2157" s="29" t="n">
        <f aca="false">Assumptions!$K$49</f>
        <v>0.0375</v>
      </c>
    </row>
    <row r="2158" customFormat="false" ht="15" hidden="false" customHeight="false" outlineLevel="0" collapsed="false">
      <c r="A2158" s="5" t="s">
        <v>255</v>
      </c>
      <c r="C2158" s="30" t="n">
        <f aca="false">CHOOSE($C$2124,Assumptions!$C$72,Assumptions!$C$91,Assumptions!$C$110)+$C$2127</f>
        <v>0</v>
      </c>
    </row>
    <row r="2159" customFormat="false" ht="15" hidden="false" customHeight="false" outlineLevel="0" collapsed="false">
      <c r="A2159" s="5" t="s">
        <v>256</v>
      </c>
      <c r="C2159" s="30" t="n">
        <f aca="false">CHOOSE($C$2124,Assumptions!$C$73,Assumptions!$C$92,Assumptions!$C$111)</f>
        <v>0.11</v>
      </c>
    </row>
    <row r="2160" customFormat="false" ht="15" hidden="false" customHeight="false" outlineLevel="0" collapsed="false">
      <c r="A2160" s="5" t="s">
        <v>257</v>
      </c>
      <c r="C2160" s="31" t="n">
        <f aca="false">CHOOSE($C$2124,Assumptions!$C$74,Assumptions!$C$93,Assumptions!$C$112)</f>
        <v>8.5</v>
      </c>
    </row>
    <row r="2161" customFormat="false" ht="15" hidden="false" customHeight="false" outlineLevel="0" collapsed="false">
      <c r="A2161" s="5" t="s">
        <v>258</v>
      </c>
      <c r="C2161" s="31" t="n">
        <f aca="false">CHOOSE($C$2124,Assumptions!$C$75,Assumptions!$C$94,Assumptions!$C$113)</f>
        <v>1.2</v>
      </c>
    </row>
    <row r="2162" customFormat="false" ht="15" hidden="false" customHeight="false" outlineLevel="0" collapsed="false">
      <c r="A2162" s="5" t="s">
        <v>259</v>
      </c>
      <c r="G2162" s="25" t="n">
        <f aca="false">G2167+G2180+G2193+G2206</f>
        <v>1250</v>
      </c>
      <c r="H2162" s="25" t="n">
        <f aca="false">H2167+H2180+H2193+H2206</f>
        <v>1174.382</v>
      </c>
      <c r="I2162" s="25" t="n">
        <f aca="false">I2167+I2180+I2193+I2206</f>
        <v>1135.32024275</v>
      </c>
      <c r="J2162" s="25" t="n">
        <f aca="false">J2167+J2180+J2193+J2206</f>
        <v>1099.89958017688</v>
      </c>
      <c r="K2162" s="25" t="n">
        <f aca="false">K2167+K2180+K2193+K2206</f>
        <v>1063.92994913147</v>
      </c>
    </row>
    <row r="2163" customFormat="false" ht="15" hidden="false" customHeight="false" outlineLevel="0" collapsed="false">
      <c r="A2163" s="5" t="s">
        <v>260</v>
      </c>
      <c r="G2163" s="25" t="n">
        <f aca="false">F2253</f>
        <v>45</v>
      </c>
      <c r="H2163" s="25" t="n">
        <f aca="false">G2253</f>
        <v>0</v>
      </c>
      <c r="I2163" s="25" t="n">
        <f aca="false">H2253</f>
        <v>0</v>
      </c>
      <c r="J2163" s="25" t="n">
        <f aca="false">I2253</f>
        <v>0</v>
      </c>
      <c r="K2163" s="25" t="n">
        <f aca="false">J2253</f>
        <v>0</v>
      </c>
    </row>
    <row r="2164" customFormat="false" ht="15" hidden="false" customHeight="false" outlineLevel="0" collapsed="false">
      <c r="A2164" s="5" t="s">
        <v>261</v>
      </c>
      <c r="G2164" s="25" t="n">
        <f aca="false">G2167*IF(G2168=1,$C$2159,IF(Assumptions!$I$53=1,MAX(G2157,Assumptions!$G$53)+Assumptions!$F$53+$C$2158,Assumptions!$E$53))+G2180*IF(G2181=1,$C$2159,IF(Assumptions!$I$54=1,MAX(G2157,Assumptions!$G$54)+Assumptions!$F$54+$C$2158,Assumptions!$E$54))+G2193*IF(G2194=1,$C$2159,IF(Assumptions!$I$55=1,MAX(G2157,Assumptions!$G$55)+Assumptions!$F$55+$C$2158,Assumptions!$E$55))+G2206*IF(G2207=1,$C$2159,IF(Assumptions!$I$56=1,MAX(G2157,Assumptions!$G$56)+Assumptions!$F$56+$C$2158,Assumptions!$E$56))</f>
        <v>119.04</v>
      </c>
      <c r="H2164" s="25" t="n">
        <f aca="false">H2167*IF(OR(H2168=1,G2319=1),$C$2159,IF(Assumptions!$I$53=1,MAX(H2157,Assumptions!$G$53)+Assumptions!$F$53+$C$2158,Assumptions!$E$53))+H2180*IF(OR(H2181=1,G2320=1),$C$2159,IF(Assumptions!$I$54=1,MAX(H2157,Assumptions!$G$54)+Assumptions!$F$54+$C$2158,Assumptions!$E$54))+H2193*IF(OR(H2194=1,G2321=1),$C$2159,IF(Assumptions!$I$55=1,MAX(H2157,Assumptions!$G$55)+Assumptions!$F$55+$C$2158,Assumptions!$E$55))+H2206*IF(OR(H2207=1,G2322=1),$C$2159,IF(Assumptions!$I$56=1,MAX(H2157,Assumptions!$G$56)+Assumptions!$F$56+$C$2158,Assumptions!$E$56))</f>
        <v>124.29142</v>
      </c>
      <c r="I2164" s="25" t="n">
        <f aca="false">I2167*IF(OR(I2168=1,H2319=1),$C$2159,IF(Assumptions!$I$53=1,MAX(I2157,Assumptions!$G$53)+Assumptions!$F$53+$C$2158,Assumptions!$E$53))+I2180*IF(OR(I2181=1,H2320=1),$C$2159,IF(Assumptions!$I$54=1,MAX(I2157,Assumptions!$G$54)+Assumptions!$F$54+$C$2158,Assumptions!$E$54))+I2193*IF(OR(I2194=1,H2321=1),$C$2159,IF(Assumptions!$I$55=1,MAX(I2157,Assumptions!$G$55)+Assumptions!$F$55+$C$2158,Assumptions!$E$55))+I2206*IF(OR(I2207=1,H2322=1),$C$2159,IF(Assumptions!$I$56=1,MAX(I2157,Assumptions!$G$56)+Assumptions!$F$56+$C$2158,Assumptions!$E$56))</f>
        <v>124.8852267025</v>
      </c>
      <c r="J2164" s="25" t="n">
        <f aca="false">J2167*IF(OR(J2168=1,I2319=1),$C$2159,IF(Assumptions!$I$53=1,MAX(J2157,Assumptions!$G$53)+Assumptions!$F$53+$C$2158,Assumptions!$E$53))+J2180*IF(OR(J2181=1,I2320=1),$C$2159,IF(Assumptions!$I$54=1,MAX(J2157,Assumptions!$G$54)+Assumptions!$F$54+$C$2158,Assumptions!$E$54))+J2193*IF(OR(J2194=1,I2321=1),$C$2159,IF(Assumptions!$I$55=1,MAX(J2157,Assumptions!$G$55)+Assumptions!$F$55+$C$2158,Assumptions!$E$55))+J2206*IF(OR(J2207=1,I2322=1),$C$2159,IF(Assumptions!$I$56=1,MAX(J2157,Assumptions!$G$56)+Assumptions!$F$56+$C$2158,Assumptions!$E$56))</f>
        <v>120.988953819456</v>
      </c>
      <c r="K2164" s="25" t="n">
        <f aca="false">K2167*IF(OR(K2168=1,J2319=1),$C$2159,IF(Assumptions!$I$53=1,MAX(K2157,Assumptions!$G$53)+Assumptions!$F$53+$C$2158,Assumptions!$E$53))+K2180*IF(OR(K2181=1,J2320=1),$C$2159,IF(Assumptions!$I$54=1,MAX(K2157,Assumptions!$G$54)+Assumptions!$F$54+$C$2158,Assumptions!$E$54))+K2193*IF(OR(K2194=1,J2321=1),$C$2159,IF(Assumptions!$I$55=1,MAX(K2157,Assumptions!$G$55)+Assumptions!$F$55+$C$2158,Assumptions!$E$55))+K2206*IF(OR(K2207=1,J2322=1),$C$2159,IF(Assumptions!$I$56=1,MAX(K2157,Assumptions!$G$56)+Assumptions!$F$56+$C$2158,Assumptions!$E$56))</f>
        <v>117.032294404461</v>
      </c>
    </row>
    <row r="2165" customFormat="false" ht="15" hidden="false" customHeight="false" outlineLevel="0" collapsed="false">
      <c r="A2165" s="5" t="s">
        <v>262</v>
      </c>
      <c r="G2165" s="20" t="n">
        <f aca="false">IF(G2141&lt;=0,0,IF(AND((G2162-G2163)/G2141&lt;=$C$2160,G2141/G2164&gt;=$C$2161),1,0))</f>
        <v>1</v>
      </c>
      <c r="H2165" s="20" t="n">
        <f aca="false">IF(H2141&lt;=0,0,IF(AND((H2162-H2163)/H2141&lt;=$C$2160,H2141/H2164&gt;=$C$2161),1,0))</f>
        <v>1</v>
      </c>
      <c r="I2165" s="20" t="n">
        <f aca="false">IF(I2141&lt;=0,0,IF(AND((I2162-I2163)/I2141&lt;=$C$2160,I2141/I2164&gt;=$C$2161),1,0))</f>
        <v>1</v>
      </c>
      <c r="J2165" s="20" t="n">
        <f aca="false">IF(J2141&lt;=0,0,IF(AND((J2162-J2163)/J2141&lt;=$C$2160,J2141/J2164&gt;=$C$2161),1,0))</f>
        <v>1</v>
      </c>
      <c r="K2165" s="20" t="n">
        <f aca="false">IF(K2141&lt;=0,0,IF(AND((K2162-K2163)/K2141&lt;=$C$2160,K2141/K2164&gt;=$C$2161),1,0))</f>
        <v>1</v>
      </c>
    </row>
    <row r="2166" customFormat="false" ht="15" hidden="false" customHeight="false" outlineLevel="0" collapsed="false">
      <c r="A2166" s="23" t="s">
        <v>263</v>
      </c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</row>
    <row r="2167" customFormat="false" ht="15" hidden="false" customHeight="false" outlineLevel="0" collapsed="false">
      <c r="A2167" s="5" t="s">
        <v>264</v>
      </c>
      <c r="G2167" s="25" t="n">
        <f aca="false">F2178</f>
        <v>180</v>
      </c>
      <c r="H2167" s="25" t="n">
        <f aca="false">G2178</f>
        <v>109.582</v>
      </c>
      <c r="I2167" s="25" t="n">
        <f aca="false">H2178</f>
        <v>75.72024275</v>
      </c>
      <c r="J2167" s="25" t="n">
        <f aca="false">I2178</f>
        <v>75.72024275</v>
      </c>
      <c r="K2167" s="25" t="n">
        <f aca="false">J2178</f>
        <v>75.72024275</v>
      </c>
    </row>
    <row r="2168" customFormat="false" ht="15" hidden="false" customHeight="false" outlineLevel="0" collapsed="false">
      <c r="A2168" s="5" t="s">
        <v>265</v>
      </c>
      <c r="G2168" s="20" t="n">
        <f aca="false">IF(G2131=Assumptions!$K$53,1,0)</f>
        <v>0</v>
      </c>
      <c r="H2168" s="20" t="n">
        <f aca="false">IF(H2131=Assumptions!$K$53,1,0)</f>
        <v>1</v>
      </c>
      <c r="I2168" s="20" t="n">
        <f aca="false">IF(I2131=Assumptions!$K$53,1,0)</f>
        <v>0</v>
      </c>
      <c r="J2168" s="20" t="n">
        <f aca="false">IF(J2131=Assumptions!$K$53,1,0)</f>
        <v>0</v>
      </c>
      <c r="K2168" s="20" t="n">
        <f aca="false">IF(K2131=Assumptions!$K$53,1,0)</f>
        <v>0</v>
      </c>
    </row>
    <row r="2170" customFormat="false" ht="15" hidden="false" customHeight="false" outlineLevel="0" collapsed="false">
      <c r="A2170" s="5" t="s">
        <v>266</v>
      </c>
      <c r="G2170" s="30" t="n">
        <f aca="false">IF(Assumptions!$I$53=1,MAX(G2157,Assumptions!$G$53)+Assumptions!$F$53+$C$2158,Assumptions!$E$53)</f>
        <v>0.086</v>
      </c>
      <c r="H2170" s="30" t="n">
        <f aca="false">IF(G2319=1,$C$2159,IF(Assumptions!$I$53=1,MAX(H2157,Assumptions!$G$53)+Assumptions!$F$53+$C$2158,Assumptions!$E$53))</f>
        <v>0.0835</v>
      </c>
      <c r="I2170" s="30" t="n">
        <f aca="false">IF(H2319=1,$C$2159,IF(Assumptions!$I$53=1,MAX(I2157,Assumptions!$G$53)+Assumptions!$F$53+$C$2158,Assumptions!$E$53))</f>
        <v>0.11</v>
      </c>
      <c r="J2170" s="30" t="n">
        <f aca="false">IF(I2319=1,$C$2159,IF(Assumptions!$I$53=1,MAX(J2157,Assumptions!$G$53)+Assumptions!$F$53+$C$2158,Assumptions!$E$53))</f>
        <v>0.11</v>
      </c>
      <c r="K2170" s="30" t="n">
        <f aca="false">IF(J2319=1,$C$2159,IF(Assumptions!$I$53=1,MAX(K2157,Assumptions!$G$53)+Assumptions!$F$53+$C$2158,Assumptions!$E$53))</f>
        <v>0.11</v>
      </c>
    </row>
    <row r="2171" customFormat="false" ht="15" hidden="false" customHeight="false" outlineLevel="0" collapsed="false">
      <c r="A2171" s="5" t="s">
        <v>267</v>
      </c>
      <c r="G2171" s="25" t="n">
        <f aca="false">G2167*G2170</f>
        <v>15.48</v>
      </c>
      <c r="H2171" s="25" t="n">
        <f aca="false">H2167*H2170</f>
        <v>9.150097</v>
      </c>
      <c r="I2171" s="25" t="n">
        <f aca="false">I2167*I2170</f>
        <v>8.32922670249999</v>
      </c>
      <c r="J2171" s="25" t="n">
        <f aca="false">J2167*J2170</f>
        <v>8.32922670249999</v>
      </c>
      <c r="K2171" s="25" t="n">
        <f aca="false">K2167*K2170</f>
        <v>8.32922670249999</v>
      </c>
    </row>
    <row r="2172" customFormat="false" ht="15" hidden="false" customHeight="false" outlineLevel="0" collapsed="false">
      <c r="A2172" s="5" t="s">
        <v>268</v>
      </c>
      <c r="G2172" s="25" t="n">
        <f aca="false">G2167*Assumptions!$H$53</f>
        <v>0</v>
      </c>
      <c r="H2172" s="25" t="n">
        <f aca="false">H2167*Assumptions!$H$53</f>
        <v>0</v>
      </c>
      <c r="I2172" s="25" t="n">
        <f aca="false">I2167*Assumptions!$H$53</f>
        <v>0</v>
      </c>
      <c r="J2172" s="25" t="n">
        <f aca="false">J2167*Assumptions!$H$53</f>
        <v>0</v>
      </c>
      <c r="K2172" s="25" t="n">
        <f aca="false">K2167*Assumptions!$H$53</f>
        <v>0</v>
      </c>
    </row>
    <row r="2173" customFormat="false" ht="15" hidden="false" customHeight="false" outlineLevel="0" collapsed="false">
      <c r="A2173" s="5" t="s">
        <v>269</v>
      </c>
      <c r="G2173" s="25" t="n">
        <f aca="false">MIN(G2167,Assumptions!$L$53*Assumptions!$C$53)</f>
        <v>0</v>
      </c>
      <c r="H2173" s="25" t="n">
        <f aca="false">MIN(H2167,Assumptions!$L$53*Assumptions!$C$53)</f>
        <v>0</v>
      </c>
      <c r="I2173" s="25" t="n">
        <f aca="false">MIN(I2167,Assumptions!$L$53*Assumptions!$C$53)</f>
        <v>0</v>
      </c>
      <c r="J2173" s="25" t="n">
        <f aca="false">MIN(J2167,Assumptions!$L$53*Assumptions!$C$53)</f>
        <v>0</v>
      </c>
      <c r="K2173" s="25" t="n">
        <f aca="false">MIN(K2167,Assumptions!$L$53*Assumptions!$C$53)</f>
        <v>0</v>
      </c>
    </row>
    <row r="2174" customFormat="false" ht="15" hidden="false" customHeight="false" outlineLevel="0" collapsed="false">
      <c r="A2174" s="5" t="s">
        <v>270</v>
      </c>
      <c r="G2174" s="25" t="n">
        <f aca="false">IF(AND(Assumptions!$P$53=1,G2131&lt;Assumptions!$K$53),MIN(MAX(0,-G2245),MAX(0,Assumptions!$D$53-G2167)),0)</f>
        <v>0</v>
      </c>
      <c r="H2174" s="25" t="n">
        <f aca="false">IF(AND(Assumptions!$P$53=1,OR(H2131&lt;Assumptions!$K$53,G2319=1)),MIN(MAX(0,-H2245),MAX(0,Assumptions!$D$53-H2167)),0)</f>
        <v>0</v>
      </c>
      <c r="I2174" s="25" t="n">
        <f aca="false">IF(AND(Assumptions!$P$53=1,OR(I2131&lt;Assumptions!$K$53,H2319=1)),MIN(MAX(0,-I2245),MAX(0,Assumptions!$D$53-I2167)),0)</f>
        <v>0</v>
      </c>
      <c r="J2174" s="25" t="n">
        <f aca="false">IF(AND(Assumptions!$P$53=1,OR(J2131&lt;Assumptions!$K$53,I2319=1)),MIN(MAX(0,-J2245),MAX(0,Assumptions!$D$53-J2167)),0)</f>
        <v>0</v>
      </c>
      <c r="K2174" s="25" t="n">
        <f aca="false">IF(AND(Assumptions!$P$53=1,OR(K2131&lt;Assumptions!$K$53,J2319=1)),MIN(MAX(0,-K2245),MAX(0,Assumptions!$D$53-K2167)),0)</f>
        <v>0</v>
      </c>
    </row>
    <row r="2175" customFormat="false" ht="15" hidden="false" customHeight="false" outlineLevel="0" collapsed="false">
      <c r="A2175" s="5" t="s">
        <v>271</v>
      </c>
      <c r="G2175" s="25" t="n">
        <f aca="false">G2168*MIN(G2167-G2173+G2172,MAX(0,G2247-Assumptions!$C$12*G2165))</f>
        <v>0</v>
      </c>
      <c r="H2175" s="25" t="n">
        <f aca="false">H2168*MIN(H2167-H2173+H2172,MAX(0,H2247-Assumptions!$C$12*H2165))</f>
        <v>33.86175725</v>
      </c>
      <c r="I2175" s="25" t="n">
        <f aca="false">I2168*MIN(I2167-I2173+I2172,MAX(0,I2247-Assumptions!$C$12*I2165))</f>
        <v>0</v>
      </c>
      <c r="J2175" s="25" t="n">
        <f aca="false">J2168*MIN(J2167-J2173+J2172,MAX(0,J2247-Assumptions!$C$12*J2165))</f>
        <v>0</v>
      </c>
      <c r="K2175" s="25" t="n">
        <f aca="false">K2168*MIN(K2167-K2173+K2172,MAX(0,K2247-Assumptions!$C$12*K2165))</f>
        <v>0</v>
      </c>
    </row>
    <row r="2176" customFormat="false" ht="15" hidden="false" customHeight="false" outlineLevel="0" collapsed="false">
      <c r="A2176" s="5" t="s">
        <v>272</v>
      </c>
      <c r="G2176" s="25" t="n">
        <f aca="false">Assumptions!$N$53*MIN(G2167+G2174+G2172-G2173-G2175,MAX(0,G2251))</f>
        <v>70.418</v>
      </c>
      <c r="H2176" s="25" t="n">
        <f aca="false">Assumptions!$N$53*MIN(H2167+H2174+H2172-H2173-H2175,MAX(0,H2251))</f>
        <v>0</v>
      </c>
      <c r="I2176" s="25" t="n">
        <f aca="false">Assumptions!$N$53*MIN(I2167+I2174+I2172-I2173-I2175,MAX(0,I2251))</f>
        <v>0</v>
      </c>
      <c r="J2176" s="25" t="n">
        <f aca="false">Assumptions!$N$53*MIN(J2167+J2174+J2172-J2173-J2175,MAX(0,J2251))</f>
        <v>0</v>
      </c>
      <c r="K2176" s="25" t="n">
        <f aca="false">Assumptions!$N$53*MIN(K2167+K2174+K2172-K2173-K2175,MAX(0,K2251))</f>
        <v>35.893576322194</v>
      </c>
    </row>
    <row r="2177" customFormat="false" ht="15" hidden="false" customHeight="false" outlineLevel="0" collapsed="false">
      <c r="A2177" s="5" t="s">
        <v>273</v>
      </c>
      <c r="G2177" s="25" t="n">
        <f aca="false">G2168*(1-G2165)*(G2167-G2173+G2172-G2175)</f>
        <v>0</v>
      </c>
      <c r="H2177" s="25" t="n">
        <f aca="false">H2168*(1-H2165)*(H2167-H2173+H2172-H2175)</f>
        <v>0</v>
      </c>
      <c r="I2177" s="25" t="n">
        <f aca="false">I2168*(1-I2165)*(I2167-I2173+I2172-I2175)</f>
        <v>0</v>
      </c>
      <c r="J2177" s="25" t="n">
        <f aca="false">J2168*(1-J2165)*(J2167-J2173+J2172-J2175)</f>
        <v>0</v>
      </c>
      <c r="K2177" s="25" t="n">
        <f aca="false">K2168*(1-K2165)*(K2167-K2173+K2172-K2175)</f>
        <v>0</v>
      </c>
    </row>
    <row r="2178" customFormat="false" ht="15" hidden="false" customHeight="false" outlineLevel="0" collapsed="false">
      <c r="A2178" s="2" t="s">
        <v>274</v>
      </c>
      <c r="F2178" s="27" t="n">
        <f aca="false">Assumptions!$C$53</f>
        <v>180</v>
      </c>
      <c r="G2178" s="16" t="n">
        <f aca="false">G2167+G2174+G2172-G2173-G2175-G2176</f>
        <v>109.582</v>
      </c>
      <c r="H2178" s="16" t="n">
        <f aca="false">H2167+H2174+H2172-H2173-H2175-H2176</f>
        <v>75.72024275</v>
      </c>
      <c r="I2178" s="16" t="n">
        <f aca="false">I2167+I2174+I2172-I2173-I2175-I2176</f>
        <v>75.72024275</v>
      </c>
      <c r="J2178" s="16" t="n">
        <f aca="false">J2167+J2174+J2172-J2173-J2175-J2176</f>
        <v>75.72024275</v>
      </c>
      <c r="K2178" s="16" t="n">
        <f aca="false">K2167+K2174+K2172-K2173-K2175-K2176</f>
        <v>39.826666427806</v>
      </c>
    </row>
    <row r="2179" customFormat="false" ht="15" hidden="false" customHeight="false" outlineLevel="0" collapsed="false">
      <c r="A2179" s="23" t="s">
        <v>275</v>
      </c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</row>
    <row r="2180" customFormat="false" ht="15" hidden="false" customHeight="false" outlineLevel="0" collapsed="false">
      <c r="A2180" s="5" t="s">
        <v>264</v>
      </c>
      <c r="G2180" s="25" t="n">
        <f aca="false">F2191</f>
        <v>520</v>
      </c>
      <c r="H2180" s="25" t="n">
        <f aca="false">G2191</f>
        <v>514.8</v>
      </c>
      <c r="I2180" s="25" t="n">
        <f aca="false">H2191</f>
        <v>509.6</v>
      </c>
      <c r="J2180" s="25" t="n">
        <f aca="false">I2191</f>
        <v>474.179337426875</v>
      </c>
      <c r="K2180" s="25" t="n">
        <f aca="false">J2191</f>
        <v>468.979337426875</v>
      </c>
    </row>
    <row r="2181" customFormat="false" ht="15" hidden="false" customHeight="false" outlineLevel="0" collapsed="false">
      <c r="A2181" s="5" t="s">
        <v>265</v>
      </c>
      <c r="G2181" s="20" t="n">
        <f aca="false">IF(G2131=Assumptions!$K$54,1,0)</f>
        <v>0</v>
      </c>
      <c r="H2181" s="20" t="n">
        <f aca="false">IF(H2131=Assumptions!$K$54,1,0)</f>
        <v>0</v>
      </c>
      <c r="I2181" s="20" t="n">
        <f aca="false">IF(I2131=Assumptions!$K$54,1,0)</f>
        <v>1</v>
      </c>
      <c r="J2181" s="20" t="n">
        <f aca="false">IF(J2131=Assumptions!$K$54,1,0)</f>
        <v>0</v>
      </c>
      <c r="K2181" s="20" t="n">
        <f aca="false">IF(K2131=Assumptions!$K$54,1,0)</f>
        <v>0</v>
      </c>
    </row>
    <row r="2183" customFormat="false" ht="15" hidden="false" customHeight="false" outlineLevel="0" collapsed="false">
      <c r="A2183" s="5" t="s">
        <v>266</v>
      </c>
      <c r="G2183" s="30" t="n">
        <f aca="false">IF(Assumptions!$I$54=1,MAX(G2157,Assumptions!$G$54)+Assumptions!$F$54+$C$2158,Assumptions!$E$54)</f>
        <v>0.103</v>
      </c>
      <c r="H2183" s="30" t="n">
        <f aca="false">IF(G2320=1,$C$2159,IF(Assumptions!$I$54=1,MAX(H2157,Assumptions!$G$54)+Assumptions!$F$54+$C$2158,Assumptions!$E$54))</f>
        <v>0.1005</v>
      </c>
      <c r="I2183" s="30" t="n">
        <f aca="false">IF(H2320=1,$C$2159,IF(Assumptions!$I$54=1,MAX(I2157,Assumptions!$G$54)+Assumptions!$F$54+$C$2158,Assumptions!$E$54))</f>
        <v>0.098</v>
      </c>
      <c r="J2183" s="30" t="n">
        <f aca="false">IF(I2320=1,$C$2159,IF(Assumptions!$I$54=1,MAX(J2157,Assumptions!$G$54)+Assumptions!$F$54+$C$2158,Assumptions!$E$54))</f>
        <v>0.11</v>
      </c>
      <c r="K2183" s="30" t="n">
        <f aca="false">IF(J2320=1,$C$2159,IF(Assumptions!$I$54=1,MAX(K2157,Assumptions!$G$54)+Assumptions!$F$54+$C$2158,Assumptions!$E$54))</f>
        <v>0.11</v>
      </c>
    </row>
    <row r="2184" customFormat="false" ht="15" hidden="false" customHeight="false" outlineLevel="0" collapsed="false">
      <c r="A2184" s="5" t="s">
        <v>267</v>
      </c>
      <c r="G2184" s="25" t="n">
        <f aca="false">G2180*G2183</f>
        <v>53.56</v>
      </c>
      <c r="H2184" s="25" t="n">
        <f aca="false">H2180*H2183</f>
        <v>51.7374</v>
      </c>
      <c r="I2184" s="25" t="n">
        <f aca="false">I2180*I2183</f>
        <v>49.9408</v>
      </c>
      <c r="J2184" s="25" t="n">
        <f aca="false">J2180*J2183</f>
        <v>52.1597271169563</v>
      </c>
      <c r="K2184" s="25" t="n">
        <f aca="false">K2180*K2183</f>
        <v>51.5877271169562</v>
      </c>
    </row>
    <row r="2185" customFormat="false" ht="15" hidden="false" customHeight="false" outlineLevel="0" collapsed="false">
      <c r="A2185" s="5" t="s">
        <v>268</v>
      </c>
      <c r="G2185" s="25" t="n">
        <f aca="false">G2180*Assumptions!$H$54</f>
        <v>0</v>
      </c>
      <c r="H2185" s="25" t="n">
        <f aca="false">H2180*Assumptions!$H$54</f>
        <v>0</v>
      </c>
      <c r="I2185" s="25" t="n">
        <f aca="false">I2180*Assumptions!$H$54</f>
        <v>0</v>
      </c>
      <c r="J2185" s="25" t="n">
        <f aca="false">J2180*Assumptions!$H$54</f>
        <v>0</v>
      </c>
      <c r="K2185" s="25" t="n">
        <f aca="false">K2180*Assumptions!$H$54</f>
        <v>0</v>
      </c>
    </row>
    <row r="2186" customFormat="false" ht="15" hidden="false" customHeight="false" outlineLevel="0" collapsed="false">
      <c r="A2186" s="5" t="s">
        <v>269</v>
      </c>
      <c r="G2186" s="25" t="n">
        <f aca="false">MIN(G2180,Assumptions!$L$54*Assumptions!$C$54)</f>
        <v>5.2</v>
      </c>
      <c r="H2186" s="25" t="n">
        <f aca="false">MIN(H2180,Assumptions!$L$54*Assumptions!$C$54)</f>
        <v>5.2</v>
      </c>
      <c r="I2186" s="25" t="n">
        <f aca="false">MIN(I2180,Assumptions!$L$54*Assumptions!$C$54)</f>
        <v>5.2</v>
      </c>
      <c r="J2186" s="25" t="n">
        <f aca="false">MIN(J2180,Assumptions!$L$54*Assumptions!$C$54)</f>
        <v>5.2</v>
      </c>
      <c r="K2186" s="25" t="n">
        <f aca="false">MIN(K2180,Assumptions!$L$54*Assumptions!$C$54)</f>
        <v>5.2</v>
      </c>
    </row>
    <row r="2187" customFormat="false" ht="15" hidden="false" customHeight="false" outlineLevel="0" collapsed="false">
      <c r="A2187" s="5" t="s">
        <v>270</v>
      </c>
      <c r="G2187" s="25" t="n">
        <f aca="false">IF(AND(Assumptions!$P$54=1,G2131&lt;Assumptions!$K$54),MIN(MAX(0,-G2245),MAX(0,Assumptions!$D$54-G2180)),0)</f>
        <v>0</v>
      </c>
      <c r="H2187" s="25" t="n">
        <f aca="false">IF(AND(Assumptions!$P$54=1,OR(H2131&lt;Assumptions!$K$54,G2320=1)),MIN(MAX(0,-H2245),MAX(0,Assumptions!$D$54-H2180)),0)</f>
        <v>0</v>
      </c>
      <c r="I2187" s="25" t="n">
        <f aca="false">IF(AND(Assumptions!$P$54=1,OR(I2131&lt;Assumptions!$K$54,H2320=1)),MIN(MAX(0,-I2245),MAX(0,Assumptions!$D$54-I2180)),0)</f>
        <v>0</v>
      </c>
      <c r="J2187" s="25" t="n">
        <f aca="false">IF(AND(Assumptions!$P$54=1,OR(J2131&lt;Assumptions!$K$54,I2320=1)),MIN(MAX(0,-J2245),MAX(0,Assumptions!$D$54-J2180)),0)</f>
        <v>0</v>
      </c>
      <c r="K2187" s="25" t="n">
        <f aca="false">IF(AND(Assumptions!$P$54=1,OR(K2131&lt;Assumptions!$K$54,J2320=1)),MIN(MAX(0,-K2245),MAX(0,Assumptions!$D$54-K2180)),0)</f>
        <v>0</v>
      </c>
    </row>
    <row r="2188" customFormat="false" ht="15" hidden="false" customHeight="false" outlineLevel="0" collapsed="false">
      <c r="A2188" s="5" t="s">
        <v>271</v>
      </c>
      <c r="G2188" s="25" t="n">
        <f aca="false">G2181*MIN(G2180-G2186+G2185,MAX(0,G2247-Assumptions!$C$12*G2165-G2175))</f>
        <v>0</v>
      </c>
      <c r="H2188" s="25" t="n">
        <f aca="false">H2181*MIN(H2180-H2186+H2185,MAX(0,H2247-Assumptions!$C$12*H2165-H2175))</f>
        <v>0</v>
      </c>
      <c r="I2188" s="25" t="n">
        <f aca="false">I2181*MIN(I2180-I2186+I2185,MAX(0,I2247-Assumptions!$C$12*I2165-I2175))</f>
        <v>30.220662573125</v>
      </c>
      <c r="J2188" s="25" t="n">
        <f aca="false">J2181*MIN(J2180-J2186+J2185,MAX(0,J2247-Assumptions!$C$12*J2165-J2175))</f>
        <v>0</v>
      </c>
      <c r="K2188" s="25" t="n">
        <f aca="false">K2181*MIN(K2180-K2186+K2185,MAX(0,K2247-Assumptions!$C$12*K2165-K2175))</f>
        <v>0</v>
      </c>
    </row>
    <row r="2189" customFormat="false" ht="15" hidden="false" customHeight="false" outlineLevel="0" collapsed="false">
      <c r="A2189" s="5" t="s">
        <v>272</v>
      </c>
      <c r="G2189" s="25" t="n">
        <f aca="false">Assumptions!$N$54*MIN(G2180+G2187+G2185-G2186-G2188,MAX(0,G2251-G2176))</f>
        <v>0</v>
      </c>
      <c r="H2189" s="25" t="n">
        <f aca="false">Assumptions!$N$54*MIN(H2180+H2187+H2185-H2186-H2188,MAX(0,H2251-H2176))</f>
        <v>0</v>
      </c>
      <c r="I2189" s="25" t="n">
        <f aca="false">Assumptions!$N$54*MIN(I2180+I2187+I2185-I2186-I2188,MAX(0,I2251-I2176))</f>
        <v>0</v>
      </c>
      <c r="J2189" s="25" t="n">
        <f aca="false">Assumptions!$N$54*MIN(J2180+J2187+J2185-J2186-J2188,MAX(0,J2251-J2176))</f>
        <v>0</v>
      </c>
      <c r="K2189" s="25" t="n">
        <f aca="false">Assumptions!$N$54*MIN(K2180+K2187+K2185-K2186-K2188,MAX(0,K2251-K2176))</f>
        <v>0</v>
      </c>
    </row>
    <row r="2190" customFormat="false" ht="15" hidden="false" customHeight="false" outlineLevel="0" collapsed="false">
      <c r="A2190" s="5" t="s">
        <v>273</v>
      </c>
      <c r="G2190" s="25" t="n">
        <f aca="false">G2181*(1-G2165)*(G2180-G2186+G2185-G2188)</f>
        <v>0</v>
      </c>
      <c r="H2190" s="25" t="n">
        <f aca="false">H2181*(1-H2165)*(H2180-H2186+H2185-H2188)</f>
        <v>0</v>
      </c>
      <c r="I2190" s="25" t="n">
        <f aca="false">I2181*(1-I2165)*(I2180-I2186+I2185-I2188)</f>
        <v>0</v>
      </c>
      <c r="J2190" s="25" t="n">
        <f aca="false">J2181*(1-J2165)*(J2180-J2186+J2185-J2188)</f>
        <v>0</v>
      </c>
      <c r="K2190" s="25" t="n">
        <f aca="false">K2181*(1-K2165)*(K2180-K2186+K2185-K2188)</f>
        <v>0</v>
      </c>
    </row>
    <row r="2191" customFormat="false" ht="15" hidden="false" customHeight="false" outlineLevel="0" collapsed="false">
      <c r="A2191" s="2" t="s">
        <v>274</v>
      </c>
      <c r="F2191" s="27" t="n">
        <f aca="false">Assumptions!$C$54</f>
        <v>520</v>
      </c>
      <c r="G2191" s="16" t="n">
        <f aca="false">G2180+G2187+G2185-G2186-G2188-G2189</f>
        <v>514.8</v>
      </c>
      <c r="H2191" s="16" t="n">
        <f aca="false">H2180+H2187+H2185-H2186-H2188-H2189</f>
        <v>509.6</v>
      </c>
      <c r="I2191" s="16" t="n">
        <f aca="false">I2180+I2187+I2185-I2186-I2188-I2189</f>
        <v>474.179337426875</v>
      </c>
      <c r="J2191" s="16" t="n">
        <f aca="false">J2180+J2187+J2185-J2186-J2188-J2189</f>
        <v>468.979337426875</v>
      </c>
      <c r="K2191" s="16" t="n">
        <f aca="false">K2180+K2187+K2185-K2186-K2188-K2189</f>
        <v>463.779337426875</v>
      </c>
    </row>
    <row r="2192" customFormat="false" ht="15" hidden="false" customHeight="false" outlineLevel="0" collapsed="false">
      <c r="A2192" s="23" t="s">
        <v>276</v>
      </c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</row>
    <row r="2193" customFormat="false" ht="15" hidden="false" customHeight="false" outlineLevel="0" collapsed="false">
      <c r="A2193" s="5" t="s">
        <v>264</v>
      </c>
      <c r="G2193" s="25" t="n">
        <f aca="false">F2204</f>
        <v>250</v>
      </c>
      <c r="H2193" s="25" t="n">
        <f aca="false">G2204</f>
        <v>250</v>
      </c>
      <c r="I2193" s="25" t="n">
        <f aca="false">H2204</f>
        <v>250</v>
      </c>
      <c r="J2193" s="25" t="n">
        <f aca="false">I2204</f>
        <v>250</v>
      </c>
      <c r="K2193" s="25" t="n">
        <f aca="false">J2204</f>
        <v>219.230368954592</v>
      </c>
    </row>
    <row r="2194" customFormat="false" ht="15" hidden="false" customHeight="false" outlineLevel="0" collapsed="false">
      <c r="A2194" s="5" t="s">
        <v>265</v>
      </c>
      <c r="G2194" s="20" t="n">
        <f aca="false">IF(G2131=Assumptions!$K$55,1,0)</f>
        <v>0</v>
      </c>
      <c r="H2194" s="20" t="n">
        <f aca="false">IF(H2131=Assumptions!$K$55,1,0)</f>
        <v>0</v>
      </c>
      <c r="I2194" s="20" t="n">
        <f aca="false">IF(I2131=Assumptions!$K$55,1,0)</f>
        <v>0</v>
      </c>
      <c r="J2194" s="20" t="n">
        <f aca="false">IF(J2131=Assumptions!$K$55,1,0)</f>
        <v>1</v>
      </c>
      <c r="K2194" s="20" t="n">
        <f aca="false">IF(K2131=Assumptions!$K$55,1,0)</f>
        <v>0</v>
      </c>
    </row>
    <row r="2196" customFormat="false" ht="15" hidden="false" customHeight="false" outlineLevel="0" collapsed="false">
      <c r="A2196" s="5" t="s">
        <v>266</v>
      </c>
      <c r="G2196" s="30" t="n">
        <f aca="false">IF(Assumptions!$I$55=1,MAX(G2157,Assumptions!$G$55)+Assumptions!$F$55+$C$2158,Assumptions!$E$55)</f>
        <v>0.11</v>
      </c>
      <c r="H2196" s="30" t="n">
        <f aca="false">IF(G2321=1,$C$2159,IF(Assumptions!$I$55=1,MAX(H2157,Assumptions!$G$55)+Assumptions!$F$55+$C$2158,Assumptions!$E$55))</f>
        <v>0.11</v>
      </c>
      <c r="I2196" s="30" t="n">
        <f aca="false">IF(H2321=1,$C$2159,IF(Assumptions!$I$55=1,MAX(I2157,Assumptions!$G$55)+Assumptions!$F$55+$C$2158,Assumptions!$E$55))</f>
        <v>0.11</v>
      </c>
      <c r="J2196" s="30" t="n">
        <f aca="false">IF(I2321=1,$C$2159,IF(Assumptions!$I$55=1,MAX(J2157,Assumptions!$G$55)+Assumptions!$F$55+$C$2158,Assumptions!$E$55))</f>
        <v>0.11</v>
      </c>
      <c r="K2196" s="30" t="n">
        <f aca="false">IF(J2321=1,$C$2159,IF(Assumptions!$I$55=1,MAX(K2157,Assumptions!$G$55)+Assumptions!$F$55+$C$2158,Assumptions!$E$55))</f>
        <v>0.11</v>
      </c>
    </row>
    <row r="2197" customFormat="false" ht="15" hidden="false" customHeight="false" outlineLevel="0" collapsed="false">
      <c r="A2197" s="5" t="s">
        <v>267</v>
      </c>
      <c r="G2197" s="25" t="n">
        <f aca="false">G2193*G2196</f>
        <v>27.5</v>
      </c>
      <c r="H2197" s="25" t="n">
        <f aca="false">H2193*H2196</f>
        <v>27.5</v>
      </c>
      <c r="I2197" s="25" t="n">
        <f aca="false">I2193*I2196</f>
        <v>27.5</v>
      </c>
      <c r="J2197" s="25" t="n">
        <f aca="false">J2193*J2196</f>
        <v>27.5</v>
      </c>
      <c r="K2197" s="25" t="n">
        <f aca="false">K2193*K2196</f>
        <v>24.1153405850051</v>
      </c>
    </row>
    <row r="2198" customFormat="false" ht="15" hidden="false" customHeight="false" outlineLevel="0" collapsed="false">
      <c r="A2198" s="5" t="s">
        <v>268</v>
      </c>
      <c r="G2198" s="25" t="n">
        <f aca="false">G2193*Assumptions!$H$55</f>
        <v>0</v>
      </c>
      <c r="H2198" s="25" t="n">
        <f aca="false">H2193*Assumptions!$H$55</f>
        <v>0</v>
      </c>
      <c r="I2198" s="25" t="n">
        <f aca="false">I2193*Assumptions!$H$55</f>
        <v>0</v>
      </c>
      <c r="J2198" s="25" t="n">
        <f aca="false">J2193*Assumptions!$H$55</f>
        <v>0</v>
      </c>
      <c r="K2198" s="25" t="n">
        <f aca="false">K2193*Assumptions!$H$55</f>
        <v>0</v>
      </c>
    </row>
    <row r="2199" customFormat="false" ht="15" hidden="false" customHeight="false" outlineLevel="0" collapsed="false">
      <c r="A2199" s="5" t="s">
        <v>269</v>
      </c>
      <c r="G2199" s="25" t="n">
        <f aca="false">MIN(G2193,Assumptions!$L$55*Assumptions!$C$55)</f>
        <v>0</v>
      </c>
      <c r="H2199" s="25" t="n">
        <f aca="false">MIN(H2193,Assumptions!$L$55*Assumptions!$C$55)</f>
        <v>0</v>
      </c>
      <c r="I2199" s="25" t="n">
        <f aca="false">MIN(I2193,Assumptions!$L$55*Assumptions!$C$55)</f>
        <v>0</v>
      </c>
      <c r="J2199" s="25" t="n">
        <f aca="false">MIN(J2193,Assumptions!$L$55*Assumptions!$C$55)</f>
        <v>0</v>
      </c>
      <c r="K2199" s="25" t="n">
        <f aca="false">MIN(K2193,Assumptions!$L$55*Assumptions!$C$55)</f>
        <v>0</v>
      </c>
    </row>
    <row r="2200" customFormat="false" ht="15" hidden="false" customHeight="false" outlineLevel="0" collapsed="false">
      <c r="A2200" s="5" t="s">
        <v>270</v>
      </c>
      <c r="G2200" s="25" t="n">
        <f aca="false">IF(AND(Assumptions!$P$55=1,G2131&lt;Assumptions!$K$55),MIN(MAX(0,-G2245),MAX(0,Assumptions!$D$55-G2193)),0)</f>
        <v>0</v>
      </c>
      <c r="H2200" s="25" t="n">
        <f aca="false">IF(AND(Assumptions!$P$55=1,OR(H2131&lt;Assumptions!$K$55,G2321=1)),MIN(MAX(0,-H2245),MAX(0,Assumptions!$D$55-H2193)),0)</f>
        <v>0</v>
      </c>
      <c r="I2200" s="25" t="n">
        <f aca="false">IF(AND(Assumptions!$P$55=1,OR(I2131&lt;Assumptions!$K$55,H2321=1)),MIN(MAX(0,-I2245),MAX(0,Assumptions!$D$55-I2193)),0)</f>
        <v>0</v>
      </c>
      <c r="J2200" s="25" t="n">
        <f aca="false">IF(AND(Assumptions!$P$55=1,OR(J2131&lt;Assumptions!$K$55,I2321=1)),MIN(MAX(0,-J2245),MAX(0,Assumptions!$D$55-J2193)),0)</f>
        <v>0</v>
      </c>
      <c r="K2200" s="25" t="n">
        <f aca="false">IF(AND(Assumptions!$P$55=1,OR(K2131&lt;Assumptions!$K$55,J2321=1)),MIN(MAX(0,-K2245),MAX(0,Assumptions!$D$55-K2193)),0)</f>
        <v>0</v>
      </c>
    </row>
    <row r="2201" customFormat="false" ht="15" hidden="false" customHeight="false" outlineLevel="0" collapsed="false">
      <c r="A2201" s="5" t="s">
        <v>271</v>
      </c>
      <c r="G2201" s="25" t="n">
        <f aca="false">G2194*MIN(G2193-G2199+G2198,MAX(0,G2247-Assumptions!$C$12*G2165-G2175-G2188))</f>
        <v>0</v>
      </c>
      <c r="H2201" s="25" t="n">
        <f aca="false">H2194*MIN(H2193-H2199+H2198,MAX(0,H2247-Assumptions!$C$12*H2165-H2175-H2188))</f>
        <v>0</v>
      </c>
      <c r="I2201" s="25" t="n">
        <f aca="false">I2194*MIN(I2193-I2199+I2198,MAX(0,I2247-Assumptions!$C$12*I2165-I2175-I2188))</f>
        <v>0</v>
      </c>
      <c r="J2201" s="25" t="n">
        <f aca="false">J2194*MIN(J2193-J2199+J2198,MAX(0,J2247-Assumptions!$C$12*J2165-J2175-J2188))</f>
        <v>30.7696310454078</v>
      </c>
      <c r="K2201" s="25" t="n">
        <f aca="false">K2194*MIN(K2193-K2199+K2198,MAX(0,K2247-Assumptions!$C$12*K2165-K2175-K2188))</f>
        <v>0</v>
      </c>
    </row>
    <row r="2202" customFormat="false" ht="15" hidden="false" customHeight="false" outlineLevel="0" collapsed="false">
      <c r="A2202" s="5" t="s">
        <v>272</v>
      </c>
      <c r="G2202" s="25" t="n">
        <f aca="false">Assumptions!$N$55*MIN(G2193+G2200+G2198-G2199-G2201,MAX(0,G2251-G2176-G2189))</f>
        <v>0</v>
      </c>
      <c r="H2202" s="25" t="n">
        <f aca="false">Assumptions!$N$55*MIN(H2193+H2200+H2198-H2199-H2201,MAX(0,H2251-H2176-H2189))</f>
        <v>0</v>
      </c>
      <c r="I2202" s="25" t="n">
        <f aca="false">Assumptions!$N$55*MIN(I2193+I2200+I2198-I2199-I2201,MAX(0,I2251-I2176-I2189))</f>
        <v>0</v>
      </c>
      <c r="J2202" s="25" t="n">
        <f aca="false">Assumptions!$N$55*MIN(J2193+J2200+J2198-J2199-J2201,MAX(0,J2251-J2176-J2189))</f>
        <v>0</v>
      </c>
      <c r="K2202" s="25" t="n">
        <f aca="false">Assumptions!$N$55*MIN(K2193+K2200+K2198-K2199-K2201,MAX(0,K2251-K2176-K2189))</f>
        <v>0</v>
      </c>
    </row>
    <row r="2203" customFormat="false" ht="15" hidden="false" customHeight="false" outlineLevel="0" collapsed="false">
      <c r="A2203" s="5" t="s">
        <v>273</v>
      </c>
      <c r="G2203" s="25" t="n">
        <f aca="false">G2194*(1-G2165)*(G2193-G2199+G2198-G2201)</f>
        <v>0</v>
      </c>
      <c r="H2203" s="25" t="n">
        <f aca="false">H2194*(1-H2165)*(H2193-H2199+H2198-H2201)</f>
        <v>0</v>
      </c>
      <c r="I2203" s="25" t="n">
        <f aca="false">I2194*(1-I2165)*(I2193-I2199+I2198-I2201)</f>
        <v>0</v>
      </c>
      <c r="J2203" s="25" t="n">
        <f aca="false">J2194*(1-J2165)*(J2193-J2199+J2198-J2201)</f>
        <v>0</v>
      </c>
      <c r="K2203" s="25" t="n">
        <f aca="false">K2194*(1-K2165)*(K2193-K2199+K2198-K2201)</f>
        <v>0</v>
      </c>
    </row>
    <row r="2204" customFormat="false" ht="15" hidden="false" customHeight="false" outlineLevel="0" collapsed="false">
      <c r="A2204" s="2" t="s">
        <v>274</v>
      </c>
      <c r="F2204" s="27" t="n">
        <f aca="false">Assumptions!$C$55</f>
        <v>250</v>
      </c>
      <c r="G2204" s="16" t="n">
        <f aca="false">G2193+G2200+G2198-G2199-G2201-G2202</f>
        <v>250</v>
      </c>
      <c r="H2204" s="16" t="n">
        <f aca="false">H2193+H2200+H2198-H2199-H2201-H2202</f>
        <v>250</v>
      </c>
      <c r="I2204" s="16" t="n">
        <f aca="false">I2193+I2200+I2198-I2199-I2201-I2202</f>
        <v>250</v>
      </c>
      <c r="J2204" s="16" t="n">
        <f aca="false">J2193+J2200+J2198-J2199-J2201-J2202</f>
        <v>219.230368954592</v>
      </c>
      <c r="K2204" s="16" t="n">
        <f aca="false">K2193+K2200+K2198-K2199-K2201-K2202</f>
        <v>219.230368954592</v>
      </c>
    </row>
    <row r="2205" customFormat="false" ht="15" hidden="false" customHeight="false" outlineLevel="0" collapsed="false">
      <c r="A2205" s="23" t="s">
        <v>277</v>
      </c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</row>
    <row r="2206" customFormat="false" ht="15" hidden="false" customHeight="false" outlineLevel="0" collapsed="false">
      <c r="A2206" s="5" t="s">
        <v>264</v>
      </c>
      <c r="G2206" s="25" t="n">
        <f aca="false">F2217</f>
        <v>300</v>
      </c>
      <c r="H2206" s="25" t="n">
        <f aca="false">G2217</f>
        <v>300</v>
      </c>
      <c r="I2206" s="25" t="n">
        <f aca="false">H2217</f>
        <v>300</v>
      </c>
      <c r="J2206" s="25" t="n">
        <f aca="false">I2217</f>
        <v>300</v>
      </c>
      <c r="K2206" s="25" t="n">
        <f aca="false">J2217</f>
        <v>300</v>
      </c>
    </row>
    <row r="2207" customFormat="false" ht="15" hidden="false" customHeight="false" outlineLevel="0" collapsed="false">
      <c r="A2207" s="5" t="s">
        <v>265</v>
      </c>
      <c r="G2207" s="20" t="n">
        <f aca="false">IF(G2131=Assumptions!$K$56,1,0)</f>
        <v>0</v>
      </c>
      <c r="H2207" s="20" t="n">
        <f aca="false">IF(H2131=Assumptions!$K$56,1,0)</f>
        <v>1</v>
      </c>
      <c r="I2207" s="20" t="n">
        <f aca="false">IF(I2131=Assumptions!$K$56,1,0)</f>
        <v>0</v>
      </c>
      <c r="J2207" s="20" t="n">
        <f aca="false">IF(J2131=Assumptions!$K$56,1,0)</f>
        <v>0</v>
      </c>
      <c r="K2207" s="20" t="n">
        <f aca="false">IF(K2131=Assumptions!$K$56,1,0)</f>
        <v>0</v>
      </c>
    </row>
    <row r="2209" customFormat="false" ht="15" hidden="false" customHeight="false" outlineLevel="0" collapsed="false">
      <c r="A2209" s="5" t="s">
        <v>266</v>
      </c>
      <c r="G2209" s="30" t="n">
        <f aca="false">IF(Assumptions!$I$56=1,MAX(G2157,Assumptions!$G$56)+Assumptions!$F$56+$C$2158,Assumptions!$E$56)</f>
        <v>0.075</v>
      </c>
      <c r="H2209" s="30" t="n">
        <f aca="false">IF(G2322=1,$C$2159,IF(Assumptions!$I$56=1,MAX(H2157,Assumptions!$G$56)+Assumptions!$F$56+$C$2158,Assumptions!$E$56))</f>
        <v>0.075</v>
      </c>
      <c r="I2209" s="30" t="n">
        <f aca="false">IF(H2322=1,$C$2159,IF(Assumptions!$I$56=1,MAX(I2157,Assumptions!$G$56)+Assumptions!$F$56+$C$2158,Assumptions!$E$56))</f>
        <v>0.11</v>
      </c>
      <c r="J2209" s="30" t="n">
        <f aca="false">IF(I2322=1,$C$2159,IF(Assumptions!$I$56=1,MAX(J2157,Assumptions!$G$56)+Assumptions!$F$56+$C$2158,Assumptions!$E$56))</f>
        <v>0.11</v>
      </c>
      <c r="K2209" s="30" t="n">
        <f aca="false">IF(J2322=1,$C$2159,IF(Assumptions!$I$56=1,MAX(K2157,Assumptions!$G$56)+Assumptions!$F$56+$C$2158,Assumptions!$E$56))</f>
        <v>0.11</v>
      </c>
    </row>
    <row r="2210" customFormat="false" ht="15" hidden="false" customHeight="false" outlineLevel="0" collapsed="false">
      <c r="A2210" s="5" t="s">
        <v>267</v>
      </c>
      <c r="G2210" s="25" t="n">
        <f aca="false">G2206*G2209</f>
        <v>22.5</v>
      </c>
      <c r="H2210" s="25" t="n">
        <f aca="false">H2206*H2209</f>
        <v>22.5</v>
      </c>
      <c r="I2210" s="25" t="n">
        <f aca="false">I2206*I2209</f>
        <v>33</v>
      </c>
      <c r="J2210" s="25" t="n">
        <f aca="false">J2206*J2209</f>
        <v>33</v>
      </c>
      <c r="K2210" s="25" t="n">
        <f aca="false">K2206*K2209</f>
        <v>33</v>
      </c>
    </row>
    <row r="2211" customFormat="false" ht="15" hidden="false" customHeight="false" outlineLevel="0" collapsed="false">
      <c r="A2211" s="5" t="s">
        <v>268</v>
      </c>
      <c r="G2211" s="25" t="n">
        <f aca="false">G2206*Assumptions!$H$56</f>
        <v>0</v>
      </c>
      <c r="H2211" s="25" t="n">
        <f aca="false">H2206*Assumptions!$H$56</f>
        <v>0</v>
      </c>
      <c r="I2211" s="25" t="n">
        <f aca="false">I2206*Assumptions!$H$56</f>
        <v>0</v>
      </c>
      <c r="J2211" s="25" t="n">
        <f aca="false">J2206*Assumptions!$H$56</f>
        <v>0</v>
      </c>
      <c r="K2211" s="25" t="n">
        <f aca="false">K2206*Assumptions!$H$56</f>
        <v>0</v>
      </c>
    </row>
    <row r="2212" customFormat="false" ht="15" hidden="false" customHeight="false" outlineLevel="0" collapsed="false">
      <c r="A2212" s="5" t="s">
        <v>269</v>
      </c>
      <c r="G2212" s="25" t="n">
        <f aca="false">MIN(G2206,Assumptions!$L$56*Assumptions!$C$56)</f>
        <v>0</v>
      </c>
      <c r="H2212" s="25" t="n">
        <f aca="false">MIN(H2206,Assumptions!$L$56*Assumptions!$C$56)</f>
        <v>0</v>
      </c>
      <c r="I2212" s="25" t="n">
        <f aca="false">MIN(I2206,Assumptions!$L$56*Assumptions!$C$56)</f>
        <v>0</v>
      </c>
      <c r="J2212" s="25" t="n">
        <f aca="false">MIN(J2206,Assumptions!$L$56*Assumptions!$C$56)</f>
        <v>0</v>
      </c>
      <c r="K2212" s="25" t="n">
        <f aca="false">MIN(K2206,Assumptions!$L$56*Assumptions!$C$56)</f>
        <v>0</v>
      </c>
    </row>
    <row r="2213" customFormat="false" ht="15" hidden="false" customHeight="false" outlineLevel="0" collapsed="false">
      <c r="A2213" s="5" t="s">
        <v>270</v>
      </c>
      <c r="G2213" s="25" t="n">
        <f aca="false">IF(AND(Assumptions!$P$56=1,G2131&lt;Assumptions!$K$56),MIN(MAX(0,-G2245),MAX(0,Assumptions!$D$56-G2206)),0)</f>
        <v>0</v>
      </c>
      <c r="H2213" s="25" t="n">
        <f aca="false">IF(AND(Assumptions!$P$56=1,OR(H2131&lt;Assumptions!$K$56,G2322=1)),MIN(MAX(0,-H2245),MAX(0,Assumptions!$D$56-H2206)),0)</f>
        <v>0</v>
      </c>
      <c r="I2213" s="25" t="n">
        <f aca="false">IF(AND(Assumptions!$P$56=1,OR(I2131&lt;Assumptions!$K$56,H2322=1)),MIN(MAX(0,-I2245),MAX(0,Assumptions!$D$56-I2206)),0)</f>
        <v>0</v>
      </c>
      <c r="J2213" s="25" t="n">
        <f aca="false">IF(AND(Assumptions!$P$56=1,OR(J2131&lt;Assumptions!$K$56,I2322=1)),MIN(MAX(0,-J2245),MAX(0,Assumptions!$D$56-J2206)),0)</f>
        <v>0</v>
      </c>
      <c r="K2213" s="25" t="n">
        <f aca="false">IF(AND(Assumptions!$P$56=1,OR(K2131&lt;Assumptions!$K$56,J2322=1)),MIN(MAX(0,-K2245),MAX(0,Assumptions!$D$56-K2206)),0)</f>
        <v>0</v>
      </c>
    </row>
    <row r="2214" customFormat="false" ht="15" hidden="false" customHeight="false" outlineLevel="0" collapsed="false">
      <c r="A2214" s="5" t="s">
        <v>271</v>
      </c>
      <c r="G2214" s="25" t="n">
        <f aca="false">G2207*MIN(G2206-G2212+G2211,MAX(0,G2247-Assumptions!$C$12*G2165-G2175-G2188-G2201))</f>
        <v>0</v>
      </c>
      <c r="H2214" s="25" t="n">
        <f aca="false">H2207*MIN(H2206-H2212+H2211,MAX(0,H2247-Assumptions!$C$12*H2165-H2175-H2188-H2201))</f>
        <v>0</v>
      </c>
      <c r="I2214" s="25" t="n">
        <f aca="false">I2207*MIN(I2206-I2212+I2211,MAX(0,I2247-Assumptions!$C$12*I2165-I2175-I2188-I2201))</f>
        <v>0</v>
      </c>
      <c r="J2214" s="25" t="n">
        <f aca="false">J2207*MIN(J2206-J2212+J2211,MAX(0,J2247-Assumptions!$C$12*J2165-J2175-J2188-J2201))</f>
        <v>0</v>
      </c>
      <c r="K2214" s="25" t="n">
        <f aca="false">K2207*MIN(K2206-K2212+K2211,MAX(0,K2247-Assumptions!$C$12*K2165-K2175-K2188-K2201))</f>
        <v>0</v>
      </c>
    </row>
    <row r="2215" customFormat="false" ht="15" hidden="false" customHeight="false" outlineLevel="0" collapsed="false">
      <c r="A2215" s="5" t="s">
        <v>272</v>
      </c>
      <c r="G2215" s="25" t="n">
        <f aca="false">Assumptions!$N$56*MIN(G2206+G2213+G2211-G2212-G2214,MAX(0,G2251-G2176-G2189-G2202))</f>
        <v>0</v>
      </c>
      <c r="H2215" s="25" t="n">
        <f aca="false">Assumptions!$N$56*MIN(H2206+H2213+H2211-H2212-H2214,MAX(0,H2251-H2176-H2189-H2202))</f>
        <v>0</v>
      </c>
      <c r="I2215" s="25" t="n">
        <f aca="false">Assumptions!$N$56*MIN(I2206+I2213+I2211-I2212-I2214,MAX(0,I2251-I2176-I2189-I2202))</f>
        <v>0</v>
      </c>
      <c r="J2215" s="25" t="n">
        <f aca="false">Assumptions!$N$56*MIN(J2206+J2213+J2211-J2212-J2214,MAX(0,J2251-J2176-J2189-J2202))</f>
        <v>0</v>
      </c>
      <c r="K2215" s="25" t="n">
        <f aca="false">Assumptions!$N$56*MIN(K2206+K2213+K2211-K2212-K2214,MAX(0,K2251-K2176-K2189-K2202))</f>
        <v>0</v>
      </c>
    </row>
    <row r="2216" customFormat="false" ht="15" hidden="false" customHeight="false" outlineLevel="0" collapsed="false">
      <c r="A2216" s="5" t="s">
        <v>273</v>
      </c>
      <c r="G2216" s="25" t="n">
        <f aca="false">G2207*(1-G2165)*(G2206-G2212+G2211-G2214)</f>
        <v>0</v>
      </c>
      <c r="H2216" s="25" t="n">
        <f aca="false">H2207*(1-H2165)*(H2206-H2212+H2211-H2214)</f>
        <v>0</v>
      </c>
      <c r="I2216" s="25" t="n">
        <f aca="false">I2207*(1-I2165)*(I2206-I2212+I2211-I2214)</f>
        <v>0</v>
      </c>
      <c r="J2216" s="25" t="n">
        <f aca="false">J2207*(1-J2165)*(J2206-J2212+J2211-J2214)</f>
        <v>0</v>
      </c>
      <c r="K2216" s="25" t="n">
        <f aca="false">K2207*(1-K2165)*(K2206-K2212+K2211-K2214)</f>
        <v>0</v>
      </c>
    </row>
    <row r="2217" customFormat="false" ht="15" hidden="false" customHeight="false" outlineLevel="0" collapsed="false">
      <c r="A2217" s="2" t="s">
        <v>274</v>
      </c>
      <c r="F2217" s="27" t="n">
        <f aca="false">Assumptions!$C$56</f>
        <v>300</v>
      </c>
      <c r="G2217" s="16" t="n">
        <f aca="false">G2206+G2213+G2211-G2212-G2214-G2215</f>
        <v>300</v>
      </c>
      <c r="H2217" s="16" t="n">
        <f aca="false">H2206+H2213+H2211-H2212-H2214-H2215</f>
        <v>300</v>
      </c>
      <c r="I2217" s="16" t="n">
        <f aca="false">I2206+I2213+I2211-I2212-I2214-I2215</f>
        <v>300</v>
      </c>
      <c r="J2217" s="16" t="n">
        <f aca="false">J2206+J2213+J2211-J2212-J2214-J2215</f>
        <v>300</v>
      </c>
      <c r="K2217" s="16" t="n">
        <f aca="false">K2206+K2213+K2211-K2212-K2214-K2215</f>
        <v>300</v>
      </c>
    </row>
    <row r="2218" customFormat="false" ht="15" hidden="false" customHeight="false" outlineLevel="0" collapsed="false">
      <c r="A2218" s="23" t="s">
        <v>278</v>
      </c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</row>
    <row r="2219" customFormat="false" ht="15" hidden="false" customHeight="false" outlineLevel="0" collapsed="false">
      <c r="A2219" s="2" t="s">
        <v>279</v>
      </c>
      <c r="F2219" s="16" t="n">
        <f aca="false">F2178+F2191+F2204+F2217</f>
        <v>1250</v>
      </c>
      <c r="G2219" s="16" t="n">
        <f aca="false">G2178+G2191+G2204+G2217</f>
        <v>1174.382</v>
      </c>
      <c r="H2219" s="16" t="n">
        <f aca="false">H2178+H2191+H2204+H2217</f>
        <v>1135.32024275</v>
      </c>
      <c r="I2219" s="16" t="n">
        <f aca="false">I2178+I2191+I2204+I2217</f>
        <v>1099.89958017688</v>
      </c>
      <c r="J2219" s="16" t="n">
        <f aca="false">J2178+J2191+J2204+J2217</f>
        <v>1063.92994913147</v>
      </c>
      <c r="K2219" s="16" t="n">
        <f aca="false">K2178+K2191+K2204+K2217</f>
        <v>1022.83637280927</v>
      </c>
    </row>
    <row r="2220" customFormat="false" ht="15" hidden="false" customHeight="false" outlineLevel="0" collapsed="false">
      <c r="A2220" s="5" t="s">
        <v>280</v>
      </c>
      <c r="G2220" s="25" t="n">
        <f aca="false">G2168*Assumptions!$C$53+G2181*Assumptions!$C$54+G2194*Assumptions!$C$55+G2207*Assumptions!$C$56</f>
        <v>0</v>
      </c>
      <c r="H2220" s="25" t="n">
        <f aca="false">H2168*Assumptions!$C$53+H2181*Assumptions!$C$54+H2194*Assumptions!$C$55+H2207*Assumptions!$C$56</f>
        <v>480</v>
      </c>
      <c r="I2220" s="25" t="n">
        <f aca="false">I2168*Assumptions!$C$53+I2181*Assumptions!$C$54+I2194*Assumptions!$C$55+I2207*Assumptions!$C$56</f>
        <v>520</v>
      </c>
      <c r="J2220" s="25" t="n">
        <f aca="false">J2168*Assumptions!$C$53+J2181*Assumptions!$C$54+J2194*Assumptions!$C$55+J2207*Assumptions!$C$56</f>
        <v>250</v>
      </c>
      <c r="K2220" s="25" t="n">
        <f aca="false">K2168*Assumptions!$C$53+K2181*Assumptions!$C$54+K2194*Assumptions!$C$55+K2207*Assumptions!$C$56</f>
        <v>0</v>
      </c>
    </row>
    <row r="2221" customFormat="false" ht="15" hidden="false" customHeight="false" outlineLevel="0" collapsed="false">
      <c r="A2221" s="23" t="s">
        <v>281</v>
      </c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</row>
    <row r="2222" customFormat="false" ht="15" hidden="false" customHeight="false" outlineLevel="0" collapsed="false">
      <c r="A2222" s="5" t="s">
        <v>282</v>
      </c>
      <c r="C2222" s="25" t="n">
        <f aca="false">SUMPRODUCT($G$2168:$K$2168,$G$2167:$K$2167-$G$2173:$K$2173+$G$2172:$K$2172)</f>
        <v>109.582</v>
      </c>
    </row>
    <row r="2223" customFormat="false" ht="15" hidden="false" customHeight="false" outlineLevel="0" collapsed="false">
      <c r="A2223" s="5" t="s">
        <v>283</v>
      </c>
      <c r="C2223" s="25" t="n">
        <f aca="false">SUMPRODUCT($G$2168:$K$2168,$G$2175:$K$2175)</f>
        <v>33.86175725</v>
      </c>
    </row>
    <row r="2224" customFormat="false" ht="15" hidden="false" customHeight="false" outlineLevel="0" collapsed="false">
      <c r="A2224" s="5" t="s">
        <v>284</v>
      </c>
      <c r="C2224" s="5" t="str">
        <f aca="false">IF(SUM($G$2168:$K$2168)=0,"n/a (beyond horizon)",IF(SUMPRODUCT($G$2168:$K$2168,$G$2165:$K$2165)&gt;0,"REFINANCING PASS","REFINANCING FAILURE"))</f>
        <v>REFINANCING PASS</v>
      </c>
    </row>
    <row r="2225" customFormat="false" ht="15" hidden="false" customHeight="false" outlineLevel="0" collapsed="false">
      <c r="A2225" s="5" t="s">
        <v>285</v>
      </c>
      <c r="C2225" s="5" t="str">
        <f aca="false">IF(SUM($G$2168:$K$2168)=0,"n/a",IF(C2223&gt;=C2222-0.001,"Repaid from cash",IF(SUMPRODUCT($G$2168:$K$2168,$G$2165:$K$2165)&gt;0,IF(C2223&gt;0,"Partly repaid; remainder refinanced","Refinanced"),IF(SUM($G$2177:$K$2177)&gt;0.001,IF(C2223&gt;0,"Partial repayment; PAYMENT DEFAULT","PAYMENT DEFAULT"),"Repaid from cash"))))</f>
        <v>Partly repaid; remainder refinanced</v>
      </c>
    </row>
    <row r="2226" customFormat="false" ht="15" hidden="false" customHeight="false" outlineLevel="0" collapsed="false">
      <c r="A2226" s="5" t="s">
        <v>286</v>
      </c>
      <c r="C2226" s="25" t="n">
        <f aca="false">SUMPRODUCT($G$2181:$K$2181,$G$2180:$K$2180-$G$2186:$K$2186+$G$2185:$K$2185)</f>
        <v>504.4</v>
      </c>
    </row>
    <row r="2227" customFormat="false" ht="15" hidden="false" customHeight="false" outlineLevel="0" collapsed="false">
      <c r="A2227" s="5" t="s">
        <v>287</v>
      </c>
      <c r="C2227" s="25" t="n">
        <f aca="false">SUMPRODUCT($G$2181:$K$2181,$G$2188:$K$2188)</f>
        <v>30.220662573125</v>
      </c>
    </row>
    <row r="2228" customFormat="false" ht="15" hidden="false" customHeight="false" outlineLevel="0" collapsed="false">
      <c r="A2228" s="5" t="s">
        <v>288</v>
      </c>
      <c r="C2228" s="5" t="str">
        <f aca="false">IF(SUM($G$2181:$K$2181)=0,"n/a (beyond horizon)",IF(SUMPRODUCT($G$2181:$K$2181,$G$2165:$K$2165)&gt;0,"REFINANCING PASS","REFINANCING FAILURE"))</f>
        <v>REFINANCING PASS</v>
      </c>
    </row>
    <row r="2229" customFormat="false" ht="15" hidden="false" customHeight="false" outlineLevel="0" collapsed="false">
      <c r="A2229" s="5" t="s">
        <v>289</v>
      </c>
      <c r="C2229" s="5" t="str">
        <f aca="false">IF(SUM($G$2181:$K$2181)=0,"n/a",IF(C2227&gt;=C2226-0.001,"Repaid from cash",IF(SUMPRODUCT($G$2181:$K$2181,$G$2165:$K$2165)&gt;0,IF(C2227&gt;0,"Partly repaid; remainder refinanced","Refinanced"),IF(SUM($G$2190:$K$2190)&gt;0.001,IF(C2227&gt;0,"Partial repayment; PAYMENT DEFAULT","PAYMENT DEFAULT"),"Repaid from cash"))))</f>
        <v>Partly repaid; remainder refinanced</v>
      </c>
    </row>
    <row r="2230" customFormat="false" ht="15" hidden="false" customHeight="false" outlineLevel="0" collapsed="false">
      <c r="A2230" s="5" t="s">
        <v>290</v>
      </c>
      <c r="C2230" s="25" t="n">
        <f aca="false">SUMPRODUCT($G$2194:$K$2194,$G$2193:$K$2193-$G$2199:$K$2199+$G$2198:$K$2198)</f>
        <v>250</v>
      </c>
    </row>
    <row r="2231" customFormat="false" ht="15" hidden="false" customHeight="false" outlineLevel="0" collapsed="false">
      <c r="A2231" s="5" t="s">
        <v>291</v>
      </c>
      <c r="C2231" s="25" t="n">
        <f aca="false">SUMPRODUCT($G$2194:$K$2194,$G$2201:$K$2201)</f>
        <v>30.7696310454078</v>
      </c>
    </row>
    <row r="2232" customFormat="false" ht="15" hidden="false" customHeight="false" outlineLevel="0" collapsed="false">
      <c r="A2232" s="5" t="s">
        <v>292</v>
      </c>
      <c r="C2232" s="5" t="str">
        <f aca="false">IF(SUM($G$2194:$K$2194)=0,"n/a (beyond horizon)",IF(SUMPRODUCT($G$2194:$K$2194,$G$2165:$K$2165)&gt;0,"REFINANCING PASS","REFINANCING FAILURE"))</f>
        <v>REFINANCING PASS</v>
      </c>
    </row>
    <row r="2233" customFormat="false" ht="15" hidden="false" customHeight="false" outlineLevel="0" collapsed="false">
      <c r="A2233" s="5" t="s">
        <v>293</v>
      </c>
      <c r="C2233" s="5" t="str">
        <f aca="false">IF(SUM($G$2194:$K$2194)=0,"n/a",IF(C2231&gt;=C2230-0.001,"Repaid from cash",IF(SUMPRODUCT($G$2194:$K$2194,$G$2165:$K$2165)&gt;0,IF(C2231&gt;0,"Partly repaid; remainder refinanced","Refinanced"),IF(SUM($G$2203:$K$2203)&gt;0.001,IF(C2231&gt;0,"Partial repayment; PAYMENT DEFAULT","PAYMENT DEFAULT"),"Repaid from cash"))))</f>
        <v>Partly repaid; remainder refinanced</v>
      </c>
    </row>
    <row r="2234" customFormat="false" ht="15" hidden="false" customHeight="false" outlineLevel="0" collapsed="false">
      <c r="A2234" s="5" t="s">
        <v>294</v>
      </c>
      <c r="C2234" s="25" t="n">
        <f aca="false">SUMPRODUCT($G$2207:$K$2207,$G$2206:$K$2206-$G$2212:$K$2212+$G$2211:$K$2211)</f>
        <v>300</v>
      </c>
    </row>
    <row r="2235" customFormat="false" ht="15" hidden="false" customHeight="false" outlineLevel="0" collapsed="false">
      <c r="A2235" s="5" t="s">
        <v>295</v>
      </c>
      <c r="C2235" s="25" t="n">
        <f aca="false">SUMPRODUCT($G$2207:$K$2207,$G$2214:$K$2214)</f>
        <v>0</v>
      </c>
    </row>
    <row r="2236" customFormat="false" ht="15" hidden="false" customHeight="false" outlineLevel="0" collapsed="false">
      <c r="A2236" s="5" t="s">
        <v>296</v>
      </c>
      <c r="C2236" s="5" t="str">
        <f aca="false">IF(SUM($G$2207:$K$2207)=0,"n/a (beyond horizon)",IF(SUMPRODUCT($G$2207:$K$2207,$G$2165:$K$2165)&gt;0,"REFINANCING PASS","REFINANCING FAILURE"))</f>
        <v>REFINANCING PASS</v>
      </c>
    </row>
    <row r="2237" customFormat="false" ht="15" hidden="false" customHeight="false" outlineLevel="0" collapsed="false">
      <c r="A2237" s="5" t="s">
        <v>297</v>
      </c>
      <c r="C2237" s="5" t="str">
        <f aca="false">IF(SUM($G$2207:$K$2207)=0,"n/a",IF(C2235&gt;=C2234-0.001,"Repaid from cash",IF(SUMPRODUCT($G$2207:$K$2207,$G$2165:$K$2165)&gt;0,IF(C2235&gt;0,"Partly repaid; remainder refinanced","Refinanced"),IF(SUM($G$2216:$K$2216)&gt;0.001,IF(C2235&gt;0,"Partial repayment; PAYMENT DEFAULT","PAYMENT DEFAULT"),"Repaid from cash"))))</f>
        <v>Refinanced</v>
      </c>
    </row>
    <row r="2238" customFormat="false" ht="15" hidden="false" customHeight="false" outlineLevel="0" collapsed="false">
      <c r="A2238" s="5" t="s">
        <v>298</v>
      </c>
      <c r="C2238" s="20" t="n">
        <f aca="false">IF(C2224="REFINANCING FAILURE",1,0)+IF(C2228="REFINANCING FAILURE",1,0)+IF(C2232="REFINANCING FAILURE",1,0)+IF(C2236="REFINANCING FAILURE",1,0)</f>
        <v>0</v>
      </c>
    </row>
    <row r="2240" customFormat="false" ht="15" hidden="false" customHeight="false" outlineLevel="0" collapsed="false">
      <c r="A2240" s="23" t="s">
        <v>300</v>
      </c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</row>
    <row r="2241" customFormat="false" ht="15" hidden="false" customHeight="false" outlineLevel="0" collapsed="false">
      <c r="A2241" s="5" t="s">
        <v>260</v>
      </c>
      <c r="G2241" s="25" t="n">
        <f aca="false">F2253</f>
        <v>45</v>
      </c>
      <c r="H2241" s="25" t="n">
        <f aca="false">G2253</f>
        <v>0</v>
      </c>
      <c r="I2241" s="25" t="n">
        <f aca="false">H2253</f>
        <v>0</v>
      </c>
      <c r="J2241" s="25" t="n">
        <f aca="false">I2253</f>
        <v>0</v>
      </c>
      <c r="K2241" s="25" t="n">
        <f aca="false">J2253</f>
        <v>0</v>
      </c>
    </row>
    <row r="2242" customFormat="false" ht="15" hidden="false" customHeight="false" outlineLevel="0" collapsed="false">
      <c r="A2242" s="5" t="s">
        <v>301</v>
      </c>
      <c r="G2242" s="25" t="n">
        <f aca="false">G2154</f>
        <v>30.618</v>
      </c>
      <c r="H2242" s="25" t="n">
        <f aca="false">H2154</f>
        <v>39.06175725</v>
      </c>
      <c r="I2242" s="25" t="n">
        <f aca="false">I2154</f>
        <v>35.420662573125</v>
      </c>
      <c r="J2242" s="25" t="n">
        <f aca="false">J2154</f>
        <v>35.9696310454078</v>
      </c>
      <c r="K2242" s="25" t="n">
        <f aca="false">K2154</f>
        <v>41.093576322194</v>
      </c>
    </row>
    <row r="2243" customFormat="false" ht="15" hidden="false" customHeight="false" outlineLevel="0" collapsed="false">
      <c r="A2243" s="5" t="s">
        <v>302</v>
      </c>
      <c r="G2243" s="25" t="n">
        <f aca="false">CHOOSE($C$2124,Assumptions!$G$68,Assumptions!$G$87,Assumptions!$G$106)</f>
        <v>0</v>
      </c>
      <c r="H2243" s="25" t="n">
        <f aca="false">CHOOSE($C$2124,Assumptions!$H$68,Assumptions!$H$87,Assumptions!$H$106)</f>
        <v>0</v>
      </c>
      <c r="I2243" s="25" t="n">
        <f aca="false">CHOOSE($C$2124,Assumptions!$I$68,Assumptions!$I$87,Assumptions!$I$106)</f>
        <v>0</v>
      </c>
      <c r="J2243" s="25" t="n">
        <f aca="false">CHOOSE($C$2124,Assumptions!$J$68,Assumptions!$J$87,Assumptions!$J$106)</f>
        <v>0</v>
      </c>
      <c r="K2243" s="25" t="n">
        <f aca="false">CHOOSE($C$2124,Assumptions!$K$68,Assumptions!$K$87,Assumptions!$K$106)</f>
        <v>0</v>
      </c>
    </row>
    <row r="2244" customFormat="false" ht="15" hidden="false" customHeight="false" outlineLevel="0" collapsed="false">
      <c r="A2244" s="5" t="s">
        <v>303</v>
      </c>
      <c r="G2244" s="25" t="n">
        <f aca="false">G2173+G2186+G2199+G2212</f>
        <v>5.2</v>
      </c>
      <c r="H2244" s="25" t="n">
        <f aca="false">H2173+H2186+H2199+H2212</f>
        <v>5.2</v>
      </c>
      <c r="I2244" s="25" t="n">
        <f aca="false">I2173+I2186+I2199+I2212</f>
        <v>5.2</v>
      </c>
      <c r="J2244" s="25" t="n">
        <f aca="false">J2173+J2186+J2199+J2212</f>
        <v>5.2</v>
      </c>
      <c r="K2244" s="25" t="n">
        <f aca="false">K2173+K2186+K2199+K2212</f>
        <v>5.2</v>
      </c>
    </row>
    <row r="2245" customFormat="false" ht="15" hidden="false" customHeight="false" outlineLevel="0" collapsed="false">
      <c r="A2245" s="2" t="s">
        <v>304</v>
      </c>
      <c r="G2245" s="16" t="n">
        <f aca="false">G2241+G2242+G2243-G2244</f>
        <v>70.418</v>
      </c>
      <c r="H2245" s="16" t="n">
        <f aca="false">H2241+H2242+H2243-H2244</f>
        <v>33.86175725</v>
      </c>
      <c r="I2245" s="16" t="n">
        <f aca="false">I2241+I2242+I2243-I2244</f>
        <v>30.220662573125</v>
      </c>
      <c r="J2245" s="16" t="n">
        <f aca="false">J2241+J2242+J2243-J2244</f>
        <v>30.7696310454078</v>
      </c>
      <c r="K2245" s="16" t="n">
        <f aca="false">K2241+K2242+K2243-K2244</f>
        <v>35.893576322194</v>
      </c>
    </row>
    <row r="2246" customFormat="false" ht="15" hidden="false" customHeight="false" outlineLevel="0" collapsed="false">
      <c r="A2246" s="5" t="s">
        <v>305</v>
      </c>
      <c r="G2246" s="25" t="n">
        <f aca="false">G2174+G2187+G2200+G2213</f>
        <v>0</v>
      </c>
      <c r="H2246" s="25" t="n">
        <f aca="false">H2174+H2187+H2200+H2213</f>
        <v>0</v>
      </c>
      <c r="I2246" s="25" t="n">
        <f aca="false">I2174+I2187+I2200+I2213</f>
        <v>0</v>
      </c>
      <c r="J2246" s="25" t="n">
        <f aca="false">J2174+J2187+J2200+J2213</f>
        <v>0</v>
      </c>
      <c r="K2246" s="25" t="n">
        <f aca="false">K2174+K2187+K2200+K2213</f>
        <v>0</v>
      </c>
    </row>
    <row r="2247" customFormat="false" ht="15" hidden="false" customHeight="false" outlineLevel="0" collapsed="false">
      <c r="A2247" s="2" t="s">
        <v>306</v>
      </c>
      <c r="G2247" s="16" t="n">
        <f aca="false">G2245+G2246</f>
        <v>70.418</v>
      </c>
      <c r="H2247" s="16" t="n">
        <f aca="false">H2245+H2246</f>
        <v>33.86175725</v>
      </c>
      <c r="I2247" s="16" t="n">
        <f aca="false">I2245+I2246</f>
        <v>30.220662573125</v>
      </c>
      <c r="J2247" s="16" t="n">
        <f aca="false">J2245+J2246</f>
        <v>30.7696310454078</v>
      </c>
      <c r="K2247" s="16" t="n">
        <f aca="false">K2245+K2246</f>
        <v>35.893576322194</v>
      </c>
    </row>
    <row r="2248" customFormat="false" ht="15" hidden="false" customHeight="false" outlineLevel="0" collapsed="false">
      <c r="A2248" s="5" t="s">
        <v>307</v>
      </c>
      <c r="G2248" s="25" t="n">
        <f aca="false">G2175+G2188+G2201+G2214</f>
        <v>0</v>
      </c>
      <c r="H2248" s="25" t="n">
        <f aca="false">H2175+H2188+H2201+H2214</f>
        <v>33.86175725</v>
      </c>
      <c r="I2248" s="25" t="n">
        <f aca="false">I2175+I2188+I2201+I2214</f>
        <v>30.220662573125</v>
      </c>
      <c r="J2248" s="25" t="n">
        <f aca="false">J2175+J2188+J2201+J2214</f>
        <v>30.7696310454078</v>
      </c>
      <c r="K2248" s="25" t="n">
        <f aca="false">K2175+K2188+K2201+K2214</f>
        <v>0</v>
      </c>
    </row>
    <row r="2249" customFormat="false" ht="15" hidden="false" customHeight="false" outlineLevel="0" collapsed="false">
      <c r="A2249" s="2" t="s">
        <v>308</v>
      </c>
      <c r="G2249" s="16" t="n">
        <f aca="false">G2247-G2248</f>
        <v>70.418</v>
      </c>
      <c r="H2249" s="16" t="n">
        <f aca="false">H2247-H2248</f>
        <v>0</v>
      </c>
      <c r="I2249" s="16" t="n">
        <f aca="false">I2247-I2248</f>
        <v>0</v>
      </c>
      <c r="J2249" s="16" t="n">
        <f aca="false">J2247-J2248</f>
        <v>0</v>
      </c>
      <c r="K2249" s="16" t="n">
        <f aca="false">K2247-K2248</f>
        <v>35.893576322194</v>
      </c>
    </row>
    <row r="2250" customFormat="false" ht="15" hidden="false" customHeight="false" outlineLevel="0" collapsed="false">
      <c r="A2250" s="5" t="s">
        <v>309</v>
      </c>
      <c r="G2250" s="25" t="n">
        <f aca="false">MAX(0,-G2249)</f>
        <v>0</v>
      </c>
      <c r="H2250" s="25" t="n">
        <f aca="false">MAX(0,-H2249)</f>
        <v>-0</v>
      </c>
      <c r="I2250" s="25" t="n">
        <f aca="false">MAX(0,-I2249)</f>
        <v>-0</v>
      </c>
      <c r="J2250" s="25" t="n">
        <f aca="false">MAX(0,-J2249)</f>
        <v>-0</v>
      </c>
      <c r="K2250" s="25" t="n">
        <f aca="false">MAX(0,-K2249)</f>
        <v>0</v>
      </c>
    </row>
    <row r="2251" customFormat="false" ht="15" hidden="false" customHeight="false" outlineLevel="0" collapsed="false">
      <c r="A2251" s="5" t="s">
        <v>310</v>
      </c>
      <c r="G2251" s="25" t="n">
        <f aca="false">MAX(0,G2249-Assumptions!$C$12)*Assumptions!$C$13</f>
        <v>70.418</v>
      </c>
      <c r="H2251" s="25" t="n">
        <f aca="false">MAX(0,H2249-Assumptions!$C$12)*Assumptions!$C$13</f>
        <v>0</v>
      </c>
      <c r="I2251" s="25" t="n">
        <f aca="false">MAX(0,I2249-Assumptions!$C$12)*Assumptions!$C$13</f>
        <v>0</v>
      </c>
      <c r="J2251" s="25" t="n">
        <f aca="false">MAX(0,J2249-Assumptions!$C$12)*Assumptions!$C$13</f>
        <v>0</v>
      </c>
      <c r="K2251" s="25" t="n">
        <f aca="false">MAX(0,K2249-Assumptions!$C$12)*Assumptions!$C$13</f>
        <v>35.893576322194</v>
      </c>
    </row>
    <row r="2252" customFormat="false" ht="15" hidden="false" customHeight="false" outlineLevel="0" collapsed="false">
      <c r="A2252" s="5" t="s">
        <v>311</v>
      </c>
      <c r="G2252" s="25" t="n">
        <f aca="false">G2176+G2189+G2202+G2215</f>
        <v>70.418</v>
      </c>
      <c r="H2252" s="25" t="n">
        <f aca="false">H2176+H2189+H2202+H2215</f>
        <v>0</v>
      </c>
      <c r="I2252" s="25" t="n">
        <f aca="false">I2176+I2189+I2202+I2215</f>
        <v>0</v>
      </c>
      <c r="J2252" s="25" t="n">
        <f aca="false">J2176+J2189+J2202+J2215</f>
        <v>0</v>
      </c>
      <c r="K2252" s="25" t="n">
        <f aca="false">K2176+K2189+K2202+K2215</f>
        <v>35.893576322194</v>
      </c>
    </row>
    <row r="2253" customFormat="false" ht="15" hidden="false" customHeight="false" outlineLevel="0" collapsed="false">
      <c r="A2253" s="2" t="s">
        <v>312</v>
      </c>
      <c r="F2253" s="27" t="n">
        <f aca="false">Assumptions!$C$11</f>
        <v>45</v>
      </c>
      <c r="G2253" s="16" t="n">
        <f aca="false">G2249-G2252</f>
        <v>0</v>
      </c>
      <c r="H2253" s="16" t="n">
        <f aca="false">H2249-H2252</f>
        <v>0</v>
      </c>
      <c r="I2253" s="16" t="n">
        <f aca="false">I2249-I2252</f>
        <v>0</v>
      </c>
      <c r="J2253" s="16" t="n">
        <f aca="false">J2249-J2252</f>
        <v>0</v>
      </c>
      <c r="K2253" s="16" t="n">
        <f aca="false">K2249-K2252</f>
        <v>0</v>
      </c>
    </row>
    <row r="2254" customFormat="false" ht="15" hidden="false" customHeight="false" outlineLevel="0" collapsed="false">
      <c r="A2254" s="5" t="s">
        <v>313</v>
      </c>
      <c r="G2254" s="25" t="n">
        <f aca="false">G2177+G2190+G2203+G2216</f>
        <v>0</v>
      </c>
      <c r="H2254" s="25" t="n">
        <f aca="false">H2177+H2190+H2203+H2216</f>
        <v>0</v>
      </c>
      <c r="I2254" s="25" t="n">
        <f aca="false">I2177+I2190+I2203+I2216</f>
        <v>0</v>
      </c>
      <c r="J2254" s="25" t="n">
        <f aca="false">J2177+J2190+J2203+J2216</f>
        <v>0</v>
      </c>
      <c r="K2254" s="25" t="n">
        <f aca="false">K2177+K2190+K2203+K2216</f>
        <v>0</v>
      </c>
    </row>
    <row r="2255" customFormat="false" ht="15" hidden="false" customHeight="false" outlineLevel="0" collapsed="false">
      <c r="A2255" s="5" t="s">
        <v>314</v>
      </c>
      <c r="G2255" s="20" t="n">
        <f aca="false">IF(OR(G2250&gt;0.001,G2254&gt;0.001),1,0)</f>
        <v>0</v>
      </c>
      <c r="H2255" s="20" t="n">
        <f aca="false">IF(OR(H2250&gt;0.001,H2254&gt;0.001),1,0)</f>
        <v>0</v>
      </c>
      <c r="I2255" s="20" t="n">
        <f aca="false">IF(OR(I2250&gt;0.001,I2254&gt;0.001),1,0)</f>
        <v>0</v>
      </c>
      <c r="J2255" s="20" t="n">
        <f aca="false">IF(OR(J2250&gt;0.001,J2254&gt;0.001),1,0)</f>
        <v>0</v>
      </c>
      <c r="K2255" s="20" t="n">
        <f aca="false">IF(OR(K2250&gt;0.001,K2254&gt;0.001),1,0)</f>
        <v>0</v>
      </c>
    </row>
    <row r="2256" customFormat="false" ht="15" hidden="false" customHeight="false" outlineLevel="0" collapsed="false">
      <c r="A2256" s="5" t="s">
        <v>315</v>
      </c>
      <c r="G2256" s="20" t="n">
        <f aca="false">IF(G2255=1,1,0)</f>
        <v>0</v>
      </c>
      <c r="H2256" s="20" t="n">
        <f aca="false">IF(AND(H2255=1,SUM($G$2255:G2255)=0),1,0)</f>
        <v>0</v>
      </c>
      <c r="I2256" s="20" t="n">
        <f aca="false">IF(AND(I2255=1,SUM($G$2255:H2255)=0),1,0)</f>
        <v>0</v>
      </c>
      <c r="J2256" s="20" t="n">
        <f aca="false">IF(AND(J2255=1,SUM($G$2255:I2255)=0),1,0)</f>
        <v>0</v>
      </c>
      <c r="K2256" s="20" t="n">
        <f aca="false">IF(AND(K2255=1,SUM($G$2255:J2255)=0),1,0)</f>
        <v>0</v>
      </c>
    </row>
    <row r="2257" customFormat="false" ht="15" hidden="false" customHeight="false" outlineLevel="0" collapsed="false">
      <c r="A2257" s="5" t="s">
        <v>316</v>
      </c>
      <c r="G2257" s="25" t="n">
        <f aca="false">(G2219-F2219)-(G2246+G2146-G2244-G2248-G2252)</f>
        <v>0</v>
      </c>
      <c r="H2257" s="25" t="n">
        <f aca="false">(H2219-G2219)-(H2246+H2146-H2244-H2248-H2252)</f>
        <v>0</v>
      </c>
      <c r="I2257" s="25" t="n">
        <f aca="false">(I2219-H2219)-(I2246+I2146-I2244-I2248-I2252)</f>
        <v>-1.27897692436818E-013</v>
      </c>
      <c r="J2257" s="25" t="n">
        <f aca="false">(J2219-I2219)-(J2246+J2146-J2244-J2248-J2252)</f>
        <v>0</v>
      </c>
      <c r="K2257" s="25" t="n">
        <f aca="false">(K2219-J2219)-(K2246+K2146-K2244-K2248-K2252)</f>
        <v>0</v>
      </c>
    </row>
    <row r="2259" customFormat="false" ht="15" hidden="false" customHeight="false" outlineLevel="0" collapsed="false">
      <c r="A2259" s="23" t="s">
        <v>318</v>
      </c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</row>
    <row r="2260" customFormat="false" ht="15" hidden="false" customHeight="false" outlineLevel="0" collapsed="false">
      <c r="A2260" s="5" t="s">
        <v>319</v>
      </c>
      <c r="G2260" s="25" t="n">
        <f aca="false">G2219</f>
        <v>1174.382</v>
      </c>
      <c r="H2260" s="25" t="n">
        <f aca="false">H2219</f>
        <v>1135.32024275</v>
      </c>
      <c r="I2260" s="25" t="n">
        <f aca="false">I2219</f>
        <v>1099.89958017688</v>
      </c>
      <c r="J2260" s="25" t="n">
        <f aca="false">J2219</f>
        <v>1063.92994913147</v>
      </c>
      <c r="K2260" s="25" t="n">
        <f aca="false">K2219</f>
        <v>1022.83637280927</v>
      </c>
    </row>
    <row r="2261" customFormat="false" ht="15" hidden="false" customHeight="false" outlineLevel="0" collapsed="false">
      <c r="A2261" s="5" t="s">
        <v>320</v>
      </c>
      <c r="G2261" s="25" t="n">
        <f aca="false">Assumptions!$O$53*G2178+Assumptions!$O$54*G2191+Assumptions!$O$55*G2204+Assumptions!$O$56*G2217</f>
        <v>874.382</v>
      </c>
      <c r="H2261" s="25" t="n">
        <f aca="false">Assumptions!$O$53*H2178+Assumptions!$O$54*H2191+Assumptions!$O$55*H2204+Assumptions!$O$56*H2217</f>
        <v>835.32024275</v>
      </c>
      <c r="I2261" s="25" t="n">
        <f aca="false">Assumptions!$O$53*I2178+Assumptions!$O$54*I2191+Assumptions!$O$55*I2204+Assumptions!$O$56*I2217</f>
        <v>799.899580176875</v>
      </c>
      <c r="J2261" s="25" t="n">
        <f aca="false">Assumptions!$O$53*J2178+Assumptions!$O$54*J2191+Assumptions!$O$55*J2204+Assumptions!$O$56*J2217</f>
        <v>763.929949131467</v>
      </c>
      <c r="K2261" s="25" t="n">
        <f aca="false">Assumptions!$O$53*K2178+Assumptions!$O$54*K2191+Assumptions!$O$55*K2204+Assumptions!$O$56*K2217</f>
        <v>722.836372809273</v>
      </c>
    </row>
    <row r="2262" customFormat="false" ht="15" hidden="false" customHeight="false" outlineLevel="0" collapsed="false">
      <c r="A2262" s="5" t="s">
        <v>321</v>
      </c>
      <c r="G2262" s="25" t="n">
        <f aca="false">G2260-G2253</f>
        <v>1174.382</v>
      </c>
      <c r="H2262" s="25" t="n">
        <f aca="false">H2260-H2253</f>
        <v>1135.32024275</v>
      </c>
      <c r="I2262" s="25" t="n">
        <f aca="false">I2260-I2253</f>
        <v>1099.89958017688</v>
      </c>
      <c r="J2262" s="25" t="n">
        <f aca="false">J2260-J2253</f>
        <v>1063.92994913147</v>
      </c>
      <c r="K2262" s="25" t="n">
        <f aca="false">K2260-K2253</f>
        <v>1022.83637280927</v>
      </c>
    </row>
    <row r="2263" customFormat="false" ht="15" hidden="false" customHeight="false" outlineLevel="0" collapsed="false">
      <c r="A2263" s="5" t="s">
        <v>322</v>
      </c>
      <c r="G2263" s="31" t="n">
        <f aca="false">IF(G2141&gt;0,G2260/G2141,0)</f>
        <v>5.81492374727669</v>
      </c>
      <c r="H2263" s="31" t="n">
        <f aca="false">IF(H2141&gt;0,H2260/H2141,0)</f>
        <v>5.54775786596762</v>
      </c>
      <c r="I2263" s="31" t="n">
        <f aca="false">IF(I2141&gt;0,I2260/I2141,0)</f>
        <v>5.30696476428845</v>
      </c>
      <c r="J2263" s="31" t="n">
        <f aca="false">IF(J2141&gt;0,J2260/J2141,0)</f>
        <v>5.07130372742213</v>
      </c>
      <c r="K2263" s="31" t="n">
        <f aca="false">IF(K2141&gt;0,K2260/K2141,0)</f>
        <v>4.81876780633253</v>
      </c>
    </row>
    <row r="2264" customFormat="false" ht="15" hidden="false" customHeight="false" outlineLevel="0" collapsed="false">
      <c r="A2264" s="5" t="s">
        <v>323</v>
      </c>
      <c r="G2264" s="31" t="n">
        <f aca="false">IF(G2141&gt;0,G2262/G2141,0)</f>
        <v>5.81492374727669</v>
      </c>
      <c r="H2264" s="31" t="n">
        <f aca="false">IF(H2141&gt;0,H2262/H2141,0)</f>
        <v>5.54775786596762</v>
      </c>
      <c r="I2264" s="31" t="n">
        <f aca="false">IF(I2141&gt;0,I2262/I2141,0)</f>
        <v>5.30696476428845</v>
      </c>
      <c r="J2264" s="31" t="n">
        <f aca="false">IF(J2141&gt;0,J2262/J2141,0)</f>
        <v>5.07130372742213</v>
      </c>
      <c r="K2264" s="31" t="n">
        <f aca="false">IF(K2141&gt;0,K2262/K2141,0)</f>
        <v>4.81876780633253</v>
      </c>
    </row>
    <row r="2265" customFormat="false" ht="15" hidden="false" customHeight="false" outlineLevel="0" collapsed="false">
      <c r="A2265" s="5" t="s">
        <v>324</v>
      </c>
      <c r="G2265" s="31" t="n">
        <f aca="false">IF(G2145&gt;0,G2141/G2145,0)</f>
        <v>1.69657258064516</v>
      </c>
      <c r="H2265" s="31" t="n">
        <f aca="false">IF(H2145&gt;0,H2141/H2145,0)</f>
        <v>1.84551807495483</v>
      </c>
      <c r="I2265" s="31" t="n">
        <f aca="false">IF(I2145&gt;0,I2141/I2145,0)</f>
        <v>1.74501826895386</v>
      </c>
      <c r="J2265" s="31" t="n">
        <f aca="false">IF(J2145&gt;0,J2141/J2145,0)</f>
        <v>1.73399440164647</v>
      </c>
      <c r="K2265" s="31" t="n">
        <f aca="false">IF(K2145&gt;0,K2141/K2145,0)</f>
        <v>1.81369578557616</v>
      </c>
    </row>
    <row r="2266" customFormat="false" ht="15" hidden="false" customHeight="false" outlineLevel="0" collapsed="false">
      <c r="A2266" s="5" t="s">
        <v>325</v>
      </c>
      <c r="G2266" s="31" t="n">
        <f aca="false">IF(G2145&gt;0,G2144/G2145,0)</f>
        <v>1.25745967741936</v>
      </c>
      <c r="H2266" s="31" t="n">
        <f aca="false">IF(H2145&gt;0,H2144/H2145,0)</f>
        <v>1.37883534335706</v>
      </c>
      <c r="I2266" s="31" t="n">
        <f aca="false">IF(I2145&gt;0,I2144/I2145,0)</f>
        <v>1.31366543842594</v>
      </c>
      <c r="J2266" s="31" t="n">
        <f aca="false">IF(J2145&gt;0,J2144/J2145,0)</f>
        <v>1.31478696388578</v>
      </c>
      <c r="K2266" s="31" t="n">
        <f aca="false">IF(K2145&gt;0,K2144/K2145,0)</f>
        <v>1.38464947070868</v>
      </c>
    </row>
    <row r="2267" customFormat="false" ht="15" hidden="false" customHeight="false" outlineLevel="0" collapsed="false">
      <c r="A2267" s="5" t="s">
        <v>182</v>
      </c>
      <c r="G2267" s="21" t="n">
        <f aca="false">IF(G2260&gt;0,G2154/G2260,0)</f>
        <v>0.0260715848846457</v>
      </c>
      <c r="H2267" s="21" t="n">
        <f aca="false">IF(H2260&gt;0,H2154/H2260,0)</f>
        <v>0.0344059374431515</v>
      </c>
      <c r="I2267" s="21" t="n">
        <f aca="false">IF(I2260&gt;0,I2154/I2260,0)</f>
        <v>0.032203542224672</v>
      </c>
      <c r="J2267" s="21" t="n">
        <f aca="false">IF(J2260&gt;0,J2154/J2260,0)</f>
        <v>0.0338082700602342</v>
      </c>
      <c r="K2267" s="21" t="n">
        <f aca="false">IF(K2260&gt;0,K2154/K2260,0)</f>
        <v>0.0401760999262554</v>
      </c>
    </row>
    <row r="2268" customFormat="false" ht="15" hidden="false" customHeight="false" outlineLevel="0" collapsed="false">
      <c r="A2268" s="5" t="s">
        <v>326</v>
      </c>
      <c r="G2268" s="31" t="n">
        <f aca="false">IF(G2145+G2244&gt;0,(G2141-G2152-G2149)/(G2145+G2244),0)</f>
        <v>1.18140695428203</v>
      </c>
      <c r="H2268" s="31" t="n">
        <f aca="false">IF(H2145+H2244&gt;0,(H2141-H2152-H2149)/(H2145+H2244),0)</f>
        <v>1.26713089739544</v>
      </c>
      <c r="I2268" s="31" t="n">
        <f aca="false">IF(I2145+I2244&gt;0,(I2141-I2152-I2149)/(I2145+I2244),0)</f>
        <v>1.22100482916628</v>
      </c>
      <c r="J2268" s="31" t="n">
        <f aca="false">IF(J2145+J2244&gt;0,(J2141-J2152-J2149)/(J2145+J2244),0)</f>
        <v>1.22169270034074</v>
      </c>
      <c r="K2268" s="31" t="n">
        <f aca="false">IF(K2145+K2244&gt;0,(K2141-K2152-K2149)/(K2145+K2244),0)</f>
        <v>1.27101724609519</v>
      </c>
    </row>
    <row r="2269" customFormat="false" ht="15" hidden="false" customHeight="false" outlineLevel="0" collapsed="false">
      <c r="A2269" s="5" t="s">
        <v>327</v>
      </c>
      <c r="G2269" s="25" t="n">
        <f aca="false">MAX(0,G2253)+Assumptions!$P$53*MAX(0,Assumptions!$D$53-G2178)+Assumptions!$P$54*MAX(0,Assumptions!$D$54-G2191)+Assumptions!$P$55*MAX(0,Assumptions!$D$55-G2204)+Assumptions!$P$56*MAX(0,Assumptions!$D$56-G2217)</f>
        <v>190.418</v>
      </c>
      <c r="H2269" s="25" t="n">
        <f aca="false">MAX(0,H2253)+Assumptions!$P$53*MAX(0,Assumptions!$D$53-H2178)+Assumptions!$P$54*MAX(0,Assumptions!$D$54-H2191)+Assumptions!$P$55*MAX(0,Assumptions!$D$55-H2204)+Assumptions!$P$56*MAX(0,Assumptions!$D$56-H2217)</f>
        <v>224.27975725</v>
      </c>
      <c r="I2269" s="25" t="n">
        <f aca="false">MAX(0,I2253)+Assumptions!$P$53*MAX(0,Assumptions!$D$53-I2178)+Assumptions!$P$54*MAX(0,Assumptions!$D$54-I2191)+Assumptions!$P$55*MAX(0,Assumptions!$D$55-I2204)+Assumptions!$P$56*MAX(0,Assumptions!$D$56-I2217)</f>
        <v>224.27975725</v>
      </c>
      <c r="J2269" s="25" t="n">
        <f aca="false">MAX(0,J2253)+Assumptions!$P$53*MAX(0,Assumptions!$D$53-J2178)+Assumptions!$P$54*MAX(0,Assumptions!$D$54-J2191)+Assumptions!$P$55*MAX(0,Assumptions!$D$55-J2204)+Assumptions!$P$56*MAX(0,Assumptions!$D$56-J2217)</f>
        <v>224.27975725</v>
      </c>
      <c r="K2269" s="25" t="n">
        <f aca="false">MAX(0,K2253)+Assumptions!$P$53*MAX(0,Assumptions!$D$53-K2178)+Assumptions!$P$54*MAX(0,Assumptions!$D$54-K2191)+Assumptions!$P$55*MAX(0,Assumptions!$D$55-K2204)+Assumptions!$P$56*MAX(0,Assumptions!$D$56-K2217)</f>
        <v>260.173333572194</v>
      </c>
    </row>
    <row r="2270" customFormat="false" ht="15" hidden="false" customHeight="false" outlineLevel="0" collapsed="false">
      <c r="A2270" s="5" t="s">
        <v>328</v>
      </c>
      <c r="G2270" s="21" t="n">
        <f aca="false">IF(G2260&gt;0,G2260/(G2260+MAX(0,G2141*CHOOSE($C$2124,Assumptions!$C$76,Assumptions!$C$95,Assumptions!$C$114)-G2262)),0)</f>
        <v>0.894603653427183</v>
      </c>
      <c r="H2270" s="21" t="n">
        <f aca="false">IF(H2260&gt;0,H2260/(H2260+MAX(0,H2141*CHOOSE($C$2124,Assumptions!$C$76,Assumptions!$C$95,Assumptions!$C$114)-H2262)),0)</f>
        <v>0.853501210148865</v>
      </c>
      <c r="I2270" s="21" t="n">
        <f aca="false">IF(I2260&gt;0,I2260/(I2260+MAX(0,I2141*CHOOSE($C$2124,Assumptions!$C$76,Assumptions!$C$95,Assumptions!$C$114)-I2262)),0)</f>
        <v>0.816456117582839</v>
      </c>
      <c r="J2270" s="21" t="n">
        <f aca="false">IF(J2260&gt;0,J2260/(J2260+MAX(0,J2141*CHOOSE($C$2124,Assumptions!$C$76,Assumptions!$C$95,Assumptions!$C$114)-J2262)),0)</f>
        <v>0.780200573449559</v>
      </c>
      <c r="K2270" s="21" t="n">
        <f aca="false">IF(K2260&gt;0,K2260/(K2260+MAX(0,K2141*CHOOSE($C$2124,Assumptions!$C$76,Assumptions!$C$95,Assumptions!$C$114)-K2262)),0)</f>
        <v>0.741348893281928</v>
      </c>
    </row>
    <row r="2271" customFormat="false" ht="15" hidden="false" customHeight="false" outlineLevel="0" collapsed="false">
      <c r="A2271" s="5" t="s">
        <v>329</v>
      </c>
      <c r="G2271" s="21" t="n">
        <f aca="false">IF(G2260&gt;0,MAX(0,G2253)/G2260,0)</f>
        <v>0</v>
      </c>
      <c r="H2271" s="21" t="n">
        <f aca="false">IF(H2260&gt;0,MAX(0,H2253)/H2260,0)</f>
        <v>0</v>
      </c>
      <c r="I2271" s="21" t="n">
        <f aca="false">IF(I2260&gt;0,MAX(0,I2253)/I2260,0)</f>
        <v>0</v>
      </c>
      <c r="J2271" s="21" t="n">
        <f aca="false">IF(J2260&gt;0,MAX(0,J2253)/J2260,0)</f>
        <v>0</v>
      </c>
      <c r="K2271" s="21" t="n">
        <f aca="false">IF(K2260&gt;0,MAX(0,K2253)/K2260,0)</f>
        <v>0</v>
      </c>
    </row>
    <row r="2272" customFormat="false" ht="15" hidden="false" customHeight="false" outlineLevel="0" collapsed="false">
      <c r="A2272" s="5" t="s">
        <v>330</v>
      </c>
      <c r="G2272" s="25" t="n">
        <f aca="false">Assumptions!$C$27*(1-CHOOSE($C$2124,Assumptions!$C$79,Assumptions!$C$98,Assumptions!$C$117))</f>
        <v>1040</v>
      </c>
      <c r="H2272" s="25" t="n">
        <f aca="false">Assumptions!$C$27*(1-CHOOSE($C$2124,Assumptions!$C$79,Assumptions!$C$98,Assumptions!$C$117))</f>
        <v>1040</v>
      </c>
      <c r="I2272" s="25" t="n">
        <f aca="false">Assumptions!$C$27*(1-CHOOSE($C$2124,Assumptions!$C$79,Assumptions!$C$98,Assumptions!$C$117))</f>
        <v>1040</v>
      </c>
      <c r="J2272" s="25" t="n">
        <f aca="false">Assumptions!$C$27*(1-CHOOSE($C$2124,Assumptions!$C$79,Assumptions!$C$98,Assumptions!$C$117))</f>
        <v>1040</v>
      </c>
      <c r="K2272" s="25" t="n">
        <f aca="false">Assumptions!$C$27*(1-CHOOSE($C$2124,Assumptions!$C$79,Assumptions!$C$98,Assumptions!$C$117))</f>
        <v>1040</v>
      </c>
    </row>
    <row r="2273" customFormat="false" ht="15" hidden="false" customHeight="false" outlineLevel="0" collapsed="false">
      <c r="A2273" s="23" t="s">
        <v>331</v>
      </c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</row>
    <row r="2274" customFormat="false" ht="15" hidden="false" customHeight="false" outlineLevel="0" collapsed="false">
      <c r="A2274" s="23" t="s">
        <v>332</v>
      </c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</row>
    <row r="2275" customFormat="false" ht="15" hidden="false" customHeight="false" outlineLevel="0" collapsed="false">
      <c r="A2275" s="5" t="s">
        <v>333</v>
      </c>
      <c r="G2275" s="31" t="n">
        <f aca="false">IF(G2141&gt;0,G2262/G2141,99)</f>
        <v>5.81492374727669</v>
      </c>
      <c r="H2275" s="31" t="n">
        <f aca="false">IF(H2141&gt;0,H2262/H2141,99)</f>
        <v>5.54775786596762</v>
      </c>
      <c r="I2275" s="31" t="n">
        <f aca="false">IF(I2141&gt;0,I2262/I2141,99)</f>
        <v>5.30696476428845</v>
      </c>
      <c r="J2275" s="31" t="n">
        <f aca="false">IF(J2141&gt;0,J2262/J2141,99)</f>
        <v>5.07130372742213</v>
      </c>
      <c r="K2275" s="31" t="n">
        <f aca="false">IF(K2141&gt;0,K2262/K2141,99)</f>
        <v>4.81876780633253</v>
      </c>
    </row>
    <row r="2276" customFormat="false" ht="15" hidden="false" customHeight="false" outlineLevel="0" collapsed="false">
      <c r="A2276" s="5" t="s">
        <v>334</v>
      </c>
      <c r="G2276" s="32" t="n">
        <f aca="false">Assumptions!$G$61</f>
        <v>8.5</v>
      </c>
      <c r="H2276" s="32" t="n">
        <f aca="false">Assumptions!$H$61</f>
        <v>8.5</v>
      </c>
      <c r="I2276" s="32" t="n">
        <f aca="false">Assumptions!$I$61</f>
        <v>8.5</v>
      </c>
      <c r="J2276" s="32" t="n">
        <f aca="false">Assumptions!$J$61</f>
        <v>8.5</v>
      </c>
      <c r="K2276" s="32" t="n">
        <f aca="false">Assumptions!$K$61</f>
        <v>8.5</v>
      </c>
    </row>
    <row r="2277" customFormat="false" ht="15" hidden="false" customHeight="false" outlineLevel="0" collapsed="false">
      <c r="A2277" s="5" t="s">
        <v>335</v>
      </c>
      <c r="G2277" s="31" t="n">
        <f aca="false">G2276-G2275</f>
        <v>2.68507625272331</v>
      </c>
      <c r="H2277" s="31" t="n">
        <f aca="false">H2276-H2275</f>
        <v>2.95224213403238</v>
      </c>
      <c r="I2277" s="31" t="n">
        <f aca="false">I2276-I2275</f>
        <v>3.19303523571155</v>
      </c>
      <c r="J2277" s="31" t="n">
        <f aca="false">J2276-J2275</f>
        <v>3.42869627257787</v>
      </c>
      <c r="K2277" s="31" t="n">
        <f aca="false">K2276-K2275</f>
        <v>3.68123219366747</v>
      </c>
    </row>
    <row r="2278" customFormat="false" ht="15" hidden="false" customHeight="false" outlineLevel="0" collapsed="false">
      <c r="A2278" s="5" t="s">
        <v>336</v>
      </c>
      <c r="G2278" s="21" t="n">
        <f aca="false">IF(G2276=0,0,G2277/ABS(G2276))</f>
        <v>0.315891323849801</v>
      </c>
      <c r="H2278" s="21" t="n">
        <f aca="false">IF(H2276=0,0,H2277/ABS(H2276))</f>
        <v>0.347322604003809</v>
      </c>
      <c r="I2278" s="21" t="n">
        <f aca="false">IF(I2276=0,0,I2277/ABS(I2276))</f>
        <v>0.375651204201359</v>
      </c>
      <c r="J2278" s="21" t="n">
        <f aca="false">IF(J2276=0,0,J2277/ABS(J2276))</f>
        <v>0.403376032067984</v>
      </c>
      <c r="K2278" s="21" t="n">
        <f aca="false">IF(K2276=0,0,K2277/ABS(K2276))</f>
        <v>0.433086140431467</v>
      </c>
    </row>
    <row r="2279" customFormat="false" ht="15" hidden="false" customHeight="false" outlineLevel="0" collapsed="false">
      <c r="A2279" s="5" t="s">
        <v>337</v>
      </c>
      <c r="G2279" s="20" t="n">
        <f aca="false">IF(G2277&lt;0,1,0)</f>
        <v>0</v>
      </c>
      <c r="H2279" s="20" t="n">
        <f aca="false">IF(H2277&lt;0,1,0)</f>
        <v>0</v>
      </c>
      <c r="I2279" s="20" t="n">
        <f aca="false">IF(I2277&lt;0,1,0)</f>
        <v>0</v>
      </c>
      <c r="J2279" s="20" t="n">
        <f aca="false">IF(J2277&lt;0,1,0)</f>
        <v>0</v>
      </c>
      <c r="K2279" s="20" t="n">
        <f aca="false">IF(K2277&lt;0,1,0)</f>
        <v>0</v>
      </c>
    </row>
    <row r="2280" customFormat="false" ht="15" hidden="false" customHeight="false" outlineLevel="0" collapsed="false">
      <c r="A2280" s="5" t="s">
        <v>338</v>
      </c>
      <c r="C2280" s="20" t="n">
        <f aca="false">IFERROR(INDEX($G$2131:$K$2131,MATCH(1,$G$2279:$K$2279,0)),0)</f>
        <v>0</v>
      </c>
    </row>
    <row r="2281" customFormat="false" ht="15" hidden="false" customHeight="false" outlineLevel="0" collapsed="false">
      <c r="A2281" s="5" t="s">
        <v>339</v>
      </c>
      <c r="C2281" s="21" t="n">
        <f aca="false">MIN($G$2278:$K$2278)</f>
        <v>0.315891323849801</v>
      </c>
    </row>
    <row r="2282" customFormat="false" ht="15" hidden="false" customHeight="false" outlineLevel="0" collapsed="false">
      <c r="A2282" s="5" t="s">
        <v>340</v>
      </c>
      <c r="G2282" s="20" t="n">
        <f aca="false">G2279</f>
        <v>0</v>
      </c>
      <c r="H2282" s="20" t="n">
        <f aca="false">H2279</f>
        <v>0</v>
      </c>
      <c r="I2282" s="20" t="n">
        <f aca="false">I2279</f>
        <v>0</v>
      </c>
      <c r="J2282" s="20" t="n">
        <f aca="false">J2279</f>
        <v>0</v>
      </c>
      <c r="K2282" s="20" t="n">
        <f aca="false">K2279</f>
        <v>0</v>
      </c>
    </row>
    <row r="2283" customFormat="false" ht="15" hidden="false" customHeight="false" outlineLevel="0" collapsed="false">
      <c r="A2283" s="5" t="s">
        <v>341</v>
      </c>
      <c r="C2283" s="20" t="n">
        <f aca="false">SUM($G$2282:$K$2282)</f>
        <v>0</v>
      </c>
    </row>
    <row r="2284" customFormat="false" ht="15" hidden="false" customHeight="false" outlineLevel="0" collapsed="false">
      <c r="A2284" s="5" t="s">
        <v>342</v>
      </c>
      <c r="C2284" s="21" t="n">
        <f aca="false">MIN(C2281)</f>
        <v>0.315891323849801</v>
      </c>
    </row>
    <row r="2286" customFormat="false" ht="15" hidden="false" customHeight="false" outlineLevel="0" collapsed="false">
      <c r="A2286" s="23" t="s">
        <v>444</v>
      </c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</row>
    <row r="2287" customFormat="false" ht="15" hidden="false" customHeight="false" outlineLevel="0" collapsed="false">
      <c r="A2287" s="5" t="s">
        <v>445</v>
      </c>
      <c r="G2287" s="20" t="n">
        <f aca="false">IF($C$2288=1,G2256,IF(G2141=MIN($G$2141:$K$2141),1,0))</f>
        <v>1</v>
      </c>
      <c r="H2287" s="20" t="n">
        <f aca="false">IF($C$2288=1,H2256,IF(AND(H2141=MIN($G$2141:$K$2141),SUM($G$2287:G2287)=0),1,0))</f>
        <v>0</v>
      </c>
      <c r="I2287" s="20" t="n">
        <f aca="false">IF($C$2288=1,I2256,IF(AND(I2141=MIN($G$2141:$K$2141),SUM($G$2287:H2287)=0),1,0))</f>
        <v>0</v>
      </c>
      <c r="J2287" s="20" t="n">
        <f aca="false">IF($C$2288=1,J2256,IF(AND(J2141=MIN($G$2141:$K$2141),SUM($G$2287:I2287)=0),1,0))</f>
        <v>0</v>
      </c>
      <c r="K2287" s="20" t="n">
        <f aca="false">IF($C$2288=1,K2256,IF(AND(K2141=MIN($G$2141:$K$2141),SUM($G$2287:J2287)=0),1,0))</f>
        <v>0</v>
      </c>
    </row>
    <row r="2288" customFormat="false" ht="15" hidden="false" customHeight="false" outlineLevel="0" collapsed="false">
      <c r="A2288" s="5" t="s">
        <v>446</v>
      </c>
      <c r="C2288" s="20" t="n">
        <f aca="false">IF(SUM($G$2256:$K$2256)&gt;0,1,0)</f>
        <v>0</v>
      </c>
    </row>
    <row r="2289" customFormat="false" ht="15" hidden="false" customHeight="false" outlineLevel="0" collapsed="false">
      <c r="A2289" s="5" t="s">
        <v>447</v>
      </c>
      <c r="C2289" s="20" t="n">
        <f aca="false">SUMPRODUCT($G$2287:$K$2287,$G$2131:$K$2131)</f>
        <v>2026</v>
      </c>
    </row>
    <row r="2290" customFormat="false" ht="15" hidden="false" customHeight="false" outlineLevel="0" collapsed="false">
      <c r="A2290" s="5" t="s">
        <v>448</v>
      </c>
      <c r="C2290" s="25" t="n">
        <f aca="false">SUMPRODUCT($G$2287:$K$2287,$G$2141:$K$2141)</f>
        <v>201.96</v>
      </c>
    </row>
    <row r="2291" customFormat="false" ht="15" hidden="false" customHeight="false" outlineLevel="0" collapsed="false">
      <c r="A2291" s="5" t="s">
        <v>449</v>
      </c>
      <c r="C2291" s="25" t="n">
        <f aca="false">MAX(0,SUMPRODUCT($G$2287:$K$2287,$G$2253:$K$2253))</f>
        <v>0</v>
      </c>
    </row>
    <row r="2292" customFormat="false" ht="15" hidden="false" customHeight="false" outlineLevel="0" collapsed="false">
      <c r="A2292" s="5" t="s">
        <v>450</v>
      </c>
      <c r="C2292" s="25" t="n">
        <f aca="false">(CHOOSE($C$2124,Assumptions!$C$78,Assumptions!$C$97,Assumptions!$C$116)+$C$2128)*C2290</f>
        <v>807.84</v>
      </c>
    </row>
    <row r="2293" customFormat="false" ht="15" hidden="false" customHeight="false" outlineLevel="0" collapsed="false">
      <c r="A2293" s="5" t="s">
        <v>451</v>
      </c>
      <c r="C2293" s="25" t="n">
        <f aca="false">Assumptions!$C$27*(1-CHOOSE($C$2124,Assumptions!$C$79,Assumptions!$C$98,Assumptions!$C$117))*CHOOSE($C$2124,Assumptions!$C$80,Assumptions!$C$99,Assumptions!$C$118)</f>
        <v>624</v>
      </c>
    </row>
    <row r="2294" customFormat="false" ht="15" hidden="false" customHeight="false" outlineLevel="0" collapsed="false">
      <c r="A2294" s="5" t="s">
        <v>452</v>
      </c>
      <c r="C2294" s="25" t="n">
        <f aca="false">MAX(C2292,C2293)+C2291</f>
        <v>807.84</v>
      </c>
    </row>
    <row r="2295" customFormat="false" ht="15" hidden="false" customHeight="false" outlineLevel="0" collapsed="false">
      <c r="A2295" s="2" t="s">
        <v>453</v>
      </c>
      <c r="C2295" s="16" t="n">
        <f aca="false">IF(ISNUMBER(Assumptions!$C$14),Assumptions!$C$14,C2294)</f>
        <v>807.84</v>
      </c>
    </row>
    <row r="2296" customFormat="false" ht="15" hidden="false" customHeight="false" outlineLevel="0" collapsed="false">
      <c r="A2296" s="5" t="s">
        <v>454</v>
      </c>
      <c r="C2296" s="25" t="n">
        <f aca="false">C2295*Assumptions!$C$15</f>
        <v>32.3136</v>
      </c>
    </row>
    <row r="2297" customFormat="false" ht="15" hidden="false" customHeight="false" outlineLevel="0" collapsed="false">
      <c r="A2297" s="2" t="s">
        <v>455</v>
      </c>
      <c r="C2297" s="16" t="n">
        <f aca="false">C2295-C2296</f>
        <v>775.5264</v>
      </c>
    </row>
    <row r="2298" customFormat="false" ht="15" hidden="false" customHeight="false" outlineLevel="0" collapsed="false">
      <c r="A2298" s="23" t="s">
        <v>456</v>
      </c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</row>
    <row r="2299" customFormat="false" ht="15" hidden="false" customHeight="false" outlineLevel="0" collapsed="false">
      <c r="A2299" s="5" t="s">
        <v>457</v>
      </c>
      <c r="C2299" s="25" t="n">
        <f aca="false">SUMPRODUCT($G$2287:$K$2287,$G$2178:$K$2178)*(1+SUMPRODUCT($G$2287:$K$2287,$G$2170:$K$2170)*Assumptions!$C$16/12)</f>
        <v>111.938013</v>
      </c>
    </row>
    <row r="2300" customFormat="false" ht="15" hidden="false" customHeight="false" outlineLevel="0" collapsed="false">
      <c r="A2300" s="5" t="s">
        <v>458</v>
      </c>
      <c r="C2300" s="25" t="n">
        <f aca="false">SUMPRODUCT($G$2287:$K$2287,$G$2191:$K$2191)*(1+SUMPRODUCT($G$2287:$K$2287,$G$2183:$K$2183)*Assumptions!$C$16/12)</f>
        <v>528.0561</v>
      </c>
    </row>
    <row r="2301" customFormat="false" ht="15" hidden="false" customHeight="false" outlineLevel="0" collapsed="false">
      <c r="A2301" s="5" t="s">
        <v>459</v>
      </c>
      <c r="C2301" s="25" t="n">
        <f aca="false">SUMPRODUCT($G$2287:$K$2287,$G$2204:$K$2204)*(1+SUMPRODUCT($G$2287:$K$2287,$G$2196:$K$2196)*Assumptions!$C$16/12)</f>
        <v>256.875</v>
      </c>
    </row>
    <row r="2302" customFormat="false" ht="15" hidden="false" customHeight="false" outlineLevel="0" collapsed="false">
      <c r="A2302" s="5" t="s">
        <v>460</v>
      </c>
      <c r="C2302" s="25" t="n">
        <f aca="false">SUMPRODUCT($G$2287:$K$2287,$G$2217:$K$2217)*(1+SUMPRODUCT($G$2287:$K$2287,$G$2209:$K$2209)*Assumptions!$C$16/12)</f>
        <v>305.625</v>
      </c>
    </row>
    <row r="2303" customFormat="false" ht="15" hidden="false" customHeight="false" outlineLevel="0" collapsed="false">
      <c r="A2303" s="23" t="s">
        <v>461</v>
      </c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</row>
    <row r="2304" customFormat="false" ht="15" hidden="false" customHeight="false" outlineLevel="0" collapsed="false">
      <c r="A2304" s="5" t="s">
        <v>457</v>
      </c>
      <c r="C2304" s="26" t="n">
        <f aca="false">Assumptions!$M$53</f>
        <v>1</v>
      </c>
    </row>
    <row r="2305" customFormat="false" ht="15" hidden="false" customHeight="false" outlineLevel="0" collapsed="false">
      <c r="A2305" s="5" t="s">
        <v>458</v>
      </c>
      <c r="C2305" s="26" t="n">
        <f aca="false">Assumptions!$M$54</f>
        <v>2</v>
      </c>
    </row>
    <row r="2306" customFormat="false" ht="15" hidden="false" customHeight="false" outlineLevel="0" collapsed="false">
      <c r="A2306" s="5" t="s">
        <v>459</v>
      </c>
      <c r="C2306" s="26" t="n">
        <f aca="false">Assumptions!$M$55</f>
        <v>3</v>
      </c>
    </row>
    <row r="2307" customFormat="false" ht="15" hidden="false" customHeight="false" outlineLevel="0" collapsed="false">
      <c r="A2307" s="5" t="s">
        <v>460</v>
      </c>
      <c r="C2307" s="26" t="n">
        <f aca="false">Assumptions!$M$56</f>
        <v>4</v>
      </c>
    </row>
    <row r="2308" customFormat="false" ht="15" hidden="false" customHeight="false" outlineLevel="0" collapsed="false">
      <c r="A2308" s="23" t="s">
        <v>462</v>
      </c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</row>
    <row r="2309" customFormat="false" ht="15" hidden="false" customHeight="false" outlineLevel="0" collapsed="false">
      <c r="A2309" s="5" t="s">
        <v>457</v>
      </c>
      <c r="C2309" s="34" t="n">
        <f aca="false">Assumptions!$Q$53</f>
        <v>0</v>
      </c>
    </row>
    <row r="2310" customFormat="false" ht="15" hidden="false" customHeight="false" outlineLevel="0" collapsed="false">
      <c r="A2310" s="5" t="s">
        <v>458</v>
      </c>
      <c r="C2310" s="34" t="n">
        <f aca="false">Assumptions!$Q$54</f>
        <v>0</v>
      </c>
    </row>
    <row r="2311" customFormat="false" ht="15" hidden="false" customHeight="false" outlineLevel="0" collapsed="false">
      <c r="A2311" s="5" t="s">
        <v>459</v>
      </c>
      <c r="C2311" s="34" t="n">
        <f aca="false">Assumptions!$Q$55</f>
        <v>0</v>
      </c>
    </row>
    <row r="2312" customFormat="false" ht="15" hidden="false" customHeight="false" outlineLevel="0" collapsed="false">
      <c r="A2312" s="5" t="s">
        <v>460</v>
      </c>
      <c r="C2312" s="34" t="n">
        <f aca="false">Assumptions!$Q$56</f>
        <v>0</v>
      </c>
    </row>
    <row r="2313" customFormat="false" ht="15" hidden="false" customHeight="false" outlineLevel="0" collapsed="false">
      <c r="A2313" s="23" t="s">
        <v>463</v>
      </c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</row>
    <row r="2314" customFormat="false" ht="15" hidden="false" customHeight="false" outlineLevel="0" collapsed="false">
      <c r="A2314" s="5" t="s">
        <v>457</v>
      </c>
      <c r="C2314" s="25" t="n">
        <f aca="false">IF(C2309&gt;0,MIN(C2299,C2309*$C$2297),0)</f>
        <v>0</v>
      </c>
    </row>
    <row r="2315" customFormat="false" ht="15" hidden="false" customHeight="false" outlineLevel="0" collapsed="false">
      <c r="A2315" s="5" t="s">
        <v>458</v>
      </c>
      <c r="C2315" s="25" t="n">
        <f aca="false">IF(C2310&gt;0,MIN(C2300,C2310*$C$2297),0)</f>
        <v>0</v>
      </c>
    </row>
    <row r="2316" customFormat="false" ht="15" hidden="false" customHeight="false" outlineLevel="0" collapsed="false">
      <c r="A2316" s="5" t="s">
        <v>459</v>
      </c>
      <c r="C2316" s="25" t="n">
        <f aca="false">IF(C2311&gt;0,MIN(C2301,C2311*$C$2297),0)</f>
        <v>0</v>
      </c>
    </row>
    <row r="2317" customFormat="false" ht="15" hidden="false" customHeight="false" outlineLevel="0" collapsed="false">
      <c r="A2317" s="5" t="s">
        <v>460</v>
      </c>
      <c r="C2317" s="25" t="n">
        <f aca="false">IF(C2312&gt;0,MIN(C2302,C2312*$C$2297),0)</f>
        <v>0</v>
      </c>
    </row>
    <row r="2318" customFormat="false" ht="15" hidden="false" customHeight="false" outlineLevel="0" collapsed="false">
      <c r="A2318" s="23" t="s">
        <v>464</v>
      </c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</row>
    <row r="2319" customFormat="false" ht="15" hidden="false" customHeight="false" outlineLevel="0" collapsed="false">
      <c r="A2319" s="5" t="s">
        <v>457</v>
      </c>
      <c r="C2319" s="25" t="n">
        <f aca="false">IF(C2309&gt;0,C2299-C2314,0)</f>
        <v>0</v>
      </c>
      <c r="G2319" s="20" t="n">
        <f aca="false">IF(AND(G2168=1,G2165=1),1,0)</f>
        <v>0</v>
      </c>
      <c r="H2319" s="20" t="n">
        <f aca="false">IF(G2319=1,1,IF(AND(H2168=1,H2165=1),1,0))</f>
        <v>1</v>
      </c>
      <c r="I2319" s="20" t="n">
        <f aca="false">IF(H2319=1,1,IF(AND(I2168=1,I2165=1),1,0))</f>
        <v>1</v>
      </c>
      <c r="J2319" s="20" t="n">
        <f aca="false">IF(I2319=1,1,IF(AND(J2168=1,J2165=1),1,0))</f>
        <v>1</v>
      </c>
      <c r="K2319" s="20" t="n">
        <f aca="false">IF(J2319=1,1,IF(AND(K2168=1,K2165=1),1,0))</f>
        <v>1</v>
      </c>
    </row>
    <row r="2320" customFormat="false" ht="15" hidden="false" customHeight="false" outlineLevel="0" collapsed="false">
      <c r="A2320" s="5" t="s">
        <v>458</v>
      </c>
      <c r="C2320" s="25" t="n">
        <f aca="false">IF(C2310&gt;0,C2300-C2315,0)</f>
        <v>0</v>
      </c>
      <c r="G2320" s="20" t="n">
        <f aca="false">IF(AND(G2181=1,G2165=1),1,0)</f>
        <v>0</v>
      </c>
      <c r="H2320" s="20" t="n">
        <f aca="false">IF(G2320=1,1,IF(AND(H2181=1,H2165=1),1,0))</f>
        <v>0</v>
      </c>
      <c r="I2320" s="20" t="n">
        <f aca="false">IF(H2320=1,1,IF(AND(I2181=1,I2165=1),1,0))</f>
        <v>1</v>
      </c>
      <c r="J2320" s="20" t="n">
        <f aca="false">IF(I2320=1,1,IF(AND(J2181=1,J2165=1),1,0))</f>
        <v>1</v>
      </c>
      <c r="K2320" s="20" t="n">
        <f aca="false">IF(J2320=1,1,IF(AND(K2181=1,K2165=1),1,0))</f>
        <v>1</v>
      </c>
    </row>
    <row r="2321" customFormat="false" ht="15" hidden="false" customHeight="false" outlineLevel="0" collapsed="false">
      <c r="A2321" s="5" t="s">
        <v>459</v>
      </c>
      <c r="C2321" s="25" t="n">
        <f aca="false">IF(C2311&gt;0,C2301-C2316,0)</f>
        <v>0</v>
      </c>
      <c r="G2321" s="20" t="n">
        <f aca="false">IF(AND(G2194=1,G2165=1),1,0)</f>
        <v>0</v>
      </c>
      <c r="H2321" s="20" t="n">
        <f aca="false">IF(G2321=1,1,IF(AND(H2194=1,H2165=1),1,0))</f>
        <v>0</v>
      </c>
      <c r="I2321" s="20" t="n">
        <f aca="false">IF(H2321=1,1,IF(AND(I2194=1,I2165=1),1,0))</f>
        <v>0</v>
      </c>
      <c r="J2321" s="20" t="n">
        <f aca="false">IF(I2321=1,1,IF(AND(J2194=1,J2165=1),1,0))</f>
        <v>1</v>
      </c>
      <c r="K2321" s="20" t="n">
        <f aca="false">IF(J2321=1,1,IF(AND(K2194=1,K2165=1),1,0))</f>
        <v>1</v>
      </c>
    </row>
    <row r="2322" customFormat="false" ht="15" hidden="false" customHeight="false" outlineLevel="0" collapsed="false">
      <c r="A2322" s="5" t="s">
        <v>460</v>
      </c>
      <c r="C2322" s="25" t="n">
        <f aca="false">IF(C2312&gt;0,C2302-C2317,0)</f>
        <v>0</v>
      </c>
      <c r="G2322" s="20" t="n">
        <f aca="false">IF(AND(G2207=1,G2165=1),1,0)</f>
        <v>0</v>
      </c>
      <c r="H2322" s="20" t="n">
        <f aca="false">IF(G2322=1,1,IF(AND(H2207=1,H2165=1),1,0))</f>
        <v>1</v>
      </c>
      <c r="I2322" s="20" t="n">
        <f aca="false">IF(H2322=1,1,IF(AND(I2207=1,I2165=1),1,0))</f>
        <v>1</v>
      </c>
      <c r="J2322" s="20" t="n">
        <f aca="false">IF(I2322=1,1,IF(AND(J2207=1,J2165=1),1,0))</f>
        <v>1</v>
      </c>
      <c r="K2322" s="20" t="n">
        <f aca="false">IF(J2322=1,1,IF(AND(K2207=1,K2165=1),1,0))</f>
        <v>1</v>
      </c>
    </row>
    <row r="2323" customFormat="false" ht="15" hidden="false" customHeight="false" outlineLevel="0" collapsed="false">
      <c r="A2323" s="23" t="s">
        <v>465</v>
      </c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</row>
    <row r="2324" customFormat="false" ht="15" hidden="false" customHeight="false" outlineLevel="0" collapsed="false">
      <c r="A2324" s="5" t="s">
        <v>457</v>
      </c>
      <c r="C2324" s="25" t="n">
        <f aca="false">IF(C2309&gt;0,C2319,C2299)</f>
        <v>111.938013</v>
      </c>
    </row>
    <row r="2325" customFormat="false" ht="15" hidden="false" customHeight="false" outlineLevel="0" collapsed="false">
      <c r="A2325" s="5" t="s">
        <v>458</v>
      </c>
      <c r="C2325" s="25" t="n">
        <f aca="false">IF(C2310&gt;0,C2320,C2300)</f>
        <v>528.0561</v>
      </c>
    </row>
    <row r="2326" customFormat="false" ht="15" hidden="false" customHeight="false" outlineLevel="0" collapsed="false">
      <c r="A2326" s="5" t="s">
        <v>459</v>
      </c>
      <c r="C2326" s="25" t="n">
        <f aca="false">IF(C2311&gt;0,C2321,C2301)</f>
        <v>256.875</v>
      </c>
    </row>
    <row r="2327" customFormat="false" ht="15" hidden="false" customHeight="false" outlineLevel="0" collapsed="false">
      <c r="A2327" s="5" t="s">
        <v>460</v>
      </c>
      <c r="C2327" s="25" t="n">
        <f aca="false">IF(C2312&gt;0,C2322,C2302)</f>
        <v>305.625</v>
      </c>
    </row>
    <row r="2328" customFormat="false" ht="15" hidden="false" customHeight="false" outlineLevel="0" collapsed="false">
      <c r="A2328" s="23" t="s">
        <v>466</v>
      </c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</row>
    <row r="2329" customFormat="false" ht="15" hidden="false" customHeight="false" outlineLevel="0" collapsed="false">
      <c r="A2329" s="5" t="s">
        <v>457</v>
      </c>
      <c r="C2329" s="20" t="n">
        <f aca="false">IF(C2309&gt;0,Assumptions!$C$17,C2304)</f>
        <v>1</v>
      </c>
    </row>
    <row r="2330" customFormat="false" ht="15" hidden="false" customHeight="false" outlineLevel="0" collapsed="false">
      <c r="A2330" s="5" t="s">
        <v>458</v>
      </c>
      <c r="C2330" s="20" t="n">
        <f aca="false">IF(C2310&gt;0,Assumptions!$C$17,C2305)</f>
        <v>2</v>
      </c>
    </row>
    <row r="2331" customFormat="false" ht="15" hidden="false" customHeight="false" outlineLevel="0" collapsed="false">
      <c r="A2331" s="5" t="s">
        <v>459</v>
      </c>
      <c r="C2331" s="20" t="n">
        <f aca="false">IF(C2311&gt;0,Assumptions!$C$17,C2306)</f>
        <v>3</v>
      </c>
    </row>
    <row r="2332" customFormat="false" ht="15" hidden="false" customHeight="false" outlineLevel="0" collapsed="false">
      <c r="A2332" s="5" t="s">
        <v>460</v>
      </c>
      <c r="C2332" s="20" t="n">
        <f aca="false">IF(C2312&gt;0,Assumptions!$C$17,C2307)</f>
        <v>4</v>
      </c>
    </row>
    <row r="2333" customFormat="false" ht="15" hidden="false" customHeight="false" outlineLevel="0" collapsed="false">
      <c r="A2333" s="23" t="s">
        <v>467</v>
      </c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</row>
    <row r="2334" customFormat="false" ht="15" hidden="false" customHeight="false" outlineLevel="0" collapsed="false">
      <c r="A2334" s="5" t="s">
        <v>457</v>
      </c>
      <c r="C2334" s="25" t="n">
        <f aca="false">SUMPRODUCT(($C$2329:$C$2332&lt;C2329)*$C$2324:$C$2327)</f>
        <v>0</v>
      </c>
    </row>
    <row r="2335" customFormat="false" ht="15" hidden="false" customHeight="false" outlineLevel="0" collapsed="false">
      <c r="A2335" s="5" t="s">
        <v>458</v>
      </c>
      <c r="C2335" s="25" t="n">
        <f aca="false">SUMPRODUCT(($C$2329:$C$2332&lt;C2330)*$C$2324:$C$2327)</f>
        <v>111.938013</v>
      </c>
    </row>
    <row r="2336" customFormat="false" ht="15" hidden="false" customHeight="false" outlineLevel="0" collapsed="false">
      <c r="A2336" s="5" t="s">
        <v>459</v>
      </c>
      <c r="C2336" s="25" t="n">
        <f aca="false">SUMPRODUCT(($C$2329:$C$2332&lt;C2331)*$C$2324:$C$2327)</f>
        <v>639.994113</v>
      </c>
    </row>
    <row r="2337" customFormat="false" ht="15" hidden="false" customHeight="false" outlineLevel="0" collapsed="false">
      <c r="A2337" s="5" t="s">
        <v>460</v>
      </c>
      <c r="C2337" s="25" t="n">
        <f aca="false">SUMPRODUCT(($C$2329:$C$2332&lt;C2332)*$C$2324:$C$2327)</f>
        <v>896.869113</v>
      </c>
    </row>
    <row r="2338" customFormat="false" ht="15" hidden="false" customHeight="false" outlineLevel="0" collapsed="false">
      <c r="A2338" s="23" t="s">
        <v>468</v>
      </c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</row>
    <row r="2339" customFormat="false" ht="15" hidden="false" customHeight="false" outlineLevel="0" collapsed="false">
      <c r="A2339" s="5" t="s">
        <v>457</v>
      </c>
      <c r="C2339" s="25" t="n">
        <f aca="false">SUMPRODUCT(($C$2329:$C$2332=C2329)*$C$2324:$C$2327)</f>
        <v>111.938013</v>
      </c>
    </row>
    <row r="2340" customFormat="false" ht="15" hidden="false" customHeight="false" outlineLevel="0" collapsed="false">
      <c r="A2340" s="5" t="s">
        <v>458</v>
      </c>
      <c r="C2340" s="25" t="n">
        <f aca="false">SUMPRODUCT(($C$2329:$C$2332=C2330)*$C$2324:$C$2327)</f>
        <v>528.0561</v>
      </c>
    </row>
    <row r="2341" customFormat="false" ht="15" hidden="false" customHeight="false" outlineLevel="0" collapsed="false">
      <c r="A2341" s="5" t="s">
        <v>459</v>
      </c>
      <c r="C2341" s="25" t="n">
        <f aca="false">SUMPRODUCT(($C$2329:$C$2332=C2331)*$C$2324:$C$2327)</f>
        <v>256.875</v>
      </c>
    </row>
    <row r="2342" customFormat="false" ht="15" hidden="false" customHeight="false" outlineLevel="0" collapsed="false">
      <c r="A2342" s="5" t="s">
        <v>460</v>
      </c>
      <c r="C2342" s="25" t="n">
        <f aca="false">SUMPRODUCT(($C$2329:$C$2332=C2332)*$C$2324:$C$2327)</f>
        <v>305.625</v>
      </c>
    </row>
    <row r="2343" customFormat="false" ht="15" hidden="false" customHeight="false" outlineLevel="0" collapsed="false">
      <c r="A2343" s="23" t="s">
        <v>469</v>
      </c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</row>
    <row r="2344" customFormat="false" ht="15" hidden="false" customHeight="false" outlineLevel="0" collapsed="false">
      <c r="A2344" s="5" t="s">
        <v>457</v>
      </c>
      <c r="C2344" s="25" t="n">
        <f aca="false">IF(C2339=0,0,C2324/C2339*MAX(0,MIN(C2339,$C$2297-SUM($C$2314:$C$2317)-C2334)))</f>
        <v>111.938013</v>
      </c>
    </row>
    <row r="2345" customFormat="false" ht="15" hidden="false" customHeight="false" outlineLevel="0" collapsed="false">
      <c r="A2345" s="5" t="s">
        <v>458</v>
      </c>
      <c r="C2345" s="25" t="n">
        <f aca="false">IF(C2340=0,0,C2325/C2340*MAX(0,MIN(C2340,$C$2297-SUM($C$2314:$C$2317)-C2335)))</f>
        <v>528.0561</v>
      </c>
    </row>
    <row r="2346" customFormat="false" ht="15" hidden="false" customHeight="false" outlineLevel="0" collapsed="false">
      <c r="A2346" s="5" t="s">
        <v>459</v>
      </c>
      <c r="C2346" s="25" t="n">
        <f aca="false">IF(C2341=0,0,C2326/C2341*MAX(0,MIN(C2341,$C$2297-SUM($C$2314:$C$2317)-C2336)))</f>
        <v>135.532287</v>
      </c>
    </row>
    <row r="2347" customFormat="false" ht="15" hidden="false" customHeight="false" outlineLevel="0" collapsed="false">
      <c r="A2347" s="5" t="s">
        <v>460</v>
      </c>
      <c r="C2347" s="25" t="n">
        <f aca="false">IF(C2342=0,0,C2327/C2342*MAX(0,MIN(C2342,$C$2297-SUM($C$2314:$C$2317)-C2337)))</f>
        <v>0</v>
      </c>
    </row>
    <row r="2348" customFormat="false" ht="15" hidden="false" customHeight="false" outlineLevel="0" collapsed="false">
      <c r="A2348" s="23" t="s">
        <v>470</v>
      </c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</row>
    <row r="2349" customFormat="false" ht="15" hidden="false" customHeight="false" outlineLevel="0" collapsed="false">
      <c r="A2349" s="2" t="s">
        <v>457</v>
      </c>
      <c r="C2349" s="16" t="n">
        <f aca="false">C2314+C2344</f>
        <v>111.938013</v>
      </c>
    </row>
    <row r="2350" customFormat="false" ht="15" hidden="false" customHeight="false" outlineLevel="0" collapsed="false">
      <c r="A2350" s="2" t="s">
        <v>458</v>
      </c>
      <c r="C2350" s="16" t="n">
        <f aca="false">C2315+C2345</f>
        <v>528.0561</v>
      </c>
    </row>
    <row r="2351" customFormat="false" ht="15" hidden="false" customHeight="false" outlineLevel="0" collapsed="false">
      <c r="A2351" s="2" t="s">
        <v>459</v>
      </c>
      <c r="C2351" s="16" t="n">
        <f aca="false">C2316+C2346</f>
        <v>135.532287</v>
      </c>
    </row>
    <row r="2352" customFormat="false" ht="15" hidden="false" customHeight="false" outlineLevel="0" collapsed="false">
      <c r="A2352" s="2" t="s">
        <v>460</v>
      </c>
      <c r="C2352" s="16" t="n">
        <f aca="false">C2317+C2347</f>
        <v>0</v>
      </c>
    </row>
    <row r="2353" customFormat="false" ht="15" hidden="false" customHeight="false" outlineLevel="0" collapsed="false">
      <c r="A2353" s="23" t="s">
        <v>471</v>
      </c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</row>
    <row r="2354" customFormat="false" ht="15" hidden="false" customHeight="false" outlineLevel="0" collapsed="false">
      <c r="A2354" s="5" t="s">
        <v>457</v>
      </c>
      <c r="C2354" s="21" t="n">
        <f aca="false">IF(C2299=0,1,C2349/C2299)</f>
        <v>1</v>
      </c>
    </row>
    <row r="2355" customFormat="false" ht="15" hidden="false" customHeight="false" outlineLevel="0" collapsed="false">
      <c r="A2355" s="5" t="s">
        <v>458</v>
      </c>
      <c r="C2355" s="21" t="n">
        <f aca="false">IF(C2300=0,1,C2350/C2300)</f>
        <v>1</v>
      </c>
    </row>
    <row r="2356" customFormat="false" ht="15" hidden="false" customHeight="false" outlineLevel="0" collapsed="false">
      <c r="A2356" s="5" t="s">
        <v>459</v>
      </c>
      <c r="C2356" s="21" t="n">
        <f aca="false">IF(C2301=0,1,C2351/C2301)</f>
        <v>0.527619608759125</v>
      </c>
    </row>
    <row r="2357" customFormat="false" ht="15" hidden="false" customHeight="false" outlineLevel="0" collapsed="false">
      <c r="A2357" s="5" t="s">
        <v>460</v>
      </c>
      <c r="C2357" s="21" t="n">
        <f aca="false">IF(C2302=0,1,C2352/C2302)</f>
        <v>0</v>
      </c>
    </row>
    <row r="2358" customFormat="false" ht="15" hidden="false" customHeight="false" outlineLevel="0" collapsed="false">
      <c r="A2358" s="23" t="s">
        <v>472</v>
      </c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</row>
    <row r="2359" customFormat="false" ht="15" hidden="false" customHeight="false" outlineLevel="0" collapsed="false">
      <c r="A2359" s="5" t="s">
        <v>457</v>
      </c>
      <c r="C2359" s="25" t="n">
        <f aca="false">C2299-C2349</f>
        <v>0</v>
      </c>
    </row>
    <row r="2360" customFormat="false" ht="15" hidden="false" customHeight="false" outlineLevel="0" collapsed="false">
      <c r="A2360" s="5" t="s">
        <v>458</v>
      </c>
      <c r="C2360" s="25" t="n">
        <f aca="false">C2300-C2350</f>
        <v>0</v>
      </c>
    </row>
    <row r="2361" customFormat="false" ht="15" hidden="false" customHeight="false" outlineLevel="0" collapsed="false">
      <c r="A2361" s="5" t="s">
        <v>459</v>
      </c>
      <c r="C2361" s="25" t="n">
        <f aca="false">C2301-C2351</f>
        <v>121.342713</v>
      </c>
    </row>
    <row r="2362" customFormat="false" ht="15" hidden="false" customHeight="false" outlineLevel="0" collapsed="false">
      <c r="A2362" s="5" t="s">
        <v>460</v>
      </c>
      <c r="C2362" s="25" t="n">
        <f aca="false">C2302-C2352</f>
        <v>305.625</v>
      </c>
    </row>
    <row r="2363" customFormat="false" ht="15" hidden="false" customHeight="false" outlineLevel="0" collapsed="false">
      <c r="A2363" s="23" t="s">
        <v>473</v>
      </c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</row>
    <row r="2364" customFormat="false" ht="15" hidden="false" customHeight="false" outlineLevel="0" collapsed="false">
      <c r="A2364" s="5" t="s">
        <v>457</v>
      </c>
      <c r="C2364" s="21" t="n">
        <f aca="false">IF(C2299=0,0,C2359/C2299)</f>
        <v>0</v>
      </c>
    </row>
    <row r="2365" customFormat="false" ht="15" hidden="false" customHeight="false" outlineLevel="0" collapsed="false">
      <c r="A2365" s="5" t="s">
        <v>458</v>
      </c>
      <c r="C2365" s="21" t="n">
        <f aca="false">IF(C2300=0,0,C2360/C2300)</f>
        <v>0</v>
      </c>
    </row>
    <row r="2366" customFormat="false" ht="15" hidden="false" customHeight="false" outlineLevel="0" collapsed="false">
      <c r="A2366" s="5" t="s">
        <v>459</v>
      </c>
      <c r="C2366" s="21" t="n">
        <f aca="false">IF(C2301=0,0,C2361/C2301)</f>
        <v>0.472380391240875</v>
      </c>
    </row>
    <row r="2367" customFormat="false" ht="15" hidden="false" customHeight="false" outlineLevel="0" collapsed="false">
      <c r="A2367" s="5" t="s">
        <v>460</v>
      </c>
      <c r="C2367" s="21" t="n">
        <f aca="false">IF(C2302=0,0,C2362/C2302)</f>
        <v>1</v>
      </c>
    </row>
    <row r="2368" customFormat="false" ht="15" hidden="false" customHeight="false" outlineLevel="0" collapsed="false">
      <c r="A2368" s="2" t="s">
        <v>474</v>
      </c>
      <c r="C2368" s="16" t="n">
        <f aca="false">MAX(0,$C$2297-SUM($C$2314:$C$2317)-SUM($C$2324:$C$2327))</f>
        <v>0</v>
      </c>
    </row>
    <row r="2369" customFormat="false" ht="15" hidden="false" customHeight="false" outlineLevel="0" collapsed="false">
      <c r="A2369" s="5" t="s">
        <v>475</v>
      </c>
      <c r="C2369" s="25" t="n">
        <f aca="false">SUM($C$2349:$C$2352)+C2368+C2296-C2295</f>
        <v>0</v>
      </c>
    </row>
    <row r="2371" customFormat="false" ht="15" hidden="false" customHeight="false" outlineLevel="0" collapsed="false">
      <c r="A2371" s="23" t="s">
        <v>478</v>
      </c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</row>
    <row r="2372" customFormat="false" ht="15" hidden="false" customHeight="false" outlineLevel="0" collapsed="false">
      <c r="A2372" s="5" t="s">
        <v>479</v>
      </c>
      <c r="C2372" s="26" t="n">
        <f aca="false">Assumptions!$C$30</f>
        <v>2</v>
      </c>
    </row>
    <row r="2373" customFormat="false" ht="15" hidden="false" customHeight="false" outlineLevel="0" collapsed="false">
      <c r="A2373" s="5" t="s">
        <v>480</v>
      </c>
      <c r="C2373" s="28" t="n">
        <f aca="false">Assumptions!$C$31</f>
        <v>100</v>
      </c>
    </row>
    <row r="2374" customFormat="false" ht="15" hidden="false" customHeight="false" outlineLevel="0" collapsed="false">
      <c r="A2374" s="5" t="s">
        <v>481</v>
      </c>
      <c r="C2374" s="39" t="n">
        <f aca="false">Assumptions!$C$32</f>
        <v>78</v>
      </c>
    </row>
    <row r="2375" customFormat="false" ht="15" hidden="false" customHeight="false" outlineLevel="0" collapsed="false">
      <c r="A2375" s="5" t="s">
        <v>482</v>
      </c>
      <c r="C2375" s="25" t="n">
        <f aca="false">C2373*C2374/100*(1+Assumptions!$C$33)</f>
        <v>78.39</v>
      </c>
    </row>
    <row r="2376" customFormat="false" ht="15" hidden="false" customHeight="false" outlineLevel="0" collapsed="false">
      <c r="A2376" s="5" t="s">
        <v>483</v>
      </c>
      <c r="C2376" s="26" t="n">
        <f aca="false">Assumptions!$C$34</f>
        <v>2</v>
      </c>
    </row>
    <row r="2377" customFormat="false" ht="15" hidden="false" customHeight="false" outlineLevel="0" collapsed="false">
      <c r="A2377" s="5" t="s">
        <v>484</v>
      </c>
      <c r="C2377" s="20" t="n">
        <f aca="false">IF(C2288=1,SUMPRODUCT($G$2256:$K$2256,$G$2132:$K$2132),0)</f>
        <v>0</v>
      </c>
    </row>
    <row r="2378" customFormat="false" ht="15" hidden="false" customHeight="false" outlineLevel="0" collapsed="false">
      <c r="A2378" s="5" t="s">
        <v>485</v>
      </c>
      <c r="C2378" s="21" t="n">
        <f aca="false">IFERROR(C2373/CHOOSE(C2372,SUMPRODUCT($G$2287:$K$2287,$G$2178:$K$2178),SUMPRODUCT($G$2287:$K$2287,$G$2191:$K$2191),SUMPRODUCT($G$2287:$K$2287,$G$2204:$K$2204),SUMPRODUCT($G$2287:$K$2287,$G$2217:$K$2217)),0)</f>
        <v>0.194250194250194</v>
      </c>
    </row>
    <row r="2379" customFormat="false" ht="15" hidden="false" customHeight="false" outlineLevel="0" collapsed="false">
      <c r="A2379" s="5" t="s">
        <v>486</v>
      </c>
      <c r="C2379" s="25" t="n">
        <f aca="false">CHOOSE(C2372,C2349,C2350,C2351,C2352)*C2378</f>
        <v>102.575</v>
      </c>
    </row>
    <row r="2380" customFormat="false" ht="15" hidden="false" customHeight="false" outlineLevel="0" collapsed="false">
      <c r="A2380" s="5" t="s">
        <v>487</v>
      </c>
      <c r="C2380" s="21" t="n">
        <f aca="false">CHOOSE(C2372,C2354,C2355,C2356,C2357)</f>
        <v>1</v>
      </c>
    </row>
    <row r="2381" customFormat="false" ht="15" hidden="false" customHeight="false" outlineLevel="0" collapsed="false">
      <c r="A2381" s="5" t="s">
        <v>488</v>
      </c>
      <c r="C2381" s="20" t="n">
        <f aca="false">IF(C2288=1,C2377,C2376)</f>
        <v>2</v>
      </c>
    </row>
    <row r="2382" customFormat="false" ht="15" hidden="false" customHeight="false" outlineLevel="0" collapsed="false">
      <c r="A2382" s="5" t="s">
        <v>489</v>
      </c>
      <c r="C2382" s="33" t="n">
        <f aca="false">CHOOSE($C$2124,Assumptions!$C$77,Assumptions!$C$96,Assumptions!$C$115)</f>
        <v>100</v>
      </c>
    </row>
    <row r="2383" customFormat="false" ht="15" hidden="false" customHeight="false" outlineLevel="0" collapsed="false">
      <c r="A2383" s="5" t="s">
        <v>490</v>
      </c>
      <c r="C2383" s="25" t="n">
        <f aca="false">INDEX($G$2141:$K$2141,C2376)*CHOOSE($C$2124,Assumptions!$C$76,Assumptions!$C$95,Assumptions!$C$114)+MAX(0,INDEX($G$2253:$K$2253,C2376))</f>
        <v>1330.19172</v>
      </c>
    </row>
    <row r="2384" customFormat="false" ht="15" hidden="false" customHeight="false" outlineLevel="0" collapsed="false">
      <c r="A2384" s="23" t="s">
        <v>491</v>
      </c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</row>
    <row r="2385" customFormat="false" ht="15" hidden="false" customHeight="false" outlineLevel="0" collapsed="false">
      <c r="A2385" s="5" t="s">
        <v>457</v>
      </c>
      <c r="C2385" s="25" t="n">
        <f aca="false">INDEX($G$2178:$K$2178,C2376)</f>
        <v>75.72024275</v>
      </c>
    </row>
    <row r="2386" customFormat="false" ht="15" hidden="false" customHeight="false" outlineLevel="0" collapsed="false">
      <c r="A2386" s="5" t="s">
        <v>458</v>
      </c>
      <c r="C2386" s="25" t="n">
        <f aca="false">INDEX($G$2191:$K$2191,C2376)</f>
        <v>509.6</v>
      </c>
    </row>
    <row r="2387" customFormat="false" ht="15" hidden="false" customHeight="false" outlineLevel="0" collapsed="false">
      <c r="A2387" s="5" t="s">
        <v>459</v>
      </c>
      <c r="C2387" s="25" t="n">
        <f aca="false">INDEX($G$2204:$K$2204,C2376)</f>
        <v>250</v>
      </c>
    </row>
    <row r="2388" customFormat="false" ht="15" hidden="false" customHeight="false" outlineLevel="0" collapsed="false">
      <c r="A2388" s="5" t="s">
        <v>460</v>
      </c>
      <c r="C2388" s="25" t="n">
        <f aca="false">INDEX($G$2217:$K$2217,C2376)</f>
        <v>300</v>
      </c>
    </row>
    <row r="2389" customFormat="false" ht="15" hidden="false" customHeight="false" outlineLevel="0" collapsed="false">
      <c r="A2389" s="23" t="s">
        <v>461</v>
      </c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</row>
    <row r="2390" customFormat="false" ht="15" hidden="false" customHeight="false" outlineLevel="0" collapsed="false">
      <c r="A2390" s="5" t="s">
        <v>457</v>
      </c>
      <c r="C2390" s="26" t="n">
        <f aca="false">Assumptions!$M$53</f>
        <v>1</v>
      </c>
    </row>
    <row r="2391" customFormat="false" ht="15" hidden="false" customHeight="false" outlineLevel="0" collapsed="false">
      <c r="A2391" s="5" t="s">
        <v>458</v>
      </c>
      <c r="C2391" s="26" t="n">
        <f aca="false">Assumptions!$M$54</f>
        <v>2</v>
      </c>
    </row>
    <row r="2392" customFormat="false" ht="15" hidden="false" customHeight="false" outlineLevel="0" collapsed="false">
      <c r="A2392" s="5" t="s">
        <v>459</v>
      </c>
      <c r="C2392" s="26" t="n">
        <f aca="false">Assumptions!$M$55</f>
        <v>3</v>
      </c>
    </row>
    <row r="2393" customFormat="false" ht="15" hidden="false" customHeight="false" outlineLevel="0" collapsed="false">
      <c r="A2393" s="5" t="s">
        <v>460</v>
      </c>
      <c r="C2393" s="26" t="n">
        <f aca="false">Assumptions!$M$56</f>
        <v>4</v>
      </c>
    </row>
    <row r="2394" customFormat="false" ht="15" hidden="false" customHeight="false" outlineLevel="0" collapsed="false">
      <c r="A2394" s="23" t="s">
        <v>462</v>
      </c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</row>
    <row r="2395" customFormat="false" ht="15" hidden="false" customHeight="false" outlineLevel="0" collapsed="false">
      <c r="A2395" s="5" t="s">
        <v>457</v>
      </c>
      <c r="C2395" s="34" t="n">
        <f aca="false">Assumptions!$Q$53</f>
        <v>0</v>
      </c>
    </row>
    <row r="2396" customFormat="false" ht="15" hidden="false" customHeight="false" outlineLevel="0" collapsed="false">
      <c r="A2396" s="5" t="s">
        <v>458</v>
      </c>
      <c r="C2396" s="34" t="n">
        <f aca="false">Assumptions!$Q$54</f>
        <v>0</v>
      </c>
    </row>
    <row r="2397" customFormat="false" ht="15" hidden="false" customHeight="false" outlineLevel="0" collapsed="false">
      <c r="A2397" s="5" t="s">
        <v>459</v>
      </c>
      <c r="C2397" s="34" t="n">
        <f aca="false">Assumptions!$Q$55</f>
        <v>0</v>
      </c>
    </row>
    <row r="2398" customFormat="false" ht="15" hidden="false" customHeight="false" outlineLevel="0" collapsed="false">
      <c r="A2398" s="5" t="s">
        <v>460</v>
      </c>
      <c r="C2398" s="34" t="n">
        <f aca="false">Assumptions!$Q$56</f>
        <v>0</v>
      </c>
    </row>
    <row r="2399" customFormat="false" ht="15" hidden="false" customHeight="false" outlineLevel="0" collapsed="false">
      <c r="A2399" s="23" t="s">
        <v>463</v>
      </c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</row>
    <row r="2400" customFormat="false" ht="15" hidden="false" customHeight="false" outlineLevel="0" collapsed="false">
      <c r="A2400" s="5" t="s">
        <v>457</v>
      </c>
      <c r="C2400" s="25" t="n">
        <f aca="false">IF(C2395&gt;0,MIN(C2385,C2395*$C$2383),0)</f>
        <v>0</v>
      </c>
    </row>
    <row r="2401" customFormat="false" ht="15" hidden="false" customHeight="false" outlineLevel="0" collapsed="false">
      <c r="A2401" s="5" t="s">
        <v>458</v>
      </c>
      <c r="C2401" s="25" t="n">
        <f aca="false">IF(C2396&gt;0,MIN(C2386,C2396*$C$2383),0)</f>
        <v>0</v>
      </c>
    </row>
    <row r="2402" customFormat="false" ht="15" hidden="false" customHeight="false" outlineLevel="0" collapsed="false">
      <c r="A2402" s="5" t="s">
        <v>459</v>
      </c>
      <c r="C2402" s="25" t="n">
        <f aca="false">IF(C2397&gt;0,MIN(C2387,C2397*$C$2383),0)</f>
        <v>0</v>
      </c>
    </row>
    <row r="2403" customFormat="false" ht="15" hidden="false" customHeight="false" outlineLevel="0" collapsed="false">
      <c r="A2403" s="5" t="s">
        <v>460</v>
      </c>
      <c r="C2403" s="25" t="n">
        <f aca="false">IF(C2398&gt;0,MIN(C2388,C2398*$C$2383),0)</f>
        <v>0</v>
      </c>
    </row>
    <row r="2404" customFormat="false" ht="15" hidden="false" customHeight="false" outlineLevel="0" collapsed="false">
      <c r="A2404" s="23" t="s">
        <v>464</v>
      </c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</row>
    <row r="2405" customFormat="false" ht="15" hidden="false" customHeight="false" outlineLevel="0" collapsed="false">
      <c r="A2405" s="5" t="s">
        <v>457</v>
      </c>
      <c r="C2405" s="25" t="n">
        <f aca="false">IF(C2395&gt;0,C2385-C2400,0)</f>
        <v>0</v>
      </c>
    </row>
    <row r="2406" customFormat="false" ht="15" hidden="false" customHeight="false" outlineLevel="0" collapsed="false">
      <c r="A2406" s="5" t="s">
        <v>458</v>
      </c>
      <c r="C2406" s="25" t="n">
        <f aca="false">IF(C2396&gt;0,C2386-C2401,0)</f>
        <v>0</v>
      </c>
    </row>
    <row r="2407" customFormat="false" ht="15" hidden="false" customHeight="false" outlineLevel="0" collapsed="false">
      <c r="A2407" s="5" t="s">
        <v>459</v>
      </c>
      <c r="C2407" s="25" t="n">
        <f aca="false">IF(C2397&gt;0,C2387-C2402,0)</f>
        <v>0</v>
      </c>
    </row>
    <row r="2408" customFormat="false" ht="15" hidden="false" customHeight="false" outlineLevel="0" collapsed="false">
      <c r="A2408" s="5" t="s">
        <v>460</v>
      </c>
      <c r="C2408" s="25" t="n">
        <f aca="false">IF(C2398&gt;0,C2388-C2403,0)</f>
        <v>0</v>
      </c>
    </row>
    <row r="2409" customFormat="false" ht="15" hidden="false" customHeight="false" outlineLevel="0" collapsed="false">
      <c r="A2409" s="23" t="s">
        <v>465</v>
      </c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</row>
    <row r="2410" customFormat="false" ht="15" hidden="false" customHeight="false" outlineLevel="0" collapsed="false">
      <c r="A2410" s="5" t="s">
        <v>457</v>
      </c>
      <c r="C2410" s="25" t="n">
        <f aca="false">IF(C2395&gt;0,C2405,C2385)</f>
        <v>75.72024275</v>
      </c>
    </row>
    <row r="2411" customFormat="false" ht="15" hidden="false" customHeight="false" outlineLevel="0" collapsed="false">
      <c r="A2411" s="5" t="s">
        <v>458</v>
      </c>
      <c r="C2411" s="25" t="n">
        <f aca="false">IF(C2396&gt;0,C2406,C2386)</f>
        <v>509.6</v>
      </c>
    </row>
    <row r="2412" customFormat="false" ht="15" hidden="false" customHeight="false" outlineLevel="0" collapsed="false">
      <c r="A2412" s="5" t="s">
        <v>459</v>
      </c>
      <c r="C2412" s="25" t="n">
        <f aca="false">IF(C2397&gt;0,C2407,C2387)</f>
        <v>250</v>
      </c>
    </row>
    <row r="2413" customFormat="false" ht="15" hidden="false" customHeight="false" outlineLevel="0" collapsed="false">
      <c r="A2413" s="5" t="s">
        <v>460</v>
      </c>
      <c r="C2413" s="25" t="n">
        <f aca="false">IF(C2398&gt;0,C2408,C2388)</f>
        <v>300</v>
      </c>
    </row>
    <row r="2414" customFormat="false" ht="15" hidden="false" customHeight="false" outlineLevel="0" collapsed="false">
      <c r="A2414" s="23" t="s">
        <v>466</v>
      </c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</row>
    <row r="2415" customFormat="false" ht="15" hidden="false" customHeight="false" outlineLevel="0" collapsed="false">
      <c r="A2415" s="5" t="s">
        <v>457</v>
      </c>
      <c r="C2415" s="20" t="n">
        <f aca="false">IF(C2395&gt;0,Assumptions!$C$17,C2390)</f>
        <v>1</v>
      </c>
    </row>
    <row r="2416" customFormat="false" ht="15" hidden="false" customHeight="false" outlineLevel="0" collapsed="false">
      <c r="A2416" s="5" t="s">
        <v>458</v>
      </c>
      <c r="C2416" s="20" t="n">
        <f aca="false">IF(C2396&gt;0,Assumptions!$C$17,C2391)</f>
        <v>2</v>
      </c>
    </row>
    <row r="2417" customFormat="false" ht="15" hidden="false" customHeight="false" outlineLevel="0" collapsed="false">
      <c r="A2417" s="5" t="s">
        <v>459</v>
      </c>
      <c r="C2417" s="20" t="n">
        <f aca="false">IF(C2397&gt;0,Assumptions!$C$17,C2392)</f>
        <v>3</v>
      </c>
    </row>
    <row r="2418" customFormat="false" ht="15" hidden="false" customHeight="false" outlineLevel="0" collapsed="false">
      <c r="A2418" s="5" t="s">
        <v>460</v>
      </c>
      <c r="C2418" s="20" t="n">
        <f aca="false">IF(C2398&gt;0,Assumptions!$C$17,C2393)</f>
        <v>4</v>
      </c>
    </row>
    <row r="2419" customFormat="false" ht="15" hidden="false" customHeight="false" outlineLevel="0" collapsed="false">
      <c r="A2419" s="23" t="s">
        <v>467</v>
      </c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</row>
    <row r="2420" customFormat="false" ht="15" hidden="false" customHeight="false" outlineLevel="0" collapsed="false">
      <c r="A2420" s="5" t="s">
        <v>457</v>
      </c>
      <c r="C2420" s="25" t="n">
        <f aca="false">SUMPRODUCT(($C$2415:$C$2418&lt;C2415)*$C$2410:$C$2413)</f>
        <v>0</v>
      </c>
    </row>
    <row r="2421" customFormat="false" ht="15" hidden="false" customHeight="false" outlineLevel="0" collapsed="false">
      <c r="A2421" s="5" t="s">
        <v>458</v>
      </c>
      <c r="C2421" s="25" t="n">
        <f aca="false">SUMPRODUCT(($C$2415:$C$2418&lt;C2416)*$C$2410:$C$2413)</f>
        <v>75.72024275</v>
      </c>
    </row>
    <row r="2422" customFormat="false" ht="15" hidden="false" customHeight="false" outlineLevel="0" collapsed="false">
      <c r="A2422" s="5" t="s">
        <v>459</v>
      </c>
      <c r="C2422" s="25" t="n">
        <f aca="false">SUMPRODUCT(($C$2415:$C$2418&lt;C2417)*$C$2410:$C$2413)</f>
        <v>585.32024275</v>
      </c>
    </row>
    <row r="2423" customFormat="false" ht="15" hidden="false" customHeight="false" outlineLevel="0" collapsed="false">
      <c r="A2423" s="5" t="s">
        <v>460</v>
      </c>
      <c r="C2423" s="25" t="n">
        <f aca="false">SUMPRODUCT(($C$2415:$C$2418&lt;C2418)*$C$2410:$C$2413)</f>
        <v>835.32024275</v>
      </c>
    </row>
    <row r="2424" customFormat="false" ht="15" hidden="false" customHeight="false" outlineLevel="0" collapsed="false">
      <c r="A2424" s="23" t="s">
        <v>468</v>
      </c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</row>
    <row r="2425" customFormat="false" ht="15" hidden="false" customHeight="false" outlineLevel="0" collapsed="false">
      <c r="A2425" s="5" t="s">
        <v>457</v>
      </c>
      <c r="C2425" s="25" t="n">
        <f aca="false">SUMPRODUCT(($C$2415:$C$2418=C2415)*$C$2410:$C$2413)</f>
        <v>75.72024275</v>
      </c>
    </row>
    <row r="2426" customFormat="false" ht="15" hidden="false" customHeight="false" outlineLevel="0" collapsed="false">
      <c r="A2426" s="5" t="s">
        <v>458</v>
      </c>
      <c r="C2426" s="25" t="n">
        <f aca="false">SUMPRODUCT(($C$2415:$C$2418=C2416)*$C$2410:$C$2413)</f>
        <v>509.6</v>
      </c>
    </row>
    <row r="2427" customFormat="false" ht="15" hidden="false" customHeight="false" outlineLevel="0" collapsed="false">
      <c r="A2427" s="5" t="s">
        <v>459</v>
      </c>
      <c r="C2427" s="25" t="n">
        <f aca="false">SUMPRODUCT(($C$2415:$C$2418=C2417)*$C$2410:$C$2413)</f>
        <v>250</v>
      </c>
    </row>
    <row r="2428" customFormat="false" ht="15" hidden="false" customHeight="false" outlineLevel="0" collapsed="false">
      <c r="A2428" s="5" t="s">
        <v>460</v>
      </c>
      <c r="C2428" s="25" t="n">
        <f aca="false">SUMPRODUCT(($C$2415:$C$2418=C2418)*$C$2410:$C$2413)</f>
        <v>300</v>
      </c>
    </row>
    <row r="2429" customFormat="false" ht="15" hidden="false" customHeight="false" outlineLevel="0" collapsed="false">
      <c r="A2429" s="23" t="s">
        <v>469</v>
      </c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</row>
    <row r="2430" customFormat="false" ht="15" hidden="false" customHeight="false" outlineLevel="0" collapsed="false">
      <c r="A2430" s="5" t="s">
        <v>457</v>
      </c>
      <c r="C2430" s="25" t="n">
        <f aca="false">IF(C2425=0,0,C2410/C2425*MAX(0,MIN(C2425,$C$2383-SUM($C$2400:$C$2403)-C2420)))</f>
        <v>75.72024275</v>
      </c>
    </row>
    <row r="2431" customFormat="false" ht="15" hidden="false" customHeight="false" outlineLevel="0" collapsed="false">
      <c r="A2431" s="5" t="s">
        <v>458</v>
      </c>
      <c r="C2431" s="25" t="n">
        <f aca="false">IF(C2426=0,0,C2411/C2426*MAX(0,MIN(C2426,$C$2383-SUM($C$2400:$C$2403)-C2421)))</f>
        <v>509.6</v>
      </c>
    </row>
    <row r="2432" customFormat="false" ht="15" hidden="false" customHeight="false" outlineLevel="0" collapsed="false">
      <c r="A2432" s="5" t="s">
        <v>459</v>
      </c>
      <c r="C2432" s="25" t="n">
        <f aca="false">IF(C2427=0,0,C2412/C2427*MAX(0,MIN(C2427,$C$2383-SUM($C$2400:$C$2403)-C2422)))</f>
        <v>250</v>
      </c>
    </row>
    <row r="2433" customFormat="false" ht="15" hidden="false" customHeight="false" outlineLevel="0" collapsed="false">
      <c r="A2433" s="5" t="s">
        <v>460</v>
      </c>
      <c r="C2433" s="25" t="n">
        <f aca="false">IF(C2428=0,0,C2413/C2428*MAX(0,MIN(C2428,$C$2383-SUM($C$2400:$C$2403)-C2423)))</f>
        <v>300</v>
      </c>
    </row>
    <row r="2434" customFormat="false" ht="15" hidden="false" customHeight="false" outlineLevel="0" collapsed="false">
      <c r="A2434" s="23" t="s">
        <v>470</v>
      </c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</row>
    <row r="2435" customFormat="false" ht="15" hidden="false" customHeight="false" outlineLevel="0" collapsed="false">
      <c r="A2435" s="2" t="s">
        <v>457</v>
      </c>
      <c r="C2435" s="16" t="n">
        <f aca="false">C2400+C2430</f>
        <v>75.72024275</v>
      </c>
    </row>
    <row r="2436" customFormat="false" ht="15" hidden="false" customHeight="false" outlineLevel="0" collapsed="false">
      <c r="A2436" s="2" t="s">
        <v>458</v>
      </c>
      <c r="C2436" s="16" t="n">
        <f aca="false">C2401+C2431</f>
        <v>509.6</v>
      </c>
    </row>
    <row r="2437" customFormat="false" ht="15" hidden="false" customHeight="false" outlineLevel="0" collapsed="false">
      <c r="A2437" s="2" t="s">
        <v>459</v>
      </c>
      <c r="C2437" s="16" t="n">
        <f aca="false">C2402+C2432</f>
        <v>250</v>
      </c>
    </row>
    <row r="2438" customFormat="false" ht="15" hidden="false" customHeight="false" outlineLevel="0" collapsed="false">
      <c r="A2438" s="2" t="s">
        <v>460</v>
      </c>
      <c r="C2438" s="16" t="n">
        <f aca="false">C2403+C2433</f>
        <v>300</v>
      </c>
    </row>
    <row r="2439" customFormat="false" ht="15" hidden="false" customHeight="false" outlineLevel="0" collapsed="false">
      <c r="A2439" s="23" t="s">
        <v>471</v>
      </c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</row>
    <row r="2440" customFormat="false" ht="15" hidden="false" customHeight="false" outlineLevel="0" collapsed="false">
      <c r="A2440" s="5" t="s">
        <v>457</v>
      </c>
      <c r="C2440" s="21" t="n">
        <f aca="false">IF(C2385=0,1,C2435/C2385)</f>
        <v>1</v>
      </c>
    </row>
    <row r="2441" customFormat="false" ht="15" hidden="false" customHeight="false" outlineLevel="0" collapsed="false">
      <c r="A2441" s="5" t="s">
        <v>458</v>
      </c>
      <c r="C2441" s="21" t="n">
        <f aca="false">IF(C2386=0,1,C2436/C2386)</f>
        <v>1</v>
      </c>
    </row>
    <row r="2442" customFormat="false" ht="15" hidden="false" customHeight="false" outlineLevel="0" collapsed="false">
      <c r="A2442" s="5" t="s">
        <v>459</v>
      </c>
      <c r="C2442" s="21" t="n">
        <f aca="false">IF(C2387=0,1,C2437/C2387)</f>
        <v>1</v>
      </c>
    </row>
    <row r="2443" customFormat="false" ht="15" hidden="false" customHeight="false" outlineLevel="0" collapsed="false">
      <c r="A2443" s="5" t="s">
        <v>460</v>
      </c>
      <c r="C2443" s="21" t="n">
        <f aca="false">IF(C2388=0,1,C2438/C2388)</f>
        <v>1</v>
      </c>
    </row>
    <row r="2444" customFormat="false" ht="15" hidden="false" customHeight="false" outlineLevel="0" collapsed="false">
      <c r="A2444" s="23" t="s">
        <v>472</v>
      </c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</row>
    <row r="2445" customFormat="false" ht="15" hidden="false" customHeight="false" outlineLevel="0" collapsed="false">
      <c r="A2445" s="5" t="s">
        <v>457</v>
      </c>
      <c r="C2445" s="25" t="n">
        <f aca="false">C2385-C2435</f>
        <v>0</v>
      </c>
    </row>
    <row r="2446" customFormat="false" ht="15" hidden="false" customHeight="false" outlineLevel="0" collapsed="false">
      <c r="A2446" s="5" t="s">
        <v>458</v>
      </c>
      <c r="C2446" s="25" t="n">
        <f aca="false">C2386-C2436</f>
        <v>0</v>
      </c>
    </row>
    <row r="2447" customFormat="false" ht="15" hidden="false" customHeight="false" outlineLevel="0" collapsed="false">
      <c r="A2447" s="5" t="s">
        <v>459</v>
      </c>
      <c r="C2447" s="25" t="n">
        <f aca="false">C2387-C2437</f>
        <v>0</v>
      </c>
    </row>
    <row r="2448" customFormat="false" ht="15" hidden="false" customHeight="false" outlineLevel="0" collapsed="false">
      <c r="A2448" s="5" t="s">
        <v>460</v>
      </c>
      <c r="C2448" s="25" t="n">
        <f aca="false">C2388-C2438</f>
        <v>0</v>
      </c>
    </row>
    <row r="2449" customFormat="false" ht="15" hidden="false" customHeight="false" outlineLevel="0" collapsed="false">
      <c r="A2449" s="23" t="s">
        <v>473</v>
      </c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</row>
    <row r="2450" customFormat="false" ht="15" hidden="false" customHeight="false" outlineLevel="0" collapsed="false">
      <c r="A2450" s="5" t="s">
        <v>457</v>
      </c>
      <c r="C2450" s="21" t="n">
        <f aca="false">IF(C2385=0,0,C2445/C2385)</f>
        <v>0</v>
      </c>
    </row>
    <row r="2451" customFormat="false" ht="15" hidden="false" customHeight="false" outlineLevel="0" collapsed="false">
      <c r="A2451" s="5" t="s">
        <v>458</v>
      </c>
      <c r="C2451" s="21" t="n">
        <f aca="false">IF(C2386=0,0,C2446/C2386)</f>
        <v>0</v>
      </c>
    </row>
    <row r="2452" customFormat="false" ht="15" hidden="false" customHeight="false" outlineLevel="0" collapsed="false">
      <c r="A2452" s="5" t="s">
        <v>459</v>
      </c>
      <c r="C2452" s="21" t="n">
        <f aca="false">IF(C2387=0,0,C2447/C2387)</f>
        <v>0</v>
      </c>
    </row>
    <row r="2453" customFormat="false" ht="15" hidden="false" customHeight="false" outlineLevel="0" collapsed="false">
      <c r="A2453" s="5" t="s">
        <v>460</v>
      </c>
      <c r="C2453" s="21" t="n">
        <f aca="false">IF(C2388=0,0,C2448/C2388)</f>
        <v>0</v>
      </c>
    </row>
    <row r="2454" customFormat="false" ht="15" hidden="false" customHeight="false" outlineLevel="0" collapsed="false">
      <c r="A2454" s="2" t="s">
        <v>474</v>
      </c>
      <c r="C2454" s="16" t="n">
        <f aca="false">MAX(0,$C$2383-SUM($C$2400:$C$2403)-SUM($C$2410:$C$2413))</f>
        <v>194.87147725</v>
      </c>
    </row>
    <row r="2455" customFormat="false" ht="15" hidden="false" customHeight="false" outlineLevel="0" collapsed="false">
      <c r="A2455" s="5" t="s">
        <v>492</v>
      </c>
      <c r="C2455" s="33" t="n">
        <f aca="false">MIN(C2382,100*CHOOSE(C2372,C2440,C2441,C2442,C2443))</f>
        <v>100</v>
      </c>
    </row>
    <row r="2456" customFormat="false" ht="15" hidden="false" customHeight="false" outlineLevel="0" collapsed="false">
      <c r="A2456" s="5" t="s">
        <v>493</v>
      </c>
      <c r="C2456" s="20" t="n">
        <f aca="false">IF(C2288=1,C2377+Assumptions!$C$36,C2376)</f>
        <v>2</v>
      </c>
    </row>
    <row r="2457" customFormat="false" ht="15" hidden="false" customHeight="false" outlineLevel="0" collapsed="false">
      <c r="A2457" s="23" t="s">
        <v>494</v>
      </c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</row>
    <row r="2458" customFormat="false" ht="15" hidden="false" customHeight="false" outlineLevel="0" collapsed="false">
      <c r="A2458" s="5" t="s">
        <v>495</v>
      </c>
      <c r="C2458" s="20" t="n">
        <f aca="false">COLUMN()-COLUMN($C$1)</f>
        <v>0</v>
      </c>
      <c r="D2458" s="20" t="n">
        <f aca="false">COLUMN()-COLUMN($C$1)</f>
        <v>1</v>
      </c>
      <c r="E2458" s="20" t="n">
        <f aca="false">COLUMN()-COLUMN($C$1)</f>
        <v>2</v>
      </c>
      <c r="F2458" s="20" t="n">
        <f aca="false">COLUMN()-COLUMN($C$1)</f>
        <v>3</v>
      </c>
      <c r="G2458" s="20" t="n">
        <f aca="false">COLUMN()-COLUMN($C$1)</f>
        <v>4</v>
      </c>
      <c r="H2458" s="20" t="n">
        <f aca="false">COLUMN()-COLUMN($C$1)</f>
        <v>5</v>
      </c>
      <c r="I2458" s="20" t="n">
        <f aca="false">COLUMN()-COLUMN($C$1)</f>
        <v>6</v>
      </c>
    </row>
    <row r="2459" customFormat="false" ht="15" hidden="false" customHeight="false" outlineLevel="0" collapsed="false">
      <c r="A2459" s="5" t="s">
        <v>496</v>
      </c>
      <c r="D2459" s="30" t="n">
        <f aca="false">CHOOSE($C$2372,G2170,G2183,G2196,G2209)</f>
        <v>0.103</v>
      </c>
      <c r="E2459" s="30" t="n">
        <f aca="false">CHOOSE($C$2372,H2170,H2183,H2196,H2209)</f>
        <v>0.1005</v>
      </c>
      <c r="F2459" s="30" t="n">
        <f aca="false">CHOOSE($C$2372,I2170,I2183,I2196,I2209)</f>
        <v>0.098</v>
      </c>
      <c r="G2459" s="30" t="n">
        <f aca="false">CHOOSE($C$2372,J2170,J2183,J2196,J2209)</f>
        <v>0.11</v>
      </c>
      <c r="H2459" s="30" t="n">
        <f aca="false">CHOOSE($C$2372,K2170,K2183,K2196,K2209)</f>
        <v>0.11</v>
      </c>
    </row>
    <row r="2460" customFormat="false" ht="15" hidden="false" customHeight="false" outlineLevel="0" collapsed="false">
      <c r="A2460" s="5" t="s">
        <v>497</v>
      </c>
      <c r="D2460" s="25" t="n">
        <f aca="false">IF(D2458&lt;=$C$2381,$C$2373*D2459,0)</f>
        <v>10.3</v>
      </c>
      <c r="E2460" s="25" t="n">
        <f aca="false">IF(E2458&lt;=$C$2381,$C$2373*E2459,0)</f>
        <v>10.05</v>
      </c>
      <c r="F2460" s="25" t="n">
        <f aca="false">IF(F2458&lt;=$C$2381,$C$2373*F2459,0)</f>
        <v>0</v>
      </c>
      <c r="G2460" s="25" t="n">
        <f aca="false">IF(G2458&lt;=$C$2381,$C$2373*G2459,0)</f>
        <v>0</v>
      </c>
      <c r="H2460" s="25" t="n">
        <f aca="false">IF(H2458&lt;=$C$2381,$C$2373*H2459,0)</f>
        <v>0</v>
      </c>
    </row>
    <row r="2461" customFormat="false" ht="15" hidden="false" customHeight="false" outlineLevel="0" collapsed="false">
      <c r="A2461" s="5" t="s">
        <v>498</v>
      </c>
      <c r="D2461" s="25" t="n">
        <f aca="false">IF(AND($C$2288=0,D2458=$C$2376),$C$2373*$C$2455/100,0)+IF(AND($C$2288=1,D2458=$C$2456),$C$2379,0)</f>
        <v>0</v>
      </c>
      <c r="E2461" s="25" t="n">
        <f aca="false">IF(AND($C$2288=0,E2458=$C$2376),$C$2373*$C$2455/100,0)+IF(AND($C$2288=1,E2458=$C$2456),$C$2379,0)</f>
        <v>100</v>
      </c>
      <c r="F2461" s="25" t="n">
        <f aca="false">IF(AND($C$2288=0,F2458=$C$2376),$C$2373*$C$2455/100,0)+IF(AND($C$2288=1,F2458=$C$2456),$C$2379,0)</f>
        <v>0</v>
      </c>
      <c r="G2461" s="25" t="n">
        <f aca="false">IF(AND($C$2288=0,G2458=$C$2376),$C$2373*$C$2455/100,0)+IF(AND($C$2288=1,G2458=$C$2456),$C$2379,0)</f>
        <v>0</v>
      </c>
      <c r="H2461" s="25" t="n">
        <f aca="false">IF(AND($C$2288=0,H2458=$C$2376),$C$2373*$C$2455/100,0)+IF(AND($C$2288=1,H2458=$C$2456),$C$2379,0)</f>
        <v>0</v>
      </c>
      <c r="I2461" s="25" t="n">
        <f aca="false">IF(AND($C$2288=0,I2458=$C$2376),$C$2373*$C$2455/100,0)+IF(AND($C$2288=1,I2458=$C$2456),$C$2379,0)</f>
        <v>0</v>
      </c>
    </row>
    <row r="2462" customFormat="false" ht="15" hidden="false" customHeight="false" outlineLevel="0" collapsed="false">
      <c r="A2462" s="2" t="s">
        <v>499</v>
      </c>
      <c r="C2462" s="16" t="n">
        <f aca="false">-$C$2375</f>
        <v>-78.39</v>
      </c>
      <c r="D2462" s="16" t="n">
        <f aca="false">D2460+D2461</f>
        <v>10.3</v>
      </c>
      <c r="E2462" s="16" t="n">
        <f aca="false">E2460+E2461</f>
        <v>110.05</v>
      </c>
      <c r="F2462" s="16" t="n">
        <f aca="false">F2460+F2461</f>
        <v>0</v>
      </c>
      <c r="G2462" s="16" t="n">
        <f aca="false">G2460+G2461</f>
        <v>0</v>
      </c>
      <c r="H2462" s="16" t="n">
        <f aca="false">H2460+H2461</f>
        <v>0</v>
      </c>
      <c r="I2462" s="16" t="n">
        <f aca="false">I2460+I2461</f>
        <v>0</v>
      </c>
    </row>
    <row r="2463" customFormat="false" ht="15" hidden="false" customHeight="false" outlineLevel="0" collapsed="false">
      <c r="A2463" s="5" t="s">
        <v>500</v>
      </c>
      <c r="C2463" s="25" t="n">
        <f aca="false">SUM($C$2460:$I$2460)</f>
        <v>20.35</v>
      </c>
    </row>
    <row r="2464" customFormat="false" ht="15" hidden="false" customHeight="false" outlineLevel="0" collapsed="false">
      <c r="A2464" s="5" t="s">
        <v>501</v>
      </c>
      <c r="C2464" s="25" t="n">
        <f aca="false">SUM($C$2461:$I$2461)</f>
        <v>100</v>
      </c>
    </row>
    <row r="2465" customFormat="false" ht="15" hidden="false" customHeight="false" outlineLevel="0" collapsed="false">
      <c r="A2465" s="5" t="s">
        <v>502</v>
      </c>
      <c r="C2465" s="25" t="n">
        <f aca="false">C2463+C2464</f>
        <v>120.35</v>
      </c>
    </row>
    <row r="2466" customFormat="false" ht="15" hidden="false" customHeight="false" outlineLevel="0" collapsed="false">
      <c r="A2466" s="5" t="s">
        <v>503</v>
      </c>
      <c r="C2466" s="25" t="n">
        <f aca="false">C2464-C2373*C2374/100</f>
        <v>22</v>
      </c>
    </row>
    <row r="2467" customFormat="false" ht="15" hidden="false" customHeight="false" outlineLevel="0" collapsed="false">
      <c r="A2467" s="5" t="s">
        <v>504</v>
      </c>
      <c r="C2467" s="25" t="n">
        <f aca="false">C2465-C2375</f>
        <v>41.96</v>
      </c>
    </row>
    <row r="2468" customFormat="false" ht="15" hidden="false" customHeight="false" outlineLevel="0" collapsed="false">
      <c r="A2468" s="2" t="s">
        <v>385</v>
      </c>
      <c r="C2468" s="43" t="n">
        <f aca="false">C2465/C2375</f>
        <v>1.53527235616788</v>
      </c>
    </row>
    <row r="2469" customFormat="false" ht="15" hidden="false" customHeight="false" outlineLevel="0" collapsed="false">
      <c r="A2469" s="2" t="s">
        <v>384</v>
      </c>
      <c r="C2469" s="41" t="n">
        <f aca="false">IF(C2465&lt;=0,-1,IFERROR(IRR($C$2462:$I$2462,MAX(-0.9,C2468^(1/C2456)-1)),IRR($C$2462:$I$2462,0.1)))</f>
        <v>0.252370725308552</v>
      </c>
    </row>
    <row r="2470" customFormat="false" ht="15" hidden="false" customHeight="false" outlineLevel="0" collapsed="false">
      <c r="A2470" s="5" t="s">
        <v>505</v>
      </c>
      <c r="C2470" s="31" t="n">
        <f aca="false">MAX($G$2264:$K$2264)</f>
        <v>5.81492374727669</v>
      </c>
    </row>
    <row r="2471" customFormat="false" ht="15" hidden="false" customHeight="false" outlineLevel="0" collapsed="false">
      <c r="A2471" s="5" t="s">
        <v>506</v>
      </c>
      <c r="C2471" s="31" t="n">
        <f aca="false">MIN($G$2265:$K$2265)</f>
        <v>1.69657258064516</v>
      </c>
    </row>
    <row r="2472" customFormat="false" ht="15" hidden="false" customHeight="false" outlineLevel="0" collapsed="false">
      <c r="A2472" s="5" t="s">
        <v>507</v>
      </c>
      <c r="C2472" s="25" t="n">
        <f aca="false">SUM($G$2154:$K$2154)</f>
        <v>182.163627190727</v>
      </c>
    </row>
    <row r="2476" customFormat="false" ht="15" hidden="false" customHeight="false" outlineLevel="0" collapsed="false">
      <c r="A2476" s="9" t="s">
        <v>633</v>
      </c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</row>
    <row r="2477" customFormat="false" ht="15" hidden="false" customHeight="false" outlineLevel="0" collapsed="false">
      <c r="A2477" s="5" t="s">
        <v>622</v>
      </c>
      <c r="C2477" s="11" t="n">
        <v>1</v>
      </c>
    </row>
    <row r="2478" customFormat="false" ht="15" hidden="false" customHeight="false" outlineLevel="0" collapsed="false">
      <c r="A2478" s="5" t="s">
        <v>623</v>
      </c>
      <c r="C2478" s="18" t="n">
        <v>0</v>
      </c>
    </row>
    <row r="2479" customFormat="false" ht="15" hidden="false" customHeight="false" outlineLevel="0" collapsed="false">
      <c r="A2479" s="5" t="s">
        <v>624</v>
      </c>
      <c r="C2479" s="29" t="n">
        <f aca="false">Sensitivities!$A$34</f>
        <v>0.04</v>
      </c>
    </row>
    <row r="2480" customFormat="false" ht="15" hidden="false" customHeight="false" outlineLevel="0" collapsed="false">
      <c r="A2480" s="5" t="s">
        <v>625</v>
      </c>
      <c r="C2480" s="18" t="n">
        <v>0</v>
      </c>
    </row>
    <row r="2481" customFormat="false" ht="15" hidden="false" customHeight="false" outlineLevel="0" collapsed="false">
      <c r="A2481" s="5" t="s">
        <v>626</v>
      </c>
      <c r="C2481" s="15" t="n">
        <v>0</v>
      </c>
    </row>
    <row r="2483" customFormat="false" ht="15" hidden="false" customHeight="false" outlineLevel="0" collapsed="false">
      <c r="A2483" s="23" t="s">
        <v>237</v>
      </c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</row>
    <row r="2484" customFormat="false" ht="15" hidden="false" customHeight="false" outlineLevel="0" collapsed="false">
      <c r="A2484" s="5" t="s">
        <v>238</v>
      </c>
      <c r="F2484" s="26" t="n">
        <f aca="false">Assumptions!$C$6</f>
        <v>2025</v>
      </c>
      <c r="G2484" s="20" t="n">
        <f aca="false">F2484+1</f>
        <v>2026</v>
      </c>
      <c r="H2484" s="20" t="n">
        <f aca="false">G2484+1</f>
        <v>2027</v>
      </c>
      <c r="I2484" s="20" t="n">
        <f aca="false">H2484+1</f>
        <v>2028</v>
      </c>
      <c r="J2484" s="20" t="n">
        <f aca="false">I2484+1</f>
        <v>2029</v>
      </c>
      <c r="K2484" s="20" t="n">
        <f aca="false">J2484+1</f>
        <v>2030</v>
      </c>
    </row>
    <row r="2485" customFormat="false" ht="15" hidden="false" customHeight="false" outlineLevel="0" collapsed="false">
      <c r="A2485" s="5" t="s">
        <v>239</v>
      </c>
      <c r="G2485" s="20" t="n">
        <f aca="false">G2484-Assumptions!$C$6</f>
        <v>1</v>
      </c>
      <c r="H2485" s="20" t="n">
        <f aca="false">H2484-Assumptions!$C$6</f>
        <v>2</v>
      </c>
      <c r="I2485" s="20" t="n">
        <f aca="false">I2484-Assumptions!$C$6</f>
        <v>3</v>
      </c>
      <c r="J2485" s="20" t="n">
        <f aca="false">J2484-Assumptions!$C$6</f>
        <v>4</v>
      </c>
      <c r="K2485" s="20" t="n">
        <f aca="false">K2484-Assumptions!$C$6</f>
        <v>5</v>
      </c>
    </row>
    <row r="2486" customFormat="false" ht="15" hidden="false" customHeight="false" outlineLevel="0" collapsed="false">
      <c r="A2486" s="5" t="s">
        <v>149</v>
      </c>
      <c r="G2486" s="21" t="n">
        <f aca="false">CHOOSE($C$2477,Assumptions!$G$65,Assumptions!$G$84,Assumptions!$G$103)+$C$2478</f>
        <v>-0.01</v>
      </c>
      <c r="H2486" s="21" t="n">
        <f aca="false">CHOOSE($C$2477,Assumptions!$H$65,Assumptions!$H$84,Assumptions!$H$103)+$C$2478</f>
        <v>-0.01</v>
      </c>
      <c r="I2486" s="21" t="n">
        <f aca="false">CHOOSE($C$2477,Assumptions!$I$65,Assumptions!$I$84,Assumptions!$I$103)+$C$2478</f>
        <v>-0.01</v>
      </c>
      <c r="J2486" s="21" t="n">
        <f aca="false">CHOOSE($C$2477,Assumptions!$J$65,Assumptions!$J$84,Assumptions!$J$103)+$C$2478</f>
        <v>-0.01</v>
      </c>
      <c r="K2486" s="21" t="n">
        <f aca="false">CHOOSE($C$2477,Assumptions!$K$65,Assumptions!$K$84,Assumptions!$K$103)+$C$2478</f>
        <v>-0.01</v>
      </c>
    </row>
    <row r="2487" customFormat="false" ht="15" hidden="false" customHeight="false" outlineLevel="0" collapsed="false">
      <c r="A2487" s="5" t="s">
        <v>150</v>
      </c>
      <c r="G2487" s="21" t="n">
        <f aca="false">CHOOSE($C$2477,Assumptions!$G$66,Assumptions!$G$85,Assumptions!$G$104)</f>
        <v>0.36</v>
      </c>
      <c r="H2487" s="21" t="n">
        <f aca="false">CHOOSE($C$2477,Assumptions!$H$66,Assumptions!$H$85,Assumptions!$H$104)</f>
        <v>0.362</v>
      </c>
      <c r="I2487" s="21" t="n">
        <f aca="false">CHOOSE($C$2477,Assumptions!$I$66,Assumptions!$I$85,Assumptions!$I$104)</f>
        <v>0.364</v>
      </c>
      <c r="J2487" s="21" t="n">
        <f aca="false">CHOOSE($C$2477,Assumptions!$J$66,Assumptions!$J$85,Assumptions!$J$104)</f>
        <v>0.366</v>
      </c>
      <c r="K2487" s="21" t="n">
        <f aca="false">CHOOSE($C$2477,Assumptions!$K$66,Assumptions!$K$85,Assumptions!$K$104)</f>
        <v>0.368</v>
      </c>
    </row>
    <row r="2488" customFormat="false" ht="15" hidden="false" customHeight="false" outlineLevel="0" collapsed="false">
      <c r="A2488" s="5" t="s">
        <v>151</v>
      </c>
      <c r="G2488" s="21" t="n">
        <f aca="false">CHOOSE($C$2477,Assumptions!$G$67,Assumptions!$G$86,Assumptions!$G$105)+$C$2479</f>
        <v>0.105</v>
      </c>
      <c r="H2488" s="21" t="n">
        <f aca="false">CHOOSE($C$2477,Assumptions!$H$67,Assumptions!$H$86,Assumptions!$H$105)+$C$2479</f>
        <v>0.107</v>
      </c>
      <c r="I2488" s="21" t="n">
        <f aca="false">CHOOSE($C$2477,Assumptions!$I$67,Assumptions!$I$86,Assumptions!$I$105)+$C$2479</f>
        <v>0.109</v>
      </c>
      <c r="J2488" s="21" t="n">
        <f aca="false">CHOOSE($C$2477,Assumptions!$J$67,Assumptions!$J$86,Assumptions!$J$105)+$C$2479</f>
        <v>0.111</v>
      </c>
      <c r="K2488" s="21" t="n">
        <f aca="false">CHOOSE($C$2477,Assumptions!$K$67,Assumptions!$K$86,Assumptions!$K$105)+$C$2479</f>
        <v>0.113</v>
      </c>
    </row>
    <row r="2489" customFormat="false" ht="15" hidden="false" customHeight="false" outlineLevel="0" collapsed="false">
      <c r="A2489" s="23" t="s">
        <v>240</v>
      </c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</row>
    <row r="2490" customFormat="false" ht="15" hidden="false" customHeight="false" outlineLevel="0" collapsed="false">
      <c r="A2490" s="2" t="s">
        <v>207</v>
      </c>
      <c r="F2490" s="27" t="n">
        <f aca="false">'Historical Financials'!E17</f>
        <v>2400</v>
      </c>
      <c r="G2490" s="16" t="n">
        <f aca="false">F2490*(1+G2486)</f>
        <v>2376</v>
      </c>
      <c r="H2490" s="16" t="n">
        <f aca="false">G2490*(1+H2486)</f>
        <v>2352.24</v>
      </c>
      <c r="I2490" s="16" t="n">
        <f aca="false">H2490*(1+I2486)</f>
        <v>2328.7176</v>
      </c>
      <c r="J2490" s="16" t="n">
        <f aca="false">I2490*(1+J2486)</f>
        <v>2305.430424</v>
      </c>
      <c r="K2490" s="16" t="n">
        <f aca="false">J2490*(1+K2486)</f>
        <v>2282.37611976</v>
      </c>
    </row>
    <row r="2491" customFormat="false" ht="15" hidden="false" customHeight="false" outlineLevel="0" collapsed="false">
      <c r="A2491" s="5" t="s">
        <v>217</v>
      </c>
      <c r="G2491" s="25" t="n">
        <f aca="false">G2490*(1-G2487)</f>
        <v>1520.64</v>
      </c>
      <c r="H2491" s="25" t="n">
        <f aca="false">H2490*(1-H2487)</f>
        <v>1500.72912</v>
      </c>
      <c r="I2491" s="25" t="n">
        <f aca="false">I2490*(1-I2487)</f>
        <v>1481.0643936</v>
      </c>
      <c r="J2491" s="25" t="n">
        <f aca="false">J2490*(1-J2487)</f>
        <v>1461.642888816</v>
      </c>
      <c r="K2491" s="25" t="n">
        <f aca="false">K2490*(1-K2487)</f>
        <v>1442.46170768832</v>
      </c>
    </row>
    <row r="2492" customFormat="false" ht="15" hidden="false" customHeight="false" outlineLevel="0" collapsed="false">
      <c r="A2492" s="2" t="s">
        <v>218</v>
      </c>
      <c r="G2492" s="16" t="n">
        <f aca="false">G2490-G2491</f>
        <v>855.36</v>
      </c>
      <c r="H2492" s="16" t="n">
        <f aca="false">H2490-H2491</f>
        <v>851.51088</v>
      </c>
      <c r="I2492" s="16" t="n">
        <f aca="false">I2490-I2491</f>
        <v>847.6532064</v>
      </c>
      <c r="J2492" s="16" t="n">
        <f aca="false">J2490-J2491</f>
        <v>843.787535184</v>
      </c>
      <c r="K2492" s="16" t="n">
        <f aca="false">K2490-K2491</f>
        <v>839.91441207168</v>
      </c>
    </row>
    <row r="2493" customFormat="false" ht="15" hidden="false" customHeight="false" outlineLevel="0" collapsed="false">
      <c r="A2493" s="5" t="s">
        <v>241</v>
      </c>
      <c r="G2493" s="25" t="n">
        <f aca="false">G2492-G2494</f>
        <v>605.88</v>
      </c>
      <c r="H2493" s="25" t="n">
        <f aca="false">H2492-H2494</f>
        <v>599.8212</v>
      </c>
      <c r="I2493" s="25" t="n">
        <f aca="false">I2492-I2494</f>
        <v>593.822988</v>
      </c>
      <c r="J2493" s="25" t="n">
        <f aca="false">J2492-J2494</f>
        <v>587.88475812</v>
      </c>
      <c r="K2493" s="25" t="n">
        <f aca="false">K2492-K2494</f>
        <v>582.0059105388</v>
      </c>
    </row>
    <row r="2494" customFormat="false" ht="15" hidden="false" customHeight="false" outlineLevel="0" collapsed="false">
      <c r="A2494" s="2" t="s">
        <v>242</v>
      </c>
      <c r="G2494" s="16" t="n">
        <f aca="false">G2490*G2488</f>
        <v>249.48</v>
      </c>
      <c r="H2494" s="16" t="n">
        <f aca="false">H2490*H2488</f>
        <v>251.68968</v>
      </c>
      <c r="I2494" s="16" t="n">
        <f aca="false">I2490*I2488</f>
        <v>253.8302184</v>
      </c>
      <c r="J2494" s="16" t="n">
        <f aca="false">J2490*J2488</f>
        <v>255.902777064</v>
      </c>
      <c r="K2494" s="16" t="n">
        <f aca="false">K2490*K2488</f>
        <v>257.90850153288</v>
      </c>
    </row>
    <row r="2495" customFormat="false" ht="15" hidden="false" customHeight="false" outlineLevel="0" collapsed="false">
      <c r="A2495" s="5" t="s">
        <v>243</v>
      </c>
      <c r="G2495" s="25" t="n">
        <f aca="false">G2490*'Historical Financials'!E22/'Historical Financials'!E17</f>
        <v>52.272</v>
      </c>
      <c r="H2495" s="25" t="n">
        <f aca="false">H2490*'Historical Financials'!E22/'Historical Financials'!E17</f>
        <v>51.74928</v>
      </c>
      <c r="I2495" s="25" t="n">
        <f aca="false">I2490*'Historical Financials'!E22/'Historical Financials'!E17</f>
        <v>51.2317872</v>
      </c>
      <c r="J2495" s="25" t="n">
        <f aca="false">J2490*'Historical Financials'!E22/'Historical Financials'!E17</f>
        <v>50.719469328</v>
      </c>
      <c r="K2495" s="25" t="n">
        <f aca="false">K2490*'Historical Financials'!E22/'Historical Financials'!E17</f>
        <v>50.21227463472</v>
      </c>
    </row>
    <row r="2496" customFormat="false" ht="15" hidden="false" customHeight="false" outlineLevel="0" collapsed="false">
      <c r="A2496" s="5" t="s">
        <v>244</v>
      </c>
      <c r="G2496" s="25" t="n">
        <f aca="false">G2490*'Historical Financials'!E23/'Historical Financials'!E17</f>
        <v>0</v>
      </c>
      <c r="H2496" s="25" t="n">
        <f aca="false">H2490*'Historical Financials'!E23/'Historical Financials'!E17</f>
        <v>0</v>
      </c>
      <c r="I2496" s="25" t="n">
        <f aca="false">I2490*'Historical Financials'!E23/'Historical Financials'!E17</f>
        <v>0</v>
      </c>
      <c r="J2496" s="25" t="n">
        <f aca="false">J2490*'Historical Financials'!E23/'Historical Financials'!E17</f>
        <v>0</v>
      </c>
      <c r="K2496" s="25" t="n">
        <f aca="false">K2490*'Historical Financials'!E23/'Historical Financials'!E17</f>
        <v>0</v>
      </c>
    </row>
    <row r="2497" customFormat="false" ht="15" hidden="false" customHeight="false" outlineLevel="0" collapsed="false">
      <c r="A2497" s="2" t="s">
        <v>245</v>
      </c>
      <c r="G2497" s="16" t="n">
        <f aca="false">G2494-G2495-G2496</f>
        <v>197.208</v>
      </c>
      <c r="H2497" s="16" t="n">
        <f aca="false">H2494-H2495-H2496</f>
        <v>199.9404</v>
      </c>
      <c r="I2497" s="16" t="n">
        <f aca="false">I2494-I2495-I2496</f>
        <v>202.5984312</v>
      </c>
      <c r="J2497" s="16" t="n">
        <f aca="false">J2494-J2495-J2496</f>
        <v>205.183307736</v>
      </c>
      <c r="K2497" s="16" t="n">
        <f aca="false">K2494-K2495-K2496</f>
        <v>207.69622689816</v>
      </c>
    </row>
    <row r="2498" customFormat="false" ht="15" hidden="false" customHeight="false" outlineLevel="0" collapsed="false">
      <c r="A2498" s="5" t="s">
        <v>246</v>
      </c>
      <c r="G2498" s="25" t="n">
        <f aca="false">G2524+G2537+G2550+G2563</f>
        <v>119.04</v>
      </c>
      <c r="H2498" s="25" t="n">
        <f aca="false">H2524+H2537+H2550+H2563</f>
        <v>107.911557</v>
      </c>
      <c r="I2498" s="25" t="n">
        <f aca="false">I2524+I2537+I2550+I2563</f>
        <v>110.7229156525</v>
      </c>
      <c r="J2498" s="25" t="n">
        <f aca="false">J2524+J2537+J2550+J2563</f>
        <v>108.435572067831</v>
      </c>
      <c r="K2498" s="25" t="n">
        <f aca="false">K2524+K2537+K2550+K2563</f>
        <v>99.6392984587273</v>
      </c>
    </row>
    <row r="2499" customFormat="false" ht="15" hidden="false" customHeight="false" outlineLevel="0" collapsed="false">
      <c r="A2499" s="5" t="s">
        <v>247</v>
      </c>
      <c r="G2499" s="25" t="n">
        <f aca="false">G2525+G2538+G2551+G2564</f>
        <v>0</v>
      </c>
      <c r="H2499" s="25" t="n">
        <f aca="false">H2525+H2538+H2551+H2564</f>
        <v>0</v>
      </c>
      <c r="I2499" s="25" t="n">
        <f aca="false">I2525+I2538+I2551+I2564</f>
        <v>0</v>
      </c>
      <c r="J2499" s="25" t="n">
        <f aca="false">J2525+J2538+J2551+J2564</f>
        <v>0</v>
      </c>
      <c r="K2499" s="25" t="n">
        <f aca="false">K2525+K2538+K2551+K2564</f>
        <v>0</v>
      </c>
    </row>
    <row r="2500" customFormat="false" ht="15" hidden="false" customHeight="false" outlineLevel="0" collapsed="false">
      <c r="A2500" s="5" t="s">
        <v>212</v>
      </c>
      <c r="G2500" s="25" t="n">
        <f aca="false">G2498+G2499</f>
        <v>119.04</v>
      </c>
      <c r="H2500" s="25" t="n">
        <f aca="false">H2498+H2499</f>
        <v>107.911557</v>
      </c>
      <c r="I2500" s="25" t="n">
        <f aca="false">I2498+I2499</f>
        <v>110.7229156525</v>
      </c>
      <c r="J2500" s="25" t="n">
        <f aca="false">J2498+J2499</f>
        <v>108.435572067831</v>
      </c>
      <c r="K2500" s="25" t="n">
        <f aca="false">K2498+K2499</f>
        <v>99.6392984587273</v>
      </c>
    </row>
    <row r="2501" customFormat="false" ht="15" hidden="false" customHeight="false" outlineLevel="0" collapsed="false">
      <c r="A2501" s="2" t="s">
        <v>223</v>
      </c>
      <c r="G2501" s="16" t="n">
        <f aca="false">G2497-G2500</f>
        <v>78.168</v>
      </c>
      <c r="H2501" s="16" t="n">
        <f aca="false">H2497-H2500</f>
        <v>92.028843</v>
      </c>
      <c r="I2501" s="16" t="n">
        <f aca="false">I2497-I2500</f>
        <v>91.8755155475001</v>
      </c>
      <c r="J2501" s="16" t="n">
        <f aca="false">J2497-J2500</f>
        <v>96.7477356681688</v>
      </c>
      <c r="K2501" s="16" t="n">
        <f aca="false">K2497-K2500</f>
        <v>108.056928439433</v>
      </c>
    </row>
    <row r="2502" customFormat="false" ht="15" hidden="false" customHeight="false" outlineLevel="0" collapsed="false">
      <c r="A2502" s="5" t="s">
        <v>213</v>
      </c>
      <c r="G2502" s="25" t="n">
        <f aca="false">MAX(0,G2501)*Assumptions!$C$9</f>
        <v>19.542</v>
      </c>
      <c r="H2502" s="25" t="n">
        <f aca="false">MAX(0,H2501)*Assumptions!$C$9</f>
        <v>23.00721075</v>
      </c>
      <c r="I2502" s="25" t="n">
        <f aca="false">MAX(0,I2501)*Assumptions!$C$9</f>
        <v>22.968878886875</v>
      </c>
      <c r="J2502" s="25" t="n">
        <f aca="false">MAX(0,J2501)*Assumptions!$C$9</f>
        <v>24.1869339170422</v>
      </c>
      <c r="K2502" s="25" t="n">
        <f aca="false">MAX(0,K2501)*Assumptions!$C$9</f>
        <v>27.0142321098582</v>
      </c>
    </row>
    <row r="2503" customFormat="false" ht="15" hidden="false" customHeight="false" outlineLevel="0" collapsed="false">
      <c r="A2503" s="2" t="s">
        <v>248</v>
      </c>
      <c r="G2503" s="16" t="n">
        <f aca="false">G2501-G2502</f>
        <v>58.626</v>
      </c>
      <c r="H2503" s="16" t="n">
        <f aca="false">H2501-H2502</f>
        <v>69.02163225</v>
      </c>
      <c r="I2503" s="16" t="n">
        <f aca="false">I2501-I2502</f>
        <v>68.906636660625</v>
      </c>
      <c r="J2503" s="16" t="n">
        <f aca="false">J2501-J2502</f>
        <v>72.5608017511266</v>
      </c>
      <c r="K2503" s="16" t="n">
        <f aca="false">K2501-K2502</f>
        <v>81.0426963295745</v>
      </c>
    </row>
    <row r="2504" customFormat="false" ht="15" hidden="false" customHeight="false" outlineLevel="0" collapsed="false">
      <c r="A2504" s="23" t="s">
        <v>249</v>
      </c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</row>
    <row r="2505" customFormat="false" ht="15" hidden="false" customHeight="false" outlineLevel="0" collapsed="false">
      <c r="A2505" s="5" t="s">
        <v>153</v>
      </c>
      <c r="G2505" s="25" t="n">
        <f aca="false">G2490*CHOOSE($C$2477,Assumptions!$C$69,Assumptions!$C$88,Assumptions!$C$107)</f>
        <v>47.52</v>
      </c>
      <c r="H2505" s="25" t="n">
        <f aca="false">H2490*CHOOSE($C$2477,Assumptions!$C$69,Assumptions!$C$88,Assumptions!$C$107)</f>
        <v>47.0448</v>
      </c>
      <c r="I2505" s="25" t="n">
        <f aca="false">I2490*CHOOSE($C$2477,Assumptions!$C$69,Assumptions!$C$88,Assumptions!$C$107)</f>
        <v>46.574352</v>
      </c>
      <c r="J2505" s="25" t="n">
        <f aca="false">J2490*CHOOSE($C$2477,Assumptions!$C$69,Assumptions!$C$88,Assumptions!$C$107)</f>
        <v>46.10860848</v>
      </c>
      <c r="K2505" s="25" t="n">
        <f aca="false">K2490*CHOOSE($C$2477,Assumptions!$C$69,Assumptions!$C$88,Assumptions!$C$107)</f>
        <v>45.6475223952</v>
      </c>
    </row>
    <row r="2506" customFormat="false" ht="15" hidden="false" customHeight="false" outlineLevel="0" collapsed="false">
      <c r="A2506" s="5" t="s">
        <v>250</v>
      </c>
      <c r="G2506" s="25" t="n">
        <f aca="false">CHOOSE($C$2477,Assumptions!$C$70,Assumptions!$C$89,Assumptions!$C$108)*(G2490-F2490)+CHOOSE($C$2477,Assumptions!$C$71,Assumptions!$C$90,Assumptions!$C$109)*G2490</f>
        <v>-2.88</v>
      </c>
      <c r="H2506" s="25" t="n">
        <f aca="false">CHOOSE($C$2477,Assumptions!$C$70,Assumptions!$C$89,Assumptions!$C$108)*(H2490-G2490)+CHOOSE($C$2477,Assumptions!$C$71,Assumptions!$C$90,Assumptions!$C$109)*H2490</f>
        <v>-2.85120000000003</v>
      </c>
      <c r="I2506" s="25" t="n">
        <f aca="false">CHOOSE($C$2477,Assumptions!$C$70,Assumptions!$C$89,Assumptions!$C$108)*(I2490-H2490)+CHOOSE($C$2477,Assumptions!$C$71,Assumptions!$C$90,Assumptions!$C$109)*I2490</f>
        <v>-2.82268799999998</v>
      </c>
      <c r="J2506" s="25" t="n">
        <f aca="false">CHOOSE($C$2477,Assumptions!$C$70,Assumptions!$C$89,Assumptions!$C$108)*(J2490-I2490)+CHOOSE($C$2477,Assumptions!$C$71,Assumptions!$C$90,Assumptions!$C$109)*J2490</f>
        <v>-2.79446111999998</v>
      </c>
      <c r="K2506" s="25" t="n">
        <f aca="false">CHOOSE($C$2477,Assumptions!$C$70,Assumptions!$C$89,Assumptions!$C$108)*(K2490-J2490)+CHOOSE($C$2477,Assumptions!$C$71,Assumptions!$C$90,Assumptions!$C$109)*K2490</f>
        <v>-2.7665165088</v>
      </c>
    </row>
    <row r="2507" customFormat="false" ht="15" hidden="false" customHeight="false" outlineLevel="0" collapsed="false">
      <c r="A2507" s="2" t="s">
        <v>251</v>
      </c>
      <c r="G2507" s="16" t="n">
        <f aca="false">G2503+G2495+G2496+G2499-G2505-G2506</f>
        <v>66.258</v>
      </c>
      <c r="H2507" s="16" t="n">
        <f aca="false">H2503+H2495+H2496+H2499-H2505-H2506</f>
        <v>76.57731225</v>
      </c>
      <c r="I2507" s="16" t="n">
        <f aca="false">I2503+I2495+I2496+I2499-I2505-I2506</f>
        <v>76.386759860625</v>
      </c>
      <c r="J2507" s="16" t="n">
        <f aca="false">J2503+J2495+J2496+J2499-J2505-J2506</f>
        <v>79.9661237191266</v>
      </c>
      <c r="K2507" s="16" t="n">
        <f aca="false">K2503+K2495+K2496+K2499-K2505-K2506</f>
        <v>88.3739650778945</v>
      </c>
    </row>
    <row r="2509" customFormat="false" ht="15" hidden="false" customHeight="false" outlineLevel="0" collapsed="false">
      <c r="A2509" s="23" t="s">
        <v>253</v>
      </c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</row>
    <row r="2510" customFormat="false" ht="15" hidden="false" customHeight="false" outlineLevel="0" collapsed="false">
      <c r="A2510" s="5" t="s">
        <v>254</v>
      </c>
      <c r="G2510" s="29" t="n">
        <f aca="false">Assumptions!$G$49</f>
        <v>0.0425</v>
      </c>
      <c r="H2510" s="29" t="n">
        <f aca="false">Assumptions!$H$49</f>
        <v>0.04</v>
      </c>
      <c r="I2510" s="29" t="n">
        <f aca="false">Assumptions!$I$49</f>
        <v>0.0375</v>
      </c>
      <c r="J2510" s="29" t="n">
        <f aca="false">Assumptions!$J$49</f>
        <v>0.0375</v>
      </c>
      <c r="K2510" s="29" t="n">
        <f aca="false">Assumptions!$K$49</f>
        <v>0.0375</v>
      </c>
    </row>
    <row r="2511" customFormat="false" ht="15" hidden="false" customHeight="false" outlineLevel="0" collapsed="false">
      <c r="A2511" s="5" t="s">
        <v>255</v>
      </c>
      <c r="C2511" s="30" t="n">
        <f aca="false">CHOOSE($C$2477,Assumptions!$C$72,Assumptions!$C$91,Assumptions!$C$110)+$C$2480</f>
        <v>0</v>
      </c>
    </row>
    <row r="2512" customFormat="false" ht="15" hidden="false" customHeight="false" outlineLevel="0" collapsed="false">
      <c r="A2512" s="5" t="s">
        <v>256</v>
      </c>
      <c r="C2512" s="30" t="n">
        <f aca="false">CHOOSE($C$2477,Assumptions!$C$73,Assumptions!$C$92,Assumptions!$C$111)</f>
        <v>0.11</v>
      </c>
    </row>
    <row r="2513" customFormat="false" ht="15" hidden="false" customHeight="false" outlineLevel="0" collapsed="false">
      <c r="A2513" s="5" t="s">
        <v>257</v>
      </c>
      <c r="C2513" s="31" t="n">
        <f aca="false">CHOOSE($C$2477,Assumptions!$C$74,Assumptions!$C$93,Assumptions!$C$112)</f>
        <v>8.5</v>
      </c>
    </row>
    <row r="2514" customFormat="false" ht="15" hidden="false" customHeight="false" outlineLevel="0" collapsed="false">
      <c r="A2514" s="5" t="s">
        <v>258</v>
      </c>
      <c r="C2514" s="31" t="n">
        <f aca="false">CHOOSE($C$2477,Assumptions!$C$75,Assumptions!$C$94,Assumptions!$C$113)</f>
        <v>1.2</v>
      </c>
    </row>
    <row r="2515" customFormat="false" ht="15" hidden="false" customHeight="false" outlineLevel="0" collapsed="false">
      <c r="A2515" s="5" t="s">
        <v>259</v>
      </c>
      <c r="G2515" s="25" t="n">
        <f aca="false">G2520+G2533+G2546+G2559</f>
        <v>1250</v>
      </c>
      <c r="H2515" s="25" t="n">
        <f aca="false">H2520+H2533+H2546+H2559</f>
        <v>1138.742</v>
      </c>
      <c r="I2515" s="25" t="n">
        <f aca="false">I2520+I2533+I2546+I2559</f>
        <v>1062.16468775</v>
      </c>
      <c r="J2515" s="25" t="n">
        <f aca="false">J2520+J2533+J2546+J2559</f>
        <v>985.777927889375</v>
      </c>
      <c r="K2515" s="25" t="n">
        <f aca="false">K2520+K2533+K2546+K2559</f>
        <v>905.811804170248</v>
      </c>
    </row>
    <row r="2516" customFormat="false" ht="15" hidden="false" customHeight="false" outlineLevel="0" collapsed="false">
      <c r="A2516" s="5" t="s">
        <v>260</v>
      </c>
      <c r="G2516" s="25" t="n">
        <f aca="false">F2606</f>
        <v>45</v>
      </c>
      <c r="H2516" s="25" t="n">
        <f aca="false">G2606</f>
        <v>0</v>
      </c>
      <c r="I2516" s="25" t="n">
        <f aca="false">H2606</f>
        <v>0</v>
      </c>
      <c r="J2516" s="25" t="n">
        <f aca="false">I2606</f>
        <v>0</v>
      </c>
      <c r="K2516" s="25" t="n">
        <f aca="false">J2606</f>
        <v>0</v>
      </c>
    </row>
    <row r="2517" customFormat="false" ht="15" hidden="false" customHeight="false" outlineLevel="0" collapsed="false">
      <c r="A2517" s="5" t="s">
        <v>261</v>
      </c>
      <c r="G2517" s="25" t="n">
        <f aca="false">G2520*IF(G2521=1,$C$2512,IF(Assumptions!$I$53=1,MAX(G2510,Assumptions!$G$53)+Assumptions!$F$53+$C$2511,Assumptions!$E$53))+G2533*IF(G2534=1,$C$2512,IF(Assumptions!$I$54=1,MAX(G2510,Assumptions!$G$54)+Assumptions!$F$54+$C$2511,Assumptions!$E$54))+G2546*IF(G2547=1,$C$2512,IF(Assumptions!$I$55=1,MAX(G2510,Assumptions!$G$55)+Assumptions!$F$55+$C$2511,Assumptions!$E$55))+G2559*IF(G2560=1,$C$2512,IF(Assumptions!$I$56=1,MAX(G2510,Assumptions!$G$56)+Assumptions!$F$56+$C$2511,Assumptions!$E$56))</f>
        <v>119.04</v>
      </c>
      <c r="H2517" s="25" t="n">
        <f aca="false">H2520*IF(OR(H2521=1,G2672=1),$C$2512,IF(Assumptions!$I$53=1,MAX(H2510,Assumptions!$G$53)+Assumptions!$F$53+$C$2511,Assumptions!$E$53))+H2533*IF(OR(H2534=1,G2673=1),$C$2512,IF(Assumptions!$I$54=1,MAX(H2510,Assumptions!$G$54)+Assumptions!$F$54+$C$2511,Assumptions!$E$54))+H2546*IF(OR(H2547=1,G2674=1),$C$2512,IF(Assumptions!$I$55=1,MAX(H2510,Assumptions!$G$55)+Assumptions!$F$55+$C$2511,Assumptions!$E$55))+H2559*IF(OR(H2560=1,G2675=1),$C$2512,IF(Assumptions!$I$56=1,MAX(H2510,Assumptions!$G$56)+Assumptions!$F$56+$C$2511,Assumptions!$E$56))</f>
        <v>120.37102</v>
      </c>
      <c r="I2517" s="25" t="n">
        <f aca="false">I2520*IF(OR(I2521=1,H2672=1),$C$2512,IF(Assumptions!$I$53=1,MAX(I2510,Assumptions!$G$53)+Assumptions!$F$53+$C$2511,Assumptions!$E$53))+I2533*IF(OR(I2534=1,H2673=1),$C$2512,IF(Assumptions!$I$54=1,MAX(I2510,Assumptions!$G$54)+Assumptions!$F$54+$C$2511,Assumptions!$E$54))+I2546*IF(OR(I2547=1,H2674=1),$C$2512,IF(Assumptions!$I$55=1,MAX(I2510,Assumptions!$G$55)+Assumptions!$F$55+$C$2511,Assumptions!$E$55))+I2559*IF(OR(I2560=1,H2675=1),$C$2512,IF(Assumptions!$I$56=1,MAX(I2510,Assumptions!$G$56)+Assumptions!$F$56+$C$2511,Assumptions!$E$56))</f>
        <v>116.8381156525</v>
      </c>
      <c r="J2517" s="25" t="n">
        <f aca="false">J2520*IF(OR(J2521=1,I2672=1),$C$2512,IF(Assumptions!$I$53=1,MAX(J2510,Assumptions!$G$53)+Assumptions!$F$53+$C$2511,Assumptions!$E$53))+J2533*IF(OR(J2534=1,I2673=1),$C$2512,IF(Assumptions!$I$54=1,MAX(J2510,Assumptions!$G$54)+Assumptions!$F$54+$C$2511,Assumptions!$E$54))+J2546*IF(OR(J2547=1,I2674=1),$C$2512,IF(Assumptions!$I$55=1,MAX(J2510,Assumptions!$G$55)+Assumptions!$F$55+$C$2511,Assumptions!$E$55))+J2559*IF(OR(J2560=1,I2675=1),$C$2512,IF(Assumptions!$I$56=1,MAX(J2510,Assumptions!$G$56)+Assumptions!$F$56+$C$2511,Assumptions!$E$56))</f>
        <v>108.435572067831</v>
      </c>
      <c r="K2517" s="25" t="n">
        <f aca="false">K2520*IF(OR(K2521=1,J2672=1),$C$2512,IF(Assumptions!$I$53=1,MAX(K2510,Assumptions!$G$53)+Assumptions!$F$53+$C$2511,Assumptions!$E$53))+K2533*IF(OR(K2534=1,J2673=1),$C$2512,IF(Assumptions!$I$54=1,MAX(K2510,Assumptions!$G$54)+Assumptions!$F$54+$C$2511,Assumptions!$E$54))+K2546*IF(OR(K2547=1,J2674=1),$C$2512,IF(Assumptions!$I$55=1,MAX(K2510,Assumptions!$G$55)+Assumptions!$F$55+$C$2511,Assumptions!$E$55))+K2559*IF(OR(K2560=1,J2675=1),$C$2512,IF(Assumptions!$I$56=1,MAX(K2510,Assumptions!$G$56)+Assumptions!$F$56+$C$2511,Assumptions!$E$56))</f>
        <v>99.6392984587273</v>
      </c>
    </row>
    <row r="2518" customFormat="false" ht="15" hidden="false" customHeight="false" outlineLevel="0" collapsed="false">
      <c r="A2518" s="5" t="s">
        <v>262</v>
      </c>
      <c r="G2518" s="20" t="n">
        <f aca="false">IF(G2494&lt;=0,0,IF(AND((G2515-G2516)/G2494&lt;=$C$2513,G2494/G2517&gt;=$C$2514),1,0))</f>
        <v>1</v>
      </c>
      <c r="H2518" s="20" t="n">
        <f aca="false">IF(H2494&lt;=0,0,IF(AND((H2515-H2516)/H2494&lt;=$C$2513,H2494/H2517&gt;=$C$2514),1,0))</f>
        <v>1</v>
      </c>
      <c r="I2518" s="20" t="n">
        <f aca="false">IF(I2494&lt;=0,0,IF(AND((I2515-I2516)/I2494&lt;=$C$2513,I2494/I2517&gt;=$C$2514),1,0))</f>
        <v>1</v>
      </c>
      <c r="J2518" s="20" t="n">
        <f aca="false">IF(J2494&lt;=0,0,IF(AND((J2515-J2516)/J2494&lt;=$C$2513,J2494/J2517&gt;=$C$2514),1,0))</f>
        <v>1</v>
      </c>
      <c r="K2518" s="20" t="n">
        <f aca="false">IF(K2494&lt;=0,0,IF(AND((K2515-K2516)/K2494&lt;=$C$2513,K2494/K2517&gt;=$C$2514),1,0))</f>
        <v>1</v>
      </c>
    </row>
    <row r="2519" customFormat="false" ht="15" hidden="false" customHeight="false" outlineLevel="0" collapsed="false">
      <c r="A2519" s="23" t="s">
        <v>263</v>
      </c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</row>
    <row r="2520" customFormat="false" ht="15" hidden="false" customHeight="false" outlineLevel="0" collapsed="false">
      <c r="A2520" s="5" t="s">
        <v>264</v>
      </c>
      <c r="G2520" s="25" t="n">
        <f aca="false">F2531</f>
        <v>180</v>
      </c>
      <c r="H2520" s="25" t="n">
        <f aca="false">G2531</f>
        <v>73.942</v>
      </c>
      <c r="I2520" s="25" t="n">
        <f aca="false">H2531</f>
        <v>2.56468774999995</v>
      </c>
      <c r="J2520" s="25" t="n">
        <f aca="false">I2531</f>
        <v>2.56468774999995</v>
      </c>
      <c r="K2520" s="25" t="n">
        <f aca="false">J2531</f>
        <v>2.56468774999995</v>
      </c>
    </row>
    <row r="2521" customFormat="false" ht="15" hidden="false" customHeight="false" outlineLevel="0" collapsed="false">
      <c r="A2521" s="5" t="s">
        <v>265</v>
      </c>
      <c r="G2521" s="20" t="n">
        <f aca="false">IF(G2484=Assumptions!$K$53,1,0)</f>
        <v>0</v>
      </c>
      <c r="H2521" s="20" t="n">
        <f aca="false">IF(H2484=Assumptions!$K$53,1,0)</f>
        <v>1</v>
      </c>
      <c r="I2521" s="20" t="n">
        <f aca="false">IF(I2484=Assumptions!$K$53,1,0)</f>
        <v>0</v>
      </c>
      <c r="J2521" s="20" t="n">
        <f aca="false">IF(J2484=Assumptions!$K$53,1,0)</f>
        <v>0</v>
      </c>
      <c r="K2521" s="20" t="n">
        <f aca="false">IF(K2484=Assumptions!$K$53,1,0)</f>
        <v>0</v>
      </c>
    </row>
    <row r="2523" customFormat="false" ht="15" hidden="false" customHeight="false" outlineLevel="0" collapsed="false">
      <c r="A2523" s="5" t="s">
        <v>266</v>
      </c>
      <c r="G2523" s="30" t="n">
        <f aca="false">IF(Assumptions!$I$53=1,MAX(G2510,Assumptions!$G$53)+Assumptions!$F$53+$C$2511,Assumptions!$E$53)</f>
        <v>0.086</v>
      </c>
      <c r="H2523" s="30" t="n">
        <f aca="false">IF(G2672=1,$C$2512,IF(Assumptions!$I$53=1,MAX(H2510,Assumptions!$G$53)+Assumptions!$F$53+$C$2511,Assumptions!$E$53))</f>
        <v>0.0835</v>
      </c>
      <c r="I2523" s="30" t="n">
        <f aca="false">IF(H2672=1,$C$2512,IF(Assumptions!$I$53=1,MAX(I2510,Assumptions!$G$53)+Assumptions!$F$53+$C$2511,Assumptions!$E$53))</f>
        <v>0.11</v>
      </c>
      <c r="J2523" s="30" t="n">
        <f aca="false">IF(I2672=1,$C$2512,IF(Assumptions!$I$53=1,MAX(J2510,Assumptions!$G$53)+Assumptions!$F$53+$C$2511,Assumptions!$E$53))</f>
        <v>0.11</v>
      </c>
      <c r="K2523" s="30" t="n">
        <f aca="false">IF(J2672=1,$C$2512,IF(Assumptions!$I$53=1,MAX(K2510,Assumptions!$G$53)+Assumptions!$F$53+$C$2511,Assumptions!$E$53))</f>
        <v>0.11</v>
      </c>
    </row>
    <row r="2524" customFormat="false" ht="15" hidden="false" customHeight="false" outlineLevel="0" collapsed="false">
      <c r="A2524" s="5" t="s">
        <v>267</v>
      </c>
      <c r="G2524" s="25" t="n">
        <f aca="false">G2520*G2523</f>
        <v>15.48</v>
      </c>
      <c r="H2524" s="25" t="n">
        <f aca="false">H2520*H2523</f>
        <v>6.174157</v>
      </c>
      <c r="I2524" s="25" t="n">
        <f aca="false">I2520*I2523</f>
        <v>0.282115652499994</v>
      </c>
      <c r="J2524" s="25" t="n">
        <f aca="false">J2520*J2523</f>
        <v>0.282115652499994</v>
      </c>
      <c r="K2524" s="25" t="n">
        <f aca="false">K2520*K2523</f>
        <v>0.282115652499994</v>
      </c>
    </row>
    <row r="2525" customFormat="false" ht="15" hidden="false" customHeight="false" outlineLevel="0" collapsed="false">
      <c r="A2525" s="5" t="s">
        <v>268</v>
      </c>
      <c r="G2525" s="25" t="n">
        <f aca="false">G2520*Assumptions!$H$53</f>
        <v>0</v>
      </c>
      <c r="H2525" s="25" t="n">
        <f aca="false">H2520*Assumptions!$H$53</f>
        <v>0</v>
      </c>
      <c r="I2525" s="25" t="n">
        <f aca="false">I2520*Assumptions!$H$53</f>
        <v>0</v>
      </c>
      <c r="J2525" s="25" t="n">
        <f aca="false">J2520*Assumptions!$H$53</f>
        <v>0</v>
      </c>
      <c r="K2525" s="25" t="n">
        <f aca="false">K2520*Assumptions!$H$53</f>
        <v>0</v>
      </c>
    </row>
    <row r="2526" customFormat="false" ht="15" hidden="false" customHeight="false" outlineLevel="0" collapsed="false">
      <c r="A2526" s="5" t="s">
        <v>269</v>
      </c>
      <c r="G2526" s="25" t="n">
        <f aca="false">MIN(G2520,Assumptions!$L$53*Assumptions!$C$53)</f>
        <v>0</v>
      </c>
      <c r="H2526" s="25" t="n">
        <f aca="false">MIN(H2520,Assumptions!$L$53*Assumptions!$C$53)</f>
        <v>0</v>
      </c>
      <c r="I2526" s="25" t="n">
        <f aca="false">MIN(I2520,Assumptions!$L$53*Assumptions!$C$53)</f>
        <v>0</v>
      </c>
      <c r="J2526" s="25" t="n">
        <f aca="false">MIN(J2520,Assumptions!$L$53*Assumptions!$C$53)</f>
        <v>0</v>
      </c>
      <c r="K2526" s="25" t="n">
        <f aca="false">MIN(K2520,Assumptions!$L$53*Assumptions!$C$53)</f>
        <v>0</v>
      </c>
    </row>
    <row r="2527" customFormat="false" ht="15" hidden="false" customHeight="false" outlineLevel="0" collapsed="false">
      <c r="A2527" s="5" t="s">
        <v>270</v>
      </c>
      <c r="G2527" s="25" t="n">
        <f aca="false">IF(AND(Assumptions!$P$53=1,G2484&lt;Assumptions!$K$53),MIN(MAX(0,-G2598),MAX(0,Assumptions!$D$53-G2520)),0)</f>
        <v>0</v>
      </c>
      <c r="H2527" s="25" t="n">
        <f aca="false">IF(AND(Assumptions!$P$53=1,OR(H2484&lt;Assumptions!$K$53,G2672=1)),MIN(MAX(0,-H2598),MAX(0,Assumptions!$D$53-H2520)),0)</f>
        <v>0</v>
      </c>
      <c r="I2527" s="25" t="n">
        <f aca="false">IF(AND(Assumptions!$P$53=1,OR(I2484&lt;Assumptions!$K$53,H2672=1)),MIN(MAX(0,-I2598),MAX(0,Assumptions!$D$53-I2520)),0)</f>
        <v>0</v>
      </c>
      <c r="J2527" s="25" t="n">
        <f aca="false">IF(AND(Assumptions!$P$53=1,OR(J2484&lt;Assumptions!$K$53,I2672=1)),MIN(MAX(0,-J2598),MAX(0,Assumptions!$D$53-J2520)),0)</f>
        <v>0</v>
      </c>
      <c r="K2527" s="25" t="n">
        <f aca="false">IF(AND(Assumptions!$P$53=1,OR(K2484&lt;Assumptions!$K$53,J2672=1)),MIN(MAX(0,-K2598),MAX(0,Assumptions!$D$53-K2520)),0)</f>
        <v>0</v>
      </c>
    </row>
    <row r="2528" customFormat="false" ht="15" hidden="false" customHeight="false" outlineLevel="0" collapsed="false">
      <c r="A2528" s="5" t="s">
        <v>271</v>
      </c>
      <c r="G2528" s="25" t="n">
        <f aca="false">G2521*MIN(G2520-G2526+G2525,MAX(0,G2600-Assumptions!$C$12*G2518))</f>
        <v>0</v>
      </c>
      <c r="H2528" s="25" t="n">
        <f aca="false">H2521*MIN(H2520-H2526+H2525,MAX(0,H2600-Assumptions!$C$12*H2518))</f>
        <v>71.37731225</v>
      </c>
      <c r="I2528" s="25" t="n">
        <f aca="false">I2521*MIN(I2520-I2526+I2525,MAX(0,I2600-Assumptions!$C$12*I2518))</f>
        <v>0</v>
      </c>
      <c r="J2528" s="25" t="n">
        <f aca="false">J2521*MIN(J2520-J2526+J2525,MAX(0,J2600-Assumptions!$C$12*J2518))</f>
        <v>0</v>
      </c>
      <c r="K2528" s="25" t="n">
        <f aca="false">K2521*MIN(K2520-K2526+K2525,MAX(0,K2600-Assumptions!$C$12*K2518))</f>
        <v>0</v>
      </c>
    </row>
    <row r="2529" customFormat="false" ht="15" hidden="false" customHeight="false" outlineLevel="0" collapsed="false">
      <c r="A2529" s="5" t="s">
        <v>272</v>
      </c>
      <c r="G2529" s="25" t="n">
        <f aca="false">Assumptions!$N$53*MIN(G2520+G2527+G2525-G2526-G2528,MAX(0,G2604))</f>
        <v>106.058</v>
      </c>
      <c r="H2529" s="25" t="n">
        <f aca="false">Assumptions!$N$53*MIN(H2520+H2527+H2525-H2526-H2528,MAX(0,H2604))</f>
        <v>0</v>
      </c>
      <c r="I2529" s="25" t="n">
        <f aca="false">Assumptions!$N$53*MIN(I2520+I2527+I2525-I2526-I2528,MAX(0,I2604))</f>
        <v>0</v>
      </c>
      <c r="J2529" s="25" t="n">
        <f aca="false">Assumptions!$N$53*MIN(J2520+J2527+J2525-J2526-J2528,MAX(0,J2604))</f>
        <v>0</v>
      </c>
      <c r="K2529" s="25" t="n">
        <f aca="false">Assumptions!$N$53*MIN(K2520+K2527+K2525-K2526-K2528,MAX(0,K2604))</f>
        <v>2.56468774999995</v>
      </c>
    </row>
    <row r="2530" customFormat="false" ht="15" hidden="false" customHeight="false" outlineLevel="0" collapsed="false">
      <c r="A2530" s="5" t="s">
        <v>273</v>
      </c>
      <c r="G2530" s="25" t="n">
        <f aca="false">G2521*(1-G2518)*(G2520-G2526+G2525-G2528)</f>
        <v>0</v>
      </c>
      <c r="H2530" s="25" t="n">
        <f aca="false">H2521*(1-H2518)*(H2520-H2526+H2525-H2528)</f>
        <v>0</v>
      </c>
      <c r="I2530" s="25" t="n">
        <f aca="false">I2521*(1-I2518)*(I2520-I2526+I2525-I2528)</f>
        <v>0</v>
      </c>
      <c r="J2530" s="25" t="n">
        <f aca="false">J2521*(1-J2518)*(J2520-J2526+J2525-J2528)</f>
        <v>0</v>
      </c>
      <c r="K2530" s="25" t="n">
        <f aca="false">K2521*(1-K2518)*(K2520-K2526+K2525-K2528)</f>
        <v>0</v>
      </c>
    </row>
    <row r="2531" customFormat="false" ht="15" hidden="false" customHeight="false" outlineLevel="0" collapsed="false">
      <c r="A2531" s="2" t="s">
        <v>274</v>
      </c>
      <c r="F2531" s="27" t="n">
        <f aca="false">Assumptions!$C$53</f>
        <v>180</v>
      </c>
      <c r="G2531" s="16" t="n">
        <f aca="false">G2520+G2527+G2525-G2526-G2528-G2529</f>
        <v>73.942</v>
      </c>
      <c r="H2531" s="16" t="n">
        <f aca="false">H2520+H2527+H2525-H2526-H2528-H2529</f>
        <v>2.56468774999995</v>
      </c>
      <c r="I2531" s="16" t="n">
        <f aca="false">I2520+I2527+I2525-I2526-I2528-I2529</f>
        <v>2.56468774999995</v>
      </c>
      <c r="J2531" s="16" t="n">
        <f aca="false">J2520+J2527+J2525-J2526-J2528-J2529</f>
        <v>2.56468774999995</v>
      </c>
      <c r="K2531" s="16" t="n">
        <f aca="false">K2520+K2527+K2525-K2526-K2528-K2529</f>
        <v>0</v>
      </c>
    </row>
    <row r="2532" customFormat="false" ht="15" hidden="false" customHeight="false" outlineLevel="0" collapsed="false">
      <c r="A2532" s="23" t="s">
        <v>275</v>
      </c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</row>
    <row r="2533" customFormat="false" ht="15" hidden="false" customHeight="false" outlineLevel="0" collapsed="false">
      <c r="A2533" s="5" t="s">
        <v>264</v>
      </c>
      <c r="G2533" s="25" t="n">
        <f aca="false">F2544</f>
        <v>520</v>
      </c>
      <c r="H2533" s="25" t="n">
        <f aca="false">G2544</f>
        <v>514.8</v>
      </c>
      <c r="I2533" s="25" t="n">
        <f aca="false">H2544</f>
        <v>509.6</v>
      </c>
      <c r="J2533" s="25" t="n">
        <f aca="false">I2544</f>
        <v>433.213240139375</v>
      </c>
      <c r="K2533" s="25" t="n">
        <f aca="false">J2544</f>
        <v>428.013240139375</v>
      </c>
    </row>
    <row r="2534" customFormat="false" ht="15" hidden="false" customHeight="false" outlineLevel="0" collapsed="false">
      <c r="A2534" s="5" t="s">
        <v>265</v>
      </c>
      <c r="G2534" s="20" t="n">
        <f aca="false">IF(G2484=Assumptions!$K$54,1,0)</f>
        <v>0</v>
      </c>
      <c r="H2534" s="20" t="n">
        <f aca="false">IF(H2484=Assumptions!$K$54,1,0)</f>
        <v>0</v>
      </c>
      <c r="I2534" s="20" t="n">
        <f aca="false">IF(I2484=Assumptions!$K$54,1,0)</f>
        <v>1</v>
      </c>
      <c r="J2534" s="20" t="n">
        <f aca="false">IF(J2484=Assumptions!$K$54,1,0)</f>
        <v>0</v>
      </c>
      <c r="K2534" s="20" t="n">
        <f aca="false">IF(K2484=Assumptions!$K$54,1,0)</f>
        <v>0</v>
      </c>
    </row>
    <row r="2536" customFormat="false" ht="15" hidden="false" customHeight="false" outlineLevel="0" collapsed="false">
      <c r="A2536" s="5" t="s">
        <v>266</v>
      </c>
      <c r="G2536" s="30" t="n">
        <f aca="false">IF(Assumptions!$I$54=1,MAX(G2510,Assumptions!$G$54)+Assumptions!$F$54+$C$2511,Assumptions!$E$54)</f>
        <v>0.103</v>
      </c>
      <c r="H2536" s="30" t="n">
        <f aca="false">IF(G2673=1,$C$2512,IF(Assumptions!$I$54=1,MAX(H2510,Assumptions!$G$54)+Assumptions!$F$54+$C$2511,Assumptions!$E$54))</f>
        <v>0.1005</v>
      </c>
      <c r="I2536" s="30" t="n">
        <f aca="false">IF(H2673=1,$C$2512,IF(Assumptions!$I$54=1,MAX(I2510,Assumptions!$G$54)+Assumptions!$F$54+$C$2511,Assumptions!$E$54))</f>
        <v>0.098</v>
      </c>
      <c r="J2536" s="30" t="n">
        <f aca="false">IF(I2673=1,$C$2512,IF(Assumptions!$I$54=1,MAX(J2510,Assumptions!$G$54)+Assumptions!$F$54+$C$2511,Assumptions!$E$54))</f>
        <v>0.11</v>
      </c>
      <c r="K2536" s="30" t="n">
        <f aca="false">IF(J2673=1,$C$2512,IF(Assumptions!$I$54=1,MAX(K2510,Assumptions!$G$54)+Assumptions!$F$54+$C$2511,Assumptions!$E$54))</f>
        <v>0.11</v>
      </c>
    </row>
    <row r="2537" customFormat="false" ht="15" hidden="false" customHeight="false" outlineLevel="0" collapsed="false">
      <c r="A2537" s="5" t="s">
        <v>267</v>
      </c>
      <c r="G2537" s="25" t="n">
        <f aca="false">G2533*G2536</f>
        <v>53.56</v>
      </c>
      <c r="H2537" s="25" t="n">
        <f aca="false">H2533*H2536</f>
        <v>51.7374</v>
      </c>
      <c r="I2537" s="25" t="n">
        <f aca="false">I2533*I2536</f>
        <v>49.9408</v>
      </c>
      <c r="J2537" s="25" t="n">
        <f aca="false">J2533*J2536</f>
        <v>47.6534564153313</v>
      </c>
      <c r="K2537" s="25" t="n">
        <f aca="false">K2533*K2536</f>
        <v>47.0814564153313</v>
      </c>
    </row>
    <row r="2538" customFormat="false" ht="15" hidden="false" customHeight="false" outlineLevel="0" collapsed="false">
      <c r="A2538" s="5" t="s">
        <v>268</v>
      </c>
      <c r="G2538" s="25" t="n">
        <f aca="false">G2533*Assumptions!$H$54</f>
        <v>0</v>
      </c>
      <c r="H2538" s="25" t="n">
        <f aca="false">H2533*Assumptions!$H$54</f>
        <v>0</v>
      </c>
      <c r="I2538" s="25" t="n">
        <f aca="false">I2533*Assumptions!$H$54</f>
        <v>0</v>
      </c>
      <c r="J2538" s="25" t="n">
        <f aca="false">J2533*Assumptions!$H$54</f>
        <v>0</v>
      </c>
      <c r="K2538" s="25" t="n">
        <f aca="false">K2533*Assumptions!$H$54</f>
        <v>0</v>
      </c>
    </row>
    <row r="2539" customFormat="false" ht="15" hidden="false" customHeight="false" outlineLevel="0" collapsed="false">
      <c r="A2539" s="5" t="s">
        <v>269</v>
      </c>
      <c r="G2539" s="25" t="n">
        <f aca="false">MIN(G2533,Assumptions!$L$54*Assumptions!$C$54)</f>
        <v>5.2</v>
      </c>
      <c r="H2539" s="25" t="n">
        <f aca="false">MIN(H2533,Assumptions!$L$54*Assumptions!$C$54)</f>
        <v>5.2</v>
      </c>
      <c r="I2539" s="25" t="n">
        <f aca="false">MIN(I2533,Assumptions!$L$54*Assumptions!$C$54)</f>
        <v>5.2</v>
      </c>
      <c r="J2539" s="25" t="n">
        <f aca="false">MIN(J2533,Assumptions!$L$54*Assumptions!$C$54)</f>
        <v>5.2</v>
      </c>
      <c r="K2539" s="25" t="n">
        <f aca="false">MIN(K2533,Assumptions!$L$54*Assumptions!$C$54)</f>
        <v>5.2</v>
      </c>
    </row>
    <row r="2540" customFormat="false" ht="15" hidden="false" customHeight="false" outlineLevel="0" collapsed="false">
      <c r="A2540" s="5" t="s">
        <v>270</v>
      </c>
      <c r="G2540" s="25" t="n">
        <f aca="false">IF(AND(Assumptions!$P$54=1,G2484&lt;Assumptions!$K$54),MIN(MAX(0,-G2598),MAX(0,Assumptions!$D$54-G2533)),0)</f>
        <v>0</v>
      </c>
      <c r="H2540" s="25" t="n">
        <f aca="false">IF(AND(Assumptions!$P$54=1,OR(H2484&lt;Assumptions!$K$54,G2673=1)),MIN(MAX(0,-H2598),MAX(0,Assumptions!$D$54-H2533)),0)</f>
        <v>0</v>
      </c>
      <c r="I2540" s="25" t="n">
        <f aca="false">IF(AND(Assumptions!$P$54=1,OR(I2484&lt;Assumptions!$K$54,H2673=1)),MIN(MAX(0,-I2598),MAX(0,Assumptions!$D$54-I2533)),0)</f>
        <v>0</v>
      </c>
      <c r="J2540" s="25" t="n">
        <f aca="false">IF(AND(Assumptions!$P$54=1,OR(J2484&lt;Assumptions!$K$54,I2673=1)),MIN(MAX(0,-J2598),MAX(0,Assumptions!$D$54-J2533)),0)</f>
        <v>0</v>
      </c>
      <c r="K2540" s="25" t="n">
        <f aca="false">IF(AND(Assumptions!$P$54=1,OR(K2484&lt;Assumptions!$K$54,J2673=1)),MIN(MAX(0,-K2598),MAX(0,Assumptions!$D$54-K2533)),0)</f>
        <v>0</v>
      </c>
    </row>
    <row r="2541" customFormat="false" ht="15" hidden="false" customHeight="false" outlineLevel="0" collapsed="false">
      <c r="A2541" s="5" t="s">
        <v>271</v>
      </c>
      <c r="G2541" s="25" t="n">
        <f aca="false">G2534*MIN(G2533-G2539+G2538,MAX(0,G2600-Assumptions!$C$12*G2518-G2528))</f>
        <v>0</v>
      </c>
      <c r="H2541" s="25" t="n">
        <f aca="false">H2534*MIN(H2533-H2539+H2538,MAX(0,H2600-Assumptions!$C$12*H2518-H2528))</f>
        <v>0</v>
      </c>
      <c r="I2541" s="25" t="n">
        <f aca="false">I2534*MIN(I2533-I2539+I2538,MAX(0,I2600-Assumptions!$C$12*I2518-I2528))</f>
        <v>71.186759860625</v>
      </c>
      <c r="J2541" s="25" t="n">
        <f aca="false">J2534*MIN(J2533-J2539+J2538,MAX(0,J2600-Assumptions!$C$12*J2518-J2528))</f>
        <v>0</v>
      </c>
      <c r="K2541" s="25" t="n">
        <f aca="false">K2534*MIN(K2533-K2539+K2538,MAX(0,K2600-Assumptions!$C$12*K2518-K2528))</f>
        <v>0</v>
      </c>
    </row>
    <row r="2542" customFormat="false" ht="15" hidden="false" customHeight="false" outlineLevel="0" collapsed="false">
      <c r="A2542" s="5" t="s">
        <v>272</v>
      </c>
      <c r="G2542" s="25" t="n">
        <f aca="false">Assumptions!$N$54*MIN(G2533+G2540+G2538-G2539-G2541,MAX(0,G2604-G2529))</f>
        <v>0</v>
      </c>
      <c r="H2542" s="25" t="n">
        <f aca="false">Assumptions!$N$54*MIN(H2533+H2540+H2538-H2539-H2541,MAX(0,H2604-H2529))</f>
        <v>0</v>
      </c>
      <c r="I2542" s="25" t="n">
        <f aca="false">Assumptions!$N$54*MIN(I2533+I2540+I2538-I2539-I2541,MAX(0,I2604-I2529))</f>
        <v>0</v>
      </c>
      <c r="J2542" s="25" t="n">
        <f aca="false">Assumptions!$N$54*MIN(J2533+J2540+J2538-J2539-J2541,MAX(0,J2604-J2529))</f>
        <v>0</v>
      </c>
      <c r="K2542" s="25" t="n">
        <f aca="false">Assumptions!$N$54*MIN(K2533+K2540+K2538-K2539-K2541,MAX(0,K2604-K2529))</f>
        <v>0</v>
      </c>
    </row>
    <row r="2543" customFormat="false" ht="15" hidden="false" customHeight="false" outlineLevel="0" collapsed="false">
      <c r="A2543" s="5" t="s">
        <v>273</v>
      </c>
      <c r="G2543" s="25" t="n">
        <f aca="false">G2534*(1-G2518)*(G2533-G2539+G2538-G2541)</f>
        <v>0</v>
      </c>
      <c r="H2543" s="25" t="n">
        <f aca="false">H2534*(1-H2518)*(H2533-H2539+H2538-H2541)</f>
        <v>0</v>
      </c>
      <c r="I2543" s="25" t="n">
        <f aca="false">I2534*(1-I2518)*(I2533-I2539+I2538-I2541)</f>
        <v>0</v>
      </c>
      <c r="J2543" s="25" t="n">
        <f aca="false">J2534*(1-J2518)*(J2533-J2539+J2538-J2541)</f>
        <v>0</v>
      </c>
      <c r="K2543" s="25" t="n">
        <f aca="false">K2534*(1-K2518)*(K2533-K2539+K2538-K2541)</f>
        <v>0</v>
      </c>
    </row>
    <row r="2544" customFormat="false" ht="15" hidden="false" customHeight="false" outlineLevel="0" collapsed="false">
      <c r="A2544" s="2" t="s">
        <v>274</v>
      </c>
      <c r="F2544" s="27" t="n">
        <f aca="false">Assumptions!$C$54</f>
        <v>520</v>
      </c>
      <c r="G2544" s="16" t="n">
        <f aca="false">G2533+G2540+G2538-G2539-G2541-G2542</f>
        <v>514.8</v>
      </c>
      <c r="H2544" s="16" t="n">
        <f aca="false">H2533+H2540+H2538-H2539-H2541-H2542</f>
        <v>509.6</v>
      </c>
      <c r="I2544" s="16" t="n">
        <f aca="false">I2533+I2540+I2538-I2539-I2541-I2542</f>
        <v>433.213240139375</v>
      </c>
      <c r="J2544" s="16" t="n">
        <f aca="false">J2533+J2540+J2538-J2539-J2541-J2542</f>
        <v>428.013240139375</v>
      </c>
      <c r="K2544" s="16" t="n">
        <f aca="false">K2533+K2540+K2538-K2539-K2541-K2542</f>
        <v>422.813240139375</v>
      </c>
    </row>
    <row r="2545" customFormat="false" ht="15" hidden="false" customHeight="false" outlineLevel="0" collapsed="false">
      <c r="A2545" s="23" t="s">
        <v>276</v>
      </c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</row>
    <row r="2546" customFormat="false" ht="15" hidden="false" customHeight="false" outlineLevel="0" collapsed="false">
      <c r="A2546" s="5" t="s">
        <v>264</v>
      </c>
      <c r="G2546" s="25" t="n">
        <f aca="false">F2557</f>
        <v>250</v>
      </c>
      <c r="H2546" s="25" t="n">
        <f aca="false">G2557</f>
        <v>250</v>
      </c>
      <c r="I2546" s="25" t="n">
        <f aca="false">H2557</f>
        <v>250</v>
      </c>
      <c r="J2546" s="25" t="n">
        <f aca="false">I2557</f>
        <v>250</v>
      </c>
      <c r="K2546" s="25" t="n">
        <f aca="false">J2557</f>
        <v>175.233876280873</v>
      </c>
    </row>
    <row r="2547" customFormat="false" ht="15" hidden="false" customHeight="false" outlineLevel="0" collapsed="false">
      <c r="A2547" s="5" t="s">
        <v>265</v>
      </c>
      <c r="G2547" s="20" t="n">
        <f aca="false">IF(G2484=Assumptions!$K$55,1,0)</f>
        <v>0</v>
      </c>
      <c r="H2547" s="20" t="n">
        <f aca="false">IF(H2484=Assumptions!$K$55,1,0)</f>
        <v>0</v>
      </c>
      <c r="I2547" s="20" t="n">
        <f aca="false">IF(I2484=Assumptions!$K$55,1,0)</f>
        <v>0</v>
      </c>
      <c r="J2547" s="20" t="n">
        <f aca="false">IF(J2484=Assumptions!$K$55,1,0)</f>
        <v>1</v>
      </c>
      <c r="K2547" s="20" t="n">
        <f aca="false">IF(K2484=Assumptions!$K$55,1,0)</f>
        <v>0</v>
      </c>
    </row>
    <row r="2549" customFormat="false" ht="15" hidden="false" customHeight="false" outlineLevel="0" collapsed="false">
      <c r="A2549" s="5" t="s">
        <v>266</v>
      </c>
      <c r="G2549" s="30" t="n">
        <f aca="false">IF(Assumptions!$I$55=1,MAX(G2510,Assumptions!$G$55)+Assumptions!$F$55+$C$2511,Assumptions!$E$55)</f>
        <v>0.11</v>
      </c>
      <c r="H2549" s="30" t="n">
        <f aca="false">IF(G2674=1,$C$2512,IF(Assumptions!$I$55=1,MAX(H2510,Assumptions!$G$55)+Assumptions!$F$55+$C$2511,Assumptions!$E$55))</f>
        <v>0.11</v>
      </c>
      <c r="I2549" s="30" t="n">
        <f aca="false">IF(H2674=1,$C$2512,IF(Assumptions!$I$55=1,MAX(I2510,Assumptions!$G$55)+Assumptions!$F$55+$C$2511,Assumptions!$E$55))</f>
        <v>0.11</v>
      </c>
      <c r="J2549" s="30" t="n">
        <f aca="false">IF(I2674=1,$C$2512,IF(Assumptions!$I$55=1,MAX(J2510,Assumptions!$G$55)+Assumptions!$F$55+$C$2511,Assumptions!$E$55))</f>
        <v>0.11</v>
      </c>
      <c r="K2549" s="30" t="n">
        <f aca="false">IF(J2674=1,$C$2512,IF(Assumptions!$I$55=1,MAX(K2510,Assumptions!$G$55)+Assumptions!$F$55+$C$2511,Assumptions!$E$55))</f>
        <v>0.11</v>
      </c>
    </row>
    <row r="2550" customFormat="false" ht="15" hidden="false" customHeight="false" outlineLevel="0" collapsed="false">
      <c r="A2550" s="5" t="s">
        <v>267</v>
      </c>
      <c r="G2550" s="25" t="n">
        <f aca="false">G2546*G2549</f>
        <v>27.5</v>
      </c>
      <c r="H2550" s="25" t="n">
        <f aca="false">H2546*H2549</f>
        <v>27.5</v>
      </c>
      <c r="I2550" s="25" t="n">
        <f aca="false">I2546*I2549</f>
        <v>27.5</v>
      </c>
      <c r="J2550" s="25" t="n">
        <f aca="false">J2546*J2549</f>
        <v>27.5</v>
      </c>
      <c r="K2550" s="25" t="n">
        <f aca="false">K2546*K2549</f>
        <v>19.2757263908961</v>
      </c>
    </row>
    <row r="2551" customFormat="false" ht="15" hidden="false" customHeight="false" outlineLevel="0" collapsed="false">
      <c r="A2551" s="5" t="s">
        <v>268</v>
      </c>
      <c r="G2551" s="25" t="n">
        <f aca="false">G2546*Assumptions!$H$55</f>
        <v>0</v>
      </c>
      <c r="H2551" s="25" t="n">
        <f aca="false">H2546*Assumptions!$H$55</f>
        <v>0</v>
      </c>
      <c r="I2551" s="25" t="n">
        <f aca="false">I2546*Assumptions!$H$55</f>
        <v>0</v>
      </c>
      <c r="J2551" s="25" t="n">
        <f aca="false">J2546*Assumptions!$H$55</f>
        <v>0</v>
      </c>
      <c r="K2551" s="25" t="n">
        <f aca="false">K2546*Assumptions!$H$55</f>
        <v>0</v>
      </c>
    </row>
    <row r="2552" customFormat="false" ht="15" hidden="false" customHeight="false" outlineLevel="0" collapsed="false">
      <c r="A2552" s="5" t="s">
        <v>269</v>
      </c>
      <c r="G2552" s="25" t="n">
        <f aca="false">MIN(G2546,Assumptions!$L$55*Assumptions!$C$55)</f>
        <v>0</v>
      </c>
      <c r="H2552" s="25" t="n">
        <f aca="false">MIN(H2546,Assumptions!$L$55*Assumptions!$C$55)</f>
        <v>0</v>
      </c>
      <c r="I2552" s="25" t="n">
        <f aca="false">MIN(I2546,Assumptions!$L$55*Assumptions!$C$55)</f>
        <v>0</v>
      </c>
      <c r="J2552" s="25" t="n">
        <f aca="false">MIN(J2546,Assumptions!$L$55*Assumptions!$C$55)</f>
        <v>0</v>
      </c>
      <c r="K2552" s="25" t="n">
        <f aca="false">MIN(K2546,Assumptions!$L$55*Assumptions!$C$55)</f>
        <v>0</v>
      </c>
    </row>
    <row r="2553" customFormat="false" ht="15" hidden="false" customHeight="false" outlineLevel="0" collapsed="false">
      <c r="A2553" s="5" t="s">
        <v>270</v>
      </c>
      <c r="G2553" s="25" t="n">
        <f aca="false">IF(AND(Assumptions!$P$55=1,G2484&lt;Assumptions!$K$55),MIN(MAX(0,-G2598),MAX(0,Assumptions!$D$55-G2546)),0)</f>
        <v>0</v>
      </c>
      <c r="H2553" s="25" t="n">
        <f aca="false">IF(AND(Assumptions!$P$55=1,OR(H2484&lt;Assumptions!$K$55,G2674=1)),MIN(MAX(0,-H2598),MAX(0,Assumptions!$D$55-H2546)),0)</f>
        <v>0</v>
      </c>
      <c r="I2553" s="25" t="n">
        <f aca="false">IF(AND(Assumptions!$P$55=1,OR(I2484&lt;Assumptions!$K$55,H2674=1)),MIN(MAX(0,-I2598),MAX(0,Assumptions!$D$55-I2546)),0)</f>
        <v>0</v>
      </c>
      <c r="J2553" s="25" t="n">
        <f aca="false">IF(AND(Assumptions!$P$55=1,OR(J2484&lt;Assumptions!$K$55,I2674=1)),MIN(MAX(0,-J2598),MAX(0,Assumptions!$D$55-J2546)),0)</f>
        <v>0</v>
      </c>
      <c r="K2553" s="25" t="n">
        <f aca="false">IF(AND(Assumptions!$P$55=1,OR(K2484&lt;Assumptions!$K$55,J2674=1)),MIN(MAX(0,-K2598),MAX(0,Assumptions!$D$55-K2546)),0)</f>
        <v>0</v>
      </c>
    </row>
    <row r="2554" customFormat="false" ht="15" hidden="false" customHeight="false" outlineLevel="0" collapsed="false">
      <c r="A2554" s="5" t="s">
        <v>271</v>
      </c>
      <c r="G2554" s="25" t="n">
        <f aca="false">G2547*MIN(G2546-G2552+G2551,MAX(0,G2600-Assumptions!$C$12*G2518-G2528-G2541))</f>
        <v>0</v>
      </c>
      <c r="H2554" s="25" t="n">
        <f aca="false">H2547*MIN(H2546-H2552+H2551,MAX(0,H2600-Assumptions!$C$12*H2518-H2528-H2541))</f>
        <v>0</v>
      </c>
      <c r="I2554" s="25" t="n">
        <f aca="false">I2547*MIN(I2546-I2552+I2551,MAX(0,I2600-Assumptions!$C$12*I2518-I2528-I2541))</f>
        <v>0</v>
      </c>
      <c r="J2554" s="25" t="n">
        <f aca="false">J2547*MIN(J2546-J2552+J2551,MAX(0,J2600-Assumptions!$C$12*J2518-J2528-J2541))</f>
        <v>74.7661237191266</v>
      </c>
      <c r="K2554" s="25" t="n">
        <f aca="false">K2547*MIN(K2546-K2552+K2551,MAX(0,K2600-Assumptions!$C$12*K2518-K2528-K2541))</f>
        <v>0</v>
      </c>
    </row>
    <row r="2555" customFormat="false" ht="15" hidden="false" customHeight="false" outlineLevel="0" collapsed="false">
      <c r="A2555" s="5" t="s">
        <v>272</v>
      </c>
      <c r="G2555" s="25" t="n">
        <f aca="false">Assumptions!$N$55*MIN(G2546+G2553+G2551-G2552-G2554,MAX(0,G2604-G2529-G2542))</f>
        <v>0</v>
      </c>
      <c r="H2555" s="25" t="n">
        <f aca="false">Assumptions!$N$55*MIN(H2546+H2553+H2551-H2552-H2554,MAX(0,H2604-H2529-H2542))</f>
        <v>0</v>
      </c>
      <c r="I2555" s="25" t="n">
        <f aca="false">Assumptions!$N$55*MIN(I2546+I2553+I2551-I2552-I2554,MAX(0,I2604-I2529-I2542))</f>
        <v>0</v>
      </c>
      <c r="J2555" s="25" t="n">
        <f aca="false">Assumptions!$N$55*MIN(J2546+J2553+J2551-J2552-J2554,MAX(0,J2604-J2529-J2542))</f>
        <v>0</v>
      </c>
      <c r="K2555" s="25" t="n">
        <f aca="false">Assumptions!$N$55*MIN(K2546+K2553+K2551-K2552-K2554,MAX(0,K2604-K2529-K2542))</f>
        <v>0</v>
      </c>
    </row>
    <row r="2556" customFormat="false" ht="15" hidden="false" customHeight="false" outlineLevel="0" collapsed="false">
      <c r="A2556" s="5" t="s">
        <v>273</v>
      </c>
      <c r="G2556" s="25" t="n">
        <f aca="false">G2547*(1-G2518)*(G2546-G2552+G2551-G2554)</f>
        <v>0</v>
      </c>
      <c r="H2556" s="25" t="n">
        <f aca="false">H2547*(1-H2518)*(H2546-H2552+H2551-H2554)</f>
        <v>0</v>
      </c>
      <c r="I2556" s="25" t="n">
        <f aca="false">I2547*(1-I2518)*(I2546-I2552+I2551-I2554)</f>
        <v>0</v>
      </c>
      <c r="J2556" s="25" t="n">
        <f aca="false">J2547*(1-J2518)*(J2546-J2552+J2551-J2554)</f>
        <v>0</v>
      </c>
      <c r="K2556" s="25" t="n">
        <f aca="false">K2547*(1-K2518)*(K2546-K2552+K2551-K2554)</f>
        <v>0</v>
      </c>
    </row>
    <row r="2557" customFormat="false" ht="15" hidden="false" customHeight="false" outlineLevel="0" collapsed="false">
      <c r="A2557" s="2" t="s">
        <v>274</v>
      </c>
      <c r="F2557" s="27" t="n">
        <f aca="false">Assumptions!$C$55</f>
        <v>250</v>
      </c>
      <c r="G2557" s="16" t="n">
        <f aca="false">G2546+G2553+G2551-G2552-G2554-G2555</f>
        <v>250</v>
      </c>
      <c r="H2557" s="16" t="n">
        <f aca="false">H2546+H2553+H2551-H2552-H2554-H2555</f>
        <v>250</v>
      </c>
      <c r="I2557" s="16" t="n">
        <f aca="false">I2546+I2553+I2551-I2552-I2554-I2555</f>
        <v>250</v>
      </c>
      <c r="J2557" s="16" t="n">
        <f aca="false">J2546+J2553+J2551-J2552-J2554-J2555</f>
        <v>175.233876280873</v>
      </c>
      <c r="K2557" s="16" t="n">
        <f aca="false">K2546+K2553+K2551-K2552-K2554-K2555</f>
        <v>175.233876280873</v>
      </c>
    </row>
    <row r="2558" customFormat="false" ht="15" hidden="false" customHeight="false" outlineLevel="0" collapsed="false">
      <c r="A2558" s="23" t="s">
        <v>277</v>
      </c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</row>
    <row r="2559" customFormat="false" ht="15" hidden="false" customHeight="false" outlineLevel="0" collapsed="false">
      <c r="A2559" s="5" t="s">
        <v>264</v>
      </c>
      <c r="G2559" s="25" t="n">
        <f aca="false">F2570</f>
        <v>300</v>
      </c>
      <c r="H2559" s="25" t="n">
        <f aca="false">G2570</f>
        <v>300</v>
      </c>
      <c r="I2559" s="25" t="n">
        <f aca="false">H2570</f>
        <v>300</v>
      </c>
      <c r="J2559" s="25" t="n">
        <f aca="false">I2570</f>
        <v>300</v>
      </c>
      <c r="K2559" s="25" t="n">
        <f aca="false">J2570</f>
        <v>300</v>
      </c>
    </row>
    <row r="2560" customFormat="false" ht="15" hidden="false" customHeight="false" outlineLevel="0" collapsed="false">
      <c r="A2560" s="5" t="s">
        <v>265</v>
      </c>
      <c r="G2560" s="20" t="n">
        <f aca="false">IF(G2484=Assumptions!$K$56,1,0)</f>
        <v>0</v>
      </c>
      <c r="H2560" s="20" t="n">
        <f aca="false">IF(H2484=Assumptions!$K$56,1,0)</f>
        <v>1</v>
      </c>
      <c r="I2560" s="20" t="n">
        <f aca="false">IF(I2484=Assumptions!$K$56,1,0)</f>
        <v>0</v>
      </c>
      <c r="J2560" s="20" t="n">
        <f aca="false">IF(J2484=Assumptions!$K$56,1,0)</f>
        <v>0</v>
      </c>
      <c r="K2560" s="20" t="n">
        <f aca="false">IF(K2484=Assumptions!$K$56,1,0)</f>
        <v>0</v>
      </c>
    </row>
    <row r="2562" customFormat="false" ht="15" hidden="false" customHeight="false" outlineLevel="0" collapsed="false">
      <c r="A2562" s="5" t="s">
        <v>266</v>
      </c>
      <c r="G2562" s="30" t="n">
        <f aca="false">IF(Assumptions!$I$56=1,MAX(G2510,Assumptions!$G$56)+Assumptions!$F$56+$C$2511,Assumptions!$E$56)</f>
        <v>0.075</v>
      </c>
      <c r="H2562" s="30" t="n">
        <f aca="false">IF(G2675=1,$C$2512,IF(Assumptions!$I$56=1,MAX(H2510,Assumptions!$G$56)+Assumptions!$F$56+$C$2511,Assumptions!$E$56))</f>
        <v>0.075</v>
      </c>
      <c r="I2562" s="30" t="n">
        <f aca="false">IF(H2675=1,$C$2512,IF(Assumptions!$I$56=1,MAX(I2510,Assumptions!$G$56)+Assumptions!$F$56+$C$2511,Assumptions!$E$56))</f>
        <v>0.11</v>
      </c>
      <c r="J2562" s="30" t="n">
        <f aca="false">IF(I2675=1,$C$2512,IF(Assumptions!$I$56=1,MAX(J2510,Assumptions!$G$56)+Assumptions!$F$56+$C$2511,Assumptions!$E$56))</f>
        <v>0.11</v>
      </c>
      <c r="K2562" s="30" t="n">
        <f aca="false">IF(J2675=1,$C$2512,IF(Assumptions!$I$56=1,MAX(K2510,Assumptions!$G$56)+Assumptions!$F$56+$C$2511,Assumptions!$E$56))</f>
        <v>0.11</v>
      </c>
    </row>
    <row r="2563" customFormat="false" ht="15" hidden="false" customHeight="false" outlineLevel="0" collapsed="false">
      <c r="A2563" s="5" t="s">
        <v>267</v>
      </c>
      <c r="G2563" s="25" t="n">
        <f aca="false">G2559*G2562</f>
        <v>22.5</v>
      </c>
      <c r="H2563" s="25" t="n">
        <f aca="false">H2559*H2562</f>
        <v>22.5</v>
      </c>
      <c r="I2563" s="25" t="n">
        <f aca="false">I2559*I2562</f>
        <v>33</v>
      </c>
      <c r="J2563" s="25" t="n">
        <f aca="false">J2559*J2562</f>
        <v>33</v>
      </c>
      <c r="K2563" s="25" t="n">
        <f aca="false">K2559*K2562</f>
        <v>33</v>
      </c>
    </row>
    <row r="2564" customFormat="false" ht="15" hidden="false" customHeight="false" outlineLevel="0" collapsed="false">
      <c r="A2564" s="5" t="s">
        <v>268</v>
      </c>
      <c r="G2564" s="25" t="n">
        <f aca="false">G2559*Assumptions!$H$56</f>
        <v>0</v>
      </c>
      <c r="H2564" s="25" t="n">
        <f aca="false">H2559*Assumptions!$H$56</f>
        <v>0</v>
      </c>
      <c r="I2564" s="25" t="n">
        <f aca="false">I2559*Assumptions!$H$56</f>
        <v>0</v>
      </c>
      <c r="J2564" s="25" t="n">
        <f aca="false">J2559*Assumptions!$H$56</f>
        <v>0</v>
      </c>
      <c r="K2564" s="25" t="n">
        <f aca="false">K2559*Assumptions!$H$56</f>
        <v>0</v>
      </c>
    </row>
    <row r="2565" customFormat="false" ht="15" hidden="false" customHeight="false" outlineLevel="0" collapsed="false">
      <c r="A2565" s="5" t="s">
        <v>269</v>
      </c>
      <c r="G2565" s="25" t="n">
        <f aca="false">MIN(G2559,Assumptions!$L$56*Assumptions!$C$56)</f>
        <v>0</v>
      </c>
      <c r="H2565" s="25" t="n">
        <f aca="false">MIN(H2559,Assumptions!$L$56*Assumptions!$C$56)</f>
        <v>0</v>
      </c>
      <c r="I2565" s="25" t="n">
        <f aca="false">MIN(I2559,Assumptions!$L$56*Assumptions!$C$56)</f>
        <v>0</v>
      </c>
      <c r="J2565" s="25" t="n">
        <f aca="false">MIN(J2559,Assumptions!$L$56*Assumptions!$C$56)</f>
        <v>0</v>
      </c>
      <c r="K2565" s="25" t="n">
        <f aca="false">MIN(K2559,Assumptions!$L$56*Assumptions!$C$56)</f>
        <v>0</v>
      </c>
    </row>
    <row r="2566" customFormat="false" ht="15" hidden="false" customHeight="false" outlineLevel="0" collapsed="false">
      <c r="A2566" s="5" t="s">
        <v>270</v>
      </c>
      <c r="G2566" s="25" t="n">
        <f aca="false">IF(AND(Assumptions!$P$56=1,G2484&lt;Assumptions!$K$56),MIN(MAX(0,-G2598),MAX(0,Assumptions!$D$56-G2559)),0)</f>
        <v>0</v>
      </c>
      <c r="H2566" s="25" t="n">
        <f aca="false">IF(AND(Assumptions!$P$56=1,OR(H2484&lt;Assumptions!$K$56,G2675=1)),MIN(MAX(0,-H2598),MAX(0,Assumptions!$D$56-H2559)),0)</f>
        <v>0</v>
      </c>
      <c r="I2566" s="25" t="n">
        <f aca="false">IF(AND(Assumptions!$P$56=1,OR(I2484&lt;Assumptions!$K$56,H2675=1)),MIN(MAX(0,-I2598),MAX(0,Assumptions!$D$56-I2559)),0)</f>
        <v>0</v>
      </c>
      <c r="J2566" s="25" t="n">
        <f aca="false">IF(AND(Assumptions!$P$56=1,OR(J2484&lt;Assumptions!$K$56,I2675=1)),MIN(MAX(0,-J2598),MAX(0,Assumptions!$D$56-J2559)),0)</f>
        <v>0</v>
      </c>
      <c r="K2566" s="25" t="n">
        <f aca="false">IF(AND(Assumptions!$P$56=1,OR(K2484&lt;Assumptions!$K$56,J2675=1)),MIN(MAX(0,-K2598),MAX(0,Assumptions!$D$56-K2559)),0)</f>
        <v>0</v>
      </c>
    </row>
    <row r="2567" customFormat="false" ht="15" hidden="false" customHeight="false" outlineLevel="0" collapsed="false">
      <c r="A2567" s="5" t="s">
        <v>271</v>
      </c>
      <c r="G2567" s="25" t="n">
        <f aca="false">G2560*MIN(G2559-G2565+G2564,MAX(0,G2600-Assumptions!$C$12*G2518-G2528-G2541-G2554))</f>
        <v>0</v>
      </c>
      <c r="H2567" s="25" t="n">
        <f aca="false">H2560*MIN(H2559-H2565+H2564,MAX(0,H2600-Assumptions!$C$12*H2518-H2528-H2541-H2554))</f>
        <v>0</v>
      </c>
      <c r="I2567" s="25" t="n">
        <f aca="false">I2560*MIN(I2559-I2565+I2564,MAX(0,I2600-Assumptions!$C$12*I2518-I2528-I2541-I2554))</f>
        <v>0</v>
      </c>
      <c r="J2567" s="25" t="n">
        <f aca="false">J2560*MIN(J2559-J2565+J2564,MAX(0,J2600-Assumptions!$C$12*J2518-J2528-J2541-J2554))</f>
        <v>0</v>
      </c>
      <c r="K2567" s="25" t="n">
        <f aca="false">K2560*MIN(K2559-K2565+K2564,MAX(0,K2600-Assumptions!$C$12*K2518-K2528-K2541-K2554))</f>
        <v>0</v>
      </c>
    </row>
    <row r="2568" customFormat="false" ht="15" hidden="false" customHeight="false" outlineLevel="0" collapsed="false">
      <c r="A2568" s="5" t="s">
        <v>272</v>
      </c>
      <c r="G2568" s="25" t="n">
        <f aca="false">Assumptions!$N$56*MIN(G2559+G2566+G2564-G2565-G2567,MAX(0,G2604-G2529-G2542-G2555))</f>
        <v>0</v>
      </c>
      <c r="H2568" s="25" t="n">
        <f aca="false">Assumptions!$N$56*MIN(H2559+H2566+H2564-H2565-H2567,MAX(0,H2604-H2529-H2542-H2555))</f>
        <v>0</v>
      </c>
      <c r="I2568" s="25" t="n">
        <f aca="false">Assumptions!$N$56*MIN(I2559+I2566+I2564-I2565-I2567,MAX(0,I2604-I2529-I2542-I2555))</f>
        <v>0</v>
      </c>
      <c r="J2568" s="25" t="n">
        <f aca="false">Assumptions!$N$56*MIN(J2559+J2566+J2564-J2565-J2567,MAX(0,J2604-J2529-J2542-J2555))</f>
        <v>0</v>
      </c>
      <c r="K2568" s="25" t="n">
        <f aca="false">Assumptions!$N$56*MIN(K2559+K2566+K2564-K2565-K2567,MAX(0,K2604-K2529-K2542-K2555))</f>
        <v>0</v>
      </c>
    </row>
    <row r="2569" customFormat="false" ht="15" hidden="false" customHeight="false" outlineLevel="0" collapsed="false">
      <c r="A2569" s="5" t="s">
        <v>273</v>
      </c>
      <c r="G2569" s="25" t="n">
        <f aca="false">G2560*(1-G2518)*(G2559-G2565+G2564-G2567)</f>
        <v>0</v>
      </c>
      <c r="H2569" s="25" t="n">
        <f aca="false">H2560*(1-H2518)*(H2559-H2565+H2564-H2567)</f>
        <v>0</v>
      </c>
      <c r="I2569" s="25" t="n">
        <f aca="false">I2560*(1-I2518)*(I2559-I2565+I2564-I2567)</f>
        <v>0</v>
      </c>
      <c r="J2569" s="25" t="n">
        <f aca="false">J2560*(1-J2518)*(J2559-J2565+J2564-J2567)</f>
        <v>0</v>
      </c>
      <c r="K2569" s="25" t="n">
        <f aca="false">K2560*(1-K2518)*(K2559-K2565+K2564-K2567)</f>
        <v>0</v>
      </c>
    </row>
    <row r="2570" customFormat="false" ht="15" hidden="false" customHeight="false" outlineLevel="0" collapsed="false">
      <c r="A2570" s="2" t="s">
        <v>274</v>
      </c>
      <c r="F2570" s="27" t="n">
        <f aca="false">Assumptions!$C$56</f>
        <v>300</v>
      </c>
      <c r="G2570" s="16" t="n">
        <f aca="false">G2559+G2566+G2564-G2565-G2567-G2568</f>
        <v>300</v>
      </c>
      <c r="H2570" s="16" t="n">
        <f aca="false">H2559+H2566+H2564-H2565-H2567-H2568</f>
        <v>300</v>
      </c>
      <c r="I2570" s="16" t="n">
        <f aca="false">I2559+I2566+I2564-I2565-I2567-I2568</f>
        <v>300</v>
      </c>
      <c r="J2570" s="16" t="n">
        <f aca="false">J2559+J2566+J2564-J2565-J2567-J2568</f>
        <v>300</v>
      </c>
      <c r="K2570" s="16" t="n">
        <f aca="false">K2559+K2566+K2564-K2565-K2567-K2568</f>
        <v>300</v>
      </c>
    </row>
    <row r="2571" customFormat="false" ht="15" hidden="false" customHeight="false" outlineLevel="0" collapsed="false">
      <c r="A2571" s="23" t="s">
        <v>278</v>
      </c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</row>
    <row r="2572" customFormat="false" ht="15" hidden="false" customHeight="false" outlineLevel="0" collapsed="false">
      <c r="A2572" s="2" t="s">
        <v>279</v>
      </c>
      <c r="F2572" s="16" t="n">
        <f aca="false">F2531+F2544+F2557+F2570</f>
        <v>1250</v>
      </c>
      <c r="G2572" s="16" t="n">
        <f aca="false">G2531+G2544+G2557+G2570</f>
        <v>1138.742</v>
      </c>
      <c r="H2572" s="16" t="n">
        <f aca="false">H2531+H2544+H2557+H2570</f>
        <v>1062.16468775</v>
      </c>
      <c r="I2572" s="16" t="n">
        <f aca="false">I2531+I2544+I2557+I2570</f>
        <v>985.777927889375</v>
      </c>
      <c r="J2572" s="16" t="n">
        <f aca="false">J2531+J2544+J2557+J2570</f>
        <v>905.811804170248</v>
      </c>
      <c r="K2572" s="16" t="n">
        <f aca="false">K2531+K2544+K2557+K2570</f>
        <v>898.047116420248</v>
      </c>
    </row>
    <row r="2573" customFormat="false" ht="15" hidden="false" customHeight="false" outlineLevel="0" collapsed="false">
      <c r="A2573" s="5" t="s">
        <v>280</v>
      </c>
      <c r="G2573" s="25" t="n">
        <f aca="false">G2521*Assumptions!$C$53+G2534*Assumptions!$C$54+G2547*Assumptions!$C$55+G2560*Assumptions!$C$56</f>
        <v>0</v>
      </c>
      <c r="H2573" s="25" t="n">
        <f aca="false">H2521*Assumptions!$C$53+H2534*Assumptions!$C$54+H2547*Assumptions!$C$55+H2560*Assumptions!$C$56</f>
        <v>480</v>
      </c>
      <c r="I2573" s="25" t="n">
        <f aca="false">I2521*Assumptions!$C$53+I2534*Assumptions!$C$54+I2547*Assumptions!$C$55+I2560*Assumptions!$C$56</f>
        <v>520</v>
      </c>
      <c r="J2573" s="25" t="n">
        <f aca="false">J2521*Assumptions!$C$53+J2534*Assumptions!$C$54+J2547*Assumptions!$C$55+J2560*Assumptions!$C$56</f>
        <v>250</v>
      </c>
      <c r="K2573" s="25" t="n">
        <f aca="false">K2521*Assumptions!$C$53+K2534*Assumptions!$C$54+K2547*Assumptions!$C$55+K2560*Assumptions!$C$56</f>
        <v>0</v>
      </c>
    </row>
    <row r="2574" customFormat="false" ht="15" hidden="false" customHeight="false" outlineLevel="0" collapsed="false">
      <c r="A2574" s="23" t="s">
        <v>281</v>
      </c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</row>
    <row r="2575" customFormat="false" ht="15" hidden="false" customHeight="false" outlineLevel="0" collapsed="false">
      <c r="A2575" s="5" t="s">
        <v>282</v>
      </c>
      <c r="C2575" s="25" t="n">
        <f aca="false">SUMPRODUCT($G$2521:$K$2521,$G$2520:$K$2520-$G$2526:$K$2526+$G$2525:$K$2525)</f>
        <v>73.942</v>
      </c>
    </row>
    <row r="2576" customFormat="false" ht="15" hidden="false" customHeight="false" outlineLevel="0" collapsed="false">
      <c r="A2576" s="5" t="s">
        <v>283</v>
      </c>
      <c r="C2576" s="25" t="n">
        <f aca="false">SUMPRODUCT($G$2521:$K$2521,$G$2528:$K$2528)</f>
        <v>71.37731225</v>
      </c>
    </row>
    <row r="2577" customFormat="false" ht="15" hidden="false" customHeight="false" outlineLevel="0" collapsed="false">
      <c r="A2577" s="5" t="s">
        <v>284</v>
      </c>
      <c r="C2577" s="5" t="str">
        <f aca="false">IF(SUM($G$2521:$K$2521)=0,"n/a (beyond horizon)",IF(SUMPRODUCT($G$2521:$K$2521,$G$2518:$K$2518)&gt;0,"REFINANCING PASS","REFINANCING FAILURE"))</f>
        <v>REFINANCING PASS</v>
      </c>
    </row>
    <row r="2578" customFormat="false" ht="15" hidden="false" customHeight="false" outlineLevel="0" collapsed="false">
      <c r="A2578" s="5" t="s">
        <v>285</v>
      </c>
      <c r="C2578" s="5" t="str">
        <f aca="false">IF(SUM($G$2521:$K$2521)=0,"n/a",IF(C2576&gt;=C2575-0.001,"Repaid from cash",IF(SUMPRODUCT($G$2521:$K$2521,$G$2518:$K$2518)&gt;0,IF(C2576&gt;0,"Partly repaid; remainder refinanced","Refinanced"),IF(SUM($G$2530:$K$2530)&gt;0.001,IF(C2576&gt;0,"Partial repayment; PAYMENT DEFAULT","PAYMENT DEFAULT"),"Repaid from cash"))))</f>
        <v>Partly repaid; remainder refinanced</v>
      </c>
    </row>
    <row r="2579" customFormat="false" ht="15" hidden="false" customHeight="false" outlineLevel="0" collapsed="false">
      <c r="A2579" s="5" t="s">
        <v>286</v>
      </c>
      <c r="C2579" s="25" t="n">
        <f aca="false">SUMPRODUCT($G$2534:$K$2534,$G$2533:$K$2533-$G$2539:$K$2539+$G$2538:$K$2538)</f>
        <v>504.4</v>
      </c>
    </row>
    <row r="2580" customFormat="false" ht="15" hidden="false" customHeight="false" outlineLevel="0" collapsed="false">
      <c r="A2580" s="5" t="s">
        <v>287</v>
      </c>
      <c r="C2580" s="25" t="n">
        <f aca="false">SUMPRODUCT($G$2534:$K$2534,$G$2541:$K$2541)</f>
        <v>71.186759860625</v>
      </c>
    </row>
    <row r="2581" customFormat="false" ht="15" hidden="false" customHeight="false" outlineLevel="0" collapsed="false">
      <c r="A2581" s="5" t="s">
        <v>288</v>
      </c>
      <c r="C2581" s="5" t="str">
        <f aca="false">IF(SUM($G$2534:$K$2534)=0,"n/a (beyond horizon)",IF(SUMPRODUCT($G$2534:$K$2534,$G$2518:$K$2518)&gt;0,"REFINANCING PASS","REFINANCING FAILURE"))</f>
        <v>REFINANCING PASS</v>
      </c>
    </row>
    <row r="2582" customFormat="false" ht="15" hidden="false" customHeight="false" outlineLevel="0" collapsed="false">
      <c r="A2582" s="5" t="s">
        <v>289</v>
      </c>
      <c r="C2582" s="5" t="str">
        <f aca="false">IF(SUM($G$2534:$K$2534)=0,"n/a",IF(C2580&gt;=C2579-0.001,"Repaid from cash",IF(SUMPRODUCT($G$2534:$K$2534,$G$2518:$K$2518)&gt;0,IF(C2580&gt;0,"Partly repaid; remainder refinanced","Refinanced"),IF(SUM($G$2543:$K$2543)&gt;0.001,IF(C2580&gt;0,"Partial repayment; PAYMENT DEFAULT","PAYMENT DEFAULT"),"Repaid from cash"))))</f>
        <v>Partly repaid; remainder refinanced</v>
      </c>
    </row>
    <row r="2583" customFormat="false" ht="15" hidden="false" customHeight="false" outlineLevel="0" collapsed="false">
      <c r="A2583" s="5" t="s">
        <v>290</v>
      </c>
      <c r="C2583" s="25" t="n">
        <f aca="false">SUMPRODUCT($G$2547:$K$2547,$G$2546:$K$2546-$G$2552:$K$2552+$G$2551:$K$2551)</f>
        <v>250</v>
      </c>
    </row>
    <row r="2584" customFormat="false" ht="15" hidden="false" customHeight="false" outlineLevel="0" collapsed="false">
      <c r="A2584" s="5" t="s">
        <v>291</v>
      </c>
      <c r="C2584" s="25" t="n">
        <f aca="false">SUMPRODUCT($G$2547:$K$2547,$G$2554:$K$2554)</f>
        <v>74.7661237191266</v>
      </c>
    </row>
    <row r="2585" customFormat="false" ht="15" hidden="false" customHeight="false" outlineLevel="0" collapsed="false">
      <c r="A2585" s="5" t="s">
        <v>292</v>
      </c>
      <c r="C2585" s="5" t="str">
        <f aca="false">IF(SUM($G$2547:$K$2547)=0,"n/a (beyond horizon)",IF(SUMPRODUCT($G$2547:$K$2547,$G$2518:$K$2518)&gt;0,"REFINANCING PASS","REFINANCING FAILURE"))</f>
        <v>REFINANCING PASS</v>
      </c>
    </row>
    <row r="2586" customFormat="false" ht="15" hidden="false" customHeight="false" outlineLevel="0" collapsed="false">
      <c r="A2586" s="5" t="s">
        <v>293</v>
      </c>
      <c r="C2586" s="5" t="str">
        <f aca="false">IF(SUM($G$2547:$K$2547)=0,"n/a",IF(C2584&gt;=C2583-0.001,"Repaid from cash",IF(SUMPRODUCT($G$2547:$K$2547,$G$2518:$K$2518)&gt;0,IF(C2584&gt;0,"Partly repaid; remainder refinanced","Refinanced"),IF(SUM($G$2556:$K$2556)&gt;0.001,IF(C2584&gt;0,"Partial repayment; PAYMENT DEFAULT","PAYMENT DEFAULT"),"Repaid from cash"))))</f>
        <v>Partly repaid; remainder refinanced</v>
      </c>
    </row>
    <row r="2587" customFormat="false" ht="15" hidden="false" customHeight="false" outlineLevel="0" collapsed="false">
      <c r="A2587" s="5" t="s">
        <v>294</v>
      </c>
      <c r="C2587" s="25" t="n">
        <f aca="false">SUMPRODUCT($G$2560:$K$2560,$G$2559:$K$2559-$G$2565:$K$2565+$G$2564:$K$2564)</f>
        <v>300</v>
      </c>
    </row>
    <row r="2588" customFormat="false" ht="15" hidden="false" customHeight="false" outlineLevel="0" collapsed="false">
      <c r="A2588" s="5" t="s">
        <v>295</v>
      </c>
      <c r="C2588" s="25" t="n">
        <f aca="false">SUMPRODUCT($G$2560:$K$2560,$G$2567:$K$2567)</f>
        <v>0</v>
      </c>
    </row>
    <row r="2589" customFormat="false" ht="15" hidden="false" customHeight="false" outlineLevel="0" collapsed="false">
      <c r="A2589" s="5" t="s">
        <v>296</v>
      </c>
      <c r="C2589" s="5" t="str">
        <f aca="false">IF(SUM($G$2560:$K$2560)=0,"n/a (beyond horizon)",IF(SUMPRODUCT($G$2560:$K$2560,$G$2518:$K$2518)&gt;0,"REFINANCING PASS","REFINANCING FAILURE"))</f>
        <v>REFINANCING PASS</v>
      </c>
    </row>
    <row r="2590" customFormat="false" ht="15" hidden="false" customHeight="false" outlineLevel="0" collapsed="false">
      <c r="A2590" s="5" t="s">
        <v>297</v>
      </c>
      <c r="C2590" s="5" t="str">
        <f aca="false">IF(SUM($G$2560:$K$2560)=0,"n/a",IF(C2588&gt;=C2587-0.001,"Repaid from cash",IF(SUMPRODUCT($G$2560:$K$2560,$G$2518:$K$2518)&gt;0,IF(C2588&gt;0,"Partly repaid; remainder refinanced","Refinanced"),IF(SUM($G$2569:$K$2569)&gt;0.001,IF(C2588&gt;0,"Partial repayment; PAYMENT DEFAULT","PAYMENT DEFAULT"),"Repaid from cash"))))</f>
        <v>Refinanced</v>
      </c>
    </row>
    <row r="2591" customFormat="false" ht="15" hidden="false" customHeight="false" outlineLevel="0" collapsed="false">
      <c r="A2591" s="5" t="s">
        <v>298</v>
      </c>
      <c r="C2591" s="20" t="n">
        <f aca="false">IF(C2577="REFINANCING FAILURE",1,0)+IF(C2581="REFINANCING FAILURE",1,0)+IF(C2585="REFINANCING FAILURE",1,0)+IF(C2589="REFINANCING FAILURE",1,0)</f>
        <v>0</v>
      </c>
    </row>
    <row r="2593" customFormat="false" ht="15" hidden="false" customHeight="false" outlineLevel="0" collapsed="false">
      <c r="A2593" s="23" t="s">
        <v>300</v>
      </c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</row>
    <row r="2594" customFormat="false" ht="15" hidden="false" customHeight="false" outlineLevel="0" collapsed="false">
      <c r="A2594" s="5" t="s">
        <v>260</v>
      </c>
      <c r="G2594" s="25" t="n">
        <f aca="false">F2606</f>
        <v>45</v>
      </c>
      <c r="H2594" s="25" t="n">
        <f aca="false">G2606</f>
        <v>0</v>
      </c>
      <c r="I2594" s="25" t="n">
        <f aca="false">H2606</f>
        <v>0</v>
      </c>
      <c r="J2594" s="25" t="n">
        <f aca="false">I2606</f>
        <v>0</v>
      </c>
      <c r="K2594" s="25" t="n">
        <f aca="false">J2606</f>
        <v>0</v>
      </c>
    </row>
    <row r="2595" customFormat="false" ht="15" hidden="false" customHeight="false" outlineLevel="0" collapsed="false">
      <c r="A2595" s="5" t="s">
        <v>301</v>
      </c>
      <c r="G2595" s="25" t="n">
        <f aca="false">G2507</f>
        <v>66.258</v>
      </c>
      <c r="H2595" s="25" t="n">
        <f aca="false">H2507</f>
        <v>76.57731225</v>
      </c>
      <c r="I2595" s="25" t="n">
        <f aca="false">I2507</f>
        <v>76.386759860625</v>
      </c>
      <c r="J2595" s="25" t="n">
        <f aca="false">J2507</f>
        <v>79.9661237191266</v>
      </c>
      <c r="K2595" s="25" t="n">
        <f aca="false">K2507</f>
        <v>88.3739650778945</v>
      </c>
    </row>
    <row r="2596" customFormat="false" ht="15" hidden="false" customHeight="false" outlineLevel="0" collapsed="false">
      <c r="A2596" s="5" t="s">
        <v>302</v>
      </c>
      <c r="G2596" s="25" t="n">
        <f aca="false">CHOOSE($C$2477,Assumptions!$G$68,Assumptions!$G$87,Assumptions!$G$106)</f>
        <v>0</v>
      </c>
      <c r="H2596" s="25" t="n">
        <f aca="false">CHOOSE($C$2477,Assumptions!$H$68,Assumptions!$H$87,Assumptions!$H$106)</f>
        <v>0</v>
      </c>
      <c r="I2596" s="25" t="n">
        <f aca="false">CHOOSE($C$2477,Assumptions!$I$68,Assumptions!$I$87,Assumptions!$I$106)</f>
        <v>0</v>
      </c>
      <c r="J2596" s="25" t="n">
        <f aca="false">CHOOSE($C$2477,Assumptions!$J$68,Assumptions!$J$87,Assumptions!$J$106)</f>
        <v>0</v>
      </c>
      <c r="K2596" s="25" t="n">
        <f aca="false">CHOOSE($C$2477,Assumptions!$K$68,Assumptions!$K$87,Assumptions!$K$106)</f>
        <v>0</v>
      </c>
    </row>
    <row r="2597" customFormat="false" ht="15" hidden="false" customHeight="false" outlineLevel="0" collapsed="false">
      <c r="A2597" s="5" t="s">
        <v>303</v>
      </c>
      <c r="G2597" s="25" t="n">
        <f aca="false">G2526+G2539+G2552+G2565</f>
        <v>5.2</v>
      </c>
      <c r="H2597" s="25" t="n">
        <f aca="false">H2526+H2539+H2552+H2565</f>
        <v>5.2</v>
      </c>
      <c r="I2597" s="25" t="n">
        <f aca="false">I2526+I2539+I2552+I2565</f>
        <v>5.2</v>
      </c>
      <c r="J2597" s="25" t="n">
        <f aca="false">J2526+J2539+J2552+J2565</f>
        <v>5.2</v>
      </c>
      <c r="K2597" s="25" t="n">
        <f aca="false">K2526+K2539+K2552+K2565</f>
        <v>5.2</v>
      </c>
    </row>
    <row r="2598" customFormat="false" ht="15" hidden="false" customHeight="false" outlineLevel="0" collapsed="false">
      <c r="A2598" s="2" t="s">
        <v>304</v>
      </c>
      <c r="G2598" s="16" t="n">
        <f aca="false">G2594+G2595+G2596-G2597</f>
        <v>106.058</v>
      </c>
      <c r="H2598" s="16" t="n">
        <f aca="false">H2594+H2595+H2596-H2597</f>
        <v>71.37731225</v>
      </c>
      <c r="I2598" s="16" t="n">
        <f aca="false">I2594+I2595+I2596-I2597</f>
        <v>71.186759860625</v>
      </c>
      <c r="J2598" s="16" t="n">
        <f aca="false">J2594+J2595+J2596-J2597</f>
        <v>74.7661237191266</v>
      </c>
      <c r="K2598" s="16" t="n">
        <f aca="false">K2594+K2595+K2596-K2597</f>
        <v>83.1739650778945</v>
      </c>
    </row>
    <row r="2599" customFormat="false" ht="15" hidden="false" customHeight="false" outlineLevel="0" collapsed="false">
      <c r="A2599" s="5" t="s">
        <v>305</v>
      </c>
      <c r="G2599" s="25" t="n">
        <f aca="false">G2527+G2540+G2553+G2566</f>
        <v>0</v>
      </c>
      <c r="H2599" s="25" t="n">
        <f aca="false">H2527+H2540+H2553+H2566</f>
        <v>0</v>
      </c>
      <c r="I2599" s="25" t="n">
        <f aca="false">I2527+I2540+I2553+I2566</f>
        <v>0</v>
      </c>
      <c r="J2599" s="25" t="n">
        <f aca="false">J2527+J2540+J2553+J2566</f>
        <v>0</v>
      </c>
      <c r="K2599" s="25" t="n">
        <f aca="false">K2527+K2540+K2553+K2566</f>
        <v>0</v>
      </c>
    </row>
    <row r="2600" customFormat="false" ht="15" hidden="false" customHeight="false" outlineLevel="0" collapsed="false">
      <c r="A2600" s="2" t="s">
        <v>306</v>
      </c>
      <c r="G2600" s="16" t="n">
        <f aca="false">G2598+G2599</f>
        <v>106.058</v>
      </c>
      <c r="H2600" s="16" t="n">
        <f aca="false">H2598+H2599</f>
        <v>71.37731225</v>
      </c>
      <c r="I2600" s="16" t="n">
        <f aca="false">I2598+I2599</f>
        <v>71.186759860625</v>
      </c>
      <c r="J2600" s="16" t="n">
        <f aca="false">J2598+J2599</f>
        <v>74.7661237191266</v>
      </c>
      <c r="K2600" s="16" t="n">
        <f aca="false">K2598+K2599</f>
        <v>83.1739650778945</v>
      </c>
    </row>
    <row r="2601" customFormat="false" ht="15" hidden="false" customHeight="false" outlineLevel="0" collapsed="false">
      <c r="A2601" s="5" t="s">
        <v>307</v>
      </c>
      <c r="G2601" s="25" t="n">
        <f aca="false">G2528+G2541+G2554+G2567</f>
        <v>0</v>
      </c>
      <c r="H2601" s="25" t="n">
        <f aca="false">H2528+H2541+H2554+H2567</f>
        <v>71.37731225</v>
      </c>
      <c r="I2601" s="25" t="n">
        <f aca="false">I2528+I2541+I2554+I2567</f>
        <v>71.186759860625</v>
      </c>
      <c r="J2601" s="25" t="n">
        <f aca="false">J2528+J2541+J2554+J2567</f>
        <v>74.7661237191266</v>
      </c>
      <c r="K2601" s="25" t="n">
        <f aca="false">K2528+K2541+K2554+K2567</f>
        <v>0</v>
      </c>
    </row>
    <row r="2602" customFormat="false" ht="15" hidden="false" customHeight="false" outlineLevel="0" collapsed="false">
      <c r="A2602" s="2" t="s">
        <v>308</v>
      </c>
      <c r="G2602" s="16" t="n">
        <f aca="false">G2600-G2601</f>
        <v>106.058</v>
      </c>
      <c r="H2602" s="16" t="n">
        <f aca="false">H2600-H2601</f>
        <v>0</v>
      </c>
      <c r="I2602" s="16" t="n">
        <f aca="false">I2600-I2601</f>
        <v>0</v>
      </c>
      <c r="J2602" s="16" t="n">
        <f aca="false">J2600-J2601</f>
        <v>0</v>
      </c>
      <c r="K2602" s="16" t="n">
        <f aca="false">K2600-K2601</f>
        <v>83.1739650778945</v>
      </c>
    </row>
    <row r="2603" customFormat="false" ht="15" hidden="false" customHeight="false" outlineLevel="0" collapsed="false">
      <c r="A2603" s="5" t="s">
        <v>309</v>
      </c>
      <c r="G2603" s="25" t="n">
        <f aca="false">MAX(0,-G2602)</f>
        <v>0</v>
      </c>
      <c r="H2603" s="25" t="n">
        <f aca="false">MAX(0,-H2602)</f>
        <v>-0</v>
      </c>
      <c r="I2603" s="25" t="n">
        <f aca="false">MAX(0,-I2602)</f>
        <v>-0</v>
      </c>
      <c r="J2603" s="25" t="n">
        <f aca="false">MAX(0,-J2602)</f>
        <v>-0</v>
      </c>
      <c r="K2603" s="25" t="n">
        <f aca="false">MAX(0,-K2602)</f>
        <v>0</v>
      </c>
    </row>
    <row r="2604" customFormat="false" ht="15" hidden="false" customHeight="false" outlineLevel="0" collapsed="false">
      <c r="A2604" s="5" t="s">
        <v>310</v>
      </c>
      <c r="G2604" s="25" t="n">
        <f aca="false">MAX(0,G2602-Assumptions!$C$12)*Assumptions!$C$13</f>
        <v>106.058</v>
      </c>
      <c r="H2604" s="25" t="n">
        <f aca="false">MAX(0,H2602-Assumptions!$C$12)*Assumptions!$C$13</f>
        <v>0</v>
      </c>
      <c r="I2604" s="25" t="n">
        <f aca="false">MAX(0,I2602-Assumptions!$C$12)*Assumptions!$C$13</f>
        <v>0</v>
      </c>
      <c r="J2604" s="25" t="n">
        <f aca="false">MAX(0,J2602-Assumptions!$C$12)*Assumptions!$C$13</f>
        <v>0</v>
      </c>
      <c r="K2604" s="25" t="n">
        <f aca="false">MAX(0,K2602-Assumptions!$C$12)*Assumptions!$C$13</f>
        <v>83.1739650778945</v>
      </c>
    </row>
    <row r="2605" customFormat="false" ht="15" hidden="false" customHeight="false" outlineLevel="0" collapsed="false">
      <c r="A2605" s="5" t="s">
        <v>311</v>
      </c>
      <c r="G2605" s="25" t="n">
        <f aca="false">G2529+G2542+G2555+G2568</f>
        <v>106.058</v>
      </c>
      <c r="H2605" s="25" t="n">
        <f aca="false">H2529+H2542+H2555+H2568</f>
        <v>0</v>
      </c>
      <c r="I2605" s="25" t="n">
        <f aca="false">I2529+I2542+I2555+I2568</f>
        <v>0</v>
      </c>
      <c r="J2605" s="25" t="n">
        <f aca="false">J2529+J2542+J2555+J2568</f>
        <v>0</v>
      </c>
      <c r="K2605" s="25" t="n">
        <f aca="false">K2529+K2542+K2555+K2568</f>
        <v>2.56468774999995</v>
      </c>
    </row>
    <row r="2606" customFormat="false" ht="15" hidden="false" customHeight="false" outlineLevel="0" collapsed="false">
      <c r="A2606" s="2" t="s">
        <v>312</v>
      </c>
      <c r="F2606" s="27" t="n">
        <f aca="false">Assumptions!$C$11</f>
        <v>45</v>
      </c>
      <c r="G2606" s="16" t="n">
        <f aca="false">G2602-G2605</f>
        <v>0</v>
      </c>
      <c r="H2606" s="16" t="n">
        <f aca="false">H2602-H2605</f>
        <v>0</v>
      </c>
      <c r="I2606" s="16" t="n">
        <f aca="false">I2602-I2605</f>
        <v>0</v>
      </c>
      <c r="J2606" s="16" t="n">
        <f aca="false">J2602-J2605</f>
        <v>0</v>
      </c>
      <c r="K2606" s="16" t="n">
        <f aca="false">K2602-K2605</f>
        <v>80.6092773278946</v>
      </c>
    </row>
    <row r="2607" customFormat="false" ht="15" hidden="false" customHeight="false" outlineLevel="0" collapsed="false">
      <c r="A2607" s="5" t="s">
        <v>313</v>
      </c>
      <c r="G2607" s="25" t="n">
        <f aca="false">G2530+G2543+G2556+G2569</f>
        <v>0</v>
      </c>
      <c r="H2607" s="25" t="n">
        <f aca="false">H2530+H2543+H2556+H2569</f>
        <v>0</v>
      </c>
      <c r="I2607" s="25" t="n">
        <f aca="false">I2530+I2543+I2556+I2569</f>
        <v>0</v>
      </c>
      <c r="J2607" s="25" t="n">
        <f aca="false">J2530+J2543+J2556+J2569</f>
        <v>0</v>
      </c>
      <c r="K2607" s="25" t="n">
        <f aca="false">K2530+K2543+K2556+K2569</f>
        <v>0</v>
      </c>
    </row>
    <row r="2608" customFormat="false" ht="15" hidden="false" customHeight="false" outlineLevel="0" collapsed="false">
      <c r="A2608" s="5" t="s">
        <v>314</v>
      </c>
      <c r="G2608" s="20" t="n">
        <f aca="false">IF(OR(G2603&gt;0.001,G2607&gt;0.001),1,0)</f>
        <v>0</v>
      </c>
      <c r="H2608" s="20" t="n">
        <f aca="false">IF(OR(H2603&gt;0.001,H2607&gt;0.001),1,0)</f>
        <v>0</v>
      </c>
      <c r="I2608" s="20" t="n">
        <f aca="false">IF(OR(I2603&gt;0.001,I2607&gt;0.001),1,0)</f>
        <v>0</v>
      </c>
      <c r="J2608" s="20" t="n">
        <f aca="false">IF(OR(J2603&gt;0.001,J2607&gt;0.001),1,0)</f>
        <v>0</v>
      </c>
      <c r="K2608" s="20" t="n">
        <f aca="false">IF(OR(K2603&gt;0.001,K2607&gt;0.001),1,0)</f>
        <v>0</v>
      </c>
    </row>
    <row r="2609" customFormat="false" ht="15" hidden="false" customHeight="false" outlineLevel="0" collapsed="false">
      <c r="A2609" s="5" t="s">
        <v>315</v>
      </c>
      <c r="G2609" s="20" t="n">
        <f aca="false">IF(G2608=1,1,0)</f>
        <v>0</v>
      </c>
      <c r="H2609" s="20" t="n">
        <f aca="false">IF(AND(H2608=1,SUM($G$2608:G2608)=0),1,0)</f>
        <v>0</v>
      </c>
      <c r="I2609" s="20" t="n">
        <f aca="false">IF(AND(I2608=1,SUM($G$2608:H2608)=0),1,0)</f>
        <v>0</v>
      </c>
      <c r="J2609" s="20" t="n">
        <f aca="false">IF(AND(J2608=1,SUM($G$2608:I2608)=0),1,0)</f>
        <v>0</v>
      </c>
      <c r="K2609" s="20" t="n">
        <f aca="false">IF(AND(K2608=1,SUM($G$2608:J2608)=0),1,0)</f>
        <v>0</v>
      </c>
    </row>
    <row r="2610" customFormat="false" ht="15" hidden="false" customHeight="false" outlineLevel="0" collapsed="false">
      <c r="A2610" s="5" t="s">
        <v>316</v>
      </c>
      <c r="G2610" s="25" t="n">
        <f aca="false">(G2572-F2572)-(G2599+G2499-G2597-G2601-G2605)</f>
        <v>0</v>
      </c>
      <c r="H2610" s="25" t="n">
        <f aca="false">(H2572-G2572)-(H2599+H2499-H2597-H2601-H2605)</f>
        <v>0</v>
      </c>
      <c r="I2610" s="25" t="n">
        <f aca="false">(I2572-H2572)-(I2599+I2499-I2597-I2601-I2605)</f>
        <v>0</v>
      </c>
      <c r="J2610" s="25" t="n">
        <f aca="false">(J2572-I2572)-(J2599+J2499-J2597-J2601-J2605)</f>
        <v>0</v>
      </c>
      <c r="K2610" s="25" t="n">
        <f aca="false">(K2572-J2572)-(K2599+K2499-K2597-K2601-K2605)</f>
        <v>-5.95079541199084E-014</v>
      </c>
    </row>
    <row r="2612" customFormat="false" ht="15" hidden="false" customHeight="false" outlineLevel="0" collapsed="false">
      <c r="A2612" s="23" t="s">
        <v>318</v>
      </c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</row>
    <row r="2613" customFormat="false" ht="15" hidden="false" customHeight="false" outlineLevel="0" collapsed="false">
      <c r="A2613" s="5" t="s">
        <v>319</v>
      </c>
      <c r="G2613" s="25" t="n">
        <f aca="false">G2572</f>
        <v>1138.742</v>
      </c>
      <c r="H2613" s="25" t="n">
        <f aca="false">H2572</f>
        <v>1062.16468775</v>
      </c>
      <c r="I2613" s="25" t="n">
        <f aca="false">I2572</f>
        <v>985.777927889375</v>
      </c>
      <c r="J2613" s="25" t="n">
        <f aca="false">J2572</f>
        <v>905.811804170248</v>
      </c>
      <c r="K2613" s="25" t="n">
        <f aca="false">K2572</f>
        <v>898.047116420248</v>
      </c>
    </row>
    <row r="2614" customFormat="false" ht="15" hidden="false" customHeight="false" outlineLevel="0" collapsed="false">
      <c r="A2614" s="5" t="s">
        <v>320</v>
      </c>
      <c r="G2614" s="25" t="n">
        <f aca="false">Assumptions!$O$53*G2531+Assumptions!$O$54*G2544+Assumptions!$O$55*G2557+Assumptions!$O$56*G2570</f>
        <v>838.742</v>
      </c>
      <c r="H2614" s="25" t="n">
        <f aca="false">Assumptions!$O$53*H2531+Assumptions!$O$54*H2544+Assumptions!$O$55*H2557+Assumptions!$O$56*H2570</f>
        <v>762.16468775</v>
      </c>
      <c r="I2614" s="25" t="n">
        <f aca="false">Assumptions!$O$53*I2531+Assumptions!$O$54*I2544+Assumptions!$O$55*I2557+Assumptions!$O$56*I2570</f>
        <v>685.777927889375</v>
      </c>
      <c r="J2614" s="25" t="n">
        <f aca="false">Assumptions!$O$53*J2531+Assumptions!$O$54*J2544+Assumptions!$O$55*J2557+Assumptions!$O$56*J2570</f>
        <v>605.811804170248</v>
      </c>
      <c r="K2614" s="25" t="n">
        <f aca="false">Assumptions!$O$53*K2531+Assumptions!$O$54*K2544+Assumptions!$O$55*K2557+Assumptions!$O$56*K2570</f>
        <v>598.047116420248</v>
      </c>
    </row>
    <row r="2615" customFormat="false" ht="15" hidden="false" customHeight="false" outlineLevel="0" collapsed="false">
      <c r="A2615" s="5" t="s">
        <v>321</v>
      </c>
      <c r="G2615" s="25" t="n">
        <f aca="false">G2613-G2606</f>
        <v>1138.742</v>
      </c>
      <c r="H2615" s="25" t="n">
        <f aca="false">H2613-H2606</f>
        <v>1062.16468775</v>
      </c>
      <c r="I2615" s="25" t="n">
        <f aca="false">I2613-I2606</f>
        <v>985.777927889375</v>
      </c>
      <c r="J2615" s="25" t="n">
        <f aca="false">J2613-J2606</f>
        <v>905.811804170248</v>
      </c>
      <c r="K2615" s="25" t="n">
        <f aca="false">K2613-K2606</f>
        <v>817.437839092354</v>
      </c>
    </row>
    <row r="2616" customFormat="false" ht="15" hidden="false" customHeight="false" outlineLevel="0" collapsed="false">
      <c r="A2616" s="5" t="s">
        <v>322</v>
      </c>
      <c r="G2616" s="31" t="n">
        <f aca="false">IF(G2494&gt;0,G2613/G2494,0)</f>
        <v>4.56446208112875</v>
      </c>
      <c r="H2616" s="31" t="n">
        <f aca="false">IF(H2494&gt;0,H2613/H2494,0)</f>
        <v>4.22013603318976</v>
      </c>
      <c r="I2616" s="31" t="n">
        <f aca="false">IF(I2494&gt;0,I2613/I2494,0)</f>
        <v>3.88361139230448</v>
      </c>
      <c r="J2616" s="31" t="n">
        <f aca="false">IF(J2494&gt;0,J2613/J2494,0)</f>
        <v>3.53967164625067</v>
      </c>
      <c r="K2616" s="31" t="n">
        <f aca="false">IF(K2494&gt;0,K2613/K2494,0)</f>
        <v>3.48203766484122</v>
      </c>
    </row>
    <row r="2617" customFormat="false" ht="15" hidden="false" customHeight="false" outlineLevel="0" collapsed="false">
      <c r="A2617" s="5" t="s">
        <v>323</v>
      </c>
      <c r="G2617" s="31" t="n">
        <f aca="false">IF(G2494&gt;0,G2615/G2494,0)</f>
        <v>4.56446208112875</v>
      </c>
      <c r="H2617" s="31" t="n">
        <f aca="false">IF(H2494&gt;0,H2615/H2494,0)</f>
        <v>4.22013603318976</v>
      </c>
      <c r="I2617" s="31" t="n">
        <f aca="false">IF(I2494&gt;0,I2615/I2494,0)</f>
        <v>3.88361139230448</v>
      </c>
      <c r="J2617" s="31" t="n">
        <f aca="false">IF(J2494&gt;0,J2615/J2494,0)</f>
        <v>3.53967164625067</v>
      </c>
      <c r="K2617" s="31" t="n">
        <f aca="false">IF(K2494&gt;0,K2615/K2494,0)</f>
        <v>3.16948776110097</v>
      </c>
    </row>
    <row r="2618" customFormat="false" ht="15" hidden="false" customHeight="false" outlineLevel="0" collapsed="false">
      <c r="A2618" s="5" t="s">
        <v>324</v>
      </c>
      <c r="G2618" s="31" t="n">
        <f aca="false">IF(G2498&gt;0,G2494/G2498,0)</f>
        <v>2.09576612903226</v>
      </c>
      <c r="H2618" s="31" t="n">
        <f aca="false">IF(H2498&gt;0,H2494/H2498,0)</f>
        <v>2.33237001667949</v>
      </c>
      <c r="I2618" s="31" t="n">
        <f aca="false">IF(I2498&gt;0,I2494/I2498,0)</f>
        <v>2.29248134321749</v>
      </c>
      <c r="J2618" s="31" t="n">
        <f aca="false">IF(J2498&gt;0,J2494/J2498,0)</f>
        <v>2.35995229410439</v>
      </c>
      <c r="K2618" s="31" t="n">
        <f aca="false">IF(K2498&gt;0,K2494/K2498,0)</f>
        <v>2.58842149154343</v>
      </c>
    </row>
    <row r="2619" customFormat="false" ht="15" hidden="false" customHeight="false" outlineLevel="0" collapsed="false">
      <c r="A2619" s="5" t="s">
        <v>325</v>
      </c>
      <c r="G2619" s="31" t="n">
        <f aca="false">IF(G2498&gt;0,G2497/G2498,0)</f>
        <v>1.65665322580645</v>
      </c>
      <c r="H2619" s="31" t="n">
        <f aca="false">IF(H2498&gt;0,H2497/H2498,0)</f>
        <v>1.85281730296969</v>
      </c>
      <c r="I2619" s="31" t="n">
        <f aca="false">IF(I2498&gt;0,I2497/I2498,0)</f>
        <v>1.82977868678827</v>
      </c>
      <c r="J2619" s="31" t="n">
        <f aca="false">IF(J2498&gt;0,J2497/J2498,0)</f>
        <v>1.89221400157919</v>
      </c>
      <c r="K2619" s="31" t="n">
        <f aca="false">IF(K2498&gt;0,K2497/K2498,0)</f>
        <v>2.08448102416329</v>
      </c>
    </row>
    <row r="2620" customFormat="false" ht="15" hidden="false" customHeight="false" outlineLevel="0" collapsed="false">
      <c r="A2620" s="5" t="s">
        <v>182</v>
      </c>
      <c r="G2620" s="21" t="n">
        <f aca="false">IF(G2613&gt;0,G2507/G2613,0)</f>
        <v>0.0581852605770227</v>
      </c>
      <c r="H2620" s="21" t="n">
        <f aca="false">IF(H2613&gt;0,H2507/H2613,0)</f>
        <v>0.0720955169505917</v>
      </c>
      <c r="I2620" s="21" t="n">
        <f aca="false">IF(I2613&gt;0,I2507/I2613,0)</f>
        <v>0.0774888113230277</v>
      </c>
      <c r="J2620" s="21" t="n">
        <f aca="false">IF(J2613&gt;0,J2507/J2613,0)</f>
        <v>0.08828116762331</v>
      </c>
      <c r="K2620" s="21" t="n">
        <f aca="false">IF(K2613&gt;0,K2507/K2613,0)</f>
        <v>0.098406824610903</v>
      </c>
    </row>
    <row r="2621" customFormat="false" ht="15" hidden="false" customHeight="false" outlineLevel="0" collapsed="false">
      <c r="A2621" s="5" t="s">
        <v>326</v>
      </c>
      <c r="G2621" s="31" t="n">
        <f aca="false">IF(G2498+G2597&gt;0,(G2494-G2505-G2502)/(G2498+G2597),0)</f>
        <v>1.46827108821636</v>
      </c>
      <c r="H2621" s="31" t="n">
        <f aca="false">IF(H2498+H2597&gt;0,(H2494-H2505-H2502)/(H2498+H2597),0)</f>
        <v>1.60582768080896</v>
      </c>
      <c r="I2621" s="31" t="n">
        <f aca="false">IF(I2498+I2597&gt;0,(I2494-I2505-I2502)/(I2498+I2597),0)</f>
        <v>1.58973733947099</v>
      </c>
      <c r="J2621" s="31" t="n">
        <f aca="false">IF(J2498+J2597&gt;0,(J2494-J2505-J2502)/(J2498+J2597),0)</f>
        <v>1.63335504269882</v>
      </c>
      <c r="K2621" s="31" t="n">
        <f aca="false">IF(K2498+K2597&gt;0,(K2494-K2505-K2502)/(K2498+K2597),0)</f>
        <v>1.76695904828807</v>
      </c>
    </row>
    <row r="2622" customFormat="false" ht="15" hidden="false" customHeight="false" outlineLevel="0" collapsed="false">
      <c r="A2622" s="5" t="s">
        <v>327</v>
      </c>
      <c r="G2622" s="25" t="n">
        <f aca="false">MAX(0,G2606)+Assumptions!$P$53*MAX(0,Assumptions!$D$53-G2531)+Assumptions!$P$54*MAX(0,Assumptions!$D$54-G2544)+Assumptions!$P$55*MAX(0,Assumptions!$D$55-G2557)+Assumptions!$P$56*MAX(0,Assumptions!$D$56-G2570)</f>
        <v>226.058</v>
      </c>
      <c r="H2622" s="25" t="n">
        <f aca="false">MAX(0,H2606)+Assumptions!$P$53*MAX(0,Assumptions!$D$53-H2531)+Assumptions!$P$54*MAX(0,Assumptions!$D$54-H2544)+Assumptions!$P$55*MAX(0,Assumptions!$D$55-H2557)+Assumptions!$P$56*MAX(0,Assumptions!$D$56-H2570)</f>
        <v>297.43531225</v>
      </c>
      <c r="I2622" s="25" t="n">
        <f aca="false">MAX(0,I2606)+Assumptions!$P$53*MAX(0,Assumptions!$D$53-I2531)+Assumptions!$P$54*MAX(0,Assumptions!$D$54-I2544)+Assumptions!$P$55*MAX(0,Assumptions!$D$55-I2557)+Assumptions!$P$56*MAX(0,Assumptions!$D$56-I2570)</f>
        <v>297.43531225</v>
      </c>
      <c r="J2622" s="25" t="n">
        <f aca="false">MAX(0,J2606)+Assumptions!$P$53*MAX(0,Assumptions!$D$53-J2531)+Assumptions!$P$54*MAX(0,Assumptions!$D$54-J2544)+Assumptions!$P$55*MAX(0,Assumptions!$D$55-J2557)+Assumptions!$P$56*MAX(0,Assumptions!$D$56-J2570)</f>
        <v>297.43531225</v>
      </c>
      <c r="K2622" s="25" t="n">
        <f aca="false">MAX(0,K2606)+Assumptions!$P$53*MAX(0,Assumptions!$D$53-K2531)+Assumptions!$P$54*MAX(0,Assumptions!$D$54-K2544)+Assumptions!$P$55*MAX(0,Assumptions!$D$55-K2557)+Assumptions!$P$56*MAX(0,Assumptions!$D$56-K2570)</f>
        <v>380.609277327895</v>
      </c>
    </row>
    <row r="2623" customFormat="false" ht="15" hidden="false" customHeight="false" outlineLevel="0" collapsed="false">
      <c r="A2623" s="5" t="s">
        <v>328</v>
      </c>
      <c r="G2623" s="21" t="n">
        <f aca="false">IF(G2613&gt;0,G2613/(G2613+MAX(0,G2494*CHOOSE($C$2477,Assumptions!$C$76,Assumptions!$C$95,Assumptions!$C$114)-G2615)),0)</f>
        <v>0.702224935558269</v>
      </c>
      <c r="H2623" s="21" t="n">
        <f aca="false">IF(H2613&gt;0,H2613/(H2613+MAX(0,H2494*CHOOSE($C$2477,Assumptions!$C$76,Assumptions!$C$95,Assumptions!$C$114)-H2615)),0)</f>
        <v>0.649251697413809</v>
      </c>
      <c r="I2623" s="21" t="n">
        <f aca="false">IF(I2613&gt;0,I2613/(I2613+MAX(0,I2494*CHOOSE($C$2477,Assumptions!$C$76,Assumptions!$C$95,Assumptions!$C$114)-I2615)),0)</f>
        <v>0.597478675739151</v>
      </c>
      <c r="J2623" s="21" t="n">
        <f aca="false">IF(J2613&gt;0,J2613/(J2613+MAX(0,J2494*CHOOSE($C$2477,Assumptions!$C$76,Assumptions!$C$95,Assumptions!$C$114)-J2615)),0)</f>
        <v>0.54456486865395</v>
      </c>
      <c r="K2623" s="21" t="n">
        <f aca="false">IF(K2613&gt;0,K2613/(K2613+MAX(0,K2494*CHOOSE($C$2477,Assumptions!$C$76,Assumptions!$C$95,Assumptions!$C$114)-K2615)),0)</f>
        <v>0.511121050713992</v>
      </c>
    </row>
    <row r="2624" customFormat="false" ht="15" hidden="false" customHeight="false" outlineLevel="0" collapsed="false">
      <c r="A2624" s="5" t="s">
        <v>329</v>
      </c>
      <c r="G2624" s="21" t="n">
        <f aca="false">IF(G2613&gt;0,MAX(0,G2606)/G2613,0)</f>
        <v>0</v>
      </c>
      <c r="H2624" s="21" t="n">
        <f aca="false">IF(H2613&gt;0,MAX(0,H2606)/H2613,0)</f>
        <v>0</v>
      </c>
      <c r="I2624" s="21" t="n">
        <f aca="false">IF(I2613&gt;0,MAX(0,I2606)/I2613,0)</f>
        <v>0</v>
      </c>
      <c r="J2624" s="21" t="n">
        <f aca="false">IF(J2613&gt;0,MAX(0,J2606)/J2613,0)</f>
        <v>0</v>
      </c>
      <c r="K2624" s="21" t="n">
        <f aca="false">IF(K2613&gt;0,MAX(0,K2606)/K2613,0)</f>
        <v>0.0897606326594704</v>
      </c>
    </row>
    <row r="2625" customFormat="false" ht="15" hidden="false" customHeight="false" outlineLevel="0" collapsed="false">
      <c r="A2625" s="5" t="s">
        <v>330</v>
      </c>
      <c r="G2625" s="25" t="n">
        <f aca="false">Assumptions!$C$27*(1-CHOOSE($C$2477,Assumptions!$C$79,Assumptions!$C$98,Assumptions!$C$117))</f>
        <v>1040</v>
      </c>
      <c r="H2625" s="25" t="n">
        <f aca="false">Assumptions!$C$27*(1-CHOOSE($C$2477,Assumptions!$C$79,Assumptions!$C$98,Assumptions!$C$117))</f>
        <v>1040</v>
      </c>
      <c r="I2625" s="25" t="n">
        <f aca="false">Assumptions!$C$27*(1-CHOOSE($C$2477,Assumptions!$C$79,Assumptions!$C$98,Assumptions!$C$117))</f>
        <v>1040</v>
      </c>
      <c r="J2625" s="25" t="n">
        <f aca="false">Assumptions!$C$27*(1-CHOOSE($C$2477,Assumptions!$C$79,Assumptions!$C$98,Assumptions!$C$117))</f>
        <v>1040</v>
      </c>
      <c r="K2625" s="25" t="n">
        <f aca="false">Assumptions!$C$27*(1-CHOOSE($C$2477,Assumptions!$C$79,Assumptions!$C$98,Assumptions!$C$117))</f>
        <v>1040</v>
      </c>
    </row>
    <row r="2626" customFormat="false" ht="15" hidden="false" customHeight="false" outlineLevel="0" collapsed="false">
      <c r="A2626" s="23" t="s">
        <v>331</v>
      </c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</row>
    <row r="2627" customFormat="false" ht="15" hidden="false" customHeight="false" outlineLevel="0" collapsed="false">
      <c r="A2627" s="23" t="s">
        <v>332</v>
      </c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</row>
    <row r="2628" customFormat="false" ht="15" hidden="false" customHeight="false" outlineLevel="0" collapsed="false">
      <c r="A2628" s="5" t="s">
        <v>333</v>
      </c>
      <c r="G2628" s="31" t="n">
        <f aca="false">IF(G2494&gt;0,G2615/G2494,99)</f>
        <v>4.56446208112875</v>
      </c>
      <c r="H2628" s="31" t="n">
        <f aca="false">IF(H2494&gt;0,H2615/H2494,99)</f>
        <v>4.22013603318976</v>
      </c>
      <c r="I2628" s="31" t="n">
        <f aca="false">IF(I2494&gt;0,I2615/I2494,99)</f>
        <v>3.88361139230448</v>
      </c>
      <c r="J2628" s="31" t="n">
        <f aca="false">IF(J2494&gt;0,J2615/J2494,99)</f>
        <v>3.53967164625067</v>
      </c>
      <c r="K2628" s="31" t="n">
        <f aca="false">IF(K2494&gt;0,K2615/K2494,99)</f>
        <v>3.16948776110097</v>
      </c>
    </row>
    <row r="2629" customFormat="false" ht="15" hidden="false" customHeight="false" outlineLevel="0" collapsed="false">
      <c r="A2629" s="5" t="s">
        <v>334</v>
      </c>
      <c r="G2629" s="32" t="n">
        <f aca="false">Assumptions!$G$61</f>
        <v>8.5</v>
      </c>
      <c r="H2629" s="32" t="n">
        <f aca="false">Assumptions!$H$61</f>
        <v>8.5</v>
      </c>
      <c r="I2629" s="32" t="n">
        <f aca="false">Assumptions!$I$61</f>
        <v>8.5</v>
      </c>
      <c r="J2629" s="32" t="n">
        <f aca="false">Assumptions!$J$61</f>
        <v>8.5</v>
      </c>
      <c r="K2629" s="32" t="n">
        <f aca="false">Assumptions!$K$61</f>
        <v>8.5</v>
      </c>
    </row>
    <row r="2630" customFormat="false" ht="15" hidden="false" customHeight="false" outlineLevel="0" collapsed="false">
      <c r="A2630" s="5" t="s">
        <v>335</v>
      </c>
      <c r="G2630" s="31" t="n">
        <f aca="false">G2629-G2628</f>
        <v>3.93553791887125</v>
      </c>
      <c r="H2630" s="31" t="n">
        <f aca="false">H2629-H2628</f>
        <v>4.27986396681024</v>
      </c>
      <c r="I2630" s="31" t="n">
        <f aca="false">I2629-I2628</f>
        <v>4.61638860769552</v>
      </c>
      <c r="J2630" s="31" t="n">
        <f aca="false">J2629-J2628</f>
        <v>4.96032835374933</v>
      </c>
      <c r="K2630" s="31" t="n">
        <f aca="false">K2629-K2628</f>
        <v>5.33051223889903</v>
      </c>
    </row>
    <row r="2631" customFormat="false" ht="15" hidden="false" customHeight="false" outlineLevel="0" collapsed="false">
      <c r="A2631" s="5" t="s">
        <v>336</v>
      </c>
      <c r="G2631" s="21" t="n">
        <f aca="false">IF(G2629=0,0,G2630/ABS(G2629))</f>
        <v>0.463004461043677</v>
      </c>
      <c r="H2631" s="21" t="n">
        <f aca="false">IF(H2629=0,0,H2630/ABS(H2629))</f>
        <v>0.503513407860028</v>
      </c>
      <c r="I2631" s="21" t="n">
        <f aca="false">IF(I2629=0,0,I2630/ABS(I2629))</f>
        <v>0.543104542081826</v>
      </c>
      <c r="J2631" s="21" t="n">
        <f aca="false">IF(J2629=0,0,J2630/ABS(J2629))</f>
        <v>0.583568041617568</v>
      </c>
      <c r="K2631" s="21" t="n">
        <f aca="false">IF(K2629=0,0,K2630/ABS(K2629))</f>
        <v>0.627119086929298</v>
      </c>
    </row>
    <row r="2632" customFormat="false" ht="15" hidden="false" customHeight="false" outlineLevel="0" collapsed="false">
      <c r="A2632" s="5" t="s">
        <v>337</v>
      </c>
      <c r="G2632" s="20" t="n">
        <f aca="false">IF(G2630&lt;0,1,0)</f>
        <v>0</v>
      </c>
      <c r="H2632" s="20" t="n">
        <f aca="false">IF(H2630&lt;0,1,0)</f>
        <v>0</v>
      </c>
      <c r="I2632" s="20" t="n">
        <f aca="false">IF(I2630&lt;0,1,0)</f>
        <v>0</v>
      </c>
      <c r="J2632" s="20" t="n">
        <f aca="false">IF(J2630&lt;0,1,0)</f>
        <v>0</v>
      </c>
      <c r="K2632" s="20" t="n">
        <f aca="false">IF(K2630&lt;0,1,0)</f>
        <v>0</v>
      </c>
    </row>
    <row r="2633" customFormat="false" ht="15" hidden="false" customHeight="false" outlineLevel="0" collapsed="false">
      <c r="A2633" s="5" t="s">
        <v>338</v>
      </c>
      <c r="C2633" s="20" t="n">
        <f aca="false">IFERROR(INDEX($G$2484:$K$2484,MATCH(1,$G$2632:$K$2632,0)),0)</f>
        <v>0</v>
      </c>
    </row>
    <row r="2634" customFormat="false" ht="15" hidden="false" customHeight="false" outlineLevel="0" collapsed="false">
      <c r="A2634" s="5" t="s">
        <v>339</v>
      </c>
      <c r="C2634" s="21" t="n">
        <f aca="false">MIN($G$2631:$K$2631)</f>
        <v>0.463004461043677</v>
      </c>
    </row>
    <row r="2635" customFormat="false" ht="15" hidden="false" customHeight="false" outlineLevel="0" collapsed="false">
      <c r="A2635" s="5" t="s">
        <v>340</v>
      </c>
      <c r="G2635" s="20" t="n">
        <f aca="false">G2632</f>
        <v>0</v>
      </c>
      <c r="H2635" s="20" t="n">
        <f aca="false">H2632</f>
        <v>0</v>
      </c>
      <c r="I2635" s="20" t="n">
        <f aca="false">I2632</f>
        <v>0</v>
      </c>
      <c r="J2635" s="20" t="n">
        <f aca="false">J2632</f>
        <v>0</v>
      </c>
      <c r="K2635" s="20" t="n">
        <f aca="false">K2632</f>
        <v>0</v>
      </c>
    </row>
    <row r="2636" customFormat="false" ht="15" hidden="false" customHeight="false" outlineLevel="0" collapsed="false">
      <c r="A2636" s="5" t="s">
        <v>341</v>
      </c>
      <c r="C2636" s="20" t="n">
        <f aca="false">SUM($G$2635:$K$2635)</f>
        <v>0</v>
      </c>
    </row>
    <row r="2637" customFormat="false" ht="15" hidden="false" customHeight="false" outlineLevel="0" collapsed="false">
      <c r="A2637" s="5" t="s">
        <v>342</v>
      </c>
      <c r="C2637" s="21" t="n">
        <f aca="false">MIN(C2634)</f>
        <v>0.463004461043677</v>
      </c>
    </row>
    <row r="2639" customFormat="false" ht="15" hidden="false" customHeight="false" outlineLevel="0" collapsed="false">
      <c r="A2639" s="23" t="s">
        <v>444</v>
      </c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</row>
    <row r="2640" customFormat="false" ht="15" hidden="false" customHeight="false" outlineLevel="0" collapsed="false">
      <c r="A2640" s="5" t="s">
        <v>445</v>
      </c>
      <c r="G2640" s="20" t="n">
        <f aca="false">IF($C$2641=1,G2609,IF(G2494=MIN($G$2494:$K$2494),1,0))</f>
        <v>1</v>
      </c>
      <c r="H2640" s="20" t="n">
        <f aca="false">IF($C$2641=1,H2609,IF(AND(H2494=MIN($G$2494:$K$2494),SUM($G$2640:G2640)=0),1,0))</f>
        <v>0</v>
      </c>
      <c r="I2640" s="20" t="n">
        <f aca="false">IF($C$2641=1,I2609,IF(AND(I2494=MIN($G$2494:$K$2494),SUM($G$2640:H2640)=0),1,0))</f>
        <v>0</v>
      </c>
      <c r="J2640" s="20" t="n">
        <f aca="false">IF($C$2641=1,J2609,IF(AND(J2494=MIN($G$2494:$K$2494),SUM($G$2640:I2640)=0),1,0))</f>
        <v>0</v>
      </c>
      <c r="K2640" s="20" t="n">
        <f aca="false">IF($C$2641=1,K2609,IF(AND(K2494=MIN($G$2494:$K$2494),SUM($G$2640:J2640)=0),1,0))</f>
        <v>0</v>
      </c>
    </row>
    <row r="2641" customFormat="false" ht="15" hidden="false" customHeight="false" outlineLevel="0" collapsed="false">
      <c r="A2641" s="5" t="s">
        <v>446</v>
      </c>
      <c r="C2641" s="20" t="n">
        <f aca="false">IF(SUM($G$2609:$K$2609)&gt;0,1,0)</f>
        <v>0</v>
      </c>
    </row>
    <row r="2642" customFormat="false" ht="15" hidden="false" customHeight="false" outlineLevel="0" collapsed="false">
      <c r="A2642" s="5" t="s">
        <v>447</v>
      </c>
      <c r="C2642" s="20" t="n">
        <f aca="false">SUMPRODUCT($G$2640:$K$2640,$G$2484:$K$2484)</f>
        <v>2026</v>
      </c>
    </row>
    <row r="2643" customFormat="false" ht="15" hidden="false" customHeight="false" outlineLevel="0" collapsed="false">
      <c r="A2643" s="5" t="s">
        <v>448</v>
      </c>
      <c r="C2643" s="25" t="n">
        <f aca="false">SUMPRODUCT($G$2640:$K$2640,$G$2494:$K$2494)</f>
        <v>249.48</v>
      </c>
    </row>
    <row r="2644" customFormat="false" ht="15" hidden="false" customHeight="false" outlineLevel="0" collapsed="false">
      <c r="A2644" s="5" t="s">
        <v>449</v>
      </c>
      <c r="C2644" s="25" t="n">
        <f aca="false">MAX(0,SUMPRODUCT($G$2640:$K$2640,$G$2606:$K$2606))</f>
        <v>0</v>
      </c>
    </row>
    <row r="2645" customFormat="false" ht="15" hidden="false" customHeight="false" outlineLevel="0" collapsed="false">
      <c r="A2645" s="5" t="s">
        <v>450</v>
      </c>
      <c r="C2645" s="25" t="n">
        <f aca="false">(CHOOSE($C$2477,Assumptions!$C$78,Assumptions!$C$97,Assumptions!$C$116)+$C$2481)*C2643</f>
        <v>997.92</v>
      </c>
    </row>
    <row r="2646" customFormat="false" ht="15" hidden="false" customHeight="false" outlineLevel="0" collapsed="false">
      <c r="A2646" s="5" t="s">
        <v>451</v>
      </c>
      <c r="C2646" s="25" t="n">
        <f aca="false">Assumptions!$C$27*(1-CHOOSE($C$2477,Assumptions!$C$79,Assumptions!$C$98,Assumptions!$C$117))*CHOOSE($C$2477,Assumptions!$C$80,Assumptions!$C$99,Assumptions!$C$118)</f>
        <v>624</v>
      </c>
    </row>
    <row r="2647" customFormat="false" ht="15" hidden="false" customHeight="false" outlineLevel="0" collapsed="false">
      <c r="A2647" s="5" t="s">
        <v>452</v>
      </c>
      <c r="C2647" s="25" t="n">
        <f aca="false">MAX(C2645,C2646)+C2644</f>
        <v>997.92</v>
      </c>
    </row>
    <row r="2648" customFormat="false" ht="15" hidden="false" customHeight="false" outlineLevel="0" collapsed="false">
      <c r="A2648" s="2" t="s">
        <v>453</v>
      </c>
      <c r="C2648" s="16" t="n">
        <f aca="false">IF(ISNUMBER(Assumptions!$C$14),Assumptions!$C$14,C2647)</f>
        <v>997.92</v>
      </c>
    </row>
    <row r="2649" customFormat="false" ht="15" hidden="false" customHeight="false" outlineLevel="0" collapsed="false">
      <c r="A2649" s="5" t="s">
        <v>454</v>
      </c>
      <c r="C2649" s="25" t="n">
        <f aca="false">C2648*Assumptions!$C$15</f>
        <v>39.9168</v>
      </c>
    </row>
    <row r="2650" customFormat="false" ht="15" hidden="false" customHeight="false" outlineLevel="0" collapsed="false">
      <c r="A2650" s="2" t="s">
        <v>455</v>
      </c>
      <c r="C2650" s="16" t="n">
        <f aca="false">C2648-C2649</f>
        <v>958.0032</v>
      </c>
    </row>
    <row r="2651" customFormat="false" ht="15" hidden="false" customHeight="false" outlineLevel="0" collapsed="false">
      <c r="A2651" s="23" t="s">
        <v>456</v>
      </c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</row>
    <row r="2652" customFormat="false" ht="15" hidden="false" customHeight="false" outlineLevel="0" collapsed="false">
      <c r="A2652" s="5" t="s">
        <v>457</v>
      </c>
      <c r="C2652" s="25" t="n">
        <f aca="false">SUMPRODUCT($G$2640:$K$2640,$G$2531:$K$2531)*(1+SUMPRODUCT($G$2640:$K$2640,$G$2523:$K$2523)*Assumptions!$C$16/12)</f>
        <v>75.531753</v>
      </c>
    </row>
    <row r="2653" customFormat="false" ht="15" hidden="false" customHeight="false" outlineLevel="0" collapsed="false">
      <c r="A2653" s="5" t="s">
        <v>458</v>
      </c>
      <c r="C2653" s="25" t="n">
        <f aca="false">SUMPRODUCT($G$2640:$K$2640,$G$2544:$K$2544)*(1+SUMPRODUCT($G$2640:$K$2640,$G$2536:$K$2536)*Assumptions!$C$16/12)</f>
        <v>528.0561</v>
      </c>
    </row>
    <row r="2654" customFormat="false" ht="15" hidden="false" customHeight="false" outlineLevel="0" collapsed="false">
      <c r="A2654" s="5" t="s">
        <v>459</v>
      </c>
      <c r="C2654" s="25" t="n">
        <f aca="false">SUMPRODUCT($G$2640:$K$2640,$G$2557:$K$2557)*(1+SUMPRODUCT($G$2640:$K$2640,$G$2549:$K$2549)*Assumptions!$C$16/12)</f>
        <v>256.875</v>
      </c>
    </row>
    <row r="2655" customFormat="false" ht="15" hidden="false" customHeight="false" outlineLevel="0" collapsed="false">
      <c r="A2655" s="5" t="s">
        <v>460</v>
      </c>
      <c r="C2655" s="25" t="n">
        <f aca="false">SUMPRODUCT($G$2640:$K$2640,$G$2570:$K$2570)*(1+SUMPRODUCT($G$2640:$K$2640,$G$2562:$K$2562)*Assumptions!$C$16/12)</f>
        <v>305.625</v>
      </c>
    </row>
    <row r="2656" customFormat="false" ht="15" hidden="false" customHeight="false" outlineLevel="0" collapsed="false">
      <c r="A2656" s="23" t="s">
        <v>461</v>
      </c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</row>
    <row r="2657" customFormat="false" ht="15" hidden="false" customHeight="false" outlineLevel="0" collapsed="false">
      <c r="A2657" s="5" t="s">
        <v>457</v>
      </c>
      <c r="C2657" s="26" t="n">
        <f aca="false">Assumptions!$M$53</f>
        <v>1</v>
      </c>
    </row>
    <row r="2658" customFormat="false" ht="15" hidden="false" customHeight="false" outlineLevel="0" collapsed="false">
      <c r="A2658" s="5" t="s">
        <v>458</v>
      </c>
      <c r="C2658" s="26" t="n">
        <f aca="false">Assumptions!$M$54</f>
        <v>2</v>
      </c>
    </row>
    <row r="2659" customFormat="false" ht="15" hidden="false" customHeight="false" outlineLevel="0" collapsed="false">
      <c r="A2659" s="5" t="s">
        <v>459</v>
      </c>
      <c r="C2659" s="26" t="n">
        <f aca="false">Assumptions!$M$55</f>
        <v>3</v>
      </c>
    </row>
    <row r="2660" customFormat="false" ht="15" hidden="false" customHeight="false" outlineLevel="0" collapsed="false">
      <c r="A2660" s="5" t="s">
        <v>460</v>
      </c>
      <c r="C2660" s="26" t="n">
        <f aca="false">Assumptions!$M$56</f>
        <v>4</v>
      </c>
    </row>
    <row r="2661" customFormat="false" ht="15" hidden="false" customHeight="false" outlineLevel="0" collapsed="false">
      <c r="A2661" s="23" t="s">
        <v>462</v>
      </c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</row>
    <row r="2662" customFormat="false" ht="15" hidden="false" customHeight="false" outlineLevel="0" collapsed="false">
      <c r="A2662" s="5" t="s">
        <v>457</v>
      </c>
      <c r="C2662" s="34" t="n">
        <f aca="false">Assumptions!$Q$53</f>
        <v>0</v>
      </c>
    </row>
    <row r="2663" customFormat="false" ht="15" hidden="false" customHeight="false" outlineLevel="0" collapsed="false">
      <c r="A2663" s="5" t="s">
        <v>458</v>
      </c>
      <c r="C2663" s="34" t="n">
        <f aca="false">Assumptions!$Q$54</f>
        <v>0</v>
      </c>
    </row>
    <row r="2664" customFormat="false" ht="15" hidden="false" customHeight="false" outlineLevel="0" collapsed="false">
      <c r="A2664" s="5" t="s">
        <v>459</v>
      </c>
      <c r="C2664" s="34" t="n">
        <f aca="false">Assumptions!$Q$55</f>
        <v>0</v>
      </c>
    </row>
    <row r="2665" customFormat="false" ht="15" hidden="false" customHeight="false" outlineLevel="0" collapsed="false">
      <c r="A2665" s="5" t="s">
        <v>460</v>
      </c>
      <c r="C2665" s="34" t="n">
        <f aca="false">Assumptions!$Q$56</f>
        <v>0</v>
      </c>
    </row>
    <row r="2666" customFormat="false" ht="15" hidden="false" customHeight="false" outlineLevel="0" collapsed="false">
      <c r="A2666" s="23" t="s">
        <v>463</v>
      </c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</row>
    <row r="2667" customFormat="false" ht="15" hidden="false" customHeight="false" outlineLevel="0" collapsed="false">
      <c r="A2667" s="5" t="s">
        <v>457</v>
      </c>
      <c r="C2667" s="25" t="n">
        <f aca="false">IF(C2662&gt;0,MIN(C2652,C2662*$C$2650),0)</f>
        <v>0</v>
      </c>
    </row>
    <row r="2668" customFormat="false" ht="15" hidden="false" customHeight="false" outlineLevel="0" collapsed="false">
      <c r="A2668" s="5" t="s">
        <v>458</v>
      </c>
      <c r="C2668" s="25" t="n">
        <f aca="false">IF(C2663&gt;0,MIN(C2653,C2663*$C$2650),0)</f>
        <v>0</v>
      </c>
    </row>
    <row r="2669" customFormat="false" ht="15" hidden="false" customHeight="false" outlineLevel="0" collapsed="false">
      <c r="A2669" s="5" t="s">
        <v>459</v>
      </c>
      <c r="C2669" s="25" t="n">
        <f aca="false">IF(C2664&gt;0,MIN(C2654,C2664*$C$2650),0)</f>
        <v>0</v>
      </c>
    </row>
    <row r="2670" customFormat="false" ht="15" hidden="false" customHeight="false" outlineLevel="0" collapsed="false">
      <c r="A2670" s="5" t="s">
        <v>460</v>
      </c>
      <c r="C2670" s="25" t="n">
        <f aca="false">IF(C2665&gt;0,MIN(C2655,C2665*$C$2650),0)</f>
        <v>0</v>
      </c>
    </row>
    <row r="2671" customFormat="false" ht="15" hidden="false" customHeight="false" outlineLevel="0" collapsed="false">
      <c r="A2671" s="23" t="s">
        <v>464</v>
      </c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</row>
    <row r="2672" customFormat="false" ht="15" hidden="false" customHeight="false" outlineLevel="0" collapsed="false">
      <c r="A2672" s="5" t="s">
        <v>457</v>
      </c>
      <c r="C2672" s="25" t="n">
        <f aca="false">IF(C2662&gt;0,C2652-C2667,0)</f>
        <v>0</v>
      </c>
      <c r="G2672" s="20" t="n">
        <f aca="false">IF(AND(G2521=1,G2518=1),1,0)</f>
        <v>0</v>
      </c>
      <c r="H2672" s="20" t="n">
        <f aca="false">IF(G2672=1,1,IF(AND(H2521=1,H2518=1),1,0))</f>
        <v>1</v>
      </c>
      <c r="I2672" s="20" t="n">
        <f aca="false">IF(H2672=1,1,IF(AND(I2521=1,I2518=1),1,0))</f>
        <v>1</v>
      </c>
      <c r="J2672" s="20" t="n">
        <f aca="false">IF(I2672=1,1,IF(AND(J2521=1,J2518=1),1,0))</f>
        <v>1</v>
      </c>
      <c r="K2672" s="20" t="n">
        <f aca="false">IF(J2672=1,1,IF(AND(K2521=1,K2518=1),1,0))</f>
        <v>1</v>
      </c>
    </row>
    <row r="2673" customFormat="false" ht="15" hidden="false" customHeight="false" outlineLevel="0" collapsed="false">
      <c r="A2673" s="5" t="s">
        <v>458</v>
      </c>
      <c r="C2673" s="25" t="n">
        <f aca="false">IF(C2663&gt;0,C2653-C2668,0)</f>
        <v>0</v>
      </c>
      <c r="G2673" s="20" t="n">
        <f aca="false">IF(AND(G2534=1,G2518=1),1,0)</f>
        <v>0</v>
      </c>
      <c r="H2673" s="20" t="n">
        <f aca="false">IF(G2673=1,1,IF(AND(H2534=1,H2518=1),1,0))</f>
        <v>0</v>
      </c>
      <c r="I2673" s="20" t="n">
        <f aca="false">IF(H2673=1,1,IF(AND(I2534=1,I2518=1),1,0))</f>
        <v>1</v>
      </c>
      <c r="J2673" s="20" t="n">
        <f aca="false">IF(I2673=1,1,IF(AND(J2534=1,J2518=1),1,0))</f>
        <v>1</v>
      </c>
      <c r="K2673" s="20" t="n">
        <f aca="false">IF(J2673=1,1,IF(AND(K2534=1,K2518=1),1,0))</f>
        <v>1</v>
      </c>
    </row>
    <row r="2674" customFormat="false" ht="15" hidden="false" customHeight="false" outlineLevel="0" collapsed="false">
      <c r="A2674" s="5" t="s">
        <v>459</v>
      </c>
      <c r="C2674" s="25" t="n">
        <f aca="false">IF(C2664&gt;0,C2654-C2669,0)</f>
        <v>0</v>
      </c>
      <c r="G2674" s="20" t="n">
        <f aca="false">IF(AND(G2547=1,G2518=1),1,0)</f>
        <v>0</v>
      </c>
      <c r="H2674" s="20" t="n">
        <f aca="false">IF(G2674=1,1,IF(AND(H2547=1,H2518=1),1,0))</f>
        <v>0</v>
      </c>
      <c r="I2674" s="20" t="n">
        <f aca="false">IF(H2674=1,1,IF(AND(I2547=1,I2518=1),1,0))</f>
        <v>0</v>
      </c>
      <c r="J2674" s="20" t="n">
        <f aca="false">IF(I2674=1,1,IF(AND(J2547=1,J2518=1),1,0))</f>
        <v>1</v>
      </c>
      <c r="K2674" s="20" t="n">
        <f aca="false">IF(J2674=1,1,IF(AND(K2547=1,K2518=1),1,0))</f>
        <v>1</v>
      </c>
    </row>
    <row r="2675" customFormat="false" ht="15" hidden="false" customHeight="false" outlineLevel="0" collapsed="false">
      <c r="A2675" s="5" t="s">
        <v>460</v>
      </c>
      <c r="C2675" s="25" t="n">
        <f aca="false">IF(C2665&gt;0,C2655-C2670,0)</f>
        <v>0</v>
      </c>
      <c r="G2675" s="20" t="n">
        <f aca="false">IF(AND(G2560=1,G2518=1),1,0)</f>
        <v>0</v>
      </c>
      <c r="H2675" s="20" t="n">
        <f aca="false">IF(G2675=1,1,IF(AND(H2560=1,H2518=1),1,0))</f>
        <v>1</v>
      </c>
      <c r="I2675" s="20" t="n">
        <f aca="false">IF(H2675=1,1,IF(AND(I2560=1,I2518=1),1,0))</f>
        <v>1</v>
      </c>
      <c r="J2675" s="20" t="n">
        <f aca="false">IF(I2675=1,1,IF(AND(J2560=1,J2518=1),1,0))</f>
        <v>1</v>
      </c>
      <c r="K2675" s="20" t="n">
        <f aca="false">IF(J2675=1,1,IF(AND(K2560=1,K2518=1),1,0))</f>
        <v>1</v>
      </c>
    </row>
    <row r="2676" customFormat="false" ht="15" hidden="false" customHeight="false" outlineLevel="0" collapsed="false">
      <c r="A2676" s="23" t="s">
        <v>465</v>
      </c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</row>
    <row r="2677" customFormat="false" ht="15" hidden="false" customHeight="false" outlineLevel="0" collapsed="false">
      <c r="A2677" s="5" t="s">
        <v>457</v>
      </c>
      <c r="C2677" s="25" t="n">
        <f aca="false">IF(C2662&gt;0,C2672,C2652)</f>
        <v>75.531753</v>
      </c>
    </row>
    <row r="2678" customFormat="false" ht="15" hidden="false" customHeight="false" outlineLevel="0" collapsed="false">
      <c r="A2678" s="5" t="s">
        <v>458</v>
      </c>
      <c r="C2678" s="25" t="n">
        <f aca="false">IF(C2663&gt;0,C2673,C2653)</f>
        <v>528.0561</v>
      </c>
    </row>
    <row r="2679" customFormat="false" ht="15" hidden="false" customHeight="false" outlineLevel="0" collapsed="false">
      <c r="A2679" s="5" t="s">
        <v>459</v>
      </c>
      <c r="C2679" s="25" t="n">
        <f aca="false">IF(C2664&gt;0,C2674,C2654)</f>
        <v>256.875</v>
      </c>
    </row>
    <row r="2680" customFormat="false" ht="15" hidden="false" customHeight="false" outlineLevel="0" collapsed="false">
      <c r="A2680" s="5" t="s">
        <v>460</v>
      </c>
      <c r="C2680" s="25" t="n">
        <f aca="false">IF(C2665&gt;0,C2675,C2655)</f>
        <v>305.625</v>
      </c>
    </row>
    <row r="2681" customFormat="false" ht="15" hidden="false" customHeight="false" outlineLevel="0" collapsed="false">
      <c r="A2681" s="23" t="s">
        <v>466</v>
      </c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</row>
    <row r="2682" customFormat="false" ht="15" hidden="false" customHeight="false" outlineLevel="0" collapsed="false">
      <c r="A2682" s="5" t="s">
        <v>457</v>
      </c>
      <c r="C2682" s="20" t="n">
        <f aca="false">IF(C2662&gt;0,Assumptions!$C$17,C2657)</f>
        <v>1</v>
      </c>
    </row>
    <row r="2683" customFormat="false" ht="15" hidden="false" customHeight="false" outlineLevel="0" collapsed="false">
      <c r="A2683" s="5" t="s">
        <v>458</v>
      </c>
      <c r="C2683" s="20" t="n">
        <f aca="false">IF(C2663&gt;0,Assumptions!$C$17,C2658)</f>
        <v>2</v>
      </c>
    </row>
    <row r="2684" customFormat="false" ht="15" hidden="false" customHeight="false" outlineLevel="0" collapsed="false">
      <c r="A2684" s="5" t="s">
        <v>459</v>
      </c>
      <c r="C2684" s="20" t="n">
        <f aca="false">IF(C2664&gt;0,Assumptions!$C$17,C2659)</f>
        <v>3</v>
      </c>
    </row>
    <row r="2685" customFormat="false" ht="15" hidden="false" customHeight="false" outlineLevel="0" collapsed="false">
      <c r="A2685" s="5" t="s">
        <v>460</v>
      </c>
      <c r="C2685" s="20" t="n">
        <f aca="false">IF(C2665&gt;0,Assumptions!$C$17,C2660)</f>
        <v>4</v>
      </c>
    </row>
    <row r="2686" customFormat="false" ht="15" hidden="false" customHeight="false" outlineLevel="0" collapsed="false">
      <c r="A2686" s="23" t="s">
        <v>467</v>
      </c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</row>
    <row r="2687" customFormat="false" ht="15" hidden="false" customHeight="false" outlineLevel="0" collapsed="false">
      <c r="A2687" s="5" t="s">
        <v>457</v>
      </c>
      <c r="C2687" s="25" t="n">
        <f aca="false">SUMPRODUCT(($C$2682:$C$2685&lt;C2682)*$C$2677:$C$2680)</f>
        <v>0</v>
      </c>
    </row>
    <row r="2688" customFormat="false" ht="15" hidden="false" customHeight="false" outlineLevel="0" collapsed="false">
      <c r="A2688" s="5" t="s">
        <v>458</v>
      </c>
      <c r="C2688" s="25" t="n">
        <f aca="false">SUMPRODUCT(($C$2682:$C$2685&lt;C2683)*$C$2677:$C$2680)</f>
        <v>75.531753</v>
      </c>
    </row>
    <row r="2689" customFormat="false" ht="15" hidden="false" customHeight="false" outlineLevel="0" collapsed="false">
      <c r="A2689" s="5" t="s">
        <v>459</v>
      </c>
      <c r="C2689" s="25" t="n">
        <f aca="false">SUMPRODUCT(($C$2682:$C$2685&lt;C2684)*$C$2677:$C$2680)</f>
        <v>603.587853</v>
      </c>
    </row>
    <row r="2690" customFormat="false" ht="15" hidden="false" customHeight="false" outlineLevel="0" collapsed="false">
      <c r="A2690" s="5" t="s">
        <v>460</v>
      </c>
      <c r="C2690" s="25" t="n">
        <f aca="false">SUMPRODUCT(($C$2682:$C$2685&lt;C2685)*$C$2677:$C$2680)</f>
        <v>860.462853</v>
      </c>
    </row>
    <row r="2691" customFormat="false" ht="15" hidden="false" customHeight="false" outlineLevel="0" collapsed="false">
      <c r="A2691" s="23" t="s">
        <v>468</v>
      </c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</row>
    <row r="2692" customFormat="false" ht="15" hidden="false" customHeight="false" outlineLevel="0" collapsed="false">
      <c r="A2692" s="5" t="s">
        <v>457</v>
      </c>
      <c r="C2692" s="25" t="n">
        <f aca="false">SUMPRODUCT(($C$2682:$C$2685=C2682)*$C$2677:$C$2680)</f>
        <v>75.531753</v>
      </c>
    </row>
    <row r="2693" customFormat="false" ht="15" hidden="false" customHeight="false" outlineLevel="0" collapsed="false">
      <c r="A2693" s="5" t="s">
        <v>458</v>
      </c>
      <c r="C2693" s="25" t="n">
        <f aca="false">SUMPRODUCT(($C$2682:$C$2685=C2683)*$C$2677:$C$2680)</f>
        <v>528.0561</v>
      </c>
    </row>
    <row r="2694" customFormat="false" ht="15" hidden="false" customHeight="false" outlineLevel="0" collapsed="false">
      <c r="A2694" s="5" t="s">
        <v>459</v>
      </c>
      <c r="C2694" s="25" t="n">
        <f aca="false">SUMPRODUCT(($C$2682:$C$2685=C2684)*$C$2677:$C$2680)</f>
        <v>256.875</v>
      </c>
    </row>
    <row r="2695" customFormat="false" ht="15" hidden="false" customHeight="false" outlineLevel="0" collapsed="false">
      <c r="A2695" s="5" t="s">
        <v>460</v>
      </c>
      <c r="C2695" s="25" t="n">
        <f aca="false">SUMPRODUCT(($C$2682:$C$2685=C2685)*$C$2677:$C$2680)</f>
        <v>305.625</v>
      </c>
    </row>
    <row r="2696" customFormat="false" ht="15" hidden="false" customHeight="false" outlineLevel="0" collapsed="false">
      <c r="A2696" s="23" t="s">
        <v>469</v>
      </c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</row>
    <row r="2697" customFormat="false" ht="15" hidden="false" customHeight="false" outlineLevel="0" collapsed="false">
      <c r="A2697" s="5" t="s">
        <v>457</v>
      </c>
      <c r="C2697" s="25" t="n">
        <f aca="false">IF(C2692=0,0,C2677/C2692*MAX(0,MIN(C2692,$C$2650-SUM($C$2667:$C$2670)-C2687)))</f>
        <v>75.531753</v>
      </c>
    </row>
    <row r="2698" customFormat="false" ht="15" hidden="false" customHeight="false" outlineLevel="0" collapsed="false">
      <c r="A2698" s="5" t="s">
        <v>458</v>
      </c>
      <c r="C2698" s="25" t="n">
        <f aca="false">IF(C2693=0,0,C2678/C2693*MAX(0,MIN(C2693,$C$2650-SUM($C$2667:$C$2670)-C2688)))</f>
        <v>528.0561</v>
      </c>
    </row>
    <row r="2699" customFormat="false" ht="15" hidden="false" customHeight="false" outlineLevel="0" collapsed="false">
      <c r="A2699" s="5" t="s">
        <v>459</v>
      </c>
      <c r="C2699" s="25" t="n">
        <f aca="false">IF(C2694=0,0,C2679/C2694*MAX(0,MIN(C2694,$C$2650-SUM($C$2667:$C$2670)-C2689)))</f>
        <v>256.875</v>
      </c>
    </row>
    <row r="2700" customFormat="false" ht="15" hidden="false" customHeight="false" outlineLevel="0" collapsed="false">
      <c r="A2700" s="5" t="s">
        <v>460</v>
      </c>
      <c r="C2700" s="25" t="n">
        <f aca="false">IF(C2695=0,0,C2680/C2695*MAX(0,MIN(C2695,$C$2650-SUM($C$2667:$C$2670)-C2690)))</f>
        <v>97.5403470000002</v>
      </c>
    </row>
    <row r="2701" customFormat="false" ht="15" hidden="false" customHeight="false" outlineLevel="0" collapsed="false">
      <c r="A2701" s="23" t="s">
        <v>470</v>
      </c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</row>
    <row r="2702" customFormat="false" ht="15" hidden="false" customHeight="false" outlineLevel="0" collapsed="false">
      <c r="A2702" s="2" t="s">
        <v>457</v>
      </c>
      <c r="C2702" s="16" t="n">
        <f aca="false">C2667+C2697</f>
        <v>75.531753</v>
      </c>
    </row>
    <row r="2703" customFormat="false" ht="15" hidden="false" customHeight="false" outlineLevel="0" collapsed="false">
      <c r="A2703" s="2" t="s">
        <v>458</v>
      </c>
      <c r="C2703" s="16" t="n">
        <f aca="false">C2668+C2698</f>
        <v>528.0561</v>
      </c>
    </row>
    <row r="2704" customFormat="false" ht="15" hidden="false" customHeight="false" outlineLevel="0" collapsed="false">
      <c r="A2704" s="2" t="s">
        <v>459</v>
      </c>
      <c r="C2704" s="16" t="n">
        <f aca="false">C2669+C2699</f>
        <v>256.875</v>
      </c>
    </row>
    <row r="2705" customFormat="false" ht="15" hidden="false" customHeight="false" outlineLevel="0" collapsed="false">
      <c r="A2705" s="2" t="s">
        <v>460</v>
      </c>
      <c r="C2705" s="16" t="n">
        <f aca="false">C2670+C2700</f>
        <v>97.5403470000002</v>
      </c>
    </row>
    <row r="2706" customFormat="false" ht="15" hidden="false" customHeight="false" outlineLevel="0" collapsed="false">
      <c r="A2706" s="23" t="s">
        <v>471</v>
      </c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</row>
    <row r="2707" customFormat="false" ht="15" hidden="false" customHeight="false" outlineLevel="0" collapsed="false">
      <c r="A2707" s="5" t="s">
        <v>457</v>
      </c>
      <c r="C2707" s="21" t="n">
        <f aca="false">IF(C2652=0,1,C2702/C2652)</f>
        <v>1</v>
      </c>
    </row>
    <row r="2708" customFormat="false" ht="15" hidden="false" customHeight="false" outlineLevel="0" collapsed="false">
      <c r="A2708" s="5" t="s">
        <v>458</v>
      </c>
      <c r="C2708" s="21" t="n">
        <f aca="false">IF(C2653=0,1,C2703/C2653)</f>
        <v>1</v>
      </c>
    </row>
    <row r="2709" customFormat="false" ht="15" hidden="false" customHeight="false" outlineLevel="0" collapsed="false">
      <c r="A2709" s="5" t="s">
        <v>459</v>
      </c>
      <c r="C2709" s="21" t="n">
        <f aca="false">IF(C2654=0,1,C2704/C2654)</f>
        <v>1</v>
      </c>
    </row>
    <row r="2710" customFormat="false" ht="15" hidden="false" customHeight="false" outlineLevel="0" collapsed="false">
      <c r="A2710" s="5" t="s">
        <v>460</v>
      </c>
      <c r="C2710" s="21" t="n">
        <f aca="false">IF(C2655=0,1,C2705/C2655)</f>
        <v>0.319150419631903</v>
      </c>
    </row>
    <row r="2711" customFormat="false" ht="15" hidden="false" customHeight="false" outlineLevel="0" collapsed="false">
      <c r="A2711" s="23" t="s">
        <v>472</v>
      </c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</row>
    <row r="2712" customFormat="false" ht="15" hidden="false" customHeight="false" outlineLevel="0" collapsed="false">
      <c r="A2712" s="5" t="s">
        <v>457</v>
      </c>
      <c r="C2712" s="25" t="n">
        <f aca="false">C2652-C2702</f>
        <v>0</v>
      </c>
    </row>
    <row r="2713" customFormat="false" ht="15" hidden="false" customHeight="false" outlineLevel="0" collapsed="false">
      <c r="A2713" s="5" t="s">
        <v>458</v>
      </c>
      <c r="C2713" s="25" t="n">
        <f aca="false">C2653-C2703</f>
        <v>0</v>
      </c>
    </row>
    <row r="2714" customFormat="false" ht="15" hidden="false" customHeight="false" outlineLevel="0" collapsed="false">
      <c r="A2714" s="5" t="s">
        <v>459</v>
      </c>
      <c r="C2714" s="25" t="n">
        <f aca="false">C2654-C2704</f>
        <v>0</v>
      </c>
    </row>
    <row r="2715" customFormat="false" ht="15" hidden="false" customHeight="false" outlineLevel="0" collapsed="false">
      <c r="A2715" s="5" t="s">
        <v>460</v>
      </c>
      <c r="C2715" s="25" t="n">
        <f aca="false">C2655-C2705</f>
        <v>208.084653</v>
      </c>
    </row>
    <row r="2716" customFormat="false" ht="15" hidden="false" customHeight="false" outlineLevel="0" collapsed="false">
      <c r="A2716" s="23" t="s">
        <v>473</v>
      </c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</row>
    <row r="2717" customFormat="false" ht="15" hidden="false" customHeight="false" outlineLevel="0" collapsed="false">
      <c r="A2717" s="5" t="s">
        <v>457</v>
      </c>
      <c r="C2717" s="21" t="n">
        <f aca="false">IF(C2652=0,0,C2712/C2652)</f>
        <v>0</v>
      </c>
    </row>
    <row r="2718" customFormat="false" ht="15" hidden="false" customHeight="false" outlineLevel="0" collapsed="false">
      <c r="A2718" s="5" t="s">
        <v>458</v>
      </c>
      <c r="C2718" s="21" t="n">
        <f aca="false">IF(C2653=0,0,C2713/C2653)</f>
        <v>0</v>
      </c>
    </row>
    <row r="2719" customFormat="false" ht="15" hidden="false" customHeight="false" outlineLevel="0" collapsed="false">
      <c r="A2719" s="5" t="s">
        <v>459</v>
      </c>
      <c r="C2719" s="21" t="n">
        <f aca="false">IF(C2654=0,0,C2714/C2654)</f>
        <v>0</v>
      </c>
    </row>
    <row r="2720" customFormat="false" ht="15" hidden="false" customHeight="false" outlineLevel="0" collapsed="false">
      <c r="A2720" s="5" t="s">
        <v>460</v>
      </c>
      <c r="C2720" s="21" t="n">
        <f aca="false">IF(C2655=0,0,C2715/C2655)</f>
        <v>0.680849580368097</v>
      </c>
    </row>
    <row r="2721" customFormat="false" ht="15" hidden="false" customHeight="false" outlineLevel="0" collapsed="false">
      <c r="A2721" s="2" t="s">
        <v>474</v>
      </c>
      <c r="C2721" s="16" t="n">
        <f aca="false">MAX(0,$C$2650-SUM($C$2667:$C$2670)-SUM($C$2677:$C$2680))</f>
        <v>0</v>
      </c>
    </row>
    <row r="2722" customFormat="false" ht="15" hidden="false" customHeight="false" outlineLevel="0" collapsed="false">
      <c r="A2722" s="5" t="s">
        <v>475</v>
      </c>
      <c r="C2722" s="25" t="n">
        <f aca="false">SUM($C$2702:$C$2705)+C2721+C2649-C2648</f>
        <v>0</v>
      </c>
    </row>
    <row r="2724" customFormat="false" ht="15" hidden="false" customHeight="false" outlineLevel="0" collapsed="false">
      <c r="A2724" s="23" t="s">
        <v>478</v>
      </c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</row>
    <row r="2725" customFormat="false" ht="15" hidden="false" customHeight="false" outlineLevel="0" collapsed="false">
      <c r="A2725" s="5" t="s">
        <v>479</v>
      </c>
      <c r="C2725" s="26" t="n">
        <f aca="false">Assumptions!$C$30</f>
        <v>2</v>
      </c>
    </row>
    <row r="2726" customFormat="false" ht="15" hidden="false" customHeight="false" outlineLevel="0" collapsed="false">
      <c r="A2726" s="5" t="s">
        <v>480</v>
      </c>
      <c r="C2726" s="28" t="n">
        <f aca="false">Assumptions!$C$31</f>
        <v>100</v>
      </c>
    </row>
    <row r="2727" customFormat="false" ht="15" hidden="false" customHeight="false" outlineLevel="0" collapsed="false">
      <c r="A2727" s="5" t="s">
        <v>481</v>
      </c>
      <c r="C2727" s="39" t="n">
        <f aca="false">Assumptions!$C$32</f>
        <v>78</v>
      </c>
    </row>
    <row r="2728" customFormat="false" ht="15" hidden="false" customHeight="false" outlineLevel="0" collapsed="false">
      <c r="A2728" s="5" t="s">
        <v>482</v>
      </c>
      <c r="C2728" s="25" t="n">
        <f aca="false">C2726*C2727/100*(1+Assumptions!$C$33)</f>
        <v>78.39</v>
      </c>
    </row>
    <row r="2729" customFormat="false" ht="15" hidden="false" customHeight="false" outlineLevel="0" collapsed="false">
      <c r="A2729" s="5" t="s">
        <v>483</v>
      </c>
      <c r="C2729" s="26" t="n">
        <f aca="false">Assumptions!$C$34</f>
        <v>2</v>
      </c>
    </row>
    <row r="2730" customFormat="false" ht="15" hidden="false" customHeight="false" outlineLevel="0" collapsed="false">
      <c r="A2730" s="5" t="s">
        <v>484</v>
      </c>
      <c r="C2730" s="20" t="n">
        <f aca="false">IF(C2641=1,SUMPRODUCT($G$2609:$K$2609,$G$2485:$K$2485),0)</f>
        <v>0</v>
      </c>
    </row>
    <row r="2731" customFormat="false" ht="15" hidden="false" customHeight="false" outlineLevel="0" collapsed="false">
      <c r="A2731" s="5" t="s">
        <v>485</v>
      </c>
      <c r="C2731" s="21" t="n">
        <f aca="false">IFERROR(C2726/CHOOSE(C2725,SUMPRODUCT($G$2640:$K$2640,$G$2531:$K$2531),SUMPRODUCT($G$2640:$K$2640,$G$2544:$K$2544),SUMPRODUCT($G$2640:$K$2640,$G$2557:$K$2557),SUMPRODUCT($G$2640:$K$2640,$G$2570:$K$2570)),0)</f>
        <v>0.194250194250194</v>
      </c>
    </row>
    <row r="2732" customFormat="false" ht="15" hidden="false" customHeight="false" outlineLevel="0" collapsed="false">
      <c r="A2732" s="5" t="s">
        <v>486</v>
      </c>
      <c r="C2732" s="25" t="n">
        <f aca="false">CHOOSE(C2725,C2702,C2703,C2704,C2705)*C2731</f>
        <v>102.575</v>
      </c>
    </row>
    <row r="2733" customFormat="false" ht="15" hidden="false" customHeight="false" outlineLevel="0" collapsed="false">
      <c r="A2733" s="5" t="s">
        <v>487</v>
      </c>
      <c r="C2733" s="21" t="n">
        <f aca="false">CHOOSE(C2725,C2707,C2708,C2709,C2710)</f>
        <v>1</v>
      </c>
    </row>
    <row r="2734" customFormat="false" ht="15" hidden="false" customHeight="false" outlineLevel="0" collapsed="false">
      <c r="A2734" s="5" t="s">
        <v>488</v>
      </c>
      <c r="C2734" s="20" t="n">
        <f aca="false">IF(C2641=1,C2730,C2729)</f>
        <v>2</v>
      </c>
    </row>
    <row r="2735" customFormat="false" ht="15" hidden="false" customHeight="false" outlineLevel="0" collapsed="false">
      <c r="A2735" s="5" t="s">
        <v>489</v>
      </c>
      <c r="C2735" s="33" t="n">
        <f aca="false">CHOOSE($C$2477,Assumptions!$C$77,Assumptions!$C$96,Assumptions!$C$115)</f>
        <v>100</v>
      </c>
    </row>
    <row r="2736" customFormat="false" ht="15" hidden="false" customHeight="false" outlineLevel="0" collapsed="false">
      <c r="A2736" s="5" t="s">
        <v>490</v>
      </c>
      <c r="C2736" s="25" t="n">
        <f aca="false">INDEX($G$2494:$K$2494,C2729)*CHOOSE($C$2477,Assumptions!$C$76,Assumptions!$C$95,Assumptions!$C$114)+MAX(0,INDEX($G$2606:$K$2606,C2729))</f>
        <v>1635.98292</v>
      </c>
    </row>
    <row r="2737" customFormat="false" ht="15" hidden="false" customHeight="false" outlineLevel="0" collapsed="false">
      <c r="A2737" s="23" t="s">
        <v>491</v>
      </c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</row>
    <row r="2738" customFormat="false" ht="15" hidden="false" customHeight="false" outlineLevel="0" collapsed="false">
      <c r="A2738" s="5" t="s">
        <v>457</v>
      </c>
      <c r="C2738" s="25" t="n">
        <f aca="false">INDEX($G$2531:$K$2531,C2729)</f>
        <v>2.56468774999995</v>
      </c>
    </row>
    <row r="2739" customFormat="false" ht="15" hidden="false" customHeight="false" outlineLevel="0" collapsed="false">
      <c r="A2739" s="5" t="s">
        <v>458</v>
      </c>
      <c r="C2739" s="25" t="n">
        <f aca="false">INDEX($G$2544:$K$2544,C2729)</f>
        <v>509.6</v>
      </c>
    </row>
    <row r="2740" customFormat="false" ht="15" hidden="false" customHeight="false" outlineLevel="0" collapsed="false">
      <c r="A2740" s="5" t="s">
        <v>459</v>
      </c>
      <c r="C2740" s="25" t="n">
        <f aca="false">INDEX($G$2557:$K$2557,C2729)</f>
        <v>250</v>
      </c>
    </row>
    <row r="2741" customFormat="false" ht="15" hidden="false" customHeight="false" outlineLevel="0" collapsed="false">
      <c r="A2741" s="5" t="s">
        <v>460</v>
      </c>
      <c r="C2741" s="25" t="n">
        <f aca="false">INDEX($G$2570:$K$2570,C2729)</f>
        <v>300</v>
      </c>
    </row>
    <row r="2742" customFormat="false" ht="15" hidden="false" customHeight="false" outlineLevel="0" collapsed="false">
      <c r="A2742" s="23" t="s">
        <v>461</v>
      </c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</row>
    <row r="2743" customFormat="false" ht="15" hidden="false" customHeight="false" outlineLevel="0" collapsed="false">
      <c r="A2743" s="5" t="s">
        <v>457</v>
      </c>
      <c r="C2743" s="26" t="n">
        <f aca="false">Assumptions!$M$53</f>
        <v>1</v>
      </c>
    </row>
    <row r="2744" customFormat="false" ht="15" hidden="false" customHeight="false" outlineLevel="0" collapsed="false">
      <c r="A2744" s="5" t="s">
        <v>458</v>
      </c>
      <c r="C2744" s="26" t="n">
        <f aca="false">Assumptions!$M$54</f>
        <v>2</v>
      </c>
    </row>
    <row r="2745" customFormat="false" ht="15" hidden="false" customHeight="false" outlineLevel="0" collapsed="false">
      <c r="A2745" s="5" t="s">
        <v>459</v>
      </c>
      <c r="C2745" s="26" t="n">
        <f aca="false">Assumptions!$M$55</f>
        <v>3</v>
      </c>
    </row>
    <row r="2746" customFormat="false" ht="15" hidden="false" customHeight="false" outlineLevel="0" collapsed="false">
      <c r="A2746" s="5" t="s">
        <v>460</v>
      </c>
      <c r="C2746" s="26" t="n">
        <f aca="false">Assumptions!$M$56</f>
        <v>4</v>
      </c>
    </row>
    <row r="2747" customFormat="false" ht="15" hidden="false" customHeight="false" outlineLevel="0" collapsed="false">
      <c r="A2747" s="23" t="s">
        <v>462</v>
      </c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</row>
    <row r="2748" customFormat="false" ht="15" hidden="false" customHeight="false" outlineLevel="0" collapsed="false">
      <c r="A2748" s="5" t="s">
        <v>457</v>
      </c>
      <c r="C2748" s="34" t="n">
        <f aca="false">Assumptions!$Q$53</f>
        <v>0</v>
      </c>
    </row>
    <row r="2749" customFormat="false" ht="15" hidden="false" customHeight="false" outlineLevel="0" collapsed="false">
      <c r="A2749" s="5" t="s">
        <v>458</v>
      </c>
      <c r="C2749" s="34" t="n">
        <f aca="false">Assumptions!$Q$54</f>
        <v>0</v>
      </c>
    </row>
    <row r="2750" customFormat="false" ht="15" hidden="false" customHeight="false" outlineLevel="0" collapsed="false">
      <c r="A2750" s="5" t="s">
        <v>459</v>
      </c>
      <c r="C2750" s="34" t="n">
        <f aca="false">Assumptions!$Q$55</f>
        <v>0</v>
      </c>
    </row>
    <row r="2751" customFormat="false" ht="15" hidden="false" customHeight="false" outlineLevel="0" collapsed="false">
      <c r="A2751" s="5" t="s">
        <v>460</v>
      </c>
      <c r="C2751" s="34" t="n">
        <f aca="false">Assumptions!$Q$56</f>
        <v>0</v>
      </c>
    </row>
    <row r="2752" customFormat="false" ht="15" hidden="false" customHeight="false" outlineLevel="0" collapsed="false">
      <c r="A2752" s="23" t="s">
        <v>463</v>
      </c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</row>
    <row r="2753" customFormat="false" ht="15" hidden="false" customHeight="false" outlineLevel="0" collapsed="false">
      <c r="A2753" s="5" t="s">
        <v>457</v>
      </c>
      <c r="C2753" s="25" t="n">
        <f aca="false">IF(C2748&gt;0,MIN(C2738,C2748*$C$2736),0)</f>
        <v>0</v>
      </c>
    </row>
    <row r="2754" customFormat="false" ht="15" hidden="false" customHeight="false" outlineLevel="0" collapsed="false">
      <c r="A2754" s="5" t="s">
        <v>458</v>
      </c>
      <c r="C2754" s="25" t="n">
        <f aca="false">IF(C2749&gt;0,MIN(C2739,C2749*$C$2736),0)</f>
        <v>0</v>
      </c>
    </row>
    <row r="2755" customFormat="false" ht="15" hidden="false" customHeight="false" outlineLevel="0" collapsed="false">
      <c r="A2755" s="5" t="s">
        <v>459</v>
      </c>
      <c r="C2755" s="25" t="n">
        <f aca="false">IF(C2750&gt;0,MIN(C2740,C2750*$C$2736),0)</f>
        <v>0</v>
      </c>
    </row>
    <row r="2756" customFormat="false" ht="15" hidden="false" customHeight="false" outlineLevel="0" collapsed="false">
      <c r="A2756" s="5" t="s">
        <v>460</v>
      </c>
      <c r="C2756" s="25" t="n">
        <f aca="false">IF(C2751&gt;0,MIN(C2741,C2751*$C$2736),0)</f>
        <v>0</v>
      </c>
    </row>
    <row r="2757" customFormat="false" ht="15" hidden="false" customHeight="false" outlineLevel="0" collapsed="false">
      <c r="A2757" s="23" t="s">
        <v>464</v>
      </c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</row>
    <row r="2758" customFormat="false" ht="15" hidden="false" customHeight="false" outlineLevel="0" collapsed="false">
      <c r="A2758" s="5" t="s">
        <v>457</v>
      </c>
      <c r="C2758" s="25" t="n">
        <f aca="false">IF(C2748&gt;0,C2738-C2753,0)</f>
        <v>0</v>
      </c>
    </row>
    <row r="2759" customFormat="false" ht="15" hidden="false" customHeight="false" outlineLevel="0" collapsed="false">
      <c r="A2759" s="5" t="s">
        <v>458</v>
      </c>
      <c r="C2759" s="25" t="n">
        <f aca="false">IF(C2749&gt;0,C2739-C2754,0)</f>
        <v>0</v>
      </c>
    </row>
    <row r="2760" customFormat="false" ht="15" hidden="false" customHeight="false" outlineLevel="0" collapsed="false">
      <c r="A2760" s="5" t="s">
        <v>459</v>
      </c>
      <c r="C2760" s="25" t="n">
        <f aca="false">IF(C2750&gt;0,C2740-C2755,0)</f>
        <v>0</v>
      </c>
    </row>
    <row r="2761" customFormat="false" ht="15" hidden="false" customHeight="false" outlineLevel="0" collapsed="false">
      <c r="A2761" s="5" t="s">
        <v>460</v>
      </c>
      <c r="C2761" s="25" t="n">
        <f aca="false">IF(C2751&gt;0,C2741-C2756,0)</f>
        <v>0</v>
      </c>
    </row>
    <row r="2762" customFormat="false" ht="15" hidden="false" customHeight="false" outlineLevel="0" collapsed="false">
      <c r="A2762" s="23" t="s">
        <v>465</v>
      </c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</row>
    <row r="2763" customFormat="false" ht="15" hidden="false" customHeight="false" outlineLevel="0" collapsed="false">
      <c r="A2763" s="5" t="s">
        <v>457</v>
      </c>
      <c r="C2763" s="25" t="n">
        <f aca="false">IF(C2748&gt;0,C2758,C2738)</f>
        <v>2.56468774999995</v>
      </c>
    </row>
    <row r="2764" customFormat="false" ht="15" hidden="false" customHeight="false" outlineLevel="0" collapsed="false">
      <c r="A2764" s="5" t="s">
        <v>458</v>
      </c>
      <c r="C2764" s="25" t="n">
        <f aca="false">IF(C2749&gt;0,C2759,C2739)</f>
        <v>509.6</v>
      </c>
    </row>
    <row r="2765" customFormat="false" ht="15" hidden="false" customHeight="false" outlineLevel="0" collapsed="false">
      <c r="A2765" s="5" t="s">
        <v>459</v>
      </c>
      <c r="C2765" s="25" t="n">
        <f aca="false">IF(C2750&gt;0,C2760,C2740)</f>
        <v>250</v>
      </c>
    </row>
    <row r="2766" customFormat="false" ht="15" hidden="false" customHeight="false" outlineLevel="0" collapsed="false">
      <c r="A2766" s="5" t="s">
        <v>460</v>
      </c>
      <c r="C2766" s="25" t="n">
        <f aca="false">IF(C2751&gt;0,C2761,C2741)</f>
        <v>300</v>
      </c>
    </row>
    <row r="2767" customFormat="false" ht="15" hidden="false" customHeight="false" outlineLevel="0" collapsed="false">
      <c r="A2767" s="23" t="s">
        <v>466</v>
      </c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</row>
    <row r="2768" customFormat="false" ht="15" hidden="false" customHeight="false" outlineLevel="0" collapsed="false">
      <c r="A2768" s="5" t="s">
        <v>457</v>
      </c>
      <c r="C2768" s="20" t="n">
        <f aca="false">IF(C2748&gt;0,Assumptions!$C$17,C2743)</f>
        <v>1</v>
      </c>
    </row>
    <row r="2769" customFormat="false" ht="15" hidden="false" customHeight="false" outlineLevel="0" collapsed="false">
      <c r="A2769" s="5" t="s">
        <v>458</v>
      </c>
      <c r="C2769" s="20" t="n">
        <f aca="false">IF(C2749&gt;0,Assumptions!$C$17,C2744)</f>
        <v>2</v>
      </c>
    </row>
    <row r="2770" customFormat="false" ht="15" hidden="false" customHeight="false" outlineLevel="0" collapsed="false">
      <c r="A2770" s="5" t="s">
        <v>459</v>
      </c>
      <c r="C2770" s="20" t="n">
        <f aca="false">IF(C2750&gt;0,Assumptions!$C$17,C2745)</f>
        <v>3</v>
      </c>
    </row>
    <row r="2771" customFormat="false" ht="15" hidden="false" customHeight="false" outlineLevel="0" collapsed="false">
      <c r="A2771" s="5" t="s">
        <v>460</v>
      </c>
      <c r="C2771" s="20" t="n">
        <f aca="false">IF(C2751&gt;0,Assumptions!$C$17,C2746)</f>
        <v>4</v>
      </c>
    </row>
    <row r="2772" customFormat="false" ht="15" hidden="false" customHeight="false" outlineLevel="0" collapsed="false">
      <c r="A2772" s="23" t="s">
        <v>467</v>
      </c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</row>
    <row r="2773" customFormat="false" ht="15" hidden="false" customHeight="false" outlineLevel="0" collapsed="false">
      <c r="A2773" s="5" t="s">
        <v>457</v>
      </c>
      <c r="C2773" s="25" t="n">
        <f aca="false">SUMPRODUCT(($C$2768:$C$2771&lt;C2768)*$C$2763:$C$2766)</f>
        <v>0</v>
      </c>
    </row>
    <row r="2774" customFormat="false" ht="15" hidden="false" customHeight="false" outlineLevel="0" collapsed="false">
      <c r="A2774" s="5" t="s">
        <v>458</v>
      </c>
      <c r="C2774" s="25" t="n">
        <f aca="false">SUMPRODUCT(($C$2768:$C$2771&lt;C2769)*$C$2763:$C$2766)</f>
        <v>2.56468774999995</v>
      </c>
    </row>
    <row r="2775" customFormat="false" ht="15" hidden="false" customHeight="false" outlineLevel="0" collapsed="false">
      <c r="A2775" s="5" t="s">
        <v>459</v>
      </c>
      <c r="C2775" s="25" t="n">
        <f aca="false">SUMPRODUCT(($C$2768:$C$2771&lt;C2770)*$C$2763:$C$2766)</f>
        <v>512.16468775</v>
      </c>
    </row>
    <row r="2776" customFormat="false" ht="15" hidden="false" customHeight="false" outlineLevel="0" collapsed="false">
      <c r="A2776" s="5" t="s">
        <v>460</v>
      </c>
      <c r="C2776" s="25" t="n">
        <f aca="false">SUMPRODUCT(($C$2768:$C$2771&lt;C2771)*$C$2763:$C$2766)</f>
        <v>762.16468775</v>
      </c>
    </row>
    <row r="2777" customFormat="false" ht="15" hidden="false" customHeight="false" outlineLevel="0" collapsed="false">
      <c r="A2777" s="23" t="s">
        <v>468</v>
      </c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</row>
    <row r="2778" customFormat="false" ht="15" hidden="false" customHeight="false" outlineLevel="0" collapsed="false">
      <c r="A2778" s="5" t="s">
        <v>457</v>
      </c>
      <c r="C2778" s="25" t="n">
        <f aca="false">SUMPRODUCT(($C$2768:$C$2771=C2768)*$C$2763:$C$2766)</f>
        <v>2.56468774999995</v>
      </c>
    </row>
    <row r="2779" customFormat="false" ht="15" hidden="false" customHeight="false" outlineLevel="0" collapsed="false">
      <c r="A2779" s="5" t="s">
        <v>458</v>
      </c>
      <c r="C2779" s="25" t="n">
        <f aca="false">SUMPRODUCT(($C$2768:$C$2771=C2769)*$C$2763:$C$2766)</f>
        <v>509.6</v>
      </c>
    </row>
    <row r="2780" customFormat="false" ht="15" hidden="false" customHeight="false" outlineLevel="0" collapsed="false">
      <c r="A2780" s="5" t="s">
        <v>459</v>
      </c>
      <c r="C2780" s="25" t="n">
        <f aca="false">SUMPRODUCT(($C$2768:$C$2771=C2770)*$C$2763:$C$2766)</f>
        <v>250</v>
      </c>
    </row>
    <row r="2781" customFormat="false" ht="15" hidden="false" customHeight="false" outlineLevel="0" collapsed="false">
      <c r="A2781" s="5" t="s">
        <v>460</v>
      </c>
      <c r="C2781" s="25" t="n">
        <f aca="false">SUMPRODUCT(($C$2768:$C$2771=C2771)*$C$2763:$C$2766)</f>
        <v>300</v>
      </c>
    </row>
    <row r="2782" customFormat="false" ht="15" hidden="false" customHeight="false" outlineLevel="0" collapsed="false">
      <c r="A2782" s="23" t="s">
        <v>469</v>
      </c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</row>
    <row r="2783" customFormat="false" ht="15" hidden="false" customHeight="false" outlineLevel="0" collapsed="false">
      <c r="A2783" s="5" t="s">
        <v>457</v>
      </c>
      <c r="C2783" s="25" t="n">
        <f aca="false">IF(C2778=0,0,C2763/C2778*MAX(0,MIN(C2778,$C$2736-SUM($C$2753:$C$2756)-C2773)))</f>
        <v>2.56468774999995</v>
      </c>
    </row>
    <row r="2784" customFormat="false" ht="15" hidden="false" customHeight="false" outlineLevel="0" collapsed="false">
      <c r="A2784" s="5" t="s">
        <v>458</v>
      </c>
      <c r="C2784" s="25" t="n">
        <f aca="false">IF(C2779=0,0,C2764/C2779*MAX(0,MIN(C2779,$C$2736-SUM($C$2753:$C$2756)-C2774)))</f>
        <v>509.6</v>
      </c>
    </row>
    <row r="2785" customFormat="false" ht="15" hidden="false" customHeight="false" outlineLevel="0" collapsed="false">
      <c r="A2785" s="5" t="s">
        <v>459</v>
      </c>
      <c r="C2785" s="25" t="n">
        <f aca="false">IF(C2780=0,0,C2765/C2780*MAX(0,MIN(C2780,$C$2736-SUM($C$2753:$C$2756)-C2775)))</f>
        <v>250</v>
      </c>
    </row>
    <row r="2786" customFormat="false" ht="15" hidden="false" customHeight="false" outlineLevel="0" collapsed="false">
      <c r="A2786" s="5" t="s">
        <v>460</v>
      </c>
      <c r="C2786" s="25" t="n">
        <f aca="false">IF(C2781=0,0,C2766/C2781*MAX(0,MIN(C2781,$C$2736-SUM($C$2753:$C$2756)-C2776)))</f>
        <v>300</v>
      </c>
    </row>
    <row r="2787" customFormat="false" ht="15" hidden="false" customHeight="false" outlineLevel="0" collapsed="false">
      <c r="A2787" s="23" t="s">
        <v>470</v>
      </c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</row>
    <row r="2788" customFormat="false" ht="15" hidden="false" customHeight="false" outlineLevel="0" collapsed="false">
      <c r="A2788" s="2" t="s">
        <v>457</v>
      </c>
      <c r="C2788" s="16" t="n">
        <f aca="false">C2753+C2783</f>
        <v>2.56468774999995</v>
      </c>
    </row>
    <row r="2789" customFormat="false" ht="15" hidden="false" customHeight="false" outlineLevel="0" collapsed="false">
      <c r="A2789" s="2" t="s">
        <v>458</v>
      </c>
      <c r="C2789" s="16" t="n">
        <f aca="false">C2754+C2784</f>
        <v>509.6</v>
      </c>
    </row>
    <row r="2790" customFormat="false" ht="15" hidden="false" customHeight="false" outlineLevel="0" collapsed="false">
      <c r="A2790" s="2" t="s">
        <v>459</v>
      </c>
      <c r="C2790" s="16" t="n">
        <f aca="false">C2755+C2785</f>
        <v>250</v>
      </c>
    </row>
    <row r="2791" customFormat="false" ht="15" hidden="false" customHeight="false" outlineLevel="0" collapsed="false">
      <c r="A2791" s="2" t="s">
        <v>460</v>
      </c>
      <c r="C2791" s="16" t="n">
        <f aca="false">C2756+C2786</f>
        <v>300</v>
      </c>
    </row>
    <row r="2792" customFormat="false" ht="15" hidden="false" customHeight="false" outlineLevel="0" collapsed="false">
      <c r="A2792" s="23" t="s">
        <v>471</v>
      </c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</row>
    <row r="2793" customFormat="false" ht="15" hidden="false" customHeight="false" outlineLevel="0" collapsed="false">
      <c r="A2793" s="5" t="s">
        <v>457</v>
      </c>
      <c r="C2793" s="21" t="n">
        <f aca="false">IF(C2738=0,1,C2788/C2738)</f>
        <v>1</v>
      </c>
    </row>
    <row r="2794" customFormat="false" ht="15" hidden="false" customHeight="false" outlineLevel="0" collapsed="false">
      <c r="A2794" s="5" t="s">
        <v>458</v>
      </c>
      <c r="C2794" s="21" t="n">
        <f aca="false">IF(C2739=0,1,C2789/C2739)</f>
        <v>1</v>
      </c>
    </row>
    <row r="2795" customFormat="false" ht="15" hidden="false" customHeight="false" outlineLevel="0" collapsed="false">
      <c r="A2795" s="5" t="s">
        <v>459</v>
      </c>
      <c r="C2795" s="21" t="n">
        <f aca="false">IF(C2740=0,1,C2790/C2740)</f>
        <v>1</v>
      </c>
    </row>
    <row r="2796" customFormat="false" ht="15" hidden="false" customHeight="false" outlineLevel="0" collapsed="false">
      <c r="A2796" s="5" t="s">
        <v>460</v>
      </c>
      <c r="C2796" s="21" t="n">
        <f aca="false">IF(C2741=0,1,C2791/C2741)</f>
        <v>1</v>
      </c>
    </row>
    <row r="2797" customFormat="false" ht="15" hidden="false" customHeight="false" outlineLevel="0" collapsed="false">
      <c r="A2797" s="23" t="s">
        <v>472</v>
      </c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</row>
    <row r="2798" customFormat="false" ht="15" hidden="false" customHeight="false" outlineLevel="0" collapsed="false">
      <c r="A2798" s="5" t="s">
        <v>457</v>
      </c>
      <c r="C2798" s="25" t="n">
        <f aca="false">C2738-C2788</f>
        <v>0</v>
      </c>
    </row>
    <row r="2799" customFormat="false" ht="15" hidden="false" customHeight="false" outlineLevel="0" collapsed="false">
      <c r="A2799" s="5" t="s">
        <v>458</v>
      </c>
      <c r="C2799" s="25" t="n">
        <f aca="false">C2739-C2789</f>
        <v>0</v>
      </c>
    </row>
    <row r="2800" customFormat="false" ht="15" hidden="false" customHeight="false" outlineLevel="0" collapsed="false">
      <c r="A2800" s="5" t="s">
        <v>459</v>
      </c>
      <c r="C2800" s="25" t="n">
        <f aca="false">C2740-C2790</f>
        <v>0</v>
      </c>
    </row>
    <row r="2801" customFormat="false" ht="15" hidden="false" customHeight="false" outlineLevel="0" collapsed="false">
      <c r="A2801" s="5" t="s">
        <v>460</v>
      </c>
      <c r="C2801" s="25" t="n">
        <f aca="false">C2741-C2791</f>
        <v>0</v>
      </c>
    </row>
    <row r="2802" customFormat="false" ht="15" hidden="false" customHeight="false" outlineLevel="0" collapsed="false">
      <c r="A2802" s="23" t="s">
        <v>473</v>
      </c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</row>
    <row r="2803" customFormat="false" ht="15" hidden="false" customHeight="false" outlineLevel="0" collapsed="false">
      <c r="A2803" s="5" t="s">
        <v>457</v>
      </c>
      <c r="C2803" s="21" t="n">
        <f aca="false">IF(C2738=0,0,C2798/C2738)</f>
        <v>0</v>
      </c>
    </row>
    <row r="2804" customFormat="false" ht="15" hidden="false" customHeight="false" outlineLevel="0" collapsed="false">
      <c r="A2804" s="5" t="s">
        <v>458</v>
      </c>
      <c r="C2804" s="21" t="n">
        <f aca="false">IF(C2739=0,0,C2799/C2739)</f>
        <v>0</v>
      </c>
    </row>
    <row r="2805" customFormat="false" ht="15" hidden="false" customHeight="false" outlineLevel="0" collapsed="false">
      <c r="A2805" s="5" t="s">
        <v>459</v>
      </c>
      <c r="C2805" s="21" t="n">
        <f aca="false">IF(C2740=0,0,C2800/C2740)</f>
        <v>0</v>
      </c>
    </row>
    <row r="2806" customFormat="false" ht="15" hidden="false" customHeight="false" outlineLevel="0" collapsed="false">
      <c r="A2806" s="5" t="s">
        <v>460</v>
      </c>
      <c r="C2806" s="21" t="n">
        <f aca="false">IF(C2741=0,0,C2801/C2741)</f>
        <v>0</v>
      </c>
    </row>
    <row r="2807" customFormat="false" ht="15" hidden="false" customHeight="false" outlineLevel="0" collapsed="false">
      <c r="A2807" s="2" t="s">
        <v>474</v>
      </c>
      <c r="C2807" s="16" t="n">
        <f aca="false">MAX(0,$C$2736-SUM($C$2753:$C$2756)-SUM($C$2763:$C$2766))</f>
        <v>573.81823225</v>
      </c>
    </row>
    <row r="2808" customFormat="false" ht="15" hidden="false" customHeight="false" outlineLevel="0" collapsed="false">
      <c r="A2808" s="5" t="s">
        <v>492</v>
      </c>
      <c r="C2808" s="33" t="n">
        <f aca="false">MIN(C2735,100*CHOOSE(C2725,C2793,C2794,C2795,C2796))</f>
        <v>100</v>
      </c>
    </row>
    <row r="2809" customFormat="false" ht="15" hidden="false" customHeight="false" outlineLevel="0" collapsed="false">
      <c r="A2809" s="5" t="s">
        <v>493</v>
      </c>
      <c r="C2809" s="20" t="n">
        <f aca="false">IF(C2641=1,C2730+Assumptions!$C$36,C2729)</f>
        <v>2</v>
      </c>
    </row>
    <row r="2810" customFormat="false" ht="15" hidden="false" customHeight="false" outlineLevel="0" collapsed="false">
      <c r="A2810" s="23" t="s">
        <v>494</v>
      </c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</row>
    <row r="2811" customFormat="false" ht="15" hidden="false" customHeight="false" outlineLevel="0" collapsed="false">
      <c r="A2811" s="5" t="s">
        <v>495</v>
      </c>
      <c r="C2811" s="20" t="n">
        <f aca="false">COLUMN()-COLUMN($C$1)</f>
        <v>0</v>
      </c>
      <c r="D2811" s="20" t="n">
        <f aca="false">COLUMN()-COLUMN($C$1)</f>
        <v>1</v>
      </c>
      <c r="E2811" s="20" t="n">
        <f aca="false">COLUMN()-COLUMN($C$1)</f>
        <v>2</v>
      </c>
      <c r="F2811" s="20" t="n">
        <f aca="false">COLUMN()-COLUMN($C$1)</f>
        <v>3</v>
      </c>
      <c r="G2811" s="20" t="n">
        <f aca="false">COLUMN()-COLUMN($C$1)</f>
        <v>4</v>
      </c>
      <c r="H2811" s="20" t="n">
        <f aca="false">COLUMN()-COLUMN($C$1)</f>
        <v>5</v>
      </c>
      <c r="I2811" s="20" t="n">
        <f aca="false">COLUMN()-COLUMN($C$1)</f>
        <v>6</v>
      </c>
    </row>
    <row r="2812" customFormat="false" ht="15" hidden="false" customHeight="false" outlineLevel="0" collapsed="false">
      <c r="A2812" s="5" t="s">
        <v>496</v>
      </c>
      <c r="D2812" s="30" t="n">
        <f aca="false">CHOOSE($C$2725,G2523,G2536,G2549,G2562)</f>
        <v>0.103</v>
      </c>
      <c r="E2812" s="30" t="n">
        <f aca="false">CHOOSE($C$2725,H2523,H2536,H2549,H2562)</f>
        <v>0.1005</v>
      </c>
      <c r="F2812" s="30" t="n">
        <f aca="false">CHOOSE($C$2725,I2523,I2536,I2549,I2562)</f>
        <v>0.098</v>
      </c>
      <c r="G2812" s="30" t="n">
        <f aca="false">CHOOSE($C$2725,J2523,J2536,J2549,J2562)</f>
        <v>0.11</v>
      </c>
      <c r="H2812" s="30" t="n">
        <f aca="false">CHOOSE($C$2725,K2523,K2536,K2549,K2562)</f>
        <v>0.11</v>
      </c>
    </row>
    <row r="2813" customFormat="false" ht="15" hidden="false" customHeight="false" outlineLevel="0" collapsed="false">
      <c r="A2813" s="5" t="s">
        <v>497</v>
      </c>
      <c r="D2813" s="25" t="n">
        <f aca="false">IF(D2811&lt;=$C$2734,$C$2726*D2812,0)</f>
        <v>10.3</v>
      </c>
      <c r="E2813" s="25" t="n">
        <f aca="false">IF(E2811&lt;=$C$2734,$C$2726*E2812,0)</f>
        <v>10.05</v>
      </c>
      <c r="F2813" s="25" t="n">
        <f aca="false">IF(F2811&lt;=$C$2734,$C$2726*F2812,0)</f>
        <v>0</v>
      </c>
      <c r="G2813" s="25" t="n">
        <f aca="false">IF(G2811&lt;=$C$2734,$C$2726*G2812,0)</f>
        <v>0</v>
      </c>
      <c r="H2813" s="25" t="n">
        <f aca="false">IF(H2811&lt;=$C$2734,$C$2726*H2812,0)</f>
        <v>0</v>
      </c>
    </row>
    <row r="2814" customFormat="false" ht="15" hidden="false" customHeight="false" outlineLevel="0" collapsed="false">
      <c r="A2814" s="5" t="s">
        <v>498</v>
      </c>
      <c r="D2814" s="25" t="n">
        <f aca="false">IF(AND($C$2641=0,D2811=$C$2729),$C$2726*$C$2808/100,0)+IF(AND($C$2641=1,D2811=$C$2809),$C$2732,0)</f>
        <v>0</v>
      </c>
      <c r="E2814" s="25" t="n">
        <f aca="false">IF(AND($C$2641=0,E2811=$C$2729),$C$2726*$C$2808/100,0)+IF(AND($C$2641=1,E2811=$C$2809),$C$2732,0)</f>
        <v>100</v>
      </c>
      <c r="F2814" s="25" t="n">
        <f aca="false">IF(AND($C$2641=0,F2811=$C$2729),$C$2726*$C$2808/100,0)+IF(AND($C$2641=1,F2811=$C$2809),$C$2732,0)</f>
        <v>0</v>
      </c>
      <c r="G2814" s="25" t="n">
        <f aca="false">IF(AND($C$2641=0,G2811=$C$2729),$C$2726*$C$2808/100,0)+IF(AND($C$2641=1,G2811=$C$2809),$C$2732,0)</f>
        <v>0</v>
      </c>
      <c r="H2814" s="25" t="n">
        <f aca="false">IF(AND($C$2641=0,H2811=$C$2729),$C$2726*$C$2808/100,0)+IF(AND($C$2641=1,H2811=$C$2809),$C$2732,0)</f>
        <v>0</v>
      </c>
      <c r="I2814" s="25" t="n">
        <f aca="false">IF(AND($C$2641=0,I2811=$C$2729),$C$2726*$C$2808/100,0)+IF(AND($C$2641=1,I2811=$C$2809),$C$2732,0)</f>
        <v>0</v>
      </c>
    </row>
    <row r="2815" customFormat="false" ht="15" hidden="false" customHeight="false" outlineLevel="0" collapsed="false">
      <c r="A2815" s="2" t="s">
        <v>499</v>
      </c>
      <c r="C2815" s="16" t="n">
        <f aca="false">-$C$2728</f>
        <v>-78.39</v>
      </c>
      <c r="D2815" s="16" t="n">
        <f aca="false">D2813+D2814</f>
        <v>10.3</v>
      </c>
      <c r="E2815" s="16" t="n">
        <f aca="false">E2813+E2814</f>
        <v>110.05</v>
      </c>
      <c r="F2815" s="16" t="n">
        <f aca="false">F2813+F2814</f>
        <v>0</v>
      </c>
      <c r="G2815" s="16" t="n">
        <f aca="false">G2813+G2814</f>
        <v>0</v>
      </c>
      <c r="H2815" s="16" t="n">
        <f aca="false">H2813+H2814</f>
        <v>0</v>
      </c>
      <c r="I2815" s="16" t="n">
        <f aca="false">I2813+I2814</f>
        <v>0</v>
      </c>
    </row>
    <row r="2816" customFormat="false" ht="15" hidden="false" customHeight="false" outlineLevel="0" collapsed="false">
      <c r="A2816" s="5" t="s">
        <v>500</v>
      </c>
      <c r="C2816" s="25" t="n">
        <f aca="false">SUM($C$2813:$I$2813)</f>
        <v>20.35</v>
      </c>
    </row>
    <row r="2817" customFormat="false" ht="15" hidden="false" customHeight="false" outlineLevel="0" collapsed="false">
      <c r="A2817" s="5" t="s">
        <v>501</v>
      </c>
      <c r="C2817" s="25" t="n">
        <f aca="false">SUM($C$2814:$I$2814)</f>
        <v>100</v>
      </c>
    </row>
    <row r="2818" customFormat="false" ht="15" hidden="false" customHeight="false" outlineLevel="0" collapsed="false">
      <c r="A2818" s="5" t="s">
        <v>502</v>
      </c>
      <c r="C2818" s="25" t="n">
        <f aca="false">C2816+C2817</f>
        <v>120.35</v>
      </c>
    </row>
    <row r="2819" customFormat="false" ht="15" hidden="false" customHeight="false" outlineLevel="0" collapsed="false">
      <c r="A2819" s="5" t="s">
        <v>503</v>
      </c>
      <c r="C2819" s="25" t="n">
        <f aca="false">C2817-C2726*C2727/100</f>
        <v>22</v>
      </c>
    </row>
    <row r="2820" customFormat="false" ht="15" hidden="false" customHeight="false" outlineLevel="0" collapsed="false">
      <c r="A2820" s="5" t="s">
        <v>504</v>
      </c>
      <c r="C2820" s="25" t="n">
        <f aca="false">C2818-C2728</f>
        <v>41.96</v>
      </c>
    </row>
    <row r="2821" customFormat="false" ht="15" hidden="false" customHeight="false" outlineLevel="0" collapsed="false">
      <c r="A2821" s="2" t="s">
        <v>385</v>
      </c>
      <c r="C2821" s="43" t="n">
        <f aca="false">C2818/C2728</f>
        <v>1.53527235616788</v>
      </c>
    </row>
    <row r="2822" customFormat="false" ht="15" hidden="false" customHeight="false" outlineLevel="0" collapsed="false">
      <c r="A2822" s="2" t="s">
        <v>384</v>
      </c>
      <c r="C2822" s="41" t="n">
        <f aca="false">IF(C2818&lt;=0,-1,IFERROR(IRR($C$2815:$I$2815,MAX(-0.9,C2821^(1/C2809)-1)),IRR($C$2815:$I$2815,0.1)))</f>
        <v>0.252370725308552</v>
      </c>
    </row>
    <row r="2823" customFormat="false" ht="15" hidden="false" customHeight="false" outlineLevel="0" collapsed="false">
      <c r="A2823" s="5" t="s">
        <v>505</v>
      </c>
      <c r="C2823" s="31" t="n">
        <f aca="false">MAX($G$2617:$K$2617)</f>
        <v>4.56446208112875</v>
      </c>
    </row>
    <row r="2824" customFormat="false" ht="15" hidden="false" customHeight="false" outlineLevel="0" collapsed="false">
      <c r="A2824" s="5" t="s">
        <v>506</v>
      </c>
      <c r="C2824" s="31" t="n">
        <f aca="false">MIN($G$2618:$K$2618)</f>
        <v>2.09576612903226</v>
      </c>
    </row>
    <row r="2825" customFormat="false" ht="15" hidden="false" customHeight="false" outlineLevel="0" collapsed="false">
      <c r="A2825" s="5" t="s">
        <v>507</v>
      </c>
      <c r="C2825" s="25" t="n">
        <f aca="false">SUM($G$2507:$K$2507)</f>
        <v>387.562160907646</v>
      </c>
    </row>
    <row r="2829" customFormat="false" ht="15" hidden="false" customHeight="false" outlineLevel="0" collapsed="false">
      <c r="A2829" s="9" t="s">
        <v>634</v>
      </c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</row>
    <row r="2830" customFormat="false" ht="15" hidden="false" customHeight="false" outlineLevel="0" collapsed="false">
      <c r="A2830" s="5" t="s">
        <v>622</v>
      </c>
      <c r="C2830" s="11" t="n">
        <v>2</v>
      </c>
    </row>
    <row r="2831" customFormat="false" ht="15" hidden="false" customHeight="false" outlineLevel="0" collapsed="false">
      <c r="A2831" s="5" t="s">
        <v>623</v>
      </c>
      <c r="C2831" s="18" t="n">
        <v>0</v>
      </c>
    </row>
    <row r="2832" customFormat="false" ht="15" hidden="false" customHeight="false" outlineLevel="0" collapsed="false">
      <c r="A2832" s="5" t="s">
        <v>624</v>
      </c>
      <c r="C2832" s="29" t="n">
        <f aca="false">Sensitivities!$A$30</f>
        <v>-0.04</v>
      </c>
    </row>
    <row r="2833" customFormat="false" ht="15" hidden="false" customHeight="false" outlineLevel="0" collapsed="false">
      <c r="A2833" s="5" t="s">
        <v>625</v>
      </c>
      <c r="C2833" s="18" t="n">
        <v>0</v>
      </c>
    </row>
    <row r="2834" customFormat="false" ht="15" hidden="false" customHeight="false" outlineLevel="0" collapsed="false">
      <c r="A2834" s="5" t="s">
        <v>626</v>
      </c>
      <c r="C2834" s="15" t="n">
        <v>0</v>
      </c>
    </row>
    <row r="2836" customFormat="false" ht="15" hidden="false" customHeight="false" outlineLevel="0" collapsed="false">
      <c r="A2836" s="23" t="s">
        <v>237</v>
      </c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</row>
    <row r="2837" customFormat="false" ht="15" hidden="false" customHeight="false" outlineLevel="0" collapsed="false">
      <c r="A2837" s="5" t="s">
        <v>238</v>
      </c>
      <c r="F2837" s="26" t="n">
        <f aca="false">Assumptions!$C$6</f>
        <v>2025</v>
      </c>
      <c r="G2837" s="20" t="n">
        <f aca="false">F2837+1</f>
        <v>2026</v>
      </c>
      <c r="H2837" s="20" t="n">
        <f aca="false">G2837+1</f>
        <v>2027</v>
      </c>
      <c r="I2837" s="20" t="n">
        <f aca="false">H2837+1</f>
        <v>2028</v>
      </c>
      <c r="J2837" s="20" t="n">
        <f aca="false">I2837+1</f>
        <v>2029</v>
      </c>
      <c r="K2837" s="20" t="n">
        <f aca="false">J2837+1</f>
        <v>2030</v>
      </c>
    </row>
    <row r="2838" customFormat="false" ht="15" hidden="false" customHeight="false" outlineLevel="0" collapsed="false">
      <c r="A2838" s="5" t="s">
        <v>239</v>
      </c>
      <c r="G2838" s="20" t="n">
        <f aca="false">G2837-Assumptions!$C$6</f>
        <v>1</v>
      </c>
      <c r="H2838" s="20" t="n">
        <f aca="false">H2837-Assumptions!$C$6</f>
        <v>2</v>
      </c>
      <c r="I2838" s="20" t="n">
        <f aca="false">I2837-Assumptions!$C$6</f>
        <v>3</v>
      </c>
      <c r="J2838" s="20" t="n">
        <f aca="false">J2837-Assumptions!$C$6</f>
        <v>4</v>
      </c>
      <c r="K2838" s="20" t="n">
        <f aca="false">K2837-Assumptions!$C$6</f>
        <v>5</v>
      </c>
    </row>
    <row r="2839" customFormat="false" ht="15" hidden="false" customHeight="false" outlineLevel="0" collapsed="false">
      <c r="A2839" s="5" t="s">
        <v>149</v>
      </c>
      <c r="G2839" s="21" t="n">
        <f aca="false">CHOOSE($C$2830,Assumptions!$G$65,Assumptions!$G$84,Assumptions!$G$103)+$C$2831</f>
        <v>-0.078</v>
      </c>
      <c r="H2839" s="21" t="n">
        <f aca="false">CHOOSE($C$2830,Assumptions!$H$65,Assumptions!$H$84,Assumptions!$H$103)+$C$2831</f>
        <v>-0.039</v>
      </c>
      <c r="I2839" s="21" t="n">
        <f aca="false">CHOOSE($C$2830,Assumptions!$I$65,Assumptions!$I$84,Assumptions!$I$103)+$C$2831</f>
        <v>-0.005</v>
      </c>
      <c r="J2839" s="21" t="n">
        <f aca="false">CHOOSE($C$2830,Assumptions!$J$65,Assumptions!$J$84,Assumptions!$J$103)+$C$2831</f>
        <v>-0.01</v>
      </c>
      <c r="K2839" s="21" t="n">
        <f aca="false">CHOOSE($C$2830,Assumptions!$K$65,Assumptions!$K$84,Assumptions!$K$103)+$C$2831</f>
        <v>-0.01</v>
      </c>
    </row>
    <row r="2840" customFormat="false" ht="15" hidden="false" customHeight="false" outlineLevel="0" collapsed="false">
      <c r="A2840" s="5" t="s">
        <v>150</v>
      </c>
      <c r="G2840" s="21" t="n">
        <f aca="false">CHOOSE($C$2830,Assumptions!$G$66,Assumptions!$G$85,Assumptions!$G$104)</f>
        <v>0.33</v>
      </c>
      <c r="H2840" s="21" t="n">
        <f aca="false">CHOOSE($C$2830,Assumptions!$H$66,Assumptions!$H$85,Assumptions!$H$104)</f>
        <v>0.318</v>
      </c>
      <c r="I2840" s="21" t="n">
        <f aca="false">CHOOSE($C$2830,Assumptions!$I$66,Assumptions!$I$85,Assumptions!$I$104)</f>
        <v>0.324</v>
      </c>
      <c r="J2840" s="21" t="n">
        <f aca="false">CHOOSE($C$2830,Assumptions!$J$66,Assumptions!$J$85,Assumptions!$J$104)</f>
        <v>0.33</v>
      </c>
      <c r="K2840" s="21" t="n">
        <f aca="false">CHOOSE($C$2830,Assumptions!$K$66,Assumptions!$K$85,Assumptions!$K$104)</f>
        <v>0.336</v>
      </c>
    </row>
    <row r="2841" customFormat="false" ht="15" hidden="false" customHeight="false" outlineLevel="0" collapsed="false">
      <c r="A2841" s="5" t="s">
        <v>151</v>
      </c>
      <c r="G2841" s="21" t="n">
        <f aca="false">CHOOSE($C$2830,Assumptions!$G$67,Assumptions!$G$86,Assumptions!$G$105)+$C$2832</f>
        <v>-0.005</v>
      </c>
      <c r="H2841" s="21" t="n">
        <f aca="false">CHOOSE($C$2830,Assumptions!$H$67,Assumptions!$H$86,Assumptions!$H$105)+$C$2832</f>
        <v>-0.017</v>
      </c>
      <c r="I2841" s="21" t="n">
        <f aca="false">CHOOSE($C$2830,Assumptions!$I$67,Assumptions!$I$86,Assumptions!$I$105)+$C$2832</f>
        <v>-0.011</v>
      </c>
      <c r="J2841" s="21" t="n">
        <f aca="false">CHOOSE($C$2830,Assumptions!$J$67,Assumptions!$J$86,Assumptions!$J$105)+$C$2832</f>
        <v>-0.005</v>
      </c>
      <c r="K2841" s="21" t="n">
        <f aca="false">CHOOSE($C$2830,Assumptions!$K$67,Assumptions!$K$86,Assumptions!$K$105)+$C$2832</f>
        <v>0.000999999999999987</v>
      </c>
    </row>
    <row r="2842" customFormat="false" ht="15" hidden="false" customHeight="false" outlineLevel="0" collapsed="false">
      <c r="A2842" s="23" t="s">
        <v>240</v>
      </c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</row>
    <row r="2843" customFormat="false" ht="15" hidden="false" customHeight="false" outlineLevel="0" collapsed="false">
      <c r="A2843" s="2" t="s">
        <v>207</v>
      </c>
      <c r="F2843" s="27" t="n">
        <f aca="false">'Historical Financials'!E17</f>
        <v>2400</v>
      </c>
      <c r="G2843" s="16" t="n">
        <f aca="false">F2843*(1+G2839)</f>
        <v>2212.8</v>
      </c>
      <c r="H2843" s="16" t="n">
        <f aca="false">G2843*(1+H2839)</f>
        <v>2126.5008</v>
      </c>
      <c r="I2843" s="16" t="n">
        <f aca="false">H2843*(1+I2839)</f>
        <v>2115.868296</v>
      </c>
      <c r="J2843" s="16" t="n">
        <f aca="false">I2843*(1+J2839)</f>
        <v>2094.70961304</v>
      </c>
      <c r="K2843" s="16" t="n">
        <f aca="false">J2843*(1+K2839)</f>
        <v>2073.7625169096</v>
      </c>
    </row>
    <row r="2844" customFormat="false" ht="15" hidden="false" customHeight="false" outlineLevel="0" collapsed="false">
      <c r="A2844" s="5" t="s">
        <v>217</v>
      </c>
      <c r="G2844" s="25" t="n">
        <f aca="false">G2843*(1-G2840)</f>
        <v>1482.576</v>
      </c>
      <c r="H2844" s="25" t="n">
        <f aca="false">H2843*(1-H2840)</f>
        <v>1450.2735456</v>
      </c>
      <c r="I2844" s="25" t="n">
        <f aca="false">I2843*(1-I2840)</f>
        <v>1430.326968096</v>
      </c>
      <c r="J2844" s="25" t="n">
        <f aca="false">J2843*(1-J2840)</f>
        <v>1403.4554407368</v>
      </c>
      <c r="K2844" s="25" t="n">
        <f aca="false">K2843*(1-K2840)</f>
        <v>1376.97831122797</v>
      </c>
    </row>
    <row r="2845" customFormat="false" ht="15" hidden="false" customHeight="false" outlineLevel="0" collapsed="false">
      <c r="A2845" s="2" t="s">
        <v>218</v>
      </c>
      <c r="G2845" s="16" t="n">
        <f aca="false">G2843-G2844</f>
        <v>730.224</v>
      </c>
      <c r="H2845" s="16" t="n">
        <f aca="false">H2843-H2844</f>
        <v>676.2272544</v>
      </c>
      <c r="I2845" s="16" t="n">
        <f aca="false">I2843-I2844</f>
        <v>685.541327904</v>
      </c>
      <c r="J2845" s="16" t="n">
        <f aca="false">J2843-J2844</f>
        <v>691.2541723032</v>
      </c>
      <c r="K2845" s="16" t="n">
        <f aca="false">K2843-K2844</f>
        <v>696.784205681626</v>
      </c>
    </row>
    <row r="2846" customFormat="false" ht="15" hidden="false" customHeight="false" outlineLevel="0" collapsed="false">
      <c r="A2846" s="5" t="s">
        <v>241</v>
      </c>
      <c r="G2846" s="25" t="n">
        <f aca="false">G2845-G2847</f>
        <v>741.288</v>
      </c>
      <c r="H2846" s="25" t="n">
        <f aca="false">H2845-H2847</f>
        <v>712.377768</v>
      </c>
      <c r="I2846" s="25" t="n">
        <f aca="false">I2845-I2847</f>
        <v>708.81587916</v>
      </c>
      <c r="J2846" s="25" t="n">
        <f aca="false">J2845-J2847</f>
        <v>701.7277203684</v>
      </c>
      <c r="K2846" s="25" t="n">
        <f aca="false">K2845-K2847</f>
        <v>694.710443164716</v>
      </c>
    </row>
    <row r="2847" customFormat="false" ht="15" hidden="false" customHeight="false" outlineLevel="0" collapsed="false">
      <c r="A2847" s="2" t="s">
        <v>242</v>
      </c>
      <c r="G2847" s="16" t="n">
        <f aca="false">G2843*G2841</f>
        <v>-11.064</v>
      </c>
      <c r="H2847" s="16" t="n">
        <f aca="false">H2843*H2841</f>
        <v>-36.1505136</v>
      </c>
      <c r="I2847" s="16" t="n">
        <f aca="false">I2843*I2841</f>
        <v>-23.274551256</v>
      </c>
      <c r="J2847" s="16" t="n">
        <f aca="false">J2843*J2841</f>
        <v>-10.4735480652</v>
      </c>
      <c r="K2847" s="16" t="n">
        <f aca="false">K2843*K2841</f>
        <v>2.07376251690957</v>
      </c>
    </row>
    <row r="2848" customFormat="false" ht="15" hidden="false" customHeight="false" outlineLevel="0" collapsed="false">
      <c r="A2848" s="5" t="s">
        <v>243</v>
      </c>
      <c r="G2848" s="25" t="n">
        <f aca="false">G2843*'Historical Financials'!E22/'Historical Financials'!E17</f>
        <v>48.6816</v>
      </c>
      <c r="H2848" s="25" t="n">
        <f aca="false">H2843*'Historical Financials'!E22/'Historical Financials'!E17</f>
        <v>46.7830176</v>
      </c>
      <c r="I2848" s="25" t="n">
        <f aca="false">I2843*'Historical Financials'!E22/'Historical Financials'!E17</f>
        <v>46.549102512</v>
      </c>
      <c r="J2848" s="25" t="n">
        <f aca="false">J2843*'Historical Financials'!E22/'Historical Financials'!E17</f>
        <v>46.08361148688</v>
      </c>
      <c r="K2848" s="25" t="n">
        <f aca="false">K2843*'Historical Financials'!E22/'Historical Financials'!E17</f>
        <v>45.6227753720112</v>
      </c>
    </row>
    <row r="2849" customFormat="false" ht="15" hidden="false" customHeight="false" outlineLevel="0" collapsed="false">
      <c r="A2849" s="5" t="s">
        <v>244</v>
      </c>
      <c r="G2849" s="25" t="n">
        <f aca="false">G2843*'Historical Financials'!E23/'Historical Financials'!E17</f>
        <v>0</v>
      </c>
      <c r="H2849" s="25" t="n">
        <f aca="false">H2843*'Historical Financials'!E23/'Historical Financials'!E17</f>
        <v>0</v>
      </c>
      <c r="I2849" s="25" t="n">
        <f aca="false">I2843*'Historical Financials'!E23/'Historical Financials'!E17</f>
        <v>0</v>
      </c>
      <c r="J2849" s="25" t="n">
        <f aca="false">J2843*'Historical Financials'!E23/'Historical Financials'!E17</f>
        <v>0</v>
      </c>
      <c r="K2849" s="25" t="n">
        <f aca="false">K2843*'Historical Financials'!E23/'Historical Financials'!E17</f>
        <v>0</v>
      </c>
    </row>
    <row r="2850" customFormat="false" ht="15" hidden="false" customHeight="false" outlineLevel="0" collapsed="false">
      <c r="A2850" s="2" t="s">
        <v>245</v>
      </c>
      <c r="G2850" s="16" t="n">
        <f aca="false">G2847-G2848-G2849</f>
        <v>-59.7456</v>
      </c>
      <c r="H2850" s="16" t="n">
        <f aca="false">H2847-H2848-H2849</f>
        <v>-82.9335312</v>
      </c>
      <c r="I2850" s="16" t="n">
        <f aca="false">I2847-I2848-I2849</f>
        <v>-69.823653768</v>
      </c>
      <c r="J2850" s="16" t="n">
        <f aca="false">J2847-J2848-J2849</f>
        <v>-56.55715955208</v>
      </c>
      <c r="K2850" s="16" t="n">
        <f aca="false">K2847-K2848-K2849</f>
        <v>-43.5490128551016</v>
      </c>
    </row>
    <row r="2851" customFormat="false" ht="15" hidden="false" customHeight="false" outlineLevel="0" collapsed="false">
      <c r="A2851" s="5" t="s">
        <v>246</v>
      </c>
      <c r="G2851" s="25" t="n">
        <f aca="false">G2877+G2890+G2903+G2916</f>
        <v>129.54</v>
      </c>
      <c r="H2851" s="25" t="n">
        <f aca="false">H2877+H2890+H2903+H2916</f>
        <v>139.0094</v>
      </c>
      <c r="I2851" s="25" t="n">
        <f aca="false">I2877+I2890+I2903+I2916</f>
        <v>136.3848</v>
      </c>
      <c r="J2851" s="25" t="n">
        <f aca="false">J2877+J2890+J2903+J2916</f>
        <v>135.7972</v>
      </c>
      <c r="K2851" s="25" t="n">
        <f aca="false">K2877+K2890+K2903+K2916</f>
        <v>135.2096</v>
      </c>
    </row>
    <row r="2852" customFormat="false" ht="15" hidden="false" customHeight="false" outlineLevel="0" collapsed="false">
      <c r="A2852" s="5" t="s">
        <v>247</v>
      </c>
      <c r="G2852" s="25" t="n">
        <f aca="false">G2878+G2891+G2904+G2917</f>
        <v>0</v>
      </c>
      <c r="H2852" s="25" t="n">
        <f aca="false">H2878+H2891+H2904+H2917</f>
        <v>0</v>
      </c>
      <c r="I2852" s="25" t="n">
        <f aca="false">I2878+I2891+I2904+I2917</f>
        <v>0</v>
      </c>
      <c r="J2852" s="25" t="n">
        <f aca="false">J2878+J2891+J2904+J2917</f>
        <v>0</v>
      </c>
      <c r="K2852" s="25" t="n">
        <f aca="false">K2878+K2891+K2904+K2917</f>
        <v>0</v>
      </c>
    </row>
    <row r="2853" customFormat="false" ht="15" hidden="false" customHeight="false" outlineLevel="0" collapsed="false">
      <c r="A2853" s="5" t="s">
        <v>212</v>
      </c>
      <c r="G2853" s="25" t="n">
        <f aca="false">G2851+G2852</f>
        <v>129.54</v>
      </c>
      <c r="H2853" s="25" t="n">
        <f aca="false">H2851+H2852</f>
        <v>139.0094</v>
      </c>
      <c r="I2853" s="25" t="n">
        <f aca="false">I2851+I2852</f>
        <v>136.3848</v>
      </c>
      <c r="J2853" s="25" t="n">
        <f aca="false">J2851+J2852</f>
        <v>135.7972</v>
      </c>
      <c r="K2853" s="25" t="n">
        <f aca="false">K2851+K2852</f>
        <v>135.2096</v>
      </c>
    </row>
    <row r="2854" customFormat="false" ht="15" hidden="false" customHeight="false" outlineLevel="0" collapsed="false">
      <c r="A2854" s="2" t="s">
        <v>223</v>
      </c>
      <c r="G2854" s="16" t="n">
        <f aca="false">G2850-G2853</f>
        <v>-189.2856</v>
      </c>
      <c r="H2854" s="16" t="n">
        <f aca="false">H2850-H2853</f>
        <v>-221.9429312</v>
      </c>
      <c r="I2854" s="16" t="n">
        <f aca="false">I2850-I2853</f>
        <v>-206.208453768</v>
      </c>
      <c r="J2854" s="16" t="n">
        <f aca="false">J2850-J2853</f>
        <v>-192.35435955208</v>
      </c>
      <c r="K2854" s="16" t="n">
        <f aca="false">K2850-K2853</f>
        <v>-178.758612855102</v>
      </c>
    </row>
    <row r="2855" customFormat="false" ht="15" hidden="false" customHeight="false" outlineLevel="0" collapsed="false">
      <c r="A2855" s="5" t="s">
        <v>213</v>
      </c>
      <c r="G2855" s="25" t="n">
        <f aca="false">MAX(0,G2854)*Assumptions!$C$9</f>
        <v>0</v>
      </c>
      <c r="H2855" s="25" t="n">
        <f aca="false">MAX(0,H2854)*Assumptions!$C$9</f>
        <v>0</v>
      </c>
      <c r="I2855" s="25" t="n">
        <f aca="false">MAX(0,I2854)*Assumptions!$C$9</f>
        <v>0</v>
      </c>
      <c r="J2855" s="25" t="n">
        <f aca="false">MAX(0,J2854)*Assumptions!$C$9</f>
        <v>0</v>
      </c>
      <c r="K2855" s="25" t="n">
        <f aca="false">MAX(0,K2854)*Assumptions!$C$9</f>
        <v>0</v>
      </c>
    </row>
    <row r="2856" customFormat="false" ht="15" hidden="false" customHeight="false" outlineLevel="0" collapsed="false">
      <c r="A2856" s="2" t="s">
        <v>248</v>
      </c>
      <c r="G2856" s="16" t="n">
        <f aca="false">G2854-G2855</f>
        <v>-189.2856</v>
      </c>
      <c r="H2856" s="16" t="n">
        <f aca="false">H2854-H2855</f>
        <v>-221.9429312</v>
      </c>
      <c r="I2856" s="16" t="n">
        <f aca="false">I2854-I2855</f>
        <v>-206.208453768</v>
      </c>
      <c r="J2856" s="16" t="n">
        <f aca="false">J2854-J2855</f>
        <v>-192.35435955208</v>
      </c>
      <c r="K2856" s="16" t="n">
        <f aca="false">K2854-K2855</f>
        <v>-178.758612855102</v>
      </c>
    </row>
    <row r="2857" customFormat="false" ht="15" hidden="false" customHeight="false" outlineLevel="0" collapsed="false">
      <c r="A2857" s="23" t="s">
        <v>249</v>
      </c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</row>
    <row r="2858" customFormat="false" ht="15" hidden="false" customHeight="false" outlineLevel="0" collapsed="false">
      <c r="A2858" s="5" t="s">
        <v>153</v>
      </c>
      <c r="G2858" s="25" t="n">
        <f aca="false">G2843*CHOOSE($C$2830,Assumptions!$C$69,Assumptions!$C$88,Assumptions!$C$107)</f>
        <v>42.0432</v>
      </c>
      <c r="H2858" s="25" t="n">
        <f aca="false">H2843*CHOOSE($C$2830,Assumptions!$C$69,Assumptions!$C$88,Assumptions!$C$107)</f>
        <v>40.4035152</v>
      </c>
      <c r="I2858" s="25" t="n">
        <f aca="false">I2843*CHOOSE($C$2830,Assumptions!$C$69,Assumptions!$C$88,Assumptions!$C$107)</f>
        <v>40.201497624</v>
      </c>
      <c r="J2858" s="25" t="n">
        <f aca="false">J2843*CHOOSE($C$2830,Assumptions!$C$69,Assumptions!$C$88,Assumptions!$C$107)</f>
        <v>39.79948264776</v>
      </c>
      <c r="K2858" s="25" t="n">
        <f aca="false">K2843*CHOOSE($C$2830,Assumptions!$C$69,Assumptions!$C$88,Assumptions!$C$107)</f>
        <v>39.4014878212824</v>
      </c>
    </row>
    <row r="2859" customFormat="false" ht="15" hidden="false" customHeight="false" outlineLevel="0" collapsed="false">
      <c r="A2859" s="5" t="s">
        <v>250</v>
      </c>
      <c r="G2859" s="25" t="n">
        <f aca="false">CHOOSE($C$2830,Assumptions!$C$70,Assumptions!$C$89,Assumptions!$C$108)*(G2843-F2843)+CHOOSE($C$2830,Assumptions!$C$71,Assumptions!$C$90,Assumptions!$C$109)*G2843</f>
        <v>-18.0384</v>
      </c>
      <c r="H2859" s="25" t="n">
        <f aca="false">CHOOSE($C$2830,Assumptions!$C$70,Assumptions!$C$89,Assumptions!$C$108)*(H2843-G2843)+CHOOSE($C$2830,Assumptions!$C$71,Assumptions!$C$90,Assumptions!$C$109)*H2843</f>
        <v>-6.10290239999999</v>
      </c>
      <c r="I2859" s="25" t="n">
        <f aca="false">CHOOSE($C$2830,Assumptions!$C$70,Assumptions!$C$89,Assumptions!$C$108)*(I2843-H2843)+CHOOSE($C$2830,Assumptions!$C$71,Assumptions!$C$90,Assumptions!$C$109)*I2843</f>
        <v>2.95583611199998</v>
      </c>
      <c r="J2859" s="25" t="n">
        <f aca="false">CHOOSE($C$2830,Assumptions!$C$70,Assumptions!$C$89,Assumptions!$C$108)*(J2843-I2843)+CHOOSE($C$2830,Assumptions!$C$71,Assumptions!$C$90,Assumptions!$C$109)*J2843</f>
        <v>1.65037727087999</v>
      </c>
      <c r="K2859" s="25" t="n">
        <f aca="false">CHOOSE($C$2830,Assumptions!$C$70,Assumptions!$C$89,Assumptions!$C$108)*(K2843-J2843)+CHOOSE($C$2830,Assumptions!$C$71,Assumptions!$C$90,Assumptions!$C$109)*K2843</f>
        <v>1.63387349817119</v>
      </c>
    </row>
    <row r="2860" customFormat="false" ht="15" hidden="false" customHeight="false" outlineLevel="0" collapsed="false">
      <c r="A2860" s="2" t="s">
        <v>251</v>
      </c>
      <c r="G2860" s="16" t="n">
        <f aca="false">G2856+G2848+G2849+G2852-G2858-G2859</f>
        <v>-164.6088</v>
      </c>
      <c r="H2860" s="16" t="n">
        <f aca="false">H2856+H2848+H2849+H2852-H2858-H2859</f>
        <v>-209.4605264</v>
      </c>
      <c r="I2860" s="16" t="n">
        <f aca="false">I2856+I2848+I2849+I2852-I2858-I2859</f>
        <v>-202.816684992</v>
      </c>
      <c r="J2860" s="16" t="n">
        <f aca="false">J2856+J2848+J2849+J2852-J2858-J2859</f>
        <v>-187.72060798384</v>
      </c>
      <c r="K2860" s="16" t="n">
        <f aca="false">K2856+K2848+K2849+K2852-K2858-K2859</f>
        <v>-174.171198802544</v>
      </c>
    </row>
    <row r="2862" customFormat="false" ht="15" hidden="false" customHeight="false" outlineLevel="0" collapsed="false">
      <c r="A2862" s="23" t="s">
        <v>253</v>
      </c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</row>
    <row r="2863" customFormat="false" ht="15" hidden="false" customHeight="false" outlineLevel="0" collapsed="false">
      <c r="A2863" s="5" t="s">
        <v>254</v>
      </c>
      <c r="G2863" s="29" t="n">
        <f aca="false">Assumptions!$G$49</f>
        <v>0.0425</v>
      </c>
      <c r="H2863" s="29" t="n">
        <f aca="false">Assumptions!$H$49</f>
        <v>0.04</v>
      </c>
      <c r="I2863" s="29" t="n">
        <f aca="false">Assumptions!$I$49</f>
        <v>0.0375</v>
      </c>
      <c r="J2863" s="29" t="n">
        <f aca="false">Assumptions!$J$49</f>
        <v>0.0375</v>
      </c>
      <c r="K2863" s="29" t="n">
        <f aca="false">Assumptions!$K$49</f>
        <v>0.0375</v>
      </c>
    </row>
    <row r="2864" customFormat="false" ht="15" hidden="false" customHeight="false" outlineLevel="0" collapsed="false">
      <c r="A2864" s="5" t="s">
        <v>255</v>
      </c>
      <c r="C2864" s="30" t="n">
        <f aca="false">CHOOSE($C$2830,Assumptions!$C$72,Assumptions!$C$91,Assumptions!$C$110)+$C$2833</f>
        <v>0.015</v>
      </c>
    </row>
    <row r="2865" customFormat="false" ht="15" hidden="false" customHeight="false" outlineLevel="0" collapsed="false">
      <c r="A2865" s="5" t="s">
        <v>256</v>
      </c>
      <c r="C2865" s="30" t="n">
        <f aca="false">CHOOSE($C$2830,Assumptions!$C$73,Assumptions!$C$92,Assumptions!$C$111)</f>
        <v>0.135</v>
      </c>
    </row>
    <row r="2866" customFormat="false" ht="15" hidden="false" customHeight="false" outlineLevel="0" collapsed="false">
      <c r="A2866" s="5" t="s">
        <v>257</v>
      </c>
      <c r="C2866" s="31" t="n">
        <f aca="false">CHOOSE($C$2830,Assumptions!$C$74,Assumptions!$C$93,Assumptions!$C$112)</f>
        <v>5.5</v>
      </c>
    </row>
    <row r="2867" customFormat="false" ht="15" hidden="false" customHeight="false" outlineLevel="0" collapsed="false">
      <c r="A2867" s="5" t="s">
        <v>258</v>
      </c>
      <c r="C2867" s="31" t="n">
        <f aca="false">CHOOSE($C$2830,Assumptions!$C$75,Assumptions!$C$94,Assumptions!$C$113)</f>
        <v>1.8</v>
      </c>
    </row>
    <row r="2868" customFormat="false" ht="15" hidden="false" customHeight="false" outlineLevel="0" collapsed="false">
      <c r="A2868" s="5" t="s">
        <v>259</v>
      </c>
      <c r="G2868" s="25" t="n">
        <f aca="false">G2873+G2886+G2899+G2912</f>
        <v>1250</v>
      </c>
      <c r="H2868" s="25" t="n">
        <f aca="false">H2873+H2886+H2899+H2912</f>
        <v>1364.8</v>
      </c>
      <c r="I2868" s="25" t="n">
        <f aca="false">I2873+I2886+I2899+I2912</f>
        <v>1359.6</v>
      </c>
      <c r="J2868" s="25" t="n">
        <f aca="false">J2873+J2886+J2899+J2912</f>
        <v>1354.4</v>
      </c>
      <c r="K2868" s="25" t="n">
        <f aca="false">K2873+K2886+K2899+K2912</f>
        <v>1349.2</v>
      </c>
    </row>
    <row r="2869" customFormat="false" ht="15" hidden="false" customHeight="false" outlineLevel="0" collapsed="false">
      <c r="A2869" s="5" t="s">
        <v>260</v>
      </c>
      <c r="G2869" s="25" t="n">
        <f aca="false">F2959</f>
        <v>45</v>
      </c>
      <c r="H2869" s="25" t="n">
        <f aca="false">G2959</f>
        <v>-4.80880000000006</v>
      </c>
      <c r="I2869" s="25" t="n">
        <f aca="false">H2959</f>
        <v>-219.4693264</v>
      </c>
      <c r="J2869" s="25" t="n">
        <f aca="false">I2959</f>
        <v>-427.486011392</v>
      </c>
      <c r="K2869" s="25" t="n">
        <f aca="false">J2959</f>
        <v>-620.40661937584</v>
      </c>
    </row>
    <row r="2870" customFormat="false" ht="15" hidden="false" customHeight="false" outlineLevel="0" collapsed="false">
      <c r="A2870" s="5" t="s">
        <v>261</v>
      </c>
      <c r="G2870" s="25" t="n">
        <f aca="false">G2873*IF(G2874=1,$C$2865,IF(Assumptions!$I$53=1,MAX(G2863,Assumptions!$G$53)+Assumptions!$F$53+$C$2864,Assumptions!$E$53))+G2886*IF(G2887=1,$C$2865,IF(Assumptions!$I$54=1,MAX(G2863,Assumptions!$G$54)+Assumptions!$F$54+$C$2864,Assumptions!$E$54))+G2899*IF(G2900=1,$C$2865,IF(Assumptions!$I$55=1,MAX(G2863,Assumptions!$G$55)+Assumptions!$F$55+$C$2864,Assumptions!$E$55))+G2912*IF(G2913=1,$C$2865,IF(Assumptions!$I$56=1,MAX(G2863,Assumptions!$G$56)+Assumptions!$F$56+$C$2864,Assumptions!$E$56))</f>
        <v>129.54</v>
      </c>
      <c r="H2870" s="25" t="n">
        <f aca="false">H2873*IF(OR(H2874=1,G3025=1),$C$2865,IF(Assumptions!$I$53=1,MAX(H2863,Assumptions!$G$53)+Assumptions!$F$53+$C$2864,Assumptions!$E$53))+H2886*IF(OR(H2887=1,G3026=1),$C$2865,IF(Assumptions!$I$54=1,MAX(H2863,Assumptions!$G$54)+Assumptions!$F$54+$C$2864,Assumptions!$E$54))+H2899*IF(OR(H2900=1,G3027=1),$C$2865,IF(Assumptions!$I$55=1,MAX(H2863,Assumptions!$G$55)+Assumptions!$F$55+$C$2864,Assumptions!$E$55))+H2912*IF(OR(H2913=1,G3028=1),$C$2865,IF(Assumptions!$I$56=1,MAX(H2863,Assumptions!$G$56)+Assumptions!$F$56+$C$2864,Assumptions!$E$56))</f>
        <v>167.9594</v>
      </c>
      <c r="I2870" s="25" t="n">
        <f aca="false">I2873*IF(OR(I2874=1,H3025=1),$C$2865,IF(Assumptions!$I$53=1,MAX(I2863,Assumptions!$G$53)+Assumptions!$F$53+$C$2864,Assumptions!$E$53))+I2886*IF(OR(I2887=1,H3026=1),$C$2865,IF(Assumptions!$I$54=1,MAX(I2863,Assumptions!$G$54)+Assumptions!$F$54+$C$2864,Assumptions!$E$54))+I2899*IF(OR(I2900=1,H3027=1),$C$2865,IF(Assumptions!$I$55=1,MAX(I2863,Assumptions!$G$55)+Assumptions!$F$55+$C$2864,Assumptions!$E$55))+I2912*IF(OR(I2913=1,H3028=1),$C$2865,IF(Assumptions!$I$56=1,MAX(I2863,Assumptions!$G$56)+Assumptions!$F$56+$C$2864,Assumptions!$E$56))</f>
        <v>147.596</v>
      </c>
      <c r="J2870" s="25" t="n">
        <f aca="false">J2873*IF(OR(J2874=1,I3025=1),$C$2865,IF(Assumptions!$I$53=1,MAX(J2863,Assumptions!$G$53)+Assumptions!$F$53+$C$2864,Assumptions!$E$53))+J2886*IF(OR(J2887=1,I3026=1),$C$2865,IF(Assumptions!$I$54=1,MAX(J2863,Assumptions!$G$54)+Assumptions!$F$54+$C$2864,Assumptions!$E$54))+J2899*IF(OR(J2900=1,I3027=1),$C$2865,IF(Assumptions!$I$55=1,MAX(J2863,Assumptions!$G$55)+Assumptions!$F$55+$C$2864,Assumptions!$E$55))+J2912*IF(OR(J2913=1,I3028=1),$C$2865,IF(Assumptions!$I$56=1,MAX(J2863,Assumptions!$G$56)+Assumptions!$F$56+$C$2864,Assumptions!$E$56))</f>
        <v>142.0472</v>
      </c>
      <c r="K2870" s="25" t="n">
        <f aca="false">K2873*IF(OR(K2874=1,J3025=1),$C$2865,IF(Assumptions!$I$53=1,MAX(K2863,Assumptions!$G$53)+Assumptions!$F$53+$C$2864,Assumptions!$E$53))+K2886*IF(OR(K2887=1,J3026=1),$C$2865,IF(Assumptions!$I$54=1,MAX(K2863,Assumptions!$G$54)+Assumptions!$F$54+$C$2864,Assumptions!$E$54))+K2899*IF(OR(K2900=1,J3027=1),$C$2865,IF(Assumptions!$I$55=1,MAX(K2863,Assumptions!$G$55)+Assumptions!$F$55+$C$2864,Assumptions!$E$55))+K2912*IF(OR(K2913=1,J3028=1),$C$2865,IF(Assumptions!$I$56=1,MAX(K2863,Assumptions!$G$56)+Assumptions!$F$56+$C$2864,Assumptions!$E$56))</f>
        <v>135.2096</v>
      </c>
    </row>
    <row r="2871" customFormat="false" ht="15" hidden="false" customHeight="false" outlineLevel="0" collapsed="false">
      <c r="A2871" s="5" t="s">
        <v>262</v>
      </c>
      <c r="G2871" s="20" t="n">
        <f aca="false">IF(G2847&lt;=0,0,IF(AND((G2868-G2869)/G2847&lt;=$C$2866,G2847/G2870&gt;=$C$2867),1,0))</f>
        <v>0</v>
      </c>
      <c r="H2871" s="20" t="n">
        <f aca="false">IF(H2847&lt;=0,0,IF(AND((H2868-H2869)/H2847&lt;=$C$2866,H2847/H2870&gt;=$C$2867),1,0))</f>
        <v>0</v>
      </c>
      <c r="I2871" s="20" t="n">
        <f aca="false">IF(I2847&lt;=0,0,IF(AND((I2868-I2869)/I2847&lt;=$C$2866,I2847/I2870&gt;=$C$2867),1,0))</f>
        <v>0</v>
      </c>
      <c r="J2871" s="20" t="n">
        <f aca="false">IF(J2847&lt;=0,0,IF(AND((J2868-J2869)/J2847&lt;=$C$2866,J2847/J2870&gt;=$C$2867),1,0))</f>
        <v>0</v>
      </c>
      <c r="K2871" s="20" t="n">
        <f aca="false">IF(K2847&lt;=0,0,IF(AND((K2868-K2869)/K2847&lt;=$C$2866,K2847/K2870&gt;=$C$2867),1,0))</f>
        <v>0</v>
      </c>
    </row>
    <row r="2872" customFormat="false" ht="15" hidden="false" customHeight="false" outlineLevel="0" collapsed="false">
      <c r="A2872" s="23" t="s">
        <v>263</v>
      </c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</row>
    <row r="2873" customFormat="false" ht="15" hidden="false" customHeight="false" outlineLevel="0" collapsed="false">
      <c r="A2873" s="5" t="s">
        <v>264</v>
      </c>
      <c r="G2873" s="25" t="n">
        <f aca="false">F2884</f>
        <v>180</v>
      </c>
      <c r="H2873" s="25" t="n">
        <f aca="false">G2884</f>
        <v>300</v>
      </c>
      <c r="I2873" s="25" t="n">
        <f aca="false">H2884</f>
        <v>300</v>
      </c>
      <c r="J2873" s="25" t="n">
        <f aca="false">I2884</f>
        <v>300</v>
      </c>
      <c r="K2873" s="25" t="n">
        <f aca="false">J2884</f>
        <v>300</v>
      </c>
    </row>
    <row r="2874" customFormat="false" ht="15" hidden="false" customHeight="false" outlineLevel="0" collapsed="false">
      <c r="A2874" s="5" t="s">
        <v>265</v>
      </c>
      <c r="G2874" s="20" t="n">
        <f aca="false">IF(G2837=Assumptions!$K$53,1,0)</f>
        <v>0</v>
      </c>
      <c r="H2874" s="20" t="n">
        <f aca="false">IF(H2837=Assumptions!$K$53,1,0)</f>
        <v>1</v>
      </c>
      <c r="I2874" s="20" t="n">
        <f aca="false">IF(I2837=Assumptions!$K$53,1,0)</f>
        <v>0</v>
      </c>
      <c r="J2874" s="20" t="n">
        <f aca="false">IF(J2837=Assumptions!$K$53,1,0)</f>
        <v>0</v>
      </c>
      <c r="K2874" s="20" t="n">
        <f aca="false">IF(K2837=Assumptions!$K$53,1,0)</f>
        <v>0</v>
      </c>
    </row>
    <row r="2876" customFormat="false" ht="15" hidden="false" customHeight="false" outlineLevel="0" collapsed="false">
      <c r="A2876" s="5" t="s">
        <v>266</v>
      </c>
      <c r="G2876" s="30" t="n">
        <f aca="false">IF(Assumptions!$I$53=1,MAX(G2863,Assumptions!$G$53)+Assumptions!$F$53+$C$2864,Assumptions!$E$53)</f>
        <v>0.101</v>
      </c>
      <c r="H2876" s="30" t="n">
        <f aca="false">IF(G3025=1,$C$2865,IF(Assumptions!$I$53=1,MAX(H2863,Assumptions!$G$53)+Assumptions!$F$53+$C$2864,Assumptions!$E$53))</f>
        <v>0.0985</v>
      </c>
      <c r="I2876" s="30" t="n">
        <f aca="false">IF(H3025=1,$C$2865,IF(Assumptions!$I$53=1,MAX(I2863,Assumptions!$G$53)+Assumptions!$F$53+$C$2864,Assumptions!$E$53))</f>
        <v>0.096</v>
      </c>
      <c r="J2876" s="30" t="n">
        <f aca="false">IF(I3025=1,$C$2865,IF(Assumptions!$I$53=1,MAX(J2863,Assumptions!$G$53)+Assumptions!$F$53+$C$2864,Assumptions!$E$53))</f>
        <v>0.096</v>
      </c>
      <c r="K2876" s="30" t="n">
        <f aca="false">IF(J3025=1,$C$2865,IF(Assumptions!$I$53=1,MAX(K2863,Assumptions!$G$53)+Assumptions!$F$53+$C$2864,Assumptions!$E$53))</f>
        <v>0.096</v>
      </c>
    </row>
    <row r="2877" customFormat="false" ht="15" hidden="false" customHeight="false" outlineLevel="0" collapsed="false">
      <c r="A2877" s="5" t="s">
        <v>267</v>
      </c>
      <c r="G2877" s="25" t="n">
        <f aca="false">G2873*G2876</f>
        <v>18.18</v>
      </c>
      <c r="H2877" s="25" t="n">
        <f aca="false">H2873*H2876</f>
        <v>29.55</v>
      </c>
      <c r="I2877" s="25" t="n">
        <f aca="false">I2873*I2876</f>
        <v>28.8</v>
      </c>
      <c r="J2877" s="25" t="n">
        <f aca="false">J2873*J2876</f>
        <v>28.8</v>
      </c>
      <c r="K2877" s="25" t="n">
        <f aca="false">K2873*K2876</f>
        <v>28.8</v>
      </c>
    </row>
    <row r="2878" customFormat="false" ht="15" hidden="false" customHeight="false" outlineLevel="0" collapsed="false">
      <c r="A2878" s="5" t="s">
        <v>268</v>
      </c>
      <c r="G2878" s="25" t="n">
        <f aca="false">G2873*Assumptions!$H$53</f>
        <v>0</v>
      </c>
      <c r="H2878" s="25" t="n">
        <f aca="false">H2873*Assumptions!$H$53</f>
        <v>0</v>
      </c>
      <c r="I2878" s="25" t="n">
        <f aca="false">I2873*Assumptions!$H$53</f>
        <v>0</v>
      </c>
      <c r="J2878" s="25" t="n">
        <f aca="false">J2873*Assumptions!$H$53</f>
        <v>0</v>
      </c>
      <c r="K2878" s="25" t="n">
        <f aca="false">K2873*Assumptions!$H$53</f>
        <v>0</v>
      </c>
    </row>
    <row r="2879" customFormat="false" ht="15" hidden="false" customHeight="false" outlineLevel="0" collapsed="false">
      <c r="A2879" s="5" t="s">
        <v>269</v>
      </c>
      <c r="G2879" s="25" t="n">
        <f aca="false">MIN(G2873,Assumptions!$L$53*Assumptions!$C$53)</f>
        <v>0</v>
      </c>
      <c r="H2879" s="25" t="n">
        <f aca="false">MIN(H2873,Assumptions!$L$53*Assumptions!$C$53)</f>
        <v>0</v>
      </c>
      <c r="I2879" s="25" t="n">
        <f aca="false">MIN(I2873,Assumptions!$L$53*Assumptions!$C$53)</f>
        <v>0</v>
      </c>
      <c r="J2879" s="25" t="n">
        <f aca="false">MIN(J2873,Assumptions!$L$53*Assumptions!$C$53)</f>
        <v>0</v>
      </c>
      <c r="K2879" s="25" t="n">
        <f aca="false">MIN(K2873,Assumptions!$L$53*Assumptions!$C$53)</f>
        <v>0</v>
      </c>
    </row>
    <row r="2880" customFormat="false" ht="15" hidden="false" customHeight="false" outlineLevel="0" collapsed="false">
      <c r="A2880" s="5" t="s">
        <v>270</v>
      </c>
      <c r="G2880" s="25" t="n">
        <f aca="false">IF(AND(Assumptions!$P$53=1,G2837&lt;Assumptions!$K$53),MIN(MAX(0,-G2951),MAX(0,Assumptions!$D$53-G2873)),0)</f>
        <v>120</v>
      </c>
      <c r="H2880" s="25" t="n">
        <f aca="false">IF(AND(Assumptions!$P$53=1,OR(H2837&lt;Assumptions!$K$53,G3025=1)),MIN(MAX(0,-H2951),MAX(0,Assumptions!$D$53-H2873)),0)</f>
        <v>0</v>
      </c>
      <c r="I2880" s="25" t="n">
        <f aca="false">IF(AND(Assumptions!$P$53=1,OR(I2837&lt;Assumptions!$K$53,H3025=1)),MIN(MAX(0,-I2951),MAX(0,Assumptions!$D$53-I2873)),0)</f>
        <v>0</v>
      </c>
      <c r="J2880" s="25" t="n">
        <f aca="false">IF(AND(Assumptions!$P$53=1,OR(J2837&lt;Assumptions!$K$53,I3025=1)),MIN(MAX(0,-J2951),MAX(0,Assumptions!$D$53-J2873)),0)</f>
        <v>0</v>
      </c>
      <c r="K2880" s="25" t="n">
        <f aca="false">IF(AND(Assumptions!$P$53=1,OR(K2837&lt;Assumptions!$K$53,J3025=1)),MIN(MAX(0,-K2951),MAX(0,Assumptions!$D$53-K2873)),0)</f>
        <v>0</v>
      </c>
    </row>
    <row r="2881" customFormat="false" ht="15" hidden="false" customHeight="false" outlineLevel="0" collapsed="false">
      <c r="A2881" s="5" t="s">
        <v>271</v>
      </c>
      <c r="G2881" s="25" t="n">
        <f aca="false">G2874*MIN(G2873-G2879+G2878,MAX(0,G2953-Assumptions!$C$12*G2871))</f>
        <v>0</v>
      </c>
      <c r="H2881" s="25" t="n">
        <f aca="false">H2874*MIN(H2873-H2879+H2878,MAX(0,H2953-Assumptions!$C$12*H2871))</f>
        <v>0</v>
      </c>
      <c r="I2881" s="25" t="n">
        <f aca="false">I2874*MIN(I2873-I2879+I2878,MAX(0,I2953-Assumptions!$C$12*I2871))</f>
        <v>0</v>
      </c>
      <c r="J2881" s="25" t="n">
        <f aca="false">J2874*MIN(J2873-J2879+J2878,MAX(0,J2953-Assumptions!$C$12*J2871))</f>
        <v>0</v>
      </c>
      <c r="K2881" s="25" t="n">
        <f aca="false">K2874*MIN(K2873-K2879+K2878,MAX(0,K2953-Assumptions!$C$12*K2871))</f>
        <v>0</v>
      </c>
    </row>
    <row r="2882" customFormat="false" ht="15" hidden="false" customHeight="false" outlineLevel="0" collapsed="false">
      <c r="A2882" s="5" t="s">
        <v>272</v>
      </c>
      <c r="G2882" s="25" t="n">
        <f aca="false">Assumptions!$N$53*MIN(G2873+G2880+G2878-G2879-G2881,MAX(0,G2957))</f>
        <v>0</v>
      </c>
      <c r="H2882" s="25" t="n">
        <f aca="false">Assumptions!$N$53*MIN(H2873+H2880+H2878-H2879-H2881,MAX(0,H2957))</f>
        <v>0</v>
      </c>
      <c r="I2882" s="25" t="n">
        <f aca="false">Assumptions!$N$53*MIN(I2873+I2880+I2878-I2879-I2881,MAX(0,I2957))</f>
        <v>0</v>
      </c>
      <c r="J2882" s="25" t="n">
        <f aca="false">Assumptions!$N$53*MIN(J2873+J2880+J2878-J2879-J2881,MAX(0,J2957))</f>
        <v>0</v>
      </c>
      <c r="K2882" s="25" t="n">
        <f aca="false">Assumptions!$N$53*MIN(K2873+K2880+K2878-K2879-K2881,MAX(0,K2957))</f>
        <v>0</v>
      </c>
    </row>
    <row r="2883" customFormat="false" ht="15" hidden="false" customHeight="false" outlineLevel="0" collapsed="false">
      <c r="A2883" s="5" t="s">
        <v>273</v>
      </c>
      <c r="G2883" s="25" t="n">
        <f aca="false">G2874*(1-G2871)*(G2873-G2879+G2878-G2881)</f>
        <v>0</v>
      </c>
      <c r="H2883" s="25" t="n">
        <f aca="false">H2874*(1-H2871)*(H2873-H2879+H2878-H2881)</f>
        <v>300</v>
      </c>
      <c r="I2883" s="25" t="n">
        <f aca="false">I2874*(1-I2871)*(I2873-I2879+I2878-I2881)</f>
        <v>0</v>
      </c>
      <c r="J2883" s="25" t="n">
        <f aca="false">J2874*(1-J2871)*(J2873-J2879+J2878-J2881)</f>
        <v>0</v>
      </c>
      <c r="K2883" s="25" t="n">
        <f aca="false">K2874*(1-K2871)*(K2873-K2879+K2878-K2881)</f>
        <v>0</v>
      </c>
    </row>
    <row r="2884" customFormat="false" ht="15" hidden="false" customHeight="false" outlineLevel="0" collapsed="false">
      <c r="A2884" s="2" t="s">
        <v>274</v>
      </c>
      <c r="F2884" s="27" t="n">
        <f aca="false">Assumptions!$C$53</f>
        <v>180</v>
      </c>
      <c r="G2884" s="16" t="n">
        <f aca="false">G2873+G2880+G2878-G2879-G2881-G2882</f>
        <v>300</v>
      </c>
      <c r="H2884" s="16" t="n">
        <f aca="false">H2873+H2880+H2878-H2879-H2881-H2882</f>
        <v>300</v>
      </c>
      <c r="I2884" s="16" t="n">
        <f aca="false">I2873+I2880+I2878-I2879-I2881-I2882</f>
        <v>300</v>
      </c>
      <c r="J2884" s="16" t="n">
        <f aca="false">J2873+J2880+J2878-J2879-J2881-J2882</f>
        <v>300</v>
      </c>
      <c r="K2884" s="16" t="n">
        <f aca="false">K2873+K2880+K2878-K2879-K2881-K2882</f>
        <v>300</v>
      </c>
    </row>
    <row r="2885" customFormat="false" ht="15" hidden="false" customHeight="false" outlineLevel="0" collapsed="false">
      <c r="A2885" s="23" t="s">
        <v>275</v>
      </c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</row>
    <row r="2886" customFormat="false" ht="15" hidden="false" customHeight="false" outlineLevel="0" collapsed="false">
      <c r="A2886" s="5" t="s">
        <v>264</v>
      </c>
      <c r="G2886" s="25" t="n">
        <f aca="false">F2897</f>
        <v>520</v>
      </c>
      <c r="H2886" s="25" t="n">
        <f aca="false">G2897</f>
        <v>514.8</v>
      </c>
      <c r="I2886" s="25" t="n">
        <f aca="false">H2897</f>
        <v>509.6</v>
      </c>
      <c r="J2886" s="25" t="n">
        <f aca="false">I2897</f>
        <v>504.4</v>
      </c>
      <c r="K2886" s="25" t="n">
        <f aca="false">J2897</f>
        <v>499.2</v>
      </c>
    </row>
    <row r="2887" customFormat="false" ht="15" hidden="false" customHeight="false" outlineLevel="0" collapsed="false">
      <c r="A2887" s="5" t="s">
        <v>265</v>
      </c>
      <c r="G2887" s="20" t="n">
        <f aca="false">IF(G2837=Assumptions!$K$54,1,0)</f>
        <v>0</v>
      </c>
      <c r="H2887" s="20" t="n">
        <f aca="false">IF(H2837=Assumptions!$K$54,1,0)</f>
        <v>0</v>
      </c>
      <c r="I2887" s="20" t="n">
        <f aca="false">IF(I2837=Assumptions!$K$54,1,0)</f>
        <v>1</v>
      </c>
      <c r="J2887" s="20" t="n">
        <f aca="false">IF(J2837=Assumptions!$K$54,1,0)</f>
        <v>0</v>
      </c>
      <c r="K2887" s="20" t="n">
        <f aca="false">IF(K2837=Assumptions!$K$54,1,0)</f>
        <v>0</v>
      </c>
    </row>
    <row r="2889" customFormat="false" ht="15" hidden="false" customHeight="false" outlineLevel="0" collapsed="false">
      <c r="A2889" s="5" t="s">
        <v>266</v>
      </c>
      <c r="G2889" s="30" t="n">
        <f aca="false">IF(Assumptions!$I$54=1,MAX(G2863,Assumptions!$G$54)+Assumptions!$F$54+$C$2864,Assumptions!$E$54)</f>
        <v>0.118</v>
      </c>
      <c r="H2889" s="30" t="n">
        <f aca="false">IF(G3026=1,$C$2865,IF(Assumptions!$I$54=1,MAX(H2863,Assumptions!$G$54)+Assumptions!$F$54+$C$2864,Assumptions!$E$54))</f>
        <v>0.1155</v>
      </c>
      <c r="I2889" s="30" t="n">
        <f aca="false">IF(H3026=1,$C$2865,IF(Assumptions!$I$54=1,MAX(I2863,Assumptions!$G$54)+Assumptions!$F$54+$C$2864,Assumptions!$E$54))</f>
        <v>0.113</v>
      </c>
      <c r="J2889" s="30" t="n">
        <f aca="false">IF(I3026=1,$C$2865,IF(Assumptions!$I$54=1,MAX(J2863,Assumptions!$G$54)+Assumptions!$F$54+$C$2864,Assumptions!$E$54))</f>
        <v>0.113</v>
      </c>
      <c r="K2889" s="30" t="n">
        <f aca="false">IF(J3026=1,$C$2865,IF(Assumptions!$I$54=1,MAX(K2863,Assumptions!$G$54)+Assumptions!$F$54+$C$2864,Assumptions!$E$54))</f>
        <v>0.113</v>
      </c>
    </row>
    <row r="2890" customFormat="false" ht="15" hidden="false" customHeight="false" outlineLevel="0" collapsed="false">
      <c r="A2890" s="5" t="s">
        <v>267</v>
      </c>
      <c r="G2890" s="25" t="n">
        <f aca="false">G2886*G2889</f>
        <v>61.36</v>
      </c>
      <c r="H2890" s="25" t="n">
        <f aca="false">H2886*H2889</f>
        <v>59.4594</v>
      </c>
      <c r="I2890" s="25" t="n">
        <f aca="false">I2886*I2889</f>
        <v>57.5848</v>
      </c>
      <c r="J2890" s="25" t="n">
        <f aca="false">J2886*J2889</f>
        <v>56.9972</v>
      </c>
      <c r="K2890" s="25" t="n">
        <f aca="false">K2886*K2889</f>
        <v>56.4096</v>
      </c>
    </row>
    <row r="2891" customFormat="false" ht="15" hidden="false" customHeight="false" outlineLevel="0" collapsed="false">
      <c r="A2891" s="5" t="s">
        <v>268</v>
      </c>
      <c r="G2891" s="25" t="n">
        <f aca="false">G2886*Assumptions!$H$54</f>
        <v>0</v>
      </c>
      <c r="H2891" s="25" t="n">
        <f aca="false">H2886*Assumptions!$H$54</f>
        <v>0</v>
      </c>
      <c r="I2891" s="25" t="n">
        <f aca="false">I2886*Assumptions!$H$54</f>
        <v>0</v>
      </c>
      <c r="J2891" s="25" t="n">
        <f aca="false">J2886*Assumptions!$H$54</f>
        <v>0</v>
      </c>
      <c r="K2891" s="25" t="n">
        <f aca="false">K2886*Assumptions!$H$54</f>
        <v>0</v>
      </c>
    </row>
    <row r="2892" customFormat="false" ht="15" hidden="false" customHeight="false" outlineLevel="0" collapsed="false">
      <c r="A2892" s="5" t="s">
        <v>269</v>
      </c>
      <c r="G2892" s="25" t="n">
        <f aca="false">MIN(G2886,Assumptions!$L$54*Assumptions!$C$54)</f>
        <v>5.2</v>
      </c>
      <c r="H2892" s="25" t="n">
        <f aca="false">MIN(H2886,Assumptions!$L$54*Assumptions!$C$54)</f>
        <v>5.2</v>
      </c>
      <c r="I2892" s="25" t="n">
        <f aca="false">MIN(I2886,Assumptions!$L$54*Assumptions!$C$54)</f>
        <v>5.2</v>
      </c>
      <c r="J2892" s="25" t="n">
        <f aca="false">MIN(J2886,Assumptions!$L$54*Assumptions!$C$54)</f>
        <v>5.2</v>
      </c>
      <c r="K2892" s="25" t="n">
        <f aca="false">MIN(K2886,Assumptions!$L$54*Assumptions!$C$54)</f>
        <v>5.2</v>
      </c>
    </row>
    <row r="2893" customFormat="false" ht="15" hidden="false" customHeight="false" outlineLevel="0" collapsed="false">
      <c r="A2893" s="5" t="s">
        <v>270</v>
      </c>
      <c r="G2893" s="25" t="n">
        <f aca="false">IF(AND(Assumptions!$P$54=1,G2837&lt;Assumptions!$K$54),MIN(MAX(0,-G2951),MAX(0,Assumptions!$D$54-G2886)),0)</f>
        <v>0</v>
      </c>
      <c r="H2893" s="25" t="n">
        <f aca="false">IF(AND(Assumptions!$P$54=1,OR(H2837&lt;Assumptions!$K$54,G3026=1)),MIN(MAX(0,-H2951),MAX(0,Assumptions!$D$54-H2886)),0)</f>
        <v>0</v>
      </c>
      <c r="I2893" s="25" t="n">
        <f aca="false">IF(AND(Assumptions!$P$54=1,OR(I2837&lt;Assumptions!$K$54,H3026=1)),MIN(MAX(0,-I2951),MAX(0,Assumptions!$D$54-I2886)),0)</f>
        <v>0</v>
      </c>
      <c r="J2893" s="25" t="n">
        <f aca="false">IF(AND(Assumptions!$P$54=1,OR(J2837&lt;Assumptions!$K$54,I3026=1)),MIN(MAX(0,-J2951),MAX(0,Assumptions!$D$54-J2886)),0)</f>
        <v>0</v>
      </c>
      <c r="K2893" s="25" t="n">
        <f aca="false">IF(AND(Assumptions!$P$54=1,OR(K2837&lt;Assumptions!$K$54,J3026=1)),MIN(MAX(0,-K2951),MAX(0,Assumptions!$D$54-K2886)),0)</f>
        <v>0</v>
      </c>
    </row>
    <row r="2894" customFormat="false" ht="15" hidden="false" customHeight="false" outlineLevel="0" collapsed="false">
      <c r="A2894" s="5" t="s">
        <v>271</v>
      </c>
      <c r="G2894" s="25" t="n">
        <f aca="false">G2887*MIN(G2886-G2892+G2891,MAX(0,G2953-Assumptions!$C$12*G2871-G2881))</f>
        <v>0</v>
      </c>
      <c r="H2894" s="25" t="n">
        <f aca="false">H2887*MIN(H2886-H2892+H2891,MAX(0,H2953-Assumptions!$C$12*H2871-H2881))</f>
        <v>0</v>
      </c>
      <c r="I2894" s="25" t="n">
        <f aca="false">I2887*MIN(I2886-I2892+I2891,MAX(0,I2953-Assumptions!$C$12*I2871-I2881))</f>
        <v>0</v>
      </c>
      <c r="J2894" s="25" t="n">
        <f aca="false">J2887*MIN(J2886-J2892+J2891,MAX(0,J2953-Assumptions!$C$12*J2871-J2881))</f>
        <v>0</v>
      </c>
      <c r="K2894" s="25" t="n">
        <f aca="false">K2887*MIN(K2886-K2892+K2891,MAX(0,K2953-Assumptions!$C$12*K2871-K2881))</f>
        <v>0</v>
      </c>
    </row>
    <row r="2895" customFormat="false" ht="15" hidden="false" customHeight="false" outlineLevel="0" collapsed="false">
      <c r="A2895" s="5" t="s">
        <v>272</v>
      </c>
      <c r="G2895" s="25" t="n">
        <f aca="false">Assumptions!$N$54*MIN(G2886+G2893+G2891-G2892-G2894,MAX(0,G2957-G2882))</f>
        <v>0</v>
      </c>
      <c r="H2895" s="25" t="n">
        <f aca="false">Assumptions!$N$54*MIN(H2886+H2893+H2891-H2892-H2894,MAX(0,H2957-H2882))</f>
        <v>0</v>
      </c>
      <c r="I2895" s="25" t="n">
        <f aca="false">Assumptions!$N$54*MIN(I2886+I2893+I2891-I2892-I2894,MAX(0,I2957-I2882))</f>
        <v>0</v>
      </c>
      <c r="J2895" s="25" t="n">
        <f aca="false">Assumptions!$N$54*MIN(J2886+J2893+J2891-J2892-J2894,MAX(0,J2957-J2882))</f>
        <v>0</v>
      </c>
      <c r="K2895" s="25" t="n">
        <f aca="false">Assumptions!$N$54*MIN(K2886+K2893+K2891-K2892-K2894,MAX(0,K2957-K2882))</f>
        <v>0</v>
      </c>
    </row>
    <row r="2896" customFormat="false" ht="15" hidden="false" customHeight="false" outlineLevel="0" collapsed="false">
      <c r="A2896" s="5" t="s">
        <v>273</v>
      </c>
      <c r="G2896" s="25" t="n">
        <f aca="false">G2887*(1-G2871)*(G2886-G2892+G2891-G2894)</f>
        <v>0</v>
      </c>
      <c r="H2896" s="25" t="n">
        <f aca="false">H2887*(1-H2871)*(H2886-H2892+H2891-H2894)</f>
        <v>0</v>
      </c>
      <c r="I2896" s="25" t="n">
        <f aca="false">I2887*(1-I2871)*(I2886-I2892+I2891-I2894)</f>
        <v>504.4</v>
      </c>
      <c r="J2896" s="25" t="n">
        <f aca="false">J2887*(1-J2871)*(J2886-J2892+J2891-J2894)</f>
        <v>0</v>
      </c>
      <c r="K2896" s="25" t="n">
        <f aca="false">K2887*(1-K2871)*(K2886-K2892+K2891-K2894)</f>
        <v>0</v>
      </c>
    </row>
    <row r="2897" customFormat="false" ht="15" hidden="false" customHeight="false" outlineLevel="0" collapsed="false">
      <c r="A2897" s="2" t="s">
        <v>274</v>
      </c>
      <c r="F2897" s="27" t="n">
        <f aca="false">Assumptions!$C$54</f>
        <v>520</v>
      </c>
      <c r="G2897" s="16" t="n">
        <f aca="false">G2886+G2893+G2891-G2892-G2894-G2895</f>
        <v>514.8</v>
      </c>
      <c r="H2897" s="16" t="n">
        <f aca="false">H2886+H2893+H2891-H2892-H2894-H2895</f>
        <v>509.6</v>
      </c>
      <c r="I2897" s="16" t="n">
        <f aca="false">I2886+I2893+I2891-I2892-I2894-I2895</f>
        <v>504.4</v>
      </c>
      <c r="J2897" s="16" t="n">
        <f aca="false">J2886+J2893+J2891-J2892-J2894-J2895</f>
        <v>499.2</v>
      </c>
      <c r="K2897" s="16" t="n">
        <f aca="false">K2886+K2893+K2891-K2892-K2894-K2895</f>
        <v>494</v>
      </c>
    </row>
    <row r="2898" customFormat="false" ht="15" hidden="false" customHeight="false" outlineLevel="0" collapsed="false">
      <c r="A2898" s="23" t="s">
        <v>276</v>
      </c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</row>
    <row r="2899" customFormat="false" ht="15" hidden="false" customHeight="false" outlineLevel="0" collapsed="false">
      <c r="A2899" s="5" t="s">
        <v>264</v>
      </c>
      <c r="G2899" s="25" t="n">
        <f aca="false">F2910</f>
        <v>250</v>
      </c>
      <c r="H2899" s="25" t="n">
        <f aca="false">G2910</f>
        <v>250</v>
      </c>
      <c r="I2899" s="25" t="n">
        <f aca="false">H2910</f>
        <v>250</v>
      </c>
      <c r="J2899" s="25" t="n">
        <f aca="false">I2910</f>
        <v>250</v>
      </c>
      <c r="K2899" s="25" t="n">
        <f aca="false">J2910</f>
        <v>250</v>
      </c>
    </row>
    <row r="2900" customFormat="false" ht="15" hidden="false" customHeight="false" outlineLevel="0" collapsed="false">
      <c r="A2900" s="5" t="s">
        <v>265</v>
      </c>
      <c r="G2900" s="20" t="n">
        <f aca="false">IF(G2837=Assumptions!$K$55,1,0)</f>
        <v>0</v>
      </c>
      <c r="H2900" s="20" t="n">
        <f aca="false">IF(H2837=Assumptions!$K$55,1,0)</f>
        <v>0</v>
      </c>
      <c r="I2900" s="20" t="n">
        <f aca="false">IF(I2837=Assumptions!$K$55,1,0)</f>
        <v>0</v>
      </c>
      <c r="J2900" s="20" t="n">
        <f aca="false">IF(J2837=Assumptions!$K$55,1,0)</f>
        <v>1</v>
      </c>
      <c r="K2900" s="20" t="n">
        <f aca="false">IF(K2837=Assumptions!$K$55,1,0)</f>
        <v>0</v>
      </c>
    </row>
    <row r="2902" customFormat="false" ht="15" hidden="false" customHeight="false" outlineLevel="0" collapsed="false">
      <c r="A2902" s="5" t="s">
        <v>266</v>
      </c>
      <c r="G2902" s="30" t="n">
        <f aca="false">IF(Assumptions!$I$55=1,MAX(G2863,Assumptions!$G$55)+Assumptions!$F$55+$C$2864,Assumptions!$E$55)</f>
        <v>0.11</v>
      </c>
      <c r="H2902" s="30" t="n">
        <f aca="false">IF(G3027=1,$C$2865,IF(Assumptions!$I$55=1,MAX(H2863,Assumptions!$G$55)+Assumptions!$F$55+$C$2864,Assumptions!$E$55))</f>
        <v>0.11</v>
      </c>
      <c r="I2902" s="30" t="n">
        <f aca="false">IF(H3027=1,$C$2865,IF(Assumptions!$I$55=1,MAX(I2863,Assumptions!$G$55)+Assumptions!$F$55+$C$2864,Assumptions!$E$55))</f>
        <v>0.11</v>
      </c>
      <c r="J2902" s="30" t="n">
        <f aca="false">IF(I3027=1,$C$2865,IF(Assumptions!$I$55=1,MAX(J2863,Assumptions!$G$55)+Assumptions!$F$55+$C$2864,Assumptions!$E$55))</f>
        <v>0.11</v>
      </c>
      <c r="K2902" s="30" t="n">
        <f aca="false">IF(J3027=1,$C$2865,IF(Assumptions!$I$55=1,MAX(K2863,Assumptions!$G$55)+Assumptions!$F$55+$C$2864,Assumptions!$E$55))</f>
        <v>0.11</v>
      </c>
    </row>
    <row r="2903" customFormat="false" ht="15" hidden="false" customHeight="false" outlineLevel="0" collapsed="false">
      <c r="A2903" s="5" t="s">
        <v>267</v>
      </c>
      <c r="G2903" s="25" t="n">
        <f aca="false">G2899*G2902</f>
        <v>27.5</v>
      </c>
      <c r="H2903" s="25" t="n">
        <f aca="false">H2899*H2902</f>
        <v>27.5</v>
      </c>
      <c r="I2903" s="25" t="n">
        <f aca="false">I2899*I2902</f>
        <v>27.5</v>
      </c>
      <c r="J2903" s="25" t="n">
        <f aca="false">J2899*J2902</f>
        <v>27.5</v>
      </c>
      <c r="K2903" s="25" t="n">
        <f aca="false">K2899*K2902</f>
        <v>27.5</v>
      </c>
    </row>
    <row r="2904" customFormat="false" ht="15" hidden="false" customHeight="false" outlineLevel="0" collapsed="false">
      <c r="A2904" s="5" t="s">
        <v>268</v>
      </c>
      <c r="G2904" s="25" t="n">
        <f aca="false">G2899*Assumptions!$H$55</f>
        <v>0</v>
      </c>
      <c r="H2904" s="25" t="n">
        <f aca="false">H2899*Assumptions!$H$55</f>
        <v>0</v>
      </c>
      <c r="I2904" s="25" t="n">
        <f aca="false">I2899*Assumptions!$H$55</f>
        <v>0</v>
      </c>
      <c r="J2904" s="25" t="n">
        <f aca="false">J2899*Assumptions!$H$55</f>
        <v>0</v>
      </c>
      <c r="K2904" s="25" t="n">
        <f aca="false">K2899*Assumptions!$H$55</f>
        <v>0</v>
      </c>
    </row>
    <row r="2905" customFormat="false" ht="15" hidden="false" customHeight="false" outlineLevel="0" collapsed="false">
      <c r="A2905" s="5" t="s">
        <v>269</v>
      </c>
      <c r="G2905" s="25" t="n">
        <f aca="false">MIN(G2899,Assumptions!$L$55*Assumptions!$C$55)</f>
        <v>0</v>
      </c>
      <c r="H2905" s="25" t="n">
        <f aca="false">MIN(H2899,Assumptions!$L$55*Assumptions!$C$55)</f>
        <v>0</v>
      </c>
      <c r="I2905" s="25" t="n">
        <f aca="false">MIN(I2899,Assumptions!$L$55*Assumptions!$C$55)</f>
        <v>0</v>
      </c>
      <c r="J2905" s="25" t="n">
        <f aca="false">MIN(J2899,Assumptions!$L$55*Assumptions!$C$55)</f>
        <v>0</v>
      </c>
      <c r="K2905" s="25" t="n">
        <f aca="false">MIN(K2899,Assumptions!$L$55*Assumptions!$C$55)</f>
        <v>0</v>
      </c>
    </row>
    <row r="2906" customFormat="false" ht="15" hidden="false" customHeight="false" outlineLevel="0" collapsed="false">
      <c r="A2906" s="5" t="s">
        <v>270</v>
      </c>
      <c r="G2906" s="25" t="n">
        <f aca="false">IF(AND(Assumptions!$P$55=1,G2837&lt;Assumptions!$K$55),MIN(MAX(0,-G2951),MAX(0,Assumptions!$D$55-G2899)),0)</f>
        <v>0</v>
      </c>
      <c r="H2906" s="25" t="n">
        <f aca="false">IF(AND(Assumptions!$P$55=1,OR(H2837&lt;Assumptions!$K$55,G3027=1)),MIN(MAX(0,-H2951),MAX(0,Assumptions!$D$55-H2899)),0)</f>
        <v>0</v>
      </c>
      <c r="I2906" s="25" t="n">
        <f aca="false">IF(AND(Assumptions!$P$55=1,OR(I2837&lt;Assumptions!$K$55,H3027=1)),MIN(MAX(0,-I2951),MAX(0,Assumptions!$D$55-I2899)),0)</f>
        <v>0</v>
      </c>
      <c r="J2906" s="25" t="n">
        <f aca="false">IF(AND(Assumptions!$P$55=1,OR(J2837&lt;Assumptions!$K$55,I3027=1)),MIN(MAX(0,-J2951),MAX(0,Assumptions!$D$55-J2899)),0)</f>
        <v>0</v>
      </c>
      <c r="K2906" s="25" t="n">
        <f aca="false">IF(AND(Assumptions!$P$55=1,OR(K2837&lt;Assumptions!$K$55,J3027=1)),MIN(MAX(0,-K2951),MAX(0,Assumptions!$D$55-K2899)),0)</f>
        <v>0</v>
      </c>
    </row>
    <row r="2907" customFormat="false" ht="15" hidden="false" customHeight="false" outlineLevel="0" collapsed="false">
      <c r="A2907" s="5" t="s">
        <v>271</v>
      </c>
      <c r="G2907" s="25" t="n">
        <f aca="false">G2900*MIN(G2899-G2905+G2904,MAX(0,G2953-Assumptions!$C$12*G2871-G2881-G2894))</f>
        <v>0</v>
      </c>
      <c r="H2907" s="25" t="n">
        <f aca="false">H2900*MIN(H2899-H2905+H2904,MAX(0,H2953-Assumptions!$C$12*H2871-H2881-H2894))</f>
        <v>0</v>
      </c>
      <c r="I2907" s="25" t="n">
        <f aca="false">I2900*MIN(I2899-I2905+I2904,MAX(0,I2953-Assumptions!$C$12*I2871-I2881-I2894))</f>
        <v>0</v>
      </c>
      <c r="J2907" s="25" t="n">
        <f aca="false">J2900*MIN(J2899-J2905+J2904,MAX(0,J2953-Assumptions!$C$12*J2871-J2881-J2894))</f>
        <v>0</v>
      </c>
      <c r="K2907" s="25" t="n">
        <f aca="false">K2900*MIN(K2899-K2905+K2904,MAX(0,K2953-Assumptions!$C$12*K2871-K2881-K2894))</f>
        <v>0</v>
      </c>
    </row>
    <row r="2908" customFormat="false" ht="15" hidden="false" customHeight="false" outlineLevel="0" collapsed="false">
      <c r="A2908" s="5" t="s">
        <v>272</v>
      </c>
      <c r="G2908" s="25" t="n">
        <f aca="false">Assumptions!$N$55*MIN(G2899+G2906+G2904-G2905-G2907,MAX(0,G2957-G2882-G2895))</f>
        <v>0</v>
      </c>
      <c r="H2908" s="25" t="n">
        <f aca="false">Assumptions!$N$55*MIN(H2899+H2906+H2904-H2905-H2907,MAX(0,H2957-H2882-H2895))</f>
        <v>0</v>
      </c>
      <c r="I2908" s="25" t="n">
        <f aca="false">Assumptions!$N$55*MIN(I2899+I2906+I2904-I2905-I2907,MAX(0,I2957-I2882-I2895))</f>
        <v>0</v>
      </c>
      <c r="J2908" s="25" t="n">
        <f aca="false">Assumptions!$N$55*MIN(J2899+J2906+J2904-J2905-J2907,MAX(0,J2957-J2882-J2895))</f>
        <v>0</v>
      </c>
      <c r="K2908" s="25" t="n">
        <f aca="false">Assumptions!$N$55*MIN(K2899+K2906+K2904-K2905-K2907,MAX(0,K2957-K2882-K2895))</f>
        <v>0</v>
      </c>
    </row>
    <row r="2909" customFormat="false" ht="15" hidden="false" customHeight="false" outlineLevel="0" collapsed="false">
      <c r="A2909" s="5" t="s">
        <v>273</v>
      </c>
      <c r="G2909" s="25" t="n">
        <f aca="false">G2900*(1-G2871)*(G2899-G2905+G2904-G2907)</f>
        <v>0</v>
      </c>
      <c r="H2909" s="25" t="n">
        <f aca="false">H2900*(1-H2871)*(H2899-H2905+H2904-H2907)</f>
        <v>0</v>
      </c>
      <c r="I2909" s="25" t="n">
        <f aca="false">I2900*(1-I2871)*(I2899-I2905+I2904-I2907)</f>
        <v>0</v>
      </c>
      <c r="J2909" s="25" t="n">
        <f aca="false">J2900*(1-J2871)*(J2899-J2905+J2904-J2907)</f>
        <v>250</v>
      </c>
      <c r="K2909" s="25" t="n">
        <f aca="false">K2900*(1-K2871)*(K2899-K2905+K2904-K2907)</f>
        <v>0</v>
      </c>
    </row>
    <row r="2910" customFormat="false" ht="15" hidden="false" customHeight="false" outlineLevel="0" collapsed="false">
      <c r="A2910" s="2" t="s">
        <v>274</v>
      </c>
      <c r="F2910" s="27" t="n">
        <f aca="false">Assumptions!$C$55</f>
        <v>250</v>
      </c>
      <c r="G2910" s="16" t="n">
        <f aca="false">G2899+G2906+G2904-G2905-G2907-G2908</f>
        <v>250</v>
      </c>
      <c r="H2910" s="16" t="n">
        <f aca="false">H2899+H2906+H2904-H2905-H2907-H2908</f>
        <v>250</v>
      </c>
      <c r="I2910" s="16" t="n">
        <f aca="false">I2899+I2906+I2904-I2905-I2907-I2908</f>
        <v>250</v>
      </c>
      <c r="J2910" s="16" t="n">
        <f aca="false">J2899+J2906+J2904-J2905-J2907-J2908</f>
        <v>250</v>
      </c>
      <c r="K2910" s="16" t="n">
        <f aca="false">K2899+K2906+K2904-K2905-K2907-K2908</f>
        <v>250</v>
      </c>
    </row>
    <row r="2911" customFormat="false" ht="15" hidden="false" customHeight="false" outlineLevel="0" collapsed="false">
      <c r="A2911" s="23" t="s">
        <v>277</v>
      </c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</row>
    <row r="2912" customFormat="false" ht="15" hidden="false" customHeight="false" outlineLevel="0" collapsed="false">
      <c r="A2912" s="5" t="s">
        <v>264</v>
      </c>
      <c r="G2912" s="25" t="n">
        <f aca="false">F2923</f>
        <v>300</v>
      </c>
      <c r="H2912" s="25" t="n">
        <f aca="false">G2923</f>
        <v>300</v>
      </c>
      <c r="I2912" s="25" t="n">
        <f aca="false">H2923</f>
        <v>300</v>
      </c>
      <c r="J2912" s="25" t="n">
        <f aca="false">I2923</f>
        <v>300</v>
      </c>
      <c r="K2912" s="25" t="n">
        <f aca="false">J2923</f>
        <v>300</v>
      </c>
    </row>
    <row r="2913" customFormat="false" ht="15" hidden="false" customHeight="false" outlineLevel="0" collapsed="false">
      <c r="A2913" s="5" t="s">
        <v>265</v>
      </c>
      <c r="G2913" s="20" t="n">
        <f aca="false">IF(G2837=Assumptions!$K$56,1,0)</f>
        <v>0</v>
      </c>
      <c r="H2913" s="20" t="n">
        <f aca="false">IF(H2837=Assumptions!$K$56,1,0)</f>
        <v>1</v>
      </c>
      <c r="I2913" s="20" t="n">
        <f aca="false">IF(I2837=Assumptions!$K$56,1,0)</f>
        <v>0</v>
      </c>
      <c r="J2913" s="20" t="n">
        <f aca="false">IF(J2837=Assumptions!$K$56,1,0)</f>
        <v>0</v>
      </c>
      <c r="K2913" s="20" t="n">
        <f aca="false">IF(K2837=Assumptions!$K$56,1,0)</f>
        <v>0</v>
      </c>
    </row>
    <row r="2915" customFormat="false" ht="15" hidden="false" customHeight="false" outlineLevel="0" collapsed="false">
      <c r="A2915" s="5" t="s">
        <v>266</v>
      </c>
      <c r="G2915" s="30" t="n">
        <f aca="false">IF(Assumptions!$I$56=1,MAX(G2863,Assumptions!$G$56)+Assumptions!$F$56+$C$2864,Assumptions!$E$56)</f>
        <v>0.075</v>
      </c>
      <c r="H2915" s="30" t="n">
        <f aca="false">IF(G3028=1,$C$2865,IF(Assumptions!$I$56=1,MAX(H2863,Assumptions!$G$56)+Assumptions!$F$56+$C$2864,Assumptions!$E$56))</f>
        <v>0.075</v>
      </c>
      <c r="I2915" s="30" t="n">
        <f aca="false">IF(H3028=1,$C$2865,IF(Assumptions!$I$56=1,MAX(I2863,Assumptions!$G$56)+Assumptions!$F$56+$C$2864,Assumptions!$E$56))</f>
        <v>0.075</v>
      </c>
      <c r="J2915" s="30" t="n">
        <f aca="false">IF(I3028=1,$C$2865,IF(Assumptions!$I$56=1,MAX(J2863,Assumptions!$G$56)+Assumptions!$F$56+$C$2864,Assumptions!$E$56))</f>
        <v>0.075</v>
      </c>
      <c r="K2915" s="30" t="n">
        <f aca="false">IF(J3028=1,$C$2865,IF(Assumptions!$I$56=1,MAX(K2863,Assumptions!$G$56)+Assumptions!$F$56+$C$2864,Assumptions!$E$56))</f>
        <v>0.075</v>
      </c>
    </row>
    <row r="2916" customFormat="false" ht="15" hidden="false" customHeight="false" outlineLevel="0" collapsed="false">
      <c r="A2916" s="5" t="s">
        <v>267</v>
      </c>
      <c r="G2916" s="25" t="n">
        <f aca="false">G2912*G2915</f>
        <v>22.5</v>
      </c>
      <c r="H2916" s="25" t="n">
        <f aca="false">H2912*H2915</f>
        <v>22.5</v>
      </c>
      <c r="I2916" s="25" t="n">
        <f aca="false">I2912*I2915</f>
        <v>22.5</v>
      </c>
      <c r="J2916" s="25" t="n">
        <f aca="false">J2912*J2915</f>
        <v>22.5</v>
      </c>
      <c r="K2916" s="25" t="n">
        <f aca="false">K2912*K2915</f>
        <v>22.5</v>
      </c>
    </row>
    <row r="2917" customFormat="false" ht="15" hidden="false" customHeight="false" outlineLevel="0" collapsed="false">
      <c r="A2917" s="5" t="s">
        <v>268</v>
      </c>
      <c r="G2917" s="25" t="n">
        <f aca="false">G2912*Assumptions!$H$56</f>
        <v>0</v>
      </c>
      <c r="H2917" s="25" t="n">
        <f aca="false">H2912*Assumptions!$H$56</f>
        <v>0</v>
      </c>
      <c r="I2917" s="25" t="n">
        <f aca="false">I2912*Assumptions!$H$56</f>
        <v>0</v>
      </c>
      <c r="J2917" s="25" t="n">
        <f aca="false">J2912*Assumptions!$H$56</f>
        <v>0</v>
      </c>
      <c r="K2917" s="25" t="n">
        <f aca="false">K2912*Assumptions!$H$56</f>
        <v>0</v>
      </c>
    </row>
    <row r="2918" customFormat="false" ht="15" hidden="false" customHeight="false" outlineLevel="0" collapsed="false">
      <c r="A2918" s="5" t="s">
        <v>269</v>
      </c>
      <c r="G2918" s="25" t="n">
        <f aca="false">MIN(G2912,Assumptions!$L$56*Assumptions!$C$56)</f>
        <v>0</v>
      </c>
      <c r="H2918" s="25" t="n">
        <f aca="false">MIN(H2912,Assumptions!$L$56*Assumptions!$C$56)</f>
        <v>0</v>
      </c>
      <c r="I2918" s="25" t="n">
        <f aca="false">MIN(I2912,Assumptions!$L$56*Assumptions!$C$56)</f>
        <v>0</v>
      </c>
      <c r="J2918" s="25" t="n">
        <f aca="false">MIN(J2912,Assumptions!$L$56*Assumptions!$C$56)</f>
        <v>0</v>
      </c>
      <c r="K2918" s="25" t="n">
        <f aca="false">MIN(K2912,Assumptions!$L$56*Assumptions!$C$56)</f>
        <v>0</v>
      </c>
    </row>
    <row r="2919" customFormat="false" ht="15" hidden="false" customHeight="false" outlineLevel="0" collapsed="false">
      <c r="A2919" s="5" t="s">
        <v>270</v>
      </c>
      <c r="G2919" s="25" t="n">
        <f aca="false">IF(AND(Assumptions!$P$56=1,G2837&lt;Assumptions!$K$56),MIN(MAX(0,-G2951),MAX(0,Assumptions!$D$56-G2912)),0)</f>
        <v>0</v>
      </c>
      <c r="H2919" s="25" t="n">
        <f aca="false">IF(AND(Assumptions!$P$56=1,OR(H2837&lt;Assumptions!$K$56,G3028=1)),MIN(MAX(0,-H2951),MAX(0,Assumptions!$D$56-H2912)),0)</f>
        <v>0</v>
      </c>
      <c r="I2919" s="25" t="n">
        <f aca="false">IF(AND(Assumptions!$P$56=1,OR(I2837&lt;Assumptions!$K$56,H3028=1)),MIN(MAX(0,-I2951),MAX(0,Assumptions!$D$56-I2912)),0)</f>
        <v>0</v>
      </c>
      <c r="J2919" s="25" t="n">
        <f aca="false">IF(AND(Assumptions!$P$56=1,OR(J2837&lt;Assumptions!$K$56,I3028=1)),MIN(MAX(0,-J2951),MAX(0,Assumptions!$D$56-J2912)),0)</f>
        <v>0</v>
      </c>
      <c r="K2919" s="25" t="n">
        <f aca="false">IF(AND(Assumptions!$P$56=1,OR(K2837&lt;Assumptions!$K$56,J3028=1)),MIN(MAX(0,-K2951),MAX(0,Assumptions!$D$56-K2912)),0)</f>
        <v>0</v>
      </c>
    </row>
    <row r="2920" customFormat="false" ht="15" hidden="false" customHeight="false" outlineLevel="0" collapsed="false">
      <c r="A2920" s="5" t="s">
        <v>271</v>
      </c>
      <c r="G2920" s="25" t="n">
        <f aca="false">G2913*MIN(G2912-G2918+G2917,MAX(0,G2953-Assumptions!$C$12*G2871-G2881-G2894-G2907))</f>
        <v>0</v>
      </c>
      <c r="H2920" s="25" t="n">
        <f aca="false">H2913*MIN(H2912-H2918+H2917,MAX(0,H2953-Assumptions!$C$12*H2871-H2881-H2894-H2907))</f>
        <v>0</v>
      </c>
      <c r="I2920" s="25" t="n">
        <f aca="false">I2913*MIN(I2912-I2918+I2917,MAX(0,I2953-Assumptions!$C$12*I2871-I2881-I2894-I2907))</f>
        <v>0</v>
      </c>
      <c r="J2920" s="25" t="n">
        <f aca="false">J2913*MIN(J2912-J2918+J2917,MAX(0,J2953-Assumptions!$C$12*J2871-J2881-J2894-J2907))</f>
        <v>0</v>
      </c>
      <c r="K2920" s="25" t="n">
        <f aca="false">K2913*MIN(K2912-K2918+K2917,MAX(0,K2953-Assumptions!$C$12*K2871-K2881-K2894-K2907))</f>
        <v>0</v>
      </c>
    </row>
    <row r="2921" customFormat="false" ht="15" hidden="false" customHeight="false" outlineLevel="0" collapsed="false">
      <c r="A2921" s="5" t="s">
        <v>272</v>
      </c>
      <c r="G2921" s="25" t="n">
        <f aca="false">Assumptions!$N$56*MIN(G2912+G2919+G2917-G2918-G2920,MAX(0,G2957-G2882-G2895-G2908))</f>
        <v>0</v>
      </c>
      <c r="H2921" s="25" t="n">
        <f aca="false">Assumptions!$N$56*MIN(H2912+H2919+H2917-H2918-H2920,MAX(0,H2957-H2882-H2895-H2908))</f>
        <v>0</v>
      </c>
      <c r="I2921" s="25" t="n">
        <f aca="false">Assumptions!$N$56*MIN(I2912+I2919+I2917-I2918-I2920,MAX(0,I2957-I2882-I2895-I2908))</f>
        <v>0</v>
      </c>
      <c r="J2921" s="25" t="n">
        <f aca="false">Assumptions!$N$56*MIN(J2912+J2919+J2917-J2918-J2920,MAX(0,J2957-J2882-J2895-J2908))</f>
        <v>0</v>
      </c>
      <c r="K2921" s="25" t="n">
        <f aca="false">Assumptions!$N$56*MIN(K2912+K2919+K2917-K2918-K2920,MAX(0,K2957-K2882-K2895-K2908))</f>
        <v>0</v>
      </c>
    </row>
    <row r="2922" customFormat="false" ht="15" hidden="false" customHeight="false" outlineLevel="0" collapsed="false">
      <c r="A2922" s="5" t="s">
        <v>273</v>
      </c>
      <c r="G2922" s="25" t="n">
        <f aca="false">G2913*(1-G2871)*(G2912-G2918+G2917-G2920)</f>
        <v>0</v>
      </c>
      <c r="H2922" s="25" t="n">
        <f aca="false">H2913*(1-H2871)*(H2912-H2918+H2917-H2920)</f>
        <v>300</v>
      </c>
      <c r="I2922" s="25" t="n">
        <f aca="false">I2913*(1-I2871)*(I2912-I2918+I2917-I2920)</f>
        <v>0</v>
      </c>
      <c r="J2922" s="25" t="n">
        <f aca="false">J2913*(1-J2871)*(J2912-J2918+J2917-J2920)</f>
        <v>0</v>
      </c>
      <c r="K2922" s="25" t="n">
        <f aca="false">K2913*(1-K2871)*(K2912-K2918+K2917-K2920)</f>
        <v>0</v>
      </c>
    </row>
    <row r="2923" customFormat="false" ht="15" hidden="false" customHeight="false" outlineLevel="0" collapsed="false">
      <c r="A2923" s="2" t="s">
        <v>274</v>
      </c>
      <c r="F2923" s="27" t="n">
        <f aca="false">Assumptions!$C$56</f>
        <v>300</v>
      </c>
      <c r="G2923" s="16" t="n">
        <f aca="false">G2912+G2919+G2917-G2918-G2920-G2921</f>
        <v>300</v>
      </c>
      <c r="H2923" s="16" t="n">
        <f aca="false">H2912+H2919+H2917-H2918-H2920-H2921</f>
        <v>300</v>
      </c>
      <c r="I2923" s="16" t="n">
        <f aca="false">I2912+I2919+I2917-I2918-I2920-I2921</f>
        <v>300</v>
      </c>
      <c r="J2923" s="16" t="n">
        <f aca="false">J2912+J2919+J2917-J2918-J2920-J2921</f>
        <v>300</v>
      </c>
      <c r="K2923" s="16" t="n">
        <f aca="false">K2912+K2919+K2917-K2918-K2920-K2921</f>
        <v>300</v>
      </c>
    </row>
    <row r="2924" customFormat="false" ht="15" hidden="false" customHeight="false" outlineLevel="0" collapsed="false">
      <c r="A2924" s="23" t="s">
        <v>278</v>
      </c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</row>
    <row r="2925" customFormat="false" ht="15" hidden="false" customHeight="false" outlineLevel="0" collapsed="false">
      <c r="A2925" s="2" t="s">
        <v>279</v>
      </c>
      <c r="F2925" s="16" t="n">
        <f aca="false">F2884+F2897+F2910+F2923</f>
        <v>1250</v>
      </c>
      <c r="G2925" s="16" t="n">
        <f aca="false">G2884+G2897+G2910+G2923</f>
        <v>1364.8</v>
      </c>
      <c r="H2925" s="16" t="n">
        <f aca="false">H2884+H2897+H2910+H2923</f>
        <v>1359.6</v>
      </c>
      <c r="I2925" s="16" t="n">
        <f aca="false">I2884+I2897+I2910+I2923</f>
        <v>1354.4</v>
      </c>
      <c r="J2925" s="16" t="n">
        <f aca="false">J2884+J2897+J2910+J2923</f>
        <v>1349.2</v>
      </c>
      <c r="K2925" s="16" t="n">
        <f aca="false">K2884+K2897+K2910+K2923</f>
        <v>1344</v>
      </c>
    </row>
    <row r="2926" customFormat="false" ht="15" hidden="false" customHeight="false" outlineLevel="0" collapsed="false">
      <c r="A2926" s="5" t="s">
        <v>280</v>
      </c>
      <c r="G2926" s="25" t="n">
        <f aca="false">G2874*Assumptions!$C$53+G2887*Assumptions!$C$54+G2900*Assumptions!$C$55+G2913*Assumptions!$C$56</f>
        <v>0</v>
      </c>
      <c r="H2926" s="25" t="n">
        <f aca="false">H2874*Assumptions!$C$53+H2887*Assumptions!$C$54+H2900*Assumptions!$C$55+H2913*Assumptions!$C$56</f>
        <v>480</v>
      </c>
      <c r="I2926" s="25" t="n">
        <f aca="false">I2874*Assumptions!$C$53+I2887*Assumptions!$C$54+I2900*Assumptions!$C$55+I2913*Assumptions!$C$56</f>
        <v>520</v>
      </c>
      <c r="J2926" s="25" t="n">
        <f aca="false">J2874*Assumptions!$C$53+J2887*Assumptions!$C$54+J2900*Assumptions!$C$55+J2913*Assumptions!$C$56</f>
        <v>250</v>
      </c>
      <c r="K2926" s="25" t="n">
        <f aca="false">K2874*Assumptions!$C$53+K2887*Assumptions!$C$54+K2900*Assumptions!$C$55+K2913*Assumptions!$C$56</f>
        <v>0</v>
      </c>
    </row>
    <row r="2927" customFormat="false" ht="15" hidden="false" customHeight="false" outlineLevel="0" collapsed="false">
      <c r="A2927" s="23" t="s">
        <v>281</v>
      </c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</row>
    <row r="2928" customFormat="false" ht="15" hidden="false" customHeight="false" outlineLevel="0" collapsed="false">
      <c r="A2928" s="5" t="s">
        <v>282</v>
      </c>
      <c r="C2928" s="25" t="n">
        <f aca="false">SUMPRODUCT($G$2874:$K$2874,$G$2873:$K$2873-$G$2879:$K$2879+$G$2878:$K$2878)</f>
        <v>300</v>
      </c>
    </row>
    <row r="2929" customFormat="false" ht="15" hidden="false" customHeight="false" outlineLevel="0" collapsed="false">
      <c r="A2929" s="5" t="s">
        <v>283</v>
      </c>
      <c r="C2929" s="25" t="n">
        <f aca="false">SUMPRODUCT($G$2874:$K$2874,$G$2881:$K$2881)</f>
        <v>0</v>
      </c>
    </row>
    <row r="2930" customFormat="false" ht="15" hidden="false" customHeight="false" outlineLevel="0" collapsed="false">
      <c r="A2930" s="5" t="s">
        <v>284</v>
      </c>
      <c r="C2930" s="5" t="str">
        <f aca="false">IF(SUM($G$2874:$K$2874)=0,"n/a (beyond horizon)",IF(SUMPRODUCT($G$2874:$K$2874,$G$2871:$K$2871)&gt;0,"REFINANCING PASS","REFINANCING FAILURE"))</f>
        <v>REFINANCING FAILURE</v>
      </c>
    </row>
    <row r="2931" customFormat="false" ht="15" hidden="false" customHeight="false" outlineLevel="0" collapsed="false">
      <c r="A2931" s="5" t="s">
        <v>285</v>
      </c>
      <c r="C2931" s="5" t="str">
        <f aca="false">IF(SUM($G$2874:$K$2874)=0,"n/a",IF(C2929&gt;=C2928-0.001,"Repaid from cash",IF(SUMPRODUCT($G$2874:$K$2874,$G$2871:$K$2871)&gt;0,IF(C2929&gt;0,"Partly repaid; remainder refinanced","Refinanced"),IF(SUM($G$2883:$K$2883)&gt;0.001,IF(C2929&gt;0,"Partial repayment; PAYMENT DEFAULT","PAYMENT DEFAULT"),"Repaid from cash"))))</f>
        <v>PAYMENT DEFAULT</v>
      </c>
    </row>
    <row r="2932" customFormat="false" ht="15" hidden="false" customHeight="false" outlineLevel="0" collapsed="false">
      <c r="A2932" s="5" t="s">
        <v>286</v>
      </c>
      <c r="C2932" s="25" t="n">
        <f aca="false">SUMPRODUCT($G$2887:$K$2887,$G$2886:$K$2886-$G$2892:$K$2892+$G$2891:$K$2891)</f>
        <v>504.4</v>
      </c>
    </row>
    <row r="2933" customFormat="false" ht="15" hidden="false" customHeight="false" outlineLevel="0" collapsed="false">
      <c r="A2933" s="5" t="s">
        <v>287</v>
      </c>
      <c r="C2933" s="25" t="n">
        <f aca="false">SUMPRODUCT($G$2887:$K$2887,$G$2894:$K$2894)</f>
        <v>0</v>
      </c>
    </row>
    <row r="2934" customFormat="false" ht="15" hidden="false" customHeight="false" outlineLevel="0" collapsed="false">
      <c r="A2934" s="5" t="s">
        <v>288</v>
      </c>
      <c r="C2934" s="5" t="str">
        <f aca="false">IF(SUM($G$2887:$K$2887)=0,"n/a (beyond horizon)",IF(SUMPRODUCT($G$2887:$K$2887,$G$2871:$K$2871)&gt;0,"REFINANCING PASS","REFINANCING FAILURE"))</f>
        <v>REFINANCING FAILURE</v>
      </c>
    </row>
    <row r="2935" customFormat="false" ht="15" hidden="false" customHeight="false" outlineLevel="0" collapsed="false">
      <c r="A2935" s="5" t="s">
        <v>289</v>
      </c>
      <c r="C2935" s="5" t="str">
        <f aca="false">IF(SUM($G$2887:$K$2887)=0,"n/a",IF(C2933&gt;=C2932-0.001,"Repaid from cash",IF(SUMPRODUCT($G$2887:$K$2887,$G$2871:$K$2871)&gt;0,IF(C2933&gt;0,"Partly repaid; remainder refinanced","Refinanced"),IF(SUM($G$2896:$K$2896)&gt;0.001,IF(C2933&gt;0,"Partial repayment; PAYMENT DEFAULT","PAYMENT DEFAULT"),"Repaid from cash"))))</f>
        <v>PAYMENT DEFAULT</v>
      </c>
    </row>
    <row r="2936" customFormat="false" ht="15" hidden="false" customHeight="false" outlineLevel="0" collapsed="false">
      <c r="A2936" s="5" t="s">
        <v>290</v>
      </c>
      <c r="C2936" s="25" t="n">
        <f aca="false">SUMPRODUCT($G$2900:$K$2900,$G$2899:$K$2899-$G$2905:$K$2905+$G$2904:$K$2904)</f>
        <v>250</v>
      </c>
    </row>
    <row r="2937" customFormat="false" ht="15" hidden="false" customHeight="false" outlineLevel="0" collapsed="false">
      <c r="A2937" s="5" t="s">
        <v>291</v>
      </c>
      <c r="C2937" s="25" t="n">
        <f aca="false">SUMPRODUCT($G$2900:$K$2900,$G$2907:$K$2907)</f>
        <v>0</v>
      </c>
    </row>
    <row r="2938" customFormat="false" ht="15" hidden="false" customHeight="false" outlineLevel="0" collapsed="false">
      <c r="A2938" s="5" t="s">
        <v>292</v>
      </c>
      <c r="C2938" s="5" t="str">
        <f aca="false">IF(SUM($G$2900:$K$2900)=0,"n/a (beyond horizon)",IF(SUMPRODUCT($G$2900:$K$2900,$G$2871:$K$2871)&gt;0,"REFINANCING PASS","REFINANCING FAILURE"))</f>
        <v>REFINANCING FAILURE</v>
      </c>
    </row>
    <row r="2939" customFormat="false" ht="15" hidden="false" customHeight="false" outlineLevel="0" collapsed="false">
      <c r="A2939" s="5" t="s">
        <v>293</v>
      </c>
      <c r="C2939" s="5" t="str">
        <f aca="false">IF(SUM($G$2900:$K$2900)=0,"n/a",IF(C2937&gt;=C2936-0.001,"Repaid from cash",IF(SUMPRODUCT($G$2900:$K$2900,$G$2871:$K$2871)&gt;0,IF(C2937&gt;0,"Partly repaid; remainder refinanced","Refinanced"),IF(SUM($G$2909:$K$2909)&gt;0.001,IF(C2937&gt;0,"Partial repayment; PAYMENT DEFAULT","PAYMENT DEFAULT"),"Repaid from cash"))))</f>
        <v>PAYMENT DEFAULT</v>
      </c>
    </row>
    <row r="2940" customFormat="false" ht="15" hidden="false" customHeight="false" outlineLevel="0" collapsed="false">
      <c r="A2940" s="5" t="s">
        <v>294</v>
      </c>
      <c r="C2940" s="25" t="n">
        <f aca="false">SUMPRODUCT($G$2913:$K$2913,$G$2912:$K$2912-$G$2918:$K$2918+$G$2917:$K$2917)</f>
        <v>300</v>
      </c>
    </row>
    <row r="2941" customFormat="false" ht="15" hidden="false" customHeight="false" outlineLevel="0" collapsed="false">
      <c r="A2941" s="5" t="s">
        <v>295</v>
      </c>
      <c r="C2941" s="25" t="n">
        <f aca="false">SUMPRODUCT($G$2913:$K$2913,$G$2920:$K$2920)</f>
        <v>0</v>
      </c>
    </row>
    <row r="2942" customFormat="false" ht="15" hidden="false" customHeight="false" outlineLevel="0" collapsed="false">
      <c r="A2942" s="5" t="s">
        <v>296</v>
      </c>
      <c r="C2942" s="5" t="str">
        <f aca="false">IF(SUM($G$2913:$K$2913)=0,"n/a (beyond horizon)",IF(SUMPRODUCT($G$2913:$K$2913,$G$2871:$K$2871)&gt;0,"REFINANCING PASS","REFINANCING FAILURE"))</f>
        <v>REFINANCING FAILURE</v>
      </c>
    </row>
    <row r="2943" customFormat="false" ht="15" hidden="false" customHeight="false" outlineLevel="0" collapsed="false">
      <c r="A2943" s="5" t="s">
        <v>297</v>
      </c>
      <c r="C2943" s="5" t="str">
        <f aca="false">IF(SUM($G$2913:$K$2913)=0,"n/a",IF(C2941&gt;=C2940-0.001,"Repaid from cash",IF(SUMPRODUCT($G$2913:$K$2913,$G$2871:$K$2871)&gt;0,IF(C2941&gt;0,"Partly repaid; remainder refinanced","Refinanced"),IF(SUM($G$2922:$K$2922)&gt;0.001,IF(C2941&gt;0,"Partial repayment; PAYMENT DEFAULT","PAYMENT DEFAULT"),"Repaid from cash"))))</f>
        <v>PAYMENT DEFAULT</v>
      </c>
    </row>
    <row r="2944" customFormat="false" ht="15" hidden="false" customHeight="false" outlineLevel="0" collapsed="false">
      <c r="A2944" s="5" t="s">
        <v>298</v>
      </c>
      <c r="C2944" s="20" t="n">
        <f aca="false">IF(C2930="REFINANCING FAILURE",1,0)+IF(C2934="REFINANCING FAILURE",1,0)+IF(C2938="REFINANCING FAILURE",1,0)+IF(C2942="REFINANCING FAILURE",1,0)</f>
        <v>4</v>
      </c>
    </row>
    <row r="2946" customFormat="false" ht="15" hidden="false" customHeight="false" outlineLevel="0" collapsed="false">
      <c r="A2946" s="23" t="s">
        <v>300</v>
      </c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</row>
    <row r="2947" customFormat="false" ht="15" hidden="false" customHeight="false" outlineLevel="0" collapsed="false">
      <c r="A2947" s="5" t="s">
        <v>260</v>
      </c>
      <c r="G2947" s="25" t="n">
        <f aca="false">F2959</f>
        <v>45</v>
      </c>
      <c r="H2947" s="25" t="n">
        <f aca="false">G2959</f>
        <v>-4.80880000000006</v>
      </c>
      <c r="I2947" s="25" t="n">
        <f aca="false">H2959</f>
        <v>-219.4693264</v>
      </c>
      <c r="J2947" s="25" t="n">
        <f aca="false">I2959</f>
        <v>-427.486011392</v>
      </c>
      <c r="K2947" s="25" t="n">
        <f aca="false">J2959</f>
        <v>-620.40661937584</v>
      </c>
    </row>
    <row r="2948" customFormat="false" ht="15" hidden="false" customHeight="false" outlineLevel="0" collapsed="false">
      <c r="A2948" s="5" t="s">
        <v>301</v>
      </c>
      <c r="G2948" s="25" t="n">
        <f aca="false">G2860</f>
        <v>-164.6088</v>
      </c>
      <c r="H2948" s="25" t="n">
        <f aca="false">H2860</f>
        <v>-209.4605264</v>
      </c>
      <c r="I2948" s="25" t="n">
        <f aca="false">I2860</f>
        <v>-202.816684992</v>
      </c>
      <c r="J2948" s="25" t="n">
        <f aca="false">J2860</f>
        <v>-187.72060798384</v>
      </c>
      <c r="K2948" s="25" t="n">
        <f aca="false">K2860</f>
        <v>-174.171198802544</v>
      </c>
    </row>
    <row r="2949" customFormat="false" ht="15" hidden="false" customHeight="false" outlineLevel="0" collapsed="false">
      <c r="A2949" s="5" t="s">
        <v>302</v>
      </c>
      <c r="G2949" s="25" t="n">
        <f aca="false">CHOOSE($C$2830,Assumptions!$G$68,Assumptions!$G$87,Assumptions!$G$106)</f>
        <v>0</v>
      </c>
      <c r="H2949" s="25" t="n">
        <f aca="false">CHOOSE($C$2830,Assumptions!$H$68,Assumptions!$H$87,Assumptions!$H$106)</f>
        <v>0</v>
      </c>
      <c r="I2949" s="25" t="n">
        <f aca="false">CHOOSE($C$2830,Assumptions!$I$68,Assumptions!$I$87,Assumptions!$I$106)</f>
        <v>0</v>
      </c>
      <c r="J2949" s="25" t="n">
        <f aca="false">CHOOSE($C$2830,Assumptions!$J$68,Assumptions!$J$87,Assumptions!$J$106)</f>
        <v>0</v>
      </c>
      <c r="K2949" s="25" t="n">
        <f aca="false">CHOOSE($C$2830,Assumptions!$K$68,Assumptions!$K$87,Assumptions!$K$106)</f>
        <v>0</v>
      </c>
    </row>
    <row r="2950" customFormat="false" ht="15" hidden="false" customHeight="false" outlineLevel="0" collapsed="false">
      <c r="A2950" s="5" t="s">
        <v>303</v>
      </c>
      <c r="G2950" s="25" t="n">
        <f aca="false">G2879+G2892+G2905+G2918</f>
        <v>5.2</v>
      </c>
      <c r="H2950" s="25" t="n">
        <f aca="false">H2879+H2892+H2905+H2918</f>
        <v>5.2</v>
      </c>
      <c r="I2950" s="25" t="n">
        <f aca="false">I2879+I2892+I2905+I2918</f>
        <v>5.2</v>
      </c>
      <c r="J2950" s="25" t="n">
        <f aca="false">J2879+J2892+J2905+J2918</f>
        <v>5.2</v>
      </c>
      <c r="K2950" s="25" t="n">
        <f aca="false">K2879+K2892+K2905+K2918</f>
        <v>5.2</v>
      </c>
    </row>
    <row r="2951" customFormat="false" ht="15" hidden="false" customHeight="false" outlineLevel="0" collapsed="false">
      <c r="A2951" s="2" t="s">
        <v>304</v>
      </c>
      <c r="G2951" s="16" t="n">
        <f aca="false">G2947+G2948+G2949-G2950</f>
        <v>-124.8088</v>
      </c>
      <c r="H2951" s="16" t="n">
        <f aca="false">H2947+H2948+H2949-H2950</f>
        <v>-219.4693264</v>
      </c>
      <c r="I2951" s="16" t="n">
        <f aca="false">I2947+I2948+I2949-I2950</f>
        <v>-427.486011392</v>
      </c>
      <c r="J2951" s="16" t="n">
        <f aca="false">J2947+J2948+J2949-J2950</f>
        <v>-620.40661937584</v>
      </c>
      <c r="K2951" s="16" t="n">
        <f aca="false">K2947+K2948+K2949-K2950</f>
        <v>-799.777818178384</v>
      </c>
    </row>
    <row r="2952" customFormat="false" ht="15" hidden="false" customHeight="false" outlineLevel="0" collapsed="false">
      <c r="A2952" s="5" t="s">
        <v>305</v>
      </c>
      <c r="G2952" s="25" t="n">
        <f aca="false">G2880+G2893+G2906+G2919</f>
        <v>120</v>
      </c>
      <c r="H2952" s="25" t="n">
        <f aca="false">H2880+H2893+H2906+H2919</f>
        <v>0</v>
      </c>
      <c r="I2952" s="25" t="n">
        <f aca="false">I2880+I2893+I2906+I2919</f>
        <v>0</v>
      </c>
      <c r="J2952" s="25" t="n">
        <f aca="false">J2880+J2893+J2906+J2919</f>
        <v>0</v>
      </c>
      <c r="K2952" s="25" t="n">
        <f aca="false">K2880+K2893+K2906+K2919</f>
        <v>0</v>
      </c>
    </row>
    <row r="2953" customFormat="false" ht="15" hidden="false" customHeight="false" outlineLevel="0" collapsed="false">
      <c r="A2953" s="2" t="s">
        <v>306</v>
      </c>
      <c r="G2953" s="16" t="n">
        <f aca="false">G2951+G2952</f>
        <v>-4.80880000000006</v>
      </c>
      <c r="H2953" s="16" t="n">
        <f aca="false">H2951+H2952</f>
        <v>-219.4693264</v>
      </c>
      <c r="I2953" s="16" t="n">
        <f aca="false">I2951+I2952</f>
        <v>-427.486011392</v>
      </c>
      <c r="J2953" s="16" t="n">
        <f aca="false">J2951+J2952</f>
        <v>-620.40661937584</v>
      </c>
      <c r="K2953" s="16" t="n">
        <f aca="false">K2951+K2952</f>
        <v>-799.777818178384</v>
      </c>
    </row>
    <row r="2954" customFormat="false" ht="15" hidden="false" customHeight="false" outlineLevel="0" collapsed="false">
      <c r="A2954" s="5" t="s">
        <v>307</v>
      </c>
      <c r="G2954" s="25" t="n">
        <f aca="false">G2881+G2894+G2907+G2920</f>
        <v>0</v>
      </c>
      <c r="H2954" s="25" t="n">
        <f aca="false">H2881+H2894+H2907+H2920</f>
        <v>0</v>
      </c>
      <c r="I2954" s="25" t="n">
        <f aca="false">I2881+I2894+I2907+I2920</f>
        <v>0</v>
      </c>
      <c r="J2954" s="25" t="n">
        <f aca="false">J2881+J2894+J2907+J2920</f>
        <v>0</v>
      </c>
      <c r="K2954" s="25" t="n">
        <f aca="false">K2881+K2894+K2907+K2920</f>
        <v>0</v>
      </c>
    </row>
    <row r="2955" customFormat="false" ht="15" hidden="false" customHeight="false" outlineLevel="0" collapsed="false">
      <c r="A2955" s="2" t="s">
        <v>308</v>
      </c>
      <c r="G2955" s="16" t="n">
        <f aca="false">G2953-G2954</f>
        <v>-4.80880000000006</v>
      </c>
      <c r="H2955" s="16" t="n">
        <f aca="false">H2953-H2954</f>
        <v>-219.4693264</v>
      </c>
      <c r="I2955" s="16" t="n">
        <f aca="false">I2953-I2954</f>
        <v>-427.486011392</v>
      </c>
      <c r="J2955" s="16" t="n">
        <f aca="false">J2953-J2954</f>
        <v>-620.40661937584</v>
      </c>
      <c r="K2955" s="16" t="n">
        <f aca="false">K2953-K2954</f>
        <v>-799.777818178384</v>
      </c>
    </row>
    <row r="2956" customFormat="false" ht="15" hidden="false" customHeight="false" outlineLevel="0" collapsed="false">
      <c r="A2956" s="5" t="s">
        <v>309</v>
      </c>
      <c r="G2956" s="25" t="n">
        <f aca="false">MAX(0,-G2955)</f>
        <v>4.80880000000006</v>
      </c>
      <c r="H2956" s="25" t="n">
        <f aca="false">MAX(0,-H2955)</f>
        <v>219.4693264</v>
      </c>
      <c r="I2956" s="25" t="n">
        <f aca="false">MAX(0,-I2955)</f>
        <v>427.486011392</v>
      </c>
      <c r="J2956" s="25" t="n">
        <f aca="false">MAX(0,-J2955)</f>
        <v>620.40661937584</v>
      </c>
      <c r="K2956" s="25" t="n">
        <f aca="false">MAX(0,-K2955)</f>
        <v>799.777818178384</v>
      </c>
    </row>
    <row r="2957" customFormat="false" ht="15" hidden="false" customHeight="false" outlineLevel="0" collapsed="false">
      <c r="A2957" s="5" t="s">
        <v>310</v>
      </c>
      <c r="G2957" s="25" t="n">
        <f aca="false">MAX(0,G2955-Assumptions!$C$12)*Assumptions!$C$13</f>
        <v>0</v>
      </c>
      <c r="H2957" s="25" t="n">
        <f aca="false">MAX(0,H2955-Assumptions!$C$12)*Assumptions!$C$13</f>
        <v>0</v>
      </c>
      <c r="I2957" s="25" t="n">
        <f aca="false">MAX(0,I2955-Assumptions!$C$12)*Assumptions!$C$13</f>
        <v>0</v>
      </c>
      <c r="J2957" s="25" t="n">
        <f aca="false">MAX(0,J2955-Assumptions!$C$12)*Assumptions!$C$13</f>
        <v>0</v>
      </c>
      <c r="K2957" s="25" t="n">
        <f aca="false">MAX(0,K2955-Assumptions!$C$12)*Assumptions!$C$13</f>
        <v>0</v>
      </c>
    </row>
    <row r="2958" customFormat="false" ht="15" hidden="false" customHeight="false" outlineLevel="0" collapsed="false">
      <c r="A2958" s="5" t="s">
        <v>311</v>
      </c>
      <c r="G2958" s="25" t="n">
        <f aca="false">G2882+G2895+G2908+G2921</f>
        <v>0</v>
      </c>
      <c r="H2958" s="25" t="n">
        <f aca="false">H2882+H2895+H2908+H2921</f>
        <v>0</v>
      </c>
      <c r="I2958" s="25" t="n">
        <f aca="false">I2882+I2895+I2908+I2921</f>
        <v>0</v>
      </c>
      <c r="J2958" s="25" t="n">
        <f aca="false">J2882+J2895+J2908+J2921</f>
        <v>0</v>
      </c>
      <c r="K2958" s="25" t="n">
        <f aca="false">K2882+K2895+K2908+K2921</f>
        <v>0</v>
      </c>
    </row>
    <row r="2959" customFormat="false" ht="15" hidden="false" customHeight="false" outlineLevel="0" collapsed="false">
      <c r="A2959" s="2" t="s">
        <v>312</v>
      </c>
      <c r="F2959" s="27" t="n">
        <f aca="false">Assumptions!$C$11</f>
        <v>45</v>
      </c>
      <c r="G2959" s="16" t="n">
        <f aca="false">G2955-G2958</f>
        <v>-4.80880000000006</v>
      </c>
      <c r="H2959" s="16" t="n">
        <f aca="false">H2955-H2958</f>
        <v>-219.4693264</v>
      </c>
      <c r="I2959" s="16" t="n">
        <f aca="false">I2955-I2958</f>
        <v>-427.486011392</v>
      </c>
      <c r="J2959" s="16" t="n">
        <f aca="false">J2955-J2958</f>
        <v>-620.40661937584</v>
      </c>
      <c r="K2959" s="16" t="n">
        <f aca="false">K2955-K2958</f>
        <v>-799.777818178384</v>
      </c>
    </row>
    <row r="2960" customFormat="false" ht="15" hidden="false" customHeight="false" outlineLevel="0" collapsed="false">
      <c r="A2960" s="5" t="s">
        <v>313</v>
      </c>
      <c r="G2960" s="25" t="n">
        <f aca="false">G2883+G2896+G2909+G2922</f>
        <v>0</v>
      </c>
      <c r="H2960" s="25" t="n">
        <f aca="false">H2883+H2896+H2909+H2922</f>
        <v>600</v>
      </c>
      <c r="I2960" s="25" t="n">
        <f aca="false">I2883+I2896+I2909+I2922</f>
        <v>504.4</v>
      </c>
      <c r="J2960" s="25" t="n">
        <f aca="false">J2883+J2896+J2909+J2922</f>
        <v>250</v>
      </c>
      <c r="K2960" s="25" t="n">
        <f aca="false">K2883+K2896+K2909+K2922</f>
        <v>0</v>
      </c>
    </row>
    <row r="2961" customFormat="false" ht="15" hidden="false" customHeight="false" outlineLevel="0" collapsed="false">
      <c r="A2961" s="5" t="s">
        <v>314</v>
      </c>
      <c r="G2961" s="20" t="n">
        <f aca="false">IF(OR(G2956&gt;0.001,G2960&gt;0.001),1,0)</f>
        <v>1</v>
      </c>
      <c r="H2961" s="20" t="n">
        <f aca="false">IF(OR(H2956&gt;0.001,H2960&gt;0.001),1,0)</f>
        <v>1</v>
      </c>
      <c r="I2961" s="20" t="n">
        <f aca="false">IF(OR(I2956&gt;0.001,I2960&gt;0.001),1,0)</f>
        <v>1</v>
      </c>
      <c r="J2961" s="20" t="n">
        <f aca="false">IF(OR(J2956&gt;0.001,J2960&gt;0.001),1,0)</f>
        <v>1</v>
      </c>
      <c r="K2961" s="20" t="n">
        <f aca="false">IF(OR(K2956&gt;0.001,K2960&gt;0.001),1,0)</f>
        <v>1</v>
      </c>
    </row>
    <row r="2962" customFormat="false" ht="15" hidden="false" customHeight="false" outlineLevel="0" collapsed="false">
      <c r="A2962" s="5" t="s">
        <v>315</v>
      </c>
      <c r="G2962" s="20" t="n">
        <f aca="false">IF(G2961=1,1,0)</f>
        <v>1</v>
      </c>
      <c r="H2962" s="20" t="n">
        <f aca="false">IF(AND(H2961=1,SUM($G$2961:G2961)=0),1,0)</f>
        <v>0</v>
      </c>
      <c r="I2962" s="20" t="n">
        <f aca="false">IF(AND(I2961=1,SUM($G$2961:H2961)=0),1,0)</f>
        <v>0</v>
      </c>
      <c r="J2962" s="20" t="n">
        <f aca="false">IF(AND(J2961=1,SUM($G$2961:I2961)=0),1,0)</f>
        <v>0</v>
      </c>
      <c r="K2962" s="20" t="n">
        <f aca="false">IF(AND(K2961=1,SUM($G$2961:J2961)=0),1,0)</f>
        <v>0</v>
      </c>
    </row>
    <row r="2963" customFormat="false" ht="15" hidden="false" customHeight="false" outlineLevel="0" collapsed="false">
      <c r="A2963" s="5" t="s">
        <v>316</v>
      </c>
      <c r="G2963" s="25" t="n">
        <f aca="false">(G2925-F2925)-(G2952+G2852-G2950-G2954-G2958)</f>
        <v>0</v>
      </c>
      <c r="H2963" s="25" t="n">
        <f aca="false">(H2925-G2925)-(H2952+H2852-H2950-H2954-H2958)</f>
        <v>-4.52970994047064E-014</v>
      </c>
      <c r="I2963" s="25" t="n">
        <f aca="false">(I2925-H2925)-(I2952+I2852-I2950-I2954-I2958)</f>
        <v>1.82076576038526E-013</v>
      </c>
      <c r="J2963" s="25" t="n">
        <f aca="false">(J2925-I2925)-(J2952+J2852-J2950-J2954-J2958)</f>
        <v>-4.52970994047064E-014</v>
      </c>
      <c r="K2963" s="25" t="n">
        <f aca="false">(K2925-J2925)-(K2952+K2852-K2950-K2954-K2958)</f>
        <v>-4.52970994047064E-014</v>
      </c>
    </row>
    <row r="2965" customFormat="false" ht="15" hidden="false" customHeight="false" outlineLevel="0" collapsed="false">
      <c r="A2965" s="23" t="s">
        <v>318</v>
      </c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</row>
    <row r="2966" customFormat="false" ht="15" hidden="false" customHeight="false" outlineLevel="0" collapsed="false">
      <c r="A2966" s="5" t="s">
        <v>319</v>
      </c>
      <c r="G2966" s="25" t="n">
        <f aca="false">G2925</f>
        <v>1364.8</v>
      </c>
      <c r="H2966" s="25" t="n">
        <f aca="false">H2925</f>
        <v>1359.6</v>
      </c>
      <c r="I2966" s="25" t="n">
        <f aca="false">I2925</f>
        <v>1354.4</v>
      </c>
      <c r="J2966" s="25" t="n">
        <f aca="false">J2925</f>
        <v>1349.2</v>
      </c>
      <c r="K2966" s="25" t="n">
        <f aca="false">K2925</f>
        <v>1344</v>
      </c>
    </row>
    <row r="2967" customFormat="false" ht="15" hidden="false" customHeight="false" outlineLevel="0" collapsed="false">
      <c r="A2967" s="5" t="s">
        <v>320</v>
      </c>
      <c r="G2967" s="25" t="n">
        <f aca="false">Assumptions!$O$53*G2884+Assumptions!$O$54*G2897+Assumptions!$O$55*G2910+Assumptions!$O$56*G2923</f>
        <v>1064.8</v>
      </c>
      <c r="H2967" s="25" t="n">
        <f aca="false">Assumptions!$O$53*H2884+Assumptions!$O$54*H2897+Assumptions!$O$55*H2910+Assumptions!$O$56*H2923</f>
        <v>1059.6</v>
      </c>
      <c r="I2967" s="25" t="n">
        <f aca="false">Assumptions!$O$53*I2884+Assumptions!$O$54*I2897+Assumptions!$O$55*I2910+Assumptions!$O$56*I2923</f>
        <v>1054.4</v>
      </c>
      <c r="J2967" s="25" t="n">
        <f aca="false">Assumptions!$O$53*J2884+Assumptions!$O$54*J2897+Assumptions!$O$55*J2910+Assumptions!$O$56*J2923</f>
        <v>1049.2</v>
      </c>
      <c r="K2967" s="25" t="n">
        <f aca="false">Assumptions!$O$53*K2884+Assumptions!$O$54*K2897+Assumptions!$O$55*K2910+Assumptions!$O$56*K2923</f>
        <v>1044</v>
      </c>
    </row>
    <row r="2968" customFormat="false" ht="15" hidden="false" customHeight="false" outlineLevel="0" collapsed="false">
      <c r="A2968" s="5" t="s">
        <v>321</v>
      </c>
      <c r="G2968" s="25" t="n">
        <f aca="false">G2966-G2959</f>
        <v>1369.6088</v>
      </c>
      <c r="H2968" s="25" t="n">
        <f aca="false">H2966-H2959</f>
        <v>1579.0693264</v>
      </c>
      <c r="I2968" s="25" t="n">
        <f aca="false">I2966-I2959</f>
        <v>1781.886011392</v>
      </c>
      <c r="J2968" s="25" t="n">
        <f aca="false">J2966-J2959</f>
        <v>1969.60661937584</v>
      </c>
      <c r="K2968" s="25" t="n">
        <f aca="false">K2966-K2959</f>
        <v>2143.77781817838</v>
      </c>
    </row>
    <row r="2969" customFormat="false" ht="15" hidden="false" customHeight="false" outlineLevel="0" collapsed="false">
      <c r="A2969" s="5" t="s">
        <v>322</v>
      </c>
      <c r="G2969" s="31" t="n">
        <f aca="false">IF(G2847&gt;0,G2966/G2847,0)</f>
        <v>0</v>
      </c>
      <c r="H2969" s="31" t="n">
        <f aca="false">IF(H2847&gt;0,H2966/H2847,0)</f>
        <v>0</v>
      </c>
      <c r="I2969" s="31" t="n">
        <f aca="false">IF(I2847&gt;0,I2966/I2847,0)</f>
        <v>0</v>
      </c>
      <c r="J2969" s="31" t="n">
        <f aca="false">IF(J2847&gt;0,J2966/J2847,0)</f>
        <v>0</v>
      </c>
      <c r="K2969" s="31" t="n">
        <f aca="false">IF(K2847&gt;0,K2966/K2847,0)</f>
        <v>648.097353983858</v>
      </c>
    </row>
    <row r="2970" customFormat="false" ht="15" hidden="false" customHeight="false" outlineLevel="0" collapsed="false">
      <c r="A2970" s="5" t="s">
        <v>323</v>
      </c>
      <c r="G2970" s="31" t="n">
        <f aca="false">IF(G2847&gt;0,G2968/G2847,0)</f>
        <v>0</v>
      </c>
      <c r="H2970" s="31" t="n">
        <f aca="false">IF(H2847&gt;0,H2968/H2847,0)</f>
        <v>0</v>
      </c>
      <c r="I2970" s="31" t="n">
        <f aca="false">IF(I2847&gt;0,I2968/I2847,0)</f>
        <v>0</v>
      </c>
      <c r="J2970" s="31" t="n">
        <f aca="false">IF(J2847&gt;0,J2968/J2847,0)</f>
        <v>0</v>
      </c>
      <c r="K2970" s="31" t="n">
        <f aca="false">IF(K2847&gt;0,K2968/K2847,0)</f>
        <v>1033.76244902582</v>
      </c>
    </row>
    <row r="2971" customFormat="false" ht="15" hidden="false" customHeight="false" outlineLevel="0" collapsed="false">
      <c r="A2971" s="5" t="s">
        <v>324</v>
      </c>
      <c r="G2971" s="31" t="n">
        <f aca="false">IF(G2851&gt;0,G2847/G2851,0)</f>
        <v>-0.0854099119962945</v>
      </c>
      <c r="H2971" s="31" t="n">
        <f aca="false">IF(H2851&gt;0,H2847/H2851,0)</f>
        <v>-0.260058050750525</v>
      </c>
      <c r="I2971" s="31" t="n">
        <f aca="false">IF(I2851&gt;0,I2847/I2851,0)</f>
        <v>-0.170653557111936</v>
      </c>
      <c r="J2971" s="31" t="n">
        <f aca="false">IF(J2851&gt;0,J2847/J2851,0)</f>
        <v>-0.0771263918932054</v>
      </c>
      <c r="K2971" s="31" t="n">
        <f aca="false">IF(K2851&gt;0,K2847/K2851,0)</f>
        <v>0.0153373911091341</v>
      </c>
    </row>
    <row r="2972" customFormat="false" ht="15" hidden="false" customHeight="false" outlineLevel="0" collapsed="false">
      <c r="A2972" s="5" t="s">
        <v>325</v>
      </c>
      <c r="G2972" s="31" t="n">
        <f aca="false">IF(G2851&gt;0,G2850/G2851,0)</f>
        <v>-0.461213524779991</v>
      </c>
      <c r="H2972" s="31" t="n">
        <f aca="false">IF(H2851&gt;0,H2850/H2851,0)</f>
        <v>-0.596603763486498</v>
      </c>
      <c r="I2972" s="31" t="n">
        <f aca="false">IF(I2851&gt;0,I2850/I2851,0)</f>
        <v>-0.511960671335809</v>
      </c>
      <c r="J2972" s="31" t="n">
        <f aca="false">IF(J2851&gt;0,J2850/J2851,0)</f>
        <v>-0.416482516223309</v>
      </c>
      <c r="K2972" s="31" t="n">
        <f aca="false">IF(K2851&gt;0,K2850/K2851,0)</f>
        <v>-0.32208521329182</v>
      </c>
    </row>
    <row r="2973" customFormat="false" ht="15" hidden="false" customHeight="false" outlineLevel="0" collapsed="false">
      <c r="A2973" s="5" t="s">
        <v>182</v>
      </c>
      <c r="G2973" s="21" t="n">
        <f aca="false">IF(G2966&gt;0,G2860/G2966,0)</f>
        <v>-0.1206101992966</v>
      </c>
      <c r="H2973" s="21" t="n">
        <f aca="false">IF(H2966&gt;0,H2860/H2966,0)</f>
        <v>-0.154060404824949</v>
      </c>
      <c r="I2973" s="21" t="n">
        <f aca="false">IF(I2966&gt;0,I2860/I2966,0)</f>
        <v>-0.149746518747785</v>
      </c>
      <c r="J2973" s="21" t="n">
        <f aca="false">IF(J2966&gt;0,J2860/J2966,0)</f>
        <v>-0.139134752433916</v>
      </c>
      <c r="K2973" s="21" t="n">
        <f aca="false">IF(K2966&gt;0,K2860/K2966,0)</f>
        <v>-0.129591665775702</v>
      </c>
    </row>
    <row r="2974" customFormat="false" ht="15" hidden="false" customHeight="false" outlineLevel="0" collapsed="false">
      <c r="A2974" s="5" t="s">
        <v>326</v>
      </c>
      <c r="G2974" s="31" t="n">
        <f aca="false">IF(G2851+G2950&gt;0,(G2847-G2858-G2855)/(G2851+G2950),0)</f>
        <v>-0.394145762208698</v>
      </c>
      <c r="H2974" s="31" t="n">
        <f aca="false">IF(H2851+H2950&gt;0,(H2847-H2858-H2855)/(H2851+H2950),0)</f>
        <v>-0.530853250897653</v>
      </c>
      <c r="I2974" s="31" t="n">
        <f aca="false">IF(I2851+I2950&gt;0,(I2847-I2858-I2855)/(I2851+I2950),0)</f>
        <v>-0.448325306671338</v>
      </c>
      <c r="J2974" s="31" t="n">
        <f aca="false">IF(J2851+J2950&gt;0,(J2847-J2858-J2855)/(J2851+J2950),0)</f>
        <v>-0.356553397606194</v>
      </c>
      <c r="K2974" s="31" t="n">
        <f aca="false">IF(K2851+K2950&gt;0,(K2847-K2858-K2855)/(K2851+K2950),0)</f>
        <v>-0.265848811650862</v>
      </c>
    </row>
    <row r="2975" customFormat="false" ht="15" hidden="false" customHeight="false" outlineLevel="0" collapsed="false">
      <c r="A2975" s="5" t="s">
        <v>327</v>
      </c>
      <c r="G2975" s="25" t="n">
        <f aca="false">MAX(0,G2959)+Assumptions!$P$53*MAX(0,Assumptions!$D$53-G2884)+Assumptions!$P$54*MAX(0,Assumptions!$D$54-G2897)+Assumptions!$P$55*MAX(0,Assumptions!$D$55-G2910)+Assumptions!$P$56*MAX(0,Assumptions!$D$56-G2923)</f>
        <v>0</v>
      </c>
      <c r="H2975" s="25" t="n">
        <f aca="false">MAX(0,H2959)+Assumptions!$P$53*MAX(0,Assumptions!$D$53-H2884)+Assumptions!$P$54*MAX(0,Assumptions!$D$54-H2897)+Assumptions!$P$55*MAX(0,Assumptions!$D$55-H2910)+Assumptions!$P$56*MAX(0,Assumptions!$D$56-H2923)</f>
        <v>0</v>
      </c>
      <c r="I2975" s="25" t="n">
        <f aca="false">MAX(0,I2959)+Assumptions!$P$53*MAX(0,Assumptions!$D$53-I2884)+Assumptions!$P$54*MAX(0,Assumptions!$D$54-I2897)+Assumptions!$P$55*MAX(0,Assumptions!$D$55-I2910)+Assumptions!$P$56*MAX(0,Assumptions!$D$56-I2923)</f>
        <v>0</v>
      </c>
      <c r="J2975" s="25" t="n">
        <f aca="false">MAX(0,J2959)+Assumptions!$P$53*MAX(0,Assumptions!$D$53-J2884)+Assumptions!$P$54*MAX(0,Assumptions!$D$54-J2897)+Assumptions!$P$55*MAX(0,Assumptions!$D$55-J2910)+Assumptions!$P$56*MAX(0,Assumptions!$D$56-J2923)</f>
        <v>0</v>
      </c>
      <c r="K2975" s="25" t="n">
        <f aca="false">MAX(0,K2959)+Assumptions!$P$53*MAX(0,Assumptions!$D$53-K2884)+Assumptions!$P$54*MAX(0,Assumptions!$D$54-K2897)+Assumptions!$P$55*MAX(0,Assumptions!$D$55-K2910)+Assumptions!$P$56*MAX(0,Assumptions!$D$56-K2923)</f>
        <v>0</v>
      </c>
    </row>
    <row r="2976" customFormat="false" ht="15" hidden="false" customHeight="false" outlineLevel="0" collapsed="false">
      <c r="A2976" s="5" t="s">
        <v>328</v>
      </c>
      <c r="G2976" s="21" t="n">
        <f aca="false">IF(G2966&gt;0,G2966/(G2966+MAX(0,G2847*CHOOSE($C$2830,Assumptions!$C$76,Assumptions!$C$95,Assumptions!$C$114)-G2968)),0)</f>
        <v>1</v>
      </c>
      <c r="H2976" s="21" t="n">
        <f aca="false">IF(H2966&gt;0,H2966/(H2966+MAX(0,H2847*CHOOSE($C$2830,Assumptions!$C$76,Assumptions!$C$95,Assumptions!$C$114)-H2968)),0)</f>
        <v>1</v>
      </c>
      <c r="I2976" s="21" t="n">
        <f aca="false">IF(I2966&gt;0,I2966/(I2966+MAX(0,I2847*CHOOSE($C$2830,Assumptions!$C$76,Assumptions!$C$95,Assumptions!$C$114)-I2968)),0)</f>
        <v>1</v>
      </c>
      <c r="J2976" s="21" t="n">
        <f aca="false">IF(J2966&gt;0,J2966/(J2966+MAX(0,J2847*CHOOSE($C$2830,Assumptions!$C$76,Assumptions!$C$95,Assumptions!$C$114)-J2968)),0)</f>
        <v>1</v>
      </c>
      <c r="K2976" s="21" t="n">
        <f aca="false">IF(K2966&gt;0,K2966/(K2966+MAX(0,K2847*CHOOSE($C$2830,Assumptions!$C$76,Assumptions!$C$95,Assumptions!$C$114)-K2968)),0)</f>
        <v>1</v>
      </c>
    </row>
    <row r="2977" customFormat="false" ht="15" hidden="false" customHeight="false" outlineLevel="0" collapsed="false">
      <c r="A2977" s="5" t="s">
        <v>329</v>
      </c>
      <c r="G2977" s="21" t="n">
        <f aca="false">IF(G2966&gt;0,MAX(0,G2959)/G2966,0)</f>
        <v>0</v>
      </c>
      <c r="H2977" s="21" t="n">
        <f aca="false">IF(H2966&gt;0,MAX(0,H2959)/H2966,0)</f>
        <v>0</v>
      </c>
      <c r="I2977" s="21" t="n">
        <f aca="false">IF(I2966&gt;0,MAX(0,I2959)/I2966,0)</f>
        <v>0</v>
      </c>
      <c r="J2977" s="21" t="n">
        <f aca="false">IF(J2966&gt;0,MAX(0,J2959)/J2966,0)</f>
        <v>0</v>
      </c>
      <c r="K2977" s="21" t="n">
        <f aca="false">IF(K2966&gt;0,MAX(0,K2959)/K2966,0)</f>
        <v>0</v>
      </c>
    </row>
    <row r="2978" customFormat="false" ht="15" hidden="false" customHeight="false" outlineLevel="0" collapsed="false">
      <c r="A2978" s="5" t="s">
        <v>330</v>
      </c>
      <c r="G2978" s="25" t="n">
        <f aca="false">Assumptions!$C$27*(1-CHOOSE($C$2830,Assumptions!$C$79,Assumptions!$C$98,Assumptions!$C$117))</f>
        <v>884</v>
      </c>
      <c r="H2978" s="25" t="n">
        <f aca="false">Assumptions!$C$27*(1-CHOOSE($C$2830,Assumptions!$C$79,Assumptions!$C$98,Assumptions!$C$117))</f>
        <v>884</v>
      </c>
      <c r="I2978" s="25" t="n">
        <f aca="false">Assumptions!$C$27*(1-CHOOSE($C$2830,Assumptions!$C$79,Assumptions!$C$98,Assumptions!$C$117))</f>
        <v>884</v>
      </c>
      <c r="J2978" s="25" t="n">
        <f aca="false">Assumptions!$C$27*(1-CHOOSE($C$2830,Assumptions!$C$79,Assumptions!$C$98,Assumptions!$C$117))</f>
        <v>884</v>
      </c>
      <c r="K2978" s="25" t="n">
        <f aca="false">Assumptions!$C$27*(1-CHOOSE($C$2830,Assumptions!$C$79,Assumptions!$C$98,Assumptions!$C$117))</f>
        <v>884</v>
      </c>
    </row>
    <row r="2979" customFormat="false" ht="15" hidden="false" customHeight="false" outlineLevel="0" collapsed="false">
      <c r="A2979" s="23" t="s">
        <v>331</v>
      </c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</row>
    <row r="2980" customFormat="false" ht="15" hidden="false" customHeight="false" outlineLevel="0" collapsed="false">
      <c r="A2980" s="23" t="s">
        <v>332</v>
      </c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</row>
    <row r="2981" customFormat="false" ht="15" hidden="false" customHeight="false" outlineLevel="0" collapsed="false">
      <c r="A2981" s="5" t="s">
        <v>333</v>
      </c>
      <c r="G2981" s="31" t="n">
        <f aca="false">IF(G2847&gt;0,G2968/G2847,99)</f>
        <v>99</v>
      </c>
      <c r="H2981" s="31" t="n">
        <f aca="false">IF(H2847&gt;0,H2968/H2847,99)</f>
        <v>99</v>
      </c>
      <c r="I2981" s="31" t="n">
        <f aca="false">IF(I2847&gt;0,I2968/I2847,99)</f>
        <v>99</v>
      </c>
      <c r="J2981" s="31" t="n">
        <f aca="false">IF(J2847&gt;0,J2968/J2847,99)</f>
        <v>99</v>
      </c>
      <c r="K2981" s="31" t="n">
        <f aca="false">IF(K2847&gt;0,K2968/K2847,99)</f>
        <v>1033.76244902582</v>
      </c>
    </row>
    <row r="2982" customFormat="false" ht="15" hidden="false" customHeight="false" outlineLevel="0" collapsed="false">
      <c r="A2982" s="5" t="s">
        <v>334</v>
      </c>
      <c r="G2982" s="32" t="n">
        <f aca="false">Assumptions!$G$61</f>
        <v>8.5</v>
      </c>
      <c r="H2982" s="32" t="n">
        <f aca="false">Assumptions!$H$61</f>
        <v>8.5</v>
      </c>
      <c r="I2982" s="32" t="n">
        <f aca="false">Assumptions!$I$61</f>
        <v>8.5</v>
      </c>
      <c r="J2982" s="32" t="n">
        <f aca="false">Assumptions!$J$61</f>
        <v>8.5</v>
      </c>
      <c r="K2982" s="32" t="n">
        <f aca="false">Assumptions!$K$61</f>
        <v>8.5</v>
      </c>
    </row>
    <row r="2983" customFormat="false" ht="15" hidden="false" customHeight="false" outlineLevel="0" collapsed="false">
      <c r="A2983" s="5" t="s">
        <v>335</v>
      </c>
      <c r="G2983" s="31" t="n">
        <f aca="false">G2982-G2981</f>
        <v>-90.5</v>
      </c>
      <c r="H2983" s="31" t="n">
        <f aca="false">H2982-H2981</f>
        <v>-90.5</v>
      </c>
      <c r="I2983" s="31" t="n">
        <f aca="false">I2982-I2981</f>
        <v>-90.5</v>
      </c>
      <c r="J2983" s="31" t="n">
        <f aca="false">J2982-J2981</f>
        <v>-90.5</v>
      </c>
      <c r="K2983" s="31" t="n">
        <f aca="false">K2982-K2981</f>
        <v>-1025.26244902582</v>
      </c>
    </row>
    <row r="2984" customFormat="false" ht="15" hidden="false" customHeight="false" outlineLevel="0" collapsed="false">
      <c r="A2984" s="5" t="s">
        <v>336</v>
      </c>
      <c r="G2984" s="21" t="n">
        <f aca="false">IF(G2982=0,0,G2983/ABS(G2982))</f>
        <v>-10.6470588235294</v>
      </c>
      <c r="H2984" s="21" t="n">
        <f aca="false">IF(H2982=0,0,H2983/ABS(H2982))</f>
        <v>-10.6470588235294</v>
      </c>
      <c r="I2984" s="21" t="n">
        <f aca="false">IF(I2982=0,0,I2983/ABS(I2982))</f>
        <v>-10.6470588235294</v>
      </c>
      <c r="J2984" s="21" t="n">
        <f aca="false">IF(J2982=0,0,J2983/ABS(J2982))</f>
        <v>-10.6470588235294</v>
      </c>
      <c r="K2984" s="21" t="n">
        <f aca="false">IF(K2982=0,0,K2983/ABS(K2982))</f>
        <v>-120.619111650096</v>
      </c>
    </row>
    <row r="2985" customFormat="false" ht="15" hidden="false" customHeight="false" outlineLevel="0" collapsed="false">
      <c r="A2985" s="5" t="s">
        <v>337</v>
      </c>
      <c r="G2985" s="20" t="n">
        <f aca="false">IF(G2983&lt;0,1,0)</f>
        <v>1</v>
      </c>
      <c r="H2985" s="20" t="n">
        <f aca="false">IF(H2983&lt;0,1,0)</f>
        <v>1</v>
      </c>
      <c r="I2985" s="20" t="n">
        <f aca="false">IF(I2983&lt;0,1,0)</f>
        <v>1</v>
      </c>
      <c r="J2985" s="20" t="n">
        <f aca="false">IF(J2983&lt;0,1,0)</f>
        <v>1</v>
      </c>
      <c r="K2985" s="20" t="n">
        <f aca="false">IF(K2983&lt;0,1,0)</f>
        <v>1</v>
      </c>
    </row>
    <row r="2986" customFormat="false" ht="15" hidden="false" customHeight="false" outlineLevel="0" collapsed="false">
      <c r="A2986" s="5" t="s">
        <v>338</v>
      </c>
      <c r="C2986" s="20" t="n">
        <f aca="false">IFERROR(INDEX($G$2837:$K$2837,MATCH(1,$G$2985:$K$2985,0)),0)</f>
        <v>2026</v>
      </c>
    </row>
    <row r="2987" customFormat="false" ht="15" hidden="false" customHeight="false" outlineLevel="0" collapsed="false">
      <c r="A2987" s="5" t="s">
        <v>339</v>
      </c>
      <c r="C2987" s="21" t="n">
        <f aca="false">MIN($G$2984:$K$2984)</f>
        <v>-120.619111650096</v>
      </c>
    </row>
    <row r="2988" customFormat="false" ht="15" hidden="false" customHeight="false" outlineLevel="0" collapsed="false">
      <c r="A2988" s="5" t="s">
        <v>340</v>
      </c>
      <c r="G2988" s="20" t="n">
        <f aca="false">G2985</f>
        <v>1</v>
      </c>
      <c r="H2988" s="20" t="n">
        <f aca="false">H2985</f>
        <v>1</v>
      </c>
      <c r="I2988" s="20" t="n">
        <f aca="false">I2985</f>
        <v>1</v>
      </c>
      <c r="J2988" s="20" t="n">
        <f aca="false">J2985</f>
        <v>1</v>
      </c>
      <c r="K2988" s="20" t="n">
        <f aca="false">K2985</f>
        <v>1</v>
      </c>
    </row>
    <row r="2989" customFormat="false" ht="15" hidden="false" customHeight="false" outlineLevel="0" collapsed="false">
      <c r="A2989" s="5" t="s">
        <v>341</v>
      </c>
      <c r="C2989" s="20" t="n">
        <f aca="false">SUM($G$2988:$K$2988)</f>
        <v>5</v>
      </c>
    </row>
    <row r="2990" customFormat="false" ht="15" hidden="false" customHeight="false" outlineLevel="0" collapsed="false">
      <c r="A2990" s="5" t="s">
        <v>342</v>
      </c>
      <c r="C2990" s="21" t="n">
        <f aca="false">MIN(C2987)</f>
        <v>-120.619111650096</v>
      </c>
    </row>
    <row r="2992" customFormat="false" ht="15" hidden="false" customHeight="false" outlineLevel="0" collapsed="false">
      <c r="A2992" s="23" t="s">
        <v>444</v>
      </c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</row>
    <row r="2993" customFormat="false" ht="15" hidden="false" customHeight="false" outlineLevel="0" collapsed="false">
      <c r="A2993" s="5" t="s">
        <v>445</v>
      </c>
      <c r="G2993" s="20" t="n">
        <f aca="false">IF($C$2994=1,G2962,IF(G2847=MIN($G$2847:$K$2847),1,0))</f>
        <v>1</v>
      </c>
      <c r="H2993" s="20" t="n">
        <f aca="false">IF($C$2994=1,H2962,IF(AND(H2847=MIN($G$2847:$K$2847),SUM($G$2993:G2993)=0),1,0))</f>
        <v>0</v>
      </c>
      <c r="I2993" s="20" t="n">
        <f aca="false">IF($C$2994=1,I2962,IF(AND(I2847=MIN($G$2847:$K$2847),SUM($G$2993:H2993)=0),1,0))</f>
        <v>0</v>
      </c>
      <c r="J2993" s="20" t="n">
        <f aca="false">IF($C$2994=1,J2962,IF(AND(J2847=MIN($G$2847:$K$2847),SUM($G$2993:I2993)=0),1,0))</f>
        <v>0</v>
      </c>
      <c r="K2993" s="20" t="n">
        <f aca="false">IF($C$2994=1,K2962,IF(AND(K2847=MIN($G$2847:$K$2847),SUM($G$2993:J2993)=0),1,0))</f>
        <v>0</v>
      </c>
    </row>
    <row r="2994" customFormat="false" ht="15" hidden="false" customHeight="false" outlineLevel="0" collapsed="false">
      <c r="A2994" s="5" t="s">
        <v>446</v>
      </c>
      <c r="C2994" s="20" t="n">
        <f aca="false">IF(SUM($G$2962:$K$2962)&gt;0,1,0)</f>
        <v>1</v>
      </c>
    </row>
    <row r="2995" customFormat="false" ht="15" hidden="false" customHeight="false" outlineLevel="0" collapsed="false">
      <c r="A2995" s="5" t="s">
        <v>447</v>
      </c>
      <c r="C2995" s="20" t="n">
        <f aca="false">SUMPRODUCT($G$2993:$K$2993,$G$2837:$K$2837)</f>
        <v>2026</v>
      </c>
    </row>
    <row r="2996" customFormat="false" ht="15" hidden="false" customHeight="false" outlineLevel="0" collapsed="false">
      <c r="A2996" s="5" t="s">
        <v>448</v>
      </c>
      <c r="C2996" s="25" t="n">
        <f aca="false">SUMPRODUCT($G$2993:$K$2993,$G$2847:$K$2847)</f>
        <v>-11.064</v>
      </c>
    </row>
    <row r="2997" customFormat="false" ht="15" hidden="false" customHeight="false" outlineLevel="0" collapsed="false">
      <c r="A2997" s="5" t="s">
        <v>449</v>
      </c>
      <c r="C2997" s="25" t="n">
        <f aca="false">MAX(0,SUMPRODUCT($G$2993:$K$2993,$G$2959:$K$2959))</f>
        <v>0</v>
      </c>
    </row>
    <row r="2998" customFormat="false" ht="15" hidden="false" customHeight="false" outlineLevel="0" collapsed="false">
      <c r="A2998" s="5" t="s">
        <v>450</v>
      </c>
      <c r="C2998" s="25" t="n">
        <f aca="false">(CHOOSE($C$2830,Assumptions!$C$78,Assumptions!$C$97,Assumptions!$C$116)+$C$2834)*C2996</f>
        <v>-44.256</v>
      </c>
    </row>
    <row r="2999" customFormat="false" ht="15" hidden="false" customHeight="false" outlineLevel="0" collapsed="false">
      <c r="A2999" s="5" t="s">
        <v>451</v>
      </c>
      <c r="C2999" s="25" t="n">
        <f aca="false">Assumptions!$C$27*(1-CHOOSE($C$2830,Assumptions!$C$79,Assumptions!$C$98,Assumptions!$C$117))*CHOOSE($C$2830,Assumptions!$C$80,Assumptions!$C$99,Assumptions!$C$118)</f>
        <v>530.4</v>
      </c>
    </row>
    <row r="3000" customFormat="false" ht="15" hidden="false" customHeight="false" outlineLevel="0" collapsed="false">
      <c r="A3000" s="5" t="s">
        <v>452</v>
      </c>
      <c r="C3000" s="25" t="n">
        <f aca="false">MAX(C2998,C2999)+C2997</f>
        <v>530.4</v>
      </c>
    </row>
    <row r="3001" customFormat="false" ht="15" hidden="false" customHeight="false" outlineLevel="0" collapsed="false">
      <c r="A3001" s="2" t="s">
        <v>453</v>
      </c>
      <c r="C3001" s="16" t="n">
        <f aca="false">IF(ISNUMBER(Assumptions!$C$14),Assumptions!$C$14,C3000)</f>
        <v>530.4</v>
      </c>
    </row>
    <row r="3002" customFormat="false" ht="15" hidden="false" customHeight="false" outlineLevel="0" collapsed="false">
      <c r="A3002" s="5" t="s">
        <v>454</v>
      </c>
      <c r="C3002" s="25" t="n">
        <f aca="false">C3001*Assumptions!$C$15</f>
        <v>21.216</v>
      </c>
    </row>
    <row r="3003" customFormat="false" ht="15" hidden="false" customHeight="false" outlineLevel="0" collapsed="false">
      <c r="A3003" s="2" t="s">
        <v>455</v>
      </c>
      <c r="C3003" s="16" t="n">
        <f aca="false">C3001-C3002</f>
        <v>509.184</v>
      </c>
    </row>
    <row r="3004" customFormat="false" ht="15" hidden="false" customHeight="false" outlineLevel="0" collapsed="false">
      <c r="A3004" s="23" t="s">
        <v>456</v>
      </c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</row>
    <row r="3005" customFormat="false" ht="15" hidden="false" customHeight="false" outlineLevel="0" collapsed="false">
      <c r="A3005" s="5" t="s">
        <v>457</v>
      </c>
      <c r="C3005" s="25" t="n">
        <f aca="false">SUMPRODUCT($G$2993:$K$2993,$G$2884:$K$2884)*(1+SUMPRODUCT($G$2993:$K$2993,$G$2876:$K$2876)*Assumptions!$C$16/12)</f>
        <v>307.575</v>
      </c>
    </row>
    <row r="3006" customFormat="false" ht="15" hidden="false" customHeight="false" outlineLevel="0" collapsed="false">
      <c r="A3006" s="5" t="s">
        <v>458</v>
      </c>
      <c r="C3006" s="25" t="n">
        <f aca="false">SUMPRODUCT($G$2993:$K$2993,$G$2897:$K$2897)*(1+SUMPRODUCT($G$2993:$K$2993,$G$2889:$K$2889)*Assumptions!$C$16/12)</f>
        <v>529.9866</v>
      </c>
    </row>
    <row r="3007" customFormat="false" ht="15" hidden="false" customHeight="false" outlineLevel="0" collapsed="false">
      <c r="A3007" s="5" t="s">
        <v>459</v>
      </c>
      <c r="C3007" s="25" t="n">
        <f aca="false">SUMPRODUCT($G$2993:$K$2993,$G$2910:$K$2910)*(1+SUMPRODUCT($G$2993:$K$2993,$G$2902:$K$2902)*Assumptions!$C$16/12)</f>
        <v>256.875</v>
      </c>
    </row>
    <row r="3008" customFormat="false" ht="15" hidden="false" customHeight="false" outlineLevel="0" collapsed="false">
      <c r="A3008" s="5" t="s">
        <v>460</v>
      </c>
      <c r="C3008" s="25" t="n">
        <f aca="false">SUMPRODUCT($G$2993:$K$2993,$G$2923:$K$2923)*(1+SUMPRODUCT($G$2993:$K$2993,$G$2915:$K$2915)*Assumptions!$C$16/12)</f>
        <v>305.625</v>
      </c>
    </row>
    <row r="3009" customFormat="false" ht="15" hidden="false" customHeight="false" outlineLevel="0" collapsed="false">
      <c r="A3009" s="23" t="s">
        <v>461</v>
      </c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</row>
    <row r="3010" customFormat="false" ht="15" hidden="false" customHeight="false" outlineLevel="0" collapsed="false">
      <c r="A3010" s="5" t="s">
        <v>457</v>
      </c>
      <c r="C3010" s="26" t="n">
        <f aca="false">Assumptions!$M$53</f>
        <v>1</v>
      </c>
    </row>
    <row r="3011" customFormat="false" ht="15" hidden="false" customHeight="false" outlineLevel="0" collapsed="false">
      <c r="A3011" s="5" t="s">
        <v>458</v>
      </c>
      <c r="C3011" s="26" t="n">
        <f aca="false">Assumptions!$M$54</f>
        <v>2</v>
      </c>
    </row>
    <row r="3012" customFormat="false" ht="15" hidden="false" customHeight="false" outlineLevel="0" collapsed="false">
      <c r="A3012" s="5" t="s">
        <v>459</v>
      </c>
      <c r="C3012" s="26" t="n">
        <f aca="false">Assumptions!$M$55</f>
        <v>3</v>
      </c>
    </row>
    <row r="3013" customFormat="false" ht="15" hidden="false" customHeight="false" outlineLevel="0" collapsed="false">
      <c r="A3013" s="5" t="s">
        <v>460</v>
      </c>
      <c r="C3013" s="26" t="n">
        <f aca="false">Assumptions!$M$56</f>
        <v>4</v>
      </c>
    </row>
    <row r="3014" customFormat="false" ht="15" hidden="false" customHeight="false" outlineLevel="0" collapsed="false">
      <c r="A3014" s="23" t="s">
        <v>462</v>
      </c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</row>
    <row r="3015" customFormat="false" ht="15" hidden="false" customHeight="false" outlineLevel="0" collapsed="false">
      <c r="A3015" s="5" t="s">
        <v>457</v>
      </c>
      <c r="C3015" s="34" t="n">
        <f aca="false">Assumptions!$Q$53</f>
        <v>0</v>
      </c>
    </row>
    <row r="3016" customFormat="false" ht="15" hidden="false" customHeight="false" outlineLevel="0" collapsed="false">
      <c r="A3016" s="5" t="s">
        <v>458</v>
      </c>
      <c r="C3016" s="34" t="n">
        <f aca="false">Assumptions!$Q$54</f>
        <v>0</v>
      </c>
    </row>
    <row r="3017" customFormat="false" ht="15" hidden="false" customHeight="false" outlineLevel="0" collapsed="false">
      <c r="A3017" s="5" t="s">
        <v>459</v>
      </c>
      <c r="C3017" s="34" t="n">
        <f aca="false">Assumptions!$Q$55</f>
        <v>0</v>
      </c>
    </row>
    <row r="3018" customFormat="false" ht="15" hidden="false" customHeight="false" outlineLevel="0" collapsed="false">
      <c r="A3018" s="5" t="s">
        <v>460</v>
      </c>
      <c r="C3018" s="34" t="n">
        <f aca="false">Assumptions!$Q$56</f>
        <v>0</v>
      </c>
    </row>
    <row r="3019" customFormat="false" ht="15" hidden="false" customHeight="false" outlineLevel="0" collapsed="false">
      <c r="A3019" s="23" t="s">
        <v>463</v>
      </c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</row>
    <row r="3020" customFormat="false" ht="15" hidden="false" customHeight="false" outlineLevel="0" collapsed="false">
      <c r="A3020" s="5" t="s">
        <v>457</v>
      </c>
      <c r="C3020" s="25" t="n">
        <f aca="false">IF(C3015&gt;0,MIN(C3005,C3015*$C$3003),0)</f>
        <v>0</v>
      </c>
    </row>
    <row r="3021" customFormat="false" ht="15" hidden="false" customHeight="false" outlineLevel="0" collapsed="false">
      <c r="A3021" s="5" t="s">
        <v>458</v>
      </c>
      <c r="C3021" s="25" t="n">
        <f aca="false">IF(C3016&gt;0,MIN(C3006,C3016*$C$3003),0)</f>
        <v>0</v>
      </c>
    </row>
    <row r="3022" customFormat="false" ht="15" hidden="false" customHeight="false" outlineLevel="0" collapsed="false">
      <c r="A3022" s="5" t="s">
        <v>459</v>
      </c>
      <c r="C3022" s="25" t="n">
        <f aca="false">IF(C3017&gt;0,MIN(C3007,C3017*$C$3003),0)</f>
        <v>0</v>
      </c>
    </row>
    <row r="3023" customFormat="false" ht="15" hidden="false" customHeight="false" outlineLevel="0" collapsed="false">
      <c r="A3023" s="5" t="s">
        <v>460</v>
      </c>
      <c r="C3023" s="25" t="n">
        <f aca="false">IF(C3018&gt;0,MIN(C3008,C3018*$C$3003),0)</f>
        <v>0</v>
      </c>
    </row>
    <row r="3024" customFormat="false" ht="15" hidden="false" customHeight="false" outlineLevel="0" collapsed="false">
      <c r="A3024" s="23" t="s">
        <v>464</v>
      </c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</row>
    <row r="3025" customFormat="false" ht="15" hidden="false" customHeight="false" outlineLevel="0" collapsed="false">
      <c r="A3025" s="5" t="s">
        <v>457</v>
      </c>
      <c r="C3025" s="25" t="n">
        <f aca="false">IF(C3015&gt;0,C3005-C3020,0)</f>
        <v>0</v>
      </c>
      <c r="G3025" s="20" t="n">
        <f aca="false">IF(AND(G2874=1,G2871=1),1,0)</f>
        <v>0</v>
      </c>
      <c r="H3025" s="20" t="n">
        <f aca="false">IF(G3025=1,1,IF(AND(H2874=1,H2871=1),1,0))</f>
        <v>0</v>
      </c>
      <c r="I3025" s="20" t="n">
        <f aca="false">IF(H3025=1,1,IF(AND(I2874=1,I2871=1),1,0))</f>
        <v>0</v>
      </c>
      <c r="J3025" s="20" t="n">
        <f aca="false">IF(I3025=1,1,IF(AND(J2874=1,J2871=1),1,0))</f>
        <v>0</v>
      </c>
      <c r="K3025" s="20" t="n">
        <f aca="false">IF(J3025=1,1,IF(AND(K2874=1,K2871=1),1,0))</f>
        <v>0</v>
      </c>
    </row>
    <row r="3026" customFormat="false" ht="15" hidden="false" customHeight="false" outlineLevel="0" collapsed="false">
      <c r="A3026" s="5" t="s">
        <v>458</v>
      </c>
      <c r="C3026" s="25" t="n">
        <f aca="false">IF(C3016&gt;0,C3006-C3021,0)</f>
        <v>0</v>
      </c>
      <c r="G3026" s="20" t="n">
        <f aca="false">IF(AND(G2887=1,G2871=1),1,0)</f>
        <v>0</v>
      </c>
      <c r="H3026" s="20" t="n">
        <f aca="false">IF(G3026=1,1,IF(AND(H2887=1,H2871=1),1,0))</f>
        <v>0</v>
      </c>
      <c r="I3026" s="20" t="n">
        <f aca="false">IF(H3026=1,1,IF(AND(I2887=1,I2871=1),1,0))</f>
        <v>0</v>
      </c>
      <c r="J3026" s="20" t="n">
        <f aca="false">IF(I3026=1,1,IF(AND(J2887=1,J2871=1),1,0))</f>
        <v>0</v>
      </c>
      <c r="K3026" s="20" t="n">
        <f aca="false">IF(J3026=1,1,IF(AND(K2887=1,K2871=1),1,0))</f>
        <v>0</v>
      </c>
    </row>
    <row r="3027" customFormat="false" ht="15" hidden="false" customHeight="false" outlineLevel="0" collapsed="false">
      <c r="A3027" s="5" t="s">
        <v>459</v>
      </c>
      <c r="C3027" s="25" t="n">
        <f aca="false">IF(C3017&gt;0,C3007-C3022,0)</f>
        <v>0</v>
      </c>
      <c r="G3027" s="20" t="n">
        <f aca="false">IF(AND(G2900=1,G2871=1),1,0)</f>
        <v>0</v>
      </c>
      <c r="H3027" s="20" t="n">
        <f aca="false">IF(G3027=1,1,IF(AND(H2900=1,H2871=1),1,0))</f>
        <v>0</v>
      </c>
      <c r="I3027" s="20" t="n">
        <f aca="false">IF(H3027=1,1,IF(AND(I2900=1,I2871=1),1,0))</f>
        <v>0</v>
      </c>
      <c r="J3027" s="20" t="n">
        <f aca="false">IF(I3027=1,1,IF(AND(J2900=1,J2871=1),1,0))</f>
        <v>0</v>
      </c>
      <c r="K3027" s="20" t="n">
        <f aca="false">IF(J3027=1,1,IF(AND(K2900=1,K2871=1),1,0))</f>
        <v>0</v>
      </c>
    </row>
    <row r="3028" customFormat="false" ht="15" hidden="false" customHeight="false" outlineLevel="0" collapsed="false">
      <c r="A3028" s="5" t="s">
        <v>460</v>
      </c>
      <c r="C3028" s="25" t="n">
        <f aca="false">IF(C3018&gt;0,C3008-C3023,0)</f>
        <v>0</v>
      </c>
      <c r="G3028" s="20" t="n">
        <f aca="false">IF(AND(G2913=1,G2871=1),1,0)</f>
        <v>0</v>
      </c>
      <c r="H3028" s="20" t="n">
        <f aca="false">IF(G3028=1,1,IF(AND(H2913=1,H2871=1),1,0))</f>
        <v>0</v>
      </c>
      <c r="I3028" s="20" t="n">
        <f aca="false">IF(H3028=1,1,IF(AND(I2913=1,I2871=1),1,0))</f>
        <v>0</v>
      </c>
      <c r="J3028" s="20" t="n">
        <f aca="false">IF(I3028=1,1,IF(AND(J2913=1,J2871=1),1,0))</f>
        <v>0</v>
      </c>
      <c r="K3028" s="20" t="n">
        <f aca="false">IF(J3028=1,1,IF(AND(K2913=1,K2871=1),1,0))</f>
        <v>0</v>
      </c>
    </row>
    <row r="3029" customFormat="false" ht="15" hidden="false" customHeight="false" outlineLevel="0" collapsed="false">
      <c r="A3029" s="23" t="s">
        <v>465</v>
      </c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</row>
    <row r="3030" customFormat="false" ht="15" hidden="false" customHeight="false" outlineLevel="0" collapsed="false">
      <c r="A3030" s="5" t="s">
        <v>457</v>
      </c>
      <c r="C3030" s="25" t="n">
        <f aca="false">IF(C3015&gt;0,C3025,C3005)</f>
        <v>307.575</v>
      </c>
    </row>
    <row r="3031" customFormat="false" ht="15" hidden="false" customHeight="false" outlineLevel="0" collapsed="false">
      <c r="A3031" s="5" t="s">
        <v>458</v>
      </c>
      <c r="C3031" s="25" t="n">
        <f aca="false">IF(C3016&gt;0,C3026,C3006)</f>
        <v>529.9866</v>
      </c>
    </row>
    <row r="3032" customFormat="false" ht="15" hidden="false" customHeight="false" outlineLevel="0" collapsed="false">
      <c r="A3032" s="5" t="s">
        <v>459</v>
      </c>
      <c r="C3032" s="25" t="n">
        <f aca="false">IF(C3017&gt;0,C3027,C3007)</f>
        <v>256.875</v>
      </c>
    </row>
    <row r="3033" customFormat="false" ht="15" hidden="false" customHeight="false" outlineLevel="0" collapsed="false">
      <c r="A3033" s="5" t="s">
        <v>460</v>
      </c>
      <c r="C3033" s="25" t="n">
        <f aca="false">IF(C3018&gt;0,C3028,C3008)</f>
        <v>305.625</v>
      </c>
    </row>
    <row r="3034" customFormat="false" ht="15" hidden="false" customHeight="false" outlineLevel="0" collapsed="false">
      <c r="A3034" s="23" t="s">
        <v>466</v>
      </c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</row>
    <row r="3035" customFormat="false" ht="15" hidden="false" customHeight="false" outlineLevel="0" collapsed="false">
      <c r="A3035" s="5" t="s">
        <v>457</v>
      </c>
      <c r="C3035" s="20" t="n">
        <f aca="false">IF(C3015&gt;0,Assumptions!$C$17,C3010)</f>
        <v>1</v>
      </c>
    </row>
    <row r="3036" customFormat="false" ht="15" hidden="false" customHeight="false" outlineLevel="0" collapsed="false">
      <c r="A3036" s="5" t="s">
        <v>458</v>
      </c>
      <c r="C3036" s="20" t="n">
        <f aca="false">IF(C3016&gt;0,Assumptions!$C$17,C3011)</f>
        <v>2</v>
      </c>
    </row>
    <row r="3037" customFormat="false" ht="15" hidden="false" customHeight="false" outlineLevel="0" collapsed="false">
      <c r="A3037" s="5" t="s">
        <v>459</v>
      </c>
      <c r="C3037" s="20" t="n">
        <f aca="false">IF(C3017&gt;0,Assumptions!$C$17,C3012)</f>
        <v>3</v>
      </c>
    </row>
    <row r="3038" customFormat="false" ht="15" hidden="false" customHeight="false" outlineLevel="0" collapsed="false">
      <c r="A3038" s="5" t="s">
        <v>460</v>
      </c>
      <c r="C3038" s="20" t="n">
        <f aca="false">IF(C3018&gt;0,Assumptions!$C$17,C3013)</f>
        <v>4</v>
      </c>
    </row>
    <row r="3039" customFormat="false" ht="15" hidden="false" customHeight="false" outlineLevel="0" collapsed="false">
      <c r="A3039" s="23" t="s">
        <v>467</v>
      </c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</row>
    <row r="3040" customFormat="false" ht="15" hidden="false" customHeight="false" outlineLevel="0" collapsed="false">
      <c r="A3040" s="5" t="s">
        <v>457</v>
      </c>
      <c r="C3040" s="25" t="n">
        <f aca="false">SUMPRODUCT(($C$3035:$C$3038&lt;C3035)*$C$3030:$C$3033)</f>
        <v>0</v>
      </c>
    </row>
    <row r="3041" customFormat="false" ht="15" hidden="false" customHeight="false" outlineLevel="0" collapsed="false">
      <c r="A3041" s="5" t="s">
        <v>458</v>
      </c>
      <c r="C3041" s="25" t="n">
        <f aca="false">SUMPRODUCT(($C$3035:$C$3038&lt;C3036)*$C$3030:$C$3033)</f>
        <v>307.575</v>
      </c>
    </row>
    <row r="3042" customFormat="false" ht="15" hidden="false" customHeight="false" outlineLevel="0" collapsed="false">
      <c r="A3042" s="5" t="s">
        <v>459</v>
      </c>
      <c r="C3042" s="25" t="n">
        <f aca="false">SUMPRODUCT(($C$3035:$C$3038&lt;C3037)*$C$3030:$C$3033)</f>
        <v>837.5616</v>
      </c>
    </row>
    <row r="3043" customFormat="false" ht="15" hidden="false" customHeight="false" outlineLevel="0" collapsed="false">
      <c r="A3043" s="5" t="s">
        <v>460</v>
      </c>
      <c r="C3043" s="25" t="n">
        <f aca="false">SUMPRODUCT(($C$3035:$C$3038&lt;C3038)*$C$3030:$C$3033)</f>
        <v>1094.4366</v>
      </c>
    </row>
    <row r="3044" customFormat="false" ht="15" hidden="false" customHeight="false" outlineLevel="0" collapsed="false">
      <c r="A3044" s="23" t="s">
        <v>468</v>
      </c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</row>
    <row r="3045" customFormat="false" ht="15" hidden="false" customHeight="false" outlineLevel="0" collapsed="false">
      <c r="A3045" s="5" t="s">
        <v>457</v>
      </c>
      <c r="C3045" s="25" t="n">
        <f aca="false">SUMPRODUCT(($C$3035:$C$3038=C3035)*$C$3030:$C$3033)</f>
        <v>307.575</v>
      </c>
    </row>
    <row r="3046" customFormat="false" ht="15" hidden="false" customHeight="false" outlineLevel="0" collapsed="false">
      <c r="A3046" s="5" t="s">
        <v>458</v>
      </c>
      <c r="C3046" s="25" t="n">
        <f aca="false">SUMPRODUCT(($C$3035:$C$3038=C3036)*$C$3030:$C$3033)</f>
        <v>529.9866</v>
      </c>
    </row>
    <row r="3047" customFormat="false" ht="15" hidden="false" customHeight="false" outlineLevel="0" collapsed="false">
      <c r="A3047" s="5" t="s">
        <v>459</v>
      </c>
      <c r="C3047" s="25" t="n">
        <f aca="false">SUMPRODUCT(($C$3035:$C$3038=C3037)*$C$3030:$C$3033)</f>
        <v>256.875</v>
      </c>
    </row>
    <row r="3048" customFormat="false" ht="15" hidden="false" customHeight="false" outlineLevel="0" collapsed="false">
      <c r="A3048" s="5" t="s">
        <v>460</v>
      </c>
      <c r="C3048" s="25" t="n">
        <f aca="false">SUMPRODUCT(($C$3035:$C$3038=C3038)*$C$3030:$C$3033)</f>
        <v>305.625</v>
      </c>
    </row>
    <row r="3049" customFormat="false" ht="15" hidden="false" customHeight="false" outlineLevel="0" collapsed="false">
      <c r="A3049" s="23" t="s">
        <v>469</v>
      </c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</row>
    <row r="3050" customFormat="false" ht="15" hidden="false" customHeight="false" outlineLevel="0" collapsed="false">
      <c r="A3050" s="5" t="s">
        <v>457</v>
      </c>
      <c r="C3050" s="25" t="n">
        <f aca="false">IF(C3045=0,0,C3030/C3045*MAX(0,MIN(C3045,$C$3003-SUM($C$3020:$C$3023)-C3040)))</f>
        <v>307.575</v>
      </c>
    </row>
    <row r="3051" customFormat="false" ht="15" hidden="false" customHeight="false" outlineLevel="0" collapsed="false">
      <c r="A3051" s="5" t="s">
        <v>458</v>
      </c>
      <c r="C3051" s="25" t="n">
        <f aca="false">IF(C3046=0,0,C3031/C3046*MAX(0,MIN(C3046,$C$3003-SUM($C$3020:$C$3023)-C3041)))</f>
        <v>201.609</v>
      </c>
    </row>
    <row r="3052" customFormat="false" ht="15" hidden="false" customHeight="false" outlineLevel="0" collapsed="false">
      <c r="A3052" s="5" t="s">
        <v>459</v>
      </c>
      <c r="C3052" s="25" t="n">
        <f aca="false">IF(C3047=0,0,C3032/C3047*MAX(0,MIN(C3047,$C$3003-SUM($C$3020:$C$3023)-C3042)))</f>
        <v>0</v>
      </c>
    </row>
    <row r="3053" customFormat="false" ht="15" hidden="false" customHeight="false" outlineLevel="0" collapsed="false">
      <c r="A3053" s="5" t="s">
        <v>460</v>
      </c>
      <c r="C3053" s="25" t="n">
        <f aca="false">IF(C3048=0,0,C3033/C3048*MAX(0,MIN(C3048,$C$3003-SUM($C$3020:$C$3023)-C3043)))</f>
        <v>0</v>
      </c>
    </row>
    <row r="3054" customFormat="false" ht="15" hidden="false" customHeight="false" outlineLevel="0" collapsed="false">
      <c r="A3054" s="23" t="s">
        <v>470</v>
      </c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</row>
    <row r="3055" customFormat="false" ht="15" hidden="false" customHeight="false" outlineLevel="0" collapsed="false">
      <c r="A3055" s="2" t="s">
        <v>457</v>
      </c>
      <c r="C3055" s="16" t="n">
        <f aca="false">C3020+C3050</f>
        <v>307.575</v>
      </c>
    </row>
    <row r="3056" customFormat="false" ht="15" hidden="false" customHeight="false" outlineLevel="0" collapsed="false">
      <c r="A3056" s="2" t="s">
        <v>458</v>
      </c>
      <c r="C3056" s="16" t="n">
        <f aca="false">C3021+C3051</f>
        <v>201.609</v>
      </c>
    </row>
    <row r="3057" customFormat="false" ht="15" hidden="false" customHeight="false" outlineLevel="0" collapsed="false">
      <c r="A3057" s="2" t="s">
        <v>459</v>
      </c>
      <c r="C3057" s="16" t="n">
        <f aca="false">C3022+C3052</f>
        <v>0</v>
      </c>
    </row>
    <row r="3058" customFormat="false" ht="15" hidden="false" customHeight="false" outlineLevel="0" collapsed="false">
      <c r="A3058" s="2" t="s">
        <v>460</v>
      </c>
      <c r="C3058" s="16" t="n">
        <f aca="false">C3023+C3053</f>
        <v>0</v>
      </c>
    </row>
    <row r="3059" customFormat="false" ht="15" hidden="false" customHeight="false" outlineLevel="0" collapsed="false">
      <c r="A3059" s="23" t="s">
        <v>471</v>
      </c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</row>
    <row r="3060" customFormat="false" ht="15" hidden="false" customHeight="false" outlineLevel="0" collapsed="false">
      <c r="A3060" s="5" t="s">
        <v>457</v>
      </c>
      <c r="C3060" s="21" t="n">
        <f aca="false">IF(C3005=0,1,C3055/C3005)</f>
        <v>1</v>
      </c>
    </row>
    <row r="3061" customFormat="false" ht="15" hidden="false" customHeight="false" outlineLevel="0" collapsed="false">
      <c r="A3061" s="5" t="s">
        <v>458</v>
      </c>
      <c r="C3061" s="21" t="n">
        <f aca="false">IF(C3006=0,1,C3056/C3006)</f>
        <v>0.380403957383074</v>
      </c>
    </row>
    <row r="3062" customFormat="false" ht="15" hidden="false" customHeight="false" outlineLevel="0" collapsed="false">
      <c r="A3062" s="5" t="s">
        <v>459</v>
      </c>
      <c r="C3062" s="21" t="n">
        <f aca="false">IF(C3007=0,1,C3057/C3007)</f>
        <v>0</v>
      </c>
    </row>
    <row r="3063" customFormat="false" ht="15" hidden="false" customHeight="false" outlineLevel="0" collapsed="false">
      <c r="A3063" s="5" t="s">
        <v>460</v>
      </c>
      <c r="C3063" s="21" t="n">
        <f aca="false">IF(C3008=0,1,C3058/C3008)</f>
        <v>0</v>
      </c>
    </row>
    <row r="3064" customFormat="false" ht="15" hidden="false" customHeight="false" outlineLevel="0" collapsed="false">
      <c r="A3064" s="23" t="s">
        <v>472</v>
      </c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</row>
    <row r="3065" customFormat="false" ht="15" hidden="false" customHeight="false" outlineLevel="0" collapsed="false">
      <c r="A3065" s="5" t="s">
        <v>457</v>
      </c>
      <c r="C3065" s="25" t="n">
        <f aca="false">C3005-C3055</f>
        <v>0</v>
      </c>
    </row>
    <row r="3066" customFormat="false" ht="15" hidden="false" customHeight="false" outlineLevel="0" collapsed="false">
      <c r="A3066" s="5" t="s">
        <v>458</v>
      </c>
      <c r="C3066" s="25" t="n">
        <f aca="false">C3006-C3056</f>
        <v>328.3776</v>
      </c>
    </row>
    <row r="3067" customFormat="false" ht="15" hidden="false" customHeight="false" outlineLevel="0" collapsed="false">
      <c r="A3067" s="5" t="s">
        <v>459</v>
      </c>
      <c r="C3067" s="25" t="n">
        <f aca="false">C3007-C3057</f>
        <v>256.875</v>
      </c>
    </row>
    <row r="3068" customFormat="false" ht="15" hidden="false" customHeight="false" outlineLevel="0" collapsed="false">
      <c r="A3068" s="5" t="s">
        <v>460</v>
      </c>
      <c r="C3068" s="25" t="n">
        <f aca="false">C3008-C3058</f>
        <v>305.625</v>
      </c>
    </row>
    <row r="3069" customFormat="false" ht="15" hidden="false" customHeight="false" outlineLevel="0" collapsed="false">
      <c r="A3069" s="23" t="s">
        <v>473</v>
      </c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</row>
    <row r="3070" customFormat="false" ht="15" hidden="false" customHeight="false" outlineLevel="0" collapsed="false">
      <c r="A3070" s="5" t="s">
        <v>457</v>
      </c>
      <c r="C3070" s="21" t="n">
        <f aca="false">IF(C3005=0,0,C3065/C3005)</f>
        <v>0</v>
      </c>
    </row>
    <row r="3071" customFormat="false" ht="15" hidden="false" customHeight="false" outlineLevel="0" collapsed="false">
      <c r="A3071" s="5" t="s">
        <v>458</v>
      </c>
      <c r="C3071" s="21" t="n">
        <f aca="false">IF(C3006=0,0,C3066/C3006)</f>
        <v>0.619596042616927</v>
      </c>
    </row>
    <row r="3072" customFormat="false" ht="15" hidden="false" customHeight="false" outlineLevel="0" collapsed="false">
      <c r="A3072" s="5" t="s">
        <v>459</v>
      </c>
      <c r="C3072" s="21" t="n">
        <f aca="false">IF(C3007=0,0,C3067/C3007)</f>
        <v>1</v>
      </c>
    </row>
    <row r="3073" customFormat="false" ht="15" hidden="false" customHeight="false" outlineLevel="0" collapsed="false">
      <c r="A3073" s="5" t="s">
        <v>460</v>
      </c>
      <c r="C3073" s="21" t="n">
        <f aca="false">IF(C3008=0,0,C3068/C3008)</f>
        <v>1</v>
      </c>
    </row>
    <row r="3074" customFormat="false" ht="15" hidden="false" customHeight="false" outlineLevel="0" collapsed="false">
      <c r="A3074" s="2" t="s">
        <v>474</v>
      </c>
      <c r="C3074" s="16" t="n">
        <f aca="false">MAX(0,$C$3003-SUM($C$3020:$C$3023)-SUM($C$3030:$C$3033))</f>
        <v>0</v>
      </c>
    </row>
    <row r="3075" customFormat="false" ht="15" hidden="false" customHeight="false" outlineLevel="0" collapsed="false">
      <c r="A3075" s="5" t="s">
        <v>475</v>
      </c>
      <c r="C3075" s="25" t="n">
        <f aca="false">SUM($C$3055:$C$3058)+C3074+C3002-C3001</f>
        <v>0</v>
      </c>
    </row>
    <row r="3077" customFormat="false" ht="15" hidden="false" customHeight="false" outlineLevel="0" collapsed="false">
      <c r="A3077" s="23" t="s">
        <v>478</v>
      </c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</row>
    <row r="3078" customFormat="false" ht="15" hidden="false" customHeight="false" outlineLevel="0" collapsed="false">
      <c r="A3078" s="5" t="s">
        <v>479</v>
      </c>
      <c r="C3078" s="26" t="n">
        <f aca="false">Assumptions!$C$30</f>
        <v>2</v>
      </c>
    </row>
    <row r="3079" customFormat="false" ht="15" hidden="false" customHeight="false" outlineLevel="0" collapsed="false">
      <c r="A3079" s="5" t="s">
        <v>480</v>
      </c>
      <c r="C3079" s="28" t="n">
        <f aca="false">Assumptions!$C$31</f>
        <v>100</v>
      </c>
    </row>
    <row r="3080" customFormat="false" ht="15" hidden="false" customHeight="false" outlineLevel="0" collapsed="false">
      <c r="A3080" s="5" t="s">
        <v>481</v>
      </c>
      <c r="C3080" s="39" t="n">
        <f aca="false">Assumptions!$C$32</f>
        <v>78</v>
      </c>
    </row>
    <row r="3081" customFormat="false" ht="15" hidden="false" customHeight="false" outlineLevel="0" collapsed="false">
      <c r="A3081" s="5" t="s">
        <v>482</v>
      </c>
      <c r="C3081" s="25" t="n">
        <f aca="false">C3079*C3080/100*(1+Assumptions!$C$33)</f>
        <v>78.39</v>
      </c>
    </row>
    <row r="3082" customFormat="false" ht="15" hidden="false" customHeight="false" outlineLevel="0" collapsed="false">
      <c r="A3082" s="5" t="s">
        <v>483</v>
      </c>
      <c r="C3082" s="26" t="n">
        <f aca="false">Assumptions!$C$34</f>
        <v>2</v>
      </c>
    </row>
    <row r="3083" customFormat="false" ht="15" hidden="false" customHeight="false" outlineLevel="0" collapsed="false">
      <c r="A3083" s="5" t="s">
        <v>484</v>
      </c>
      <c r="C3083" s="20" t="n">
        <f aca="false">IF(C2994=1,SUMPRODUCT($G$2962:$K$2962,$G$2838:$K$2838),0)</f>
        <v>1</v>
      </c>
    </row>
    <row r="3084" customFormat="false" ht="15" hidden="false" customHeight="false" outlineLevel="0" collapsed="false">
      <c r="A3084" s="5" t="s">
        <v>485</v>
      </c>
      <c r="C3084" s="21" t="n">
        <f aca="false">IFERROR(C3079/CHOOSE(C3078,SUMPRODUCT($G$2993:$K$2993,$G$2884:$K$2884),SUMPRODUCT($G$2993:$K$2993,$G$2897:$K$2897),SUMPRODUCT($G$2993:$K$2993,$G$2910:$K$2910),SUMPRODUCT($G$2993:$K$2993,$G$2923:$K$2923)),0)</f>
        <v>0.194250194250194</v>
      </c>
    </row>
    <row r="3085" customFormat="false" ht="15" hidden="false" customHeight="false" outlineLevel="0" collapsed="false">
      <c r="A3085" s="5" t="s">
        <v>486</v>
      </c>
      <c r="C3085" s="25" t="n">
        <f aca="false">CHOOSE(C3078,C3055,C3056,C3057,C3058)*C3084</f>
        <v>39.1625874125874</v>
      </c>
    </row>
    <row r="3086" customFormat="false" ht="15" hidden="false" customHeight="false" outlineLevel="0" collapsed="false">
      <c r="A3086" s="5" t="s">
        <v>487</v>
      </c>
      <c r="C3086" s="21" t="n">
        <f aca="false">CHOOSE(C3078,C3060,C3061,C3062,C3063)</f>
        <v>0.380403957383074</v>
      </c>
    </row>
    <row r="3087" customFormat="false" ht="15" hidden="false" customHeight="false" outlineLevel="0" collapsed="false">
      <c r="A3087" s="5" t="s">
        <v>488</v>
      </c>
      <c r="C3087" s="20" t="n">
        <f aca="false">IF(C2994=1,C3083,C3082)</f>
        <v>1</v>
      </c>
    </row>
    <row r="3088" customFormat="false" ht="15" hidden="false" customHeight="false" outlineLevel="0" collapsed="false">
      <c r="A3088" s="5" t="s">
        <v>489</v>
      </c>
      <c r="C3088" s="33" t="n">
        <f aca="false">CHOOSE($C$2830,Assumptions!$C$77,Assumptions!$C$96,Assumptions!$C$115)</f>
        <v>90</v>
      </c>
    </row>
    <row r="3089" customFormat="false" ht="15" hidden="false" customHeight="false" outlineLevel="0" collapsed="false">
      <c r="A3089" s="5" t="s">
        <v>490</v>
      </c>
      <c r="C3089" s="25" t="n">
        <f aca="false">INDEX($G$2847:$K$2847,C3082)*CHOOSE($C$2830,Assumptions!$C$76,Assumptions!$C$95,Assumptions!$C$114)+MAX(0,INDEX($G$2959:$K$2959,C3082))</f>
        <v>-180.752568</v>
      </c>
    </row>
    <row r="3090" customFormat="false" ht="15" hidden="false" customHeight="false" outlineLevel="0" collapsed="false">
      <c r="A3090" s="23" t="s">
        <v>491</v>
      </c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</row>
    <row r="3091" customFormat="false" ht="15" hidden="false" customHeight="false" outlineLevel="0" collapsed="false">
      <c r="A3091" s="5" t="s">
        <v>457</v>
      </c>
      <c r="C3091" s="25" t="n">
        <f aca="false">INDEX($G$2884:$K$2884,C3082)</f>
        <v>300</v>
      </c>
    </row>
    <row r="3092" customFormat="false" ht="15" hidden="false" customHeight="false" outlineLevel="0" collapsed="false">
      <c r="A3092" s="5" t="s">
        <v>458</v>
      </c>
      <c r="C3092" s="25" t="n">
        <f aca="false">INDEX($G$2897:$K$2897,C3082)</f>
        <v>509.6</v>
      </c>
    </row>
    <row r="3093" customFormat="false" ht="15" hidden="false" customHeight="false" outlineLevel="0" collapsed="false">
      <c r="A3093" s="5" t="s">
        <v>459</v>
      </c>
      <c r="C3093" s="25" t="n">
        <f aca="false">INDEX($G$2910:$K$2910,C3082)</f>
        <v>250</v>
      </c>
    </row>
    <row r="3094" customFormat="false" ht="15" hidden="false" customHeight="false" outlineLevel="0" collapsed="false">
      <c r="A3094" s="5" t="s">
        <v>460</v>
      </c>
      <c r="C3094" s="25" t="n">
        <f aca="false">INDEX($G$2923:$K$2923,C3082)</f>
        <v>300</v>
      </c>
    </row>
    <row r="3095" customFormat="false" ht="15" hidden="false" customHeight="false" outlineLevel="0" collapsed="false">
      <c r="A3095" s="23" t="s">
        <v>461</v>
      </c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</row>
    <row r="3096" customFormat="false" ht="15" hidden="false" customHeight="false" outlineLevel="0" collapsed="false">
      <c r="A3096" s="5" t="s">
        <v>457</v>
      </c>
      <c r="C3096" s="26" t="n">
        <f aca="false">Assumptions!$M$53</f>
        <v>1</v>
      </c>
    </row>
    <row r="3097" customFormat="false" ht="15" hidden="false" customHeight="false" outlineLevel="0" collapsed="false">
      <c r="A3097" s="5" t="s">
        <v>458</v>
      </c>
      <c r="C3097" s="26" t="n">
        <f aca="false">Assumptions!$M$54</f>
        <v>2</v>
      </c>
    </row>
    <row r="3098" customFormat="false" ht="15" hidden="false" customHeight="false" outlineLevel="0" collapsed="false">
      <c r="A3098" s="5" t="s">
        <v>459</v>
      </c>
      <c r="C3098" s="26" t="n">
        <f aca="false">Assumptions!$M$55</f>
        <v>3</v>
      </c>
    </row>
    <row r="3099" customFormat="false" ht="15" hidden="false" customHeight="false" outlineLevel="0" collapsed="false">
      <c r="A3099" s="5" t="s">
        <v>460</v>
      </c>
      <c r="C3099" s="26" t="n">
        <f aca="false">Assumptions!$M$56</f>
        <v>4</v>
      </c>
    </row>
    <row r="3100" customFormat="false" ht="15" hidden="false" customHeight="false" outlineLevel="0" collapsed="false">
      <c r="A3100" s="23" t="s">
        <v>462</v>
      </c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</row>
    <row r="3101" customFormat="false" ht="15" hidden="false" customHeight="false" outlineLevel="0" collapsed="false">
      <c r="A3101" s="5" t="s">
        <v>457</v>
      </c>
      <c r="C3101" s="34" t="n">
        <f aca="false">Assumptions!$Q$53</f>
        <v>0</v>
      </c>
    </row>
    <row r="3102" customFormat="false" ht="15" hidden="false" customHeight="false" outlineLevel="0" collapsed="false">
      <c r="A3102" s="5" t="s">
        <v>458</v>
      </c>
      <c r="C3102" s="34" t="n">
        <f aca="false">Assumptions!$Q$54</f>
        <v>0</v>
      </c>
    </row>
    <row r="3103" customFormat="false" ht="15" hidden="false" customHeight="false" outlineLevel="0" collapsed="false">
      <c r="A3103" s="5" t="s">
        <v>459</v>
      </c>
      <c r="C3103" s="34" t="n">
        <f aca="false">Assumptions!$Q$55</f>
        <v>0</v>
      </c>
    </row>
    <row r="3104" customFormat="false" ht="15" hidden="false" customHeight="false" outlineLevel="0" collapsed="false">
      <c r="A3104" s="5" t="s">
        <v>460</v>
      </c>
      <c r="C3104" s="34" t="n">
        <f aca="false">Assumptions!$Q$56</f>
        <v>0</v>
      </c>
    </row>
    <row r="3105" customFormat="false" ht="15" hidden="false" customHeight="false" outlineLevel="0" collapsed="false">
      <c r="A3105" s="23" t="s">
        <v>463</v>
      </c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</row>
    <row r="3106" customFormat="false" ht="15" hidden="false" customHeight="false" outlineLevel="0" collapsed="false">
      <c r="A3106" s="5" t="s">
        <v>457</v>
      </c>
      <c r="C3106" s="25" t="n">
        <f aca="false">IF(C3101&gt;0,MIN(C3091,C3101*$C$3089),0)</f>
        <v>0</v>
      </c>
    </row>
    <row r="3107" customFormat="false" ht="15" hidden="false" customHeight="false" outlineLevel="0" collapsed="false">
      <c r="A3107" s="5" t="s">
        <v>458</v>
      </c>
      <c r="C3107" s="25" t="n">
        <f aca="false">IF(C3102&gt;0,MIN(C3092,C3102*$C$3089),0)</f>
        <v>0</v>
      </c>
    </row>
    <row r="3108" customFormat="false" ht="15" hidden="false" customHeight="false" outlineLevel="0" collapsed="false">
      <c r="A3108" s="5" t="s">
        <v>459</v>
      </c>
      <c r="C3108" s="25" t="n">
        <f aca="false">IF(C3103&gt;0,MIN(C3093,C3103*$C$3089),0)</f>
        <v>0</v>
      </c>
    </row>
    <row r="3109" customFormat="false" ht="15" hidden="false" customHeight="false" outlineLevel="0" collapsed="false">
      <c r="A3109" s="5" t="s">
        <v>460</v>
      </c>
      <c r="C3109" s="25" t="n">
        <f aca="false">IF(C3104&gt;0,MIN(C3094,C3104*$C$3089),0)</f>
        <v>0</v>
      </c>
    </row>
    <row r="3110" customFormat="false" ht="15" hidden="false" customHeight="false" outlineLevel="0" collapsed="false">
      <c r="A3110" s="23" t="s">
        <v>464</v>
      </c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</row>
    <row r="3111" customFormat="false" ht="15" hidden="false" customHeight="false" outlineLevel="0" collapsed="false">
      <c r="A3111" s="5" t="s">
        <v>457</v>
      </c>
      <c r="C3111" s="25" t="n">
        <f aca="false">IF(C3101&gt;0,C3091-C3106,0)</f>
        <v>0</v>
      </c>
    </row>
    <row r="3112" customFormat="false" ht="15" hidden="false" customHeight="false" outlineLevel="0" collapsed="false">
      <c r="A3112" s="5" t="s">
        <v>458</v>
      </c>
      <c r="C3112" s="25" t="n">
        <f aca="false">IF(C3102&gt;0,C3092-C3107,0)</f>
        <v>0</v>
      </c>
    </row>
    <row r="3113" customFormat="false" ht="15" hidden="false" customHeight="false" outlineLevel="0" collapsed="false">
      <c r="A3113" s="5" t="s">
        <v>459</v>
      </c>
      <c r="C3113" s="25" t="n">
        <f aca="false">IF(C3103&gt;0,C3093-C3108,0)</f>
        <v>0</v>
      </c>
    </row>
    <row r="3114" customFormat="false" ht="15" hidden="false" customHeight="false" outlineLevel="0" collapsed="false">
      <c r="A3114" s="5" t="s">
        <v>460</v>
      </c>
      <c r="C3114" s="25" t="n">
        <f aca="false">IF(C3104&gt;0,C3094-C3109,0)</f>
        <v>0</v>
      </c>
    </row>
    <row r="3115" customFormat="false" ht="15" hidden="false" customHeight="false" outlineLevel="0" collapsed="false">
      <c r="A3115" s="23" t="s">
        <v>465</v>
      </c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</row>
    <row r="3116" customFormat="false" ht="15" hidden="false" customHeight="false" outlineLevel="0" collapsed="false">
      <c r="A3116" s="5" t="s">
        <v>457</v>
      </c>
      <c r="C3116" s="25" t="n">
        <f aca="false">IF(C3101&gt;0,C3111,C3091)</f>
        <v>300</v>
      </c>
    </row>
    <row r="3117" customFormat="false" ht="15" hidden="false" customHeight="false" outlineLevel="0" collapsed="false">
      <c r="A3117" s="5" t="s">
        <v>458</v>
      </c>
      <c r="C3117" s="25" t="n">
        <f aca="false">IF(C3102&gt;0,C3112,C3092)</f>
        <v>509.6</v>
      </c>
    </row>
    <row r="3118" customFormat="false" ht="15" hidden="false" customHeight="false" outlineLevel="0" collapsed="false">
      <c r="A3118" s="5" t="s">
        <v>459</v>
      </c>
      <c r="C3118" s="25" t="n">
        <f aca="false">IF(C3103&gt;0,C3113,C3093)</f>
        <v>250</v>
      </c>
    </row>
    <row r="3119" customFormat="false" ht="15" hidden="false" customHeight="false" outlineLevel="0" collapsed="false">
      <c r="A3119" s="5" t="s">
        <v>460</v>
      </c>
      <c r="C3119" s="25" t="n">
        <f aca="false">IF(C3104&gt;0,C3114,C3094)</f>
        <v>300</v>
      </c>
    </row>
    <row r="3120" customFormat="false" ht="15" hidden="false" customHeight="false" outlineLevel="0" collapsed="false">
      <c r="A3120" s="23" t="s">
        <v>466</v>
      </c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</row>
    <row r="3121" customFormat="false" ht="15" hidden="false" customHeight="false" outlineLevel="0" collapsed="false">
      <c r="A3121" s="5" t="s">
        <v>457</v>
      </c>
      <c r="C3121" s="20" t="n">
        <f aca="false">IF(C3101&gt;0,Assumptions!$C$17,C3096)</f>
        <v>1</v>
      </c>
    </row>
    <row r="3122" customFormat="false" ht="15" hidden="false" customHeight="false" outlineLevel="0" collapsed="false">
      <c r="A3122" s="5" t="s">
        <v>458</v>
      </c>
      <c r="C3122" s="20" t="n">
        <f aca="false">IF(C3102&gt;0,Assumptions!$C$17,C3097)</f>
        <v>2</v>
      </c>
    </row>
    <row r="3123" customFormat="false" ht="15" hidden="false" customHeight="false" outlineLevel="0" collapsed="false">
      <c r="A3123" s="5" t="s">
        <v>459</v>
      </c>
      <c r="C3123" s="20" t="n">
        <f aca="false">IF(C3103&gt;0,Assumptions!$C$17,C3098)</f>
        <v>3</v>
      </c>
    </row>
    <row r="3124" customFormat="false" ht="15" hidden="false" customHeight="false" outlineLevel="0" collapsed="false">
      <c r="A3124" s="5" t="s">
        <v>460</v>
      </c>
      <c r="C3124" s="20" t="n">
        <f aca="false">IF(C3104&gt;0,Assumptions!$C$17,C3099)</f>
        <v>4</v>
      </c>
    </row>
    <row r="3125" customFormat="false" ht="15" hidden="false" customHeight="false" outlineLevel="0" collapsed="false">
      <c r="A3125" s="23" t="s">
        <v>467</v>
      </c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</row>
    <row r="3126" customFormat="false" ht="15" hidden="false" customHeight="false" outlineLevel="0" collapsed="false">
      <c r="A3126" s="5" t="s">
        <v>457</v>
      </c>
      <c r="C3126" s="25" t="n">
        <f aca="false">SUMPRODUCT(($C$3121:$C$3124&lt;C3121)*$C$3116:$C$3119)</f>
        <v>0</v>
      </c>
    </row>
    <row r="3127" customFormat="false" ht="15" hidden="false" customHeight="false" outlineLevel="0" collapsed="false">
      <c r="A3127" s="5" t="s">
        <v>458</v>
      </c>
      <c r="C3127" s="25" t="n">
        <f aca="false">SUMPRODUCT(($C$3121:$C$3124&lt;C3122)*$C$3116:$C$3119)</f>
        <v>300</v>
      </c>
    </row>
    <row r="3128" customFormat="false" ht="15" hidden="false" customHeight="false" outlineLevel="0" collapsed="false">
      <c r="A3128" s="5" t="s">
        <v>459</v>
      </c>
      <c r="C3128" s="25" t="n">
        <f aca="false">SUMPRODUCT(($C$3121:$C$3124&lt;C3123)*$C$3116:$C$3119)</f>
        <v>809.6</v>
      </c>
    </row>
    <row r="3129" customFormat="false" ht="15" hidden="false" customHeight="false" outlineLevel="0" collapsed="false">
      <c r="A3129" s="5" t="s">
        <v>460</v>
      </c>
      <c r="C3129" s="25" t="n">
        <f aca="false">SUMPRODUCT(($C$3121:$C$3124&lt;C3124)*$C$3116:$C$3119)</f>
        <v>1059.6</v>
      </c>
    </row>
    <row r="3130" customFormat="false" ht="15" hidden="false" customHeight="false" outlineLevel="0" collapsed="false">
      <c r="A3130" s="23" t="s">
        <v>468</v>
      </c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</row>
    <row r="3131" customFormat="false" ht="15" hidden="false" customHeight="false" outlineLevel="0" collapsed="false">
      <c r="A3131" s="5" t="s">
        <v>457</v>
      </c>
      <c r="C3131" s="25" t="n">
        <f aca="false">SUMPRODUCT(($C$3121:$C$3124=C3121)*$C$3116:$C$3119)</f>
        <v>300</v>
      </c>
    </row>
    <row r="3132" customFormat="false" ht="15" hidden="false" customHeight="false" outlineLevel="0" collapsed="false">
      <c r="A3132" s="5" t="s">
        <v>458</v>
      </c>
      <c r="C3132" s="25" t="n">
        <f aca="false">SUMPRODUCT(($C$3121:$C$3124=C3122)*$C$3116:$C$3119)</f>
        <v>509.6</v>
      </c>
    </row>
    <row r="3133" customFormat="false" ht="15" hidden="false" customHeight="false" outlineLevel="0" collapsed="false">
      <c r="A3133" s="5" t="s">
        <v>459</v>
      </c>
      <c r="C3133" s="25" t="n">
        <f aca="false">SUMPRODUCT(($C$3121:$C$3124=C3123)*$C$3116:$C$3119)</f>
        <v>250</v>
      </c>
    </row>
    <row r="3134" customFormat="false" ht="15" hidden="false" customHeight="false" outlineLevel="0" collapsed="false">
      <c r="A3134" s="5" t="s">
        <v>460</v>
      </c>
      <c r="C3134" s="25" t="n">
        <f aca="false">SUMPRODUCT(($C$3121:$C$3124=C3124)*$C$3116:$C$3119)</f>
        <v>300</v>
      </c>
    </row>
    <row r="3135" customFormat="false" ht="15" hidden="false" customHeight="false" outlineLevel="0" collapsed="false">
      <c r="A3135" s="23" t="s">
        <v>469</v>
      </c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</row>
    <row r="3136" customFormat="false" ht="15" hidden="false" customHeight="false" outlineLevel="0" collapsed="false">
      <c r="A3136" s="5" t="s">
        <v>457</v>
      </c>
      <c r="C3136" s="25" t="n">
        <f aca="false">IF(C3131=0,0,C3116/C3131*MAX(0,MIN(C3131,$C$3089-SUM($C$3106:$C$3109)-C3126)))</f>
        <v>0</v>
      </c>
    </row>
    <row r="3137" customFormat="false" ht="15" hidden="false" customHeight="false" outlineLevel="0" collapsed="false">
      <c r="A3137" s="5" t="s">
        <v>458</v>
      </c>
      <c r="C3137" s="25" t="n">
        <f aca="false">IF(C3132=0,0,C3117/C3132*MAX(0,MIN(C3132,$C$3089-SUM($C$3106:$C$3109)-C3127)))</f>
        <v>0</v>
      </c>
    </row>
    <row r="3138" customFormat="false" ht="15" hidden="false" customHeight="false" outlineLevel="0" collapsed="false">
      <c r="A3138" s="5" t="s">
        <v>459</v>
      </c>
      <c r="C3138" s="25" t="n">
        <f aca="false">IF(C3133=0,0,C3118/C3133*MAX(0,MIN(C3133,$C$3089-SUM($C$3106:$C$3109)-C3128)))</f>
        <v>0</v>
      </c>
    </row>
    <row r="3139" customFormat="false" ht="15" hidden="false" customHeight="false" outlineLevel="0" collapsed="false">
      <c r="A3139" s="5" t="s">
        <v>460</v>
      </c>
      <c r="C3139" s="25" t="n">
        <f aca="false">IF(C3134=0,0,C3119/C3134*MAX(0,MIN(C3134,$C$3089-SUM($C$3106:$C$3109)-C3129)))</f>
        <v>0</v>
      </c>
    </row>
    <row r="3140" customFormat="false" ht="15" hidden="false" customHeight="false" outlineLevel="0" collapsed="false">
      <c r="A3140" s="23" t="s">
        <v>470</v>
      </c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</row>
    <row r="3141" customFormat="false" ht="15" hidden="false" customHeight="false" outlineLevel="0" collapsed="false">
      <c r="A3141" s="2" t="s">
        <v>457</v>
      </c>
      <c r="C3141" s="16" t="n">
        <f aca="false">C3106+C3136</f>
        <v>0</v>
      </c>
    </row>
    <row r="3142" customFormat="false" ht="15" hidden="false" customHeight="false" outlineLevel="0" collapsed="false">
      <c r="A3142" s="2" t="s">
        <v>458</v>
      </c>
      <c r="C3142" s="16" t="n">
        <f aca="false">C3107+C3137</f>
        <v>0</v>
      </c>
    </row>
    <row r="3143" customFormat="false" ht="15" hidden="false" customHeight="false" outlineLevel="0" collapsed="false">
      <c r="A3143" s="2" t="s">
        <v>459</v>
      </c>
      <c r="C3143" s="16" t="n">
        <f aca="false">C3108+C3138</f>
        <v>0</v>
      </c>
    </row>
    <row r="3144" customFormat="false" ht="15" hidden="false" customHeight="false" outlineLevel="0" collapsed="false">
      <c r="A3144" s="2" t="s">
        <v>460</v>
      </c>
      <c r="C3144" s="16" t="n">
        <f aca="false">C3109+C3139</f>
        <v>0</v>
      </c>
    </row>
    <row r="3145" customFormat="false" ht="15" hidden="false" customHeight="false" outlineLevel="0" collapsed="false">
      <c r="A3145" s="23" t="s">
        <v>471</v>
      </c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</row>
    <row r="3146" customFormat="false" ht="15" hidden="false" customHeight="false" outlineLevel="0" collapsed="false">
      <c r="A3146" s="5" t="s">
        <v>457</v>
      </c>
      <c r="C3146" s="21" t="n">
        <f aca="false">IF(C3091=0,1,C3141/C3091)</f>
        <v>0</v>
      </c>
    </row>
    <row r="3147" customFormat="false" ht="15" hidden="false" customHeight="false" outlineLevel="0" collapsed="false">
      <c r="A3147" s="5" t="s">
        <v>458</v>
      </c>
      <c r="C3147" s="21" t="n">
        <f aca="false">IF(C3092=0,1,C3142/C3092)</f>
        <v>0</v>
      </c>
    </row>
    <row r="3148" customFormat="false" ht="15" hidden="false" customHeight="false" outlineLevel="0" collapsed="false">
      <c r="A3148" s="5" t="s">
        <v>459</v>
      </c>
      <c r="C3148" s="21" t="n">
        <f aca="false">IF(C3093=0,1,C3143/C3093)</f>
        <v>0</v>
      </c>
    </row>
    <row r="3149" customFormat="false" ht="15" hidden="false" customHeight="false" outlineLevel="0" collapsed="false">
      <c r="A3149" s="5" t="s">
        <v>460</v>
      </c>
      <c r="C3149" s="21" t="n">
        <f aca="false">IF(C3094=0,1,C3144/C3094)</f>
        <v>0</v>
      </c>
    </row>
    <row r="3150" customFormat="false" ht="15" hidden="false" customHeight="false" outlineLevel="0" collapsed="false">
      <c r="A3150" s="23" t="s">
        <v>472</v>
      </c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</row>
    <row r="3151" customFormat="false" ht="15" hidden="false" customHeight="false" outlineLevel="0" collapsed="false">
      <c r="A3151" s="5" t="s">
        <v>457</v>
      </c>
      <c r="C3151" s="25" t="n">
        <f aca="false">C3091-C3141</f>
        <v>300</v>
      </c>
    </row>
    <row r="3152" customFormat="false" ht="15" hidden="false" customHeight="false" outlineLevel="0" collapsed="false">
      <c r="A3152" s="5" t="s">
        <v>458</v>
      </c>
      <c r="C3152" s="25" t="n">
        <f aca="false">C3092-C3142</f>
        <v>509.6</v>
      </c>
    </row>
    <row r="3153" customFormat="false" ht="15" hidden="false" customHeight="false" outlineLevel="0" collapsed="false">
      <c r="A3153" s="5" t="s">
        <v>459</v>
      </c>
      <c r="C3153" s="25" t="n">
        <f aca="false">C3093-C3143</f>
        <v>250</v>
      </c>
    </row>
    <row r="3154" customFormat="false" ht="15" hidden="false" customHeight="false" outlineLevel="0" collapsed="false">
      <c r="A3154" s="5" t="s">
        <v>460</v>
      </c>
      <c r="C3154" s="25" t="n">
        <f aca="false">C3094-C3144</f>
        <v>300</v>
      </c>
    </row>
    <row r="3155" customFormat="false" ht="15" hidden="false" customHeight="false" outlineLevel="0" collapsed="false">
      <c r="A3155" s="23" t="s">
        <v>473</v>
      </c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</row>
    <row r="3156" customFormat="false" ht="15" hidden="false" customHeight="false" outlineLevel="0" collapsed="false">
      <c r="A3156" s="5" t="s">
        <v>457</v>
      </c>
      <c r="C3156" s="21" t="n">
        <f aca="false">IF(C3091=0,0,C3151/C3091)</f>
        <v>1</v>
      </c>
    </row>
    <row r="3157" customFormat="false" ht="15" hidden="false" customHeight="false" outlineLevel="0" collapsed="false">
      <c r="A3157" s="5" t="s">
        <v>458</v>
      </c>
      <c r="C3157" s="21" t="n">
        <f aca="false">IF(C3092=0,0,C3152/C3092)</f>
        <v>1</v>
      </c>
    </row>
    <row r="3158" customFormat="false" ht="15" hidden="false" customHeight="false" outlineLevel="0" collapsed="false">
      <c r="A3158" s="5" t="s">
        <v>459</v>
      </c>
      <c r="C3158" s="21" t="n">
        <f aca="false">IF(C3093=0,0,C3153/C3093)</f>
        <v>1</v>
      </c>
    </row>
    <row r="3159" customFormat="false" ht="15" hidden="false" customHeight="false" outlineLevel="0" collapsed="false">
      <c r="A3159" s="5" t="s">
        <v>460</v>
      </c>
      <c r="C3159" s="21" t="n">
        <f aca="false">IF(C3094=0,0,C3154/C3094)</f>
        <v>1</v>
      </c>
    </row>
    <row r="3160" customFormat="false" ht="15" hidden="false" customHeight="false" outlineLevel="0" collapsed="false">
      <c r="A3160" s="2" t="s">
        <v>474</v>
      </c>
      <c r="C3160" s="16" t="n">
        <f aca="false">MAX(0,$C$3089-SUM($C$3106:$C$3109)-SUM($C$3116:$C$3119))</f>
        <v>0</v>
      </c>
    </row>
    <row r="3161" customFormat="false" ht="15" hidden="false" customHeight="false" outlineLevel="0" collapsed="false">
      <c r="A3161" s="5" t="s">
        <v>492</v>
      </c>
      <c r="C3161" s="33" t="n">
        <f aca="false">MIN(C3088,100*CHOOSE(C3078,C3146,C3147,C3148,C3149))</f>
        <v>0</v>
      </c>
    </row>
    <row r="3162" customFormat="false" ht="15" hidden="false" customHeight="false" outlineLevel="0" collapsed="false">
      <c r="A3162" s="5" t="s">
        <v>493</v>
      </c>
      <c r="C3162" s="20" t="n">
        <f aca="false">IF(C2994=1,C3083+Assumptions!$C$36,C3082)</f>
        <v>2</v>
      </c>
    </row>
    <row r="3163" customFormat="false" ht="15" hidden="false" customHeight="false" outlineLevel="0" collapsed="false">
      <c r="A3163" s="23" t="s">
        <v>494</v>
      </c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</row>
    <row r="3164" customFormat="false" ht="15" hidden="false" customHeight="false" outlineLevel="0" collapsed="false">
      <c r="A3164" s="5" t="s">
        <v>495</v>
      </c>
      <c r="C3164" s="20" t="n">
        <f aca="false">COLUMN()-COLUMN($C$1)</f>
        <v>0</v>
      </c>
      <c r="D3164" s="20" t="n">
        <f aca="false">COLUMN()-COLUMN($C$1)</f>
        <v>1</v>
      </c>
      <c r="E3164" s="20" t="n">
        <f aca="false">COLUMN()-COLUMN($C$1)</f>
        <v>2</v>
      </c>
      <c r="F3164" s="20" t="n">
        <f aca="false">COLUMN()-COLUMN($C$1)</f>
        <v>3</v>
      </c>
      <c r="G3164" s="20" t="n">
        <f aca="false">COLUMN()-COLUMN($C$1)</f>
        <v>4</v>
      </c>
      <c r="H3164" s="20" t="n">
        <f aca="false">COLUMN()-COLUMN($C$1)</f>
        <v>5</v>
      </c>
      <c r="I3164" s="20" t="n">
        <f aca="false">COLUMN()-COLUMN($C$1)</f>
        <v>6</v>
      </c>
    </row>
    <row r="3165" customFormat="false" ht="15" hidden="false" customHeight="false" outlineLevel="0" collapsed="false">
      <c r="A3165" s="5" t="s">
        <v>496</v>
      </c>
      <c r="D3165" s="30" t="n">
        <f aca="false">CHOOSE($C$3078,G2876,G2889,G2902,G2915)</f>
        <v>0.118</v>
      </c>
      <c r="E3165" s="30" t="n">
        <f aca="false">CHOOSE($C$3078,H2876,H2889,H2902,H2915)</f>
        <v>0.1155</v>
      </c>
      <c r="F3165" s="30" t="n">
        <f aca="false">CHOOSE($C$3078,I2876,I2889,I2902,I2915)</f>
        <v>0.113</v>
      </c>
      <c r="G3165" s="30" t="n">
        <f aca="false">CHOOSE($C$3078,J2876,J2889,J2902,J2915)</f>
        <v>0.113</v>
      </c>
      <c r="H3165" s="30" t="n">
        <f aca="false">CHOOSE($C$3078,K2876,K2889,K2902,K2915)</f>
        <v>0.113</v>
      </c>
    </row>
    <row r="3166" customFormat="false" ht="15" hidden="false" customHeight="false" outlineLevel="0" collapsed="false">
      <c r="A3166" s="5" t="s">
        <v>497</v>
      </c>
      <c r="D3166" s="25" t="n">
        <f aca="false">IF(D3164&lt;=$C$3087,$C$3079*D3165,0)</f>
        <v>11.8</v>
      </c>
      <c r="E3166" s="25" t="n">
        <f aca="false">IF(E3164&lt;=$C$3087,$C$3079*E3165,0)</f>
        <v>0</v>
      </c>
      <c r="F3166" s="25" t="n">
        <f aca="false">IF(F3164&lt;=$C$3087,$C$3079*F3165,0)</f>
        <v>0</v>
      </c>
      <c r="G3166" s="25" t="n">
        <f aca="false">IF(G3164&lt;=$C$3087,$C$3079*G3165,0)</f>
        <v>0</v>
      </c>
      <c r="H3166" s="25" t="n">
        <f aca="false">IF(H3164&lt;=$C$3087,$C$3079*H3165,0)</f>
        <v>0</v>
      </c>
    </row>
    <row r="3167" customFormat="false" ht="15" hidden="false" customHeight="false" outlineLevel="0" collapsed="false">
      <c r="A3167" s="5" t="s">
        <v>498</v>
      </c>
      <c r="D3167" s="25" t="n">
        <f aca="false">IF(AND($C$2994=0,D3164=$C$3082),$C$3079*$C$3161/100,0)+IF(AND($C$2994=1,D3164=$C$3162),$C$3085,0)</f>
        <v>0</v>
      </c>
      <c r="E3167" s="25" t="n">
        <f aca="false">IF(AND($C$2994=0,E3164=$C$3082),$C$3079*$C$3161/100,0)+IF(AND($C$2994=1,E3164=$C$3162),$C$3085,0)</f>
        <v>39.1625874125874</v>
      </c>
      <c r="F3167" s="25" t="n">
        <f aca="false">IF(AND($C$2994=0,F3164=$C$3082),$C$3079*$C$3161/100,0)+IF(AND($C$2994=1,F3164=$C$3162),$C$3085,0)</f>
        <v>0</v>
      </c>
      <c r="G3167" s="25" t="n">
        <f aca="false">IF(AND($C$2994=0,G3164=$C$3082),$C$3079*$C$3161/100,0)+IF(AND($C$2994=1,G3164=$C$3162),$C$3085,0)</f>
        <v>0</v>
      </c>
      <c r="H3167" s="25" t="n">
        <f aca="false">IF(AND($C$2994=0,H3164=$C$3082),$C$3079*$C$3161/100,0)+IF(AND($C$2994=1,H3164=$C$3162),$C$3085,0)</f>
        <v>0</v>
      </c>
      <c r="I3167" s="25" t="n">
        <f aca="false">IF(AND($C$2994=0,I3164=$C$3082),$C$3079*$C$3161/100,0)+IF(AND($C$2994=1,I3164=$C$3162),$C$3085,0)</f>
        <v>0</v>
      </c>
    </row>
    <row r="3168" customFormat="false" ht="15" hidden="false" customHeight="false" outlineLevel="0" collapsed="false">
      <c r="A3168" s="2" t="s">
        <v>499</v>
      </c>
      <c r="C3168" s="16" t="n">
        <f aca="false">-$C$3081</f>
        <v>-78.39</v>
      </c>
      <c r="D3168" s="16" t="n">
        <f aca="false">D3166+D3167</f>
        <v>11.8</v>
      </c>
      <c r="E3168" s="16" t="n">
        <f aca="false">E3166+E3167</f>
        <v>39.1625874125874</v>
      </c>
      <c r="F3168" s="16" t="n">
        <f aca="false">F3166+F3167</f>
        <v>0</v>
      </c>
      <c r="G3168" s="16" t="n">
        <f aca="false">G3166+G3167</f>
        <v>0</v>
      </c>
      <c r="H3168" s="16" t="n">
        <f aca="false">H3166+H3167</f>
        <v>0</v>
      </c>
      <c r="I3168" s="16" t="n">
        <f aca="false">I3166+I3167</f>
        <v>0</v>
      </c>
    </row>
    <row r="3169" customFormat="false" ht="15" hidden="false" customHeight="false" outlineLevel="0" collapsed="false">
      <c r="A3169" s="5" t="s">
        <v>500</v>
      </c>
      <c r="C3169" s="25" t="n">
        <f aca="false">SUM($C$3166:$I$3166)</f>
        <v>11.8</v>
      </c>
    </row>
    <row r="3170" customFormat="false" ht="15" hidden="false" customHeight="false" outlineLevel="0" collapsed="false">
      <c r="A3170" s="5" t="s">
        <v>501</v>
      </c>
      <c r="C3170" s="25" t="n">
        <f aca="false">SUM($C$3167:$I$3167)</f>
        <v>39.1625874125874</v>
      </c>
    </row>
    <row r="3171" customFormat="false" ht="15" hidden="false" customHeight="false" outlineLevel="0" collapsed="false">
      <c r="A3171" s="5" t="s">
        <v>502</v>
      </c>
      <c r="C3171" s="25" t="n">
        <f aca="false">C3169+C3170</f>
        <v>50.9625874125874</v>
      </c>
    </row>
    <row r="3172" customFormat="false" ht="15" hidden="false" customHeight="false" outlineLevel="0" collapsed="false">
      <c r="A3172" s="5" t="s">
        <v>503</v>
      </c>
      <c r="C3172" s="25" t="n">
        <f aca="false">C3170-C3079*C3080/100</f>
        <v>-38.8374125874126</v>
      </c>
    </row>
    <row r="3173" customFormat="false" ht="15" hidden="false" customHeight="false" outlineLevel="0" collapsed="false">
      <c r="A3173" s="5" t="s">
        <v>504</v>
      </c>
      <c r="C3173" s="25" t="n">
        <f aca="false">C3171-C3081</f>
        <v>-27.4274125874126</v>
      </c>
    </row>
    <row r="3174" customFormat="false" ht="15" hidden="false" customHeight="false" outlineLevel="0" collapsed="false">
      <c r="A3174" s="2" t="s">
        <v>385</v>
      </c>
      <c r="C3174" s="43" t="n">
        <f aca="false">C3171/C3081</f>
        <v>0.650115925661276</v>
      </c>
    </row>
    <row r="3175" customFormat="false" ht="15" hidden="false" customHeight="false" outlineLevel="0" collapsed="false">
      <c r="A3175" s="2" t="s">
        <v>384</v>
      </c>
      <c r="C3175" s="41" t="n">
        <f aca="false">IF(C3171&lt;=0,-1,IFERROR(IRR($C$3168:$I$3168,MAX(-0.9,C3174^(1/C3162)-1)),IRR($C$3168:$I$3168,0.1)))</f>
        <v>-0.213924987880173</v>
      </c>
    </row>
    <row r="3176" customFormat="false" ht="15" hidden="false" customHeight="false" outlineLevel="0" collapsed="false">
      <c r="A3176" s="5" t="s">
        <v>505</v>
      </c>
      <c r="C3176" s="31" t="n">
        <f aca="false">MAX($G$2970:$K$2970)</f>
        <v>1033.76244902582</v>
      </c>
    </row>
    <row r="3177" customFormat="false" ht="15" hidden="false" customHeight="false" outlineLevel="0" collapsed="false">
      <c r="A3177" s="5" t="s">
        <v>506</v>
      </c>
      <c r="C3177" s="31" t="n">
        <f aca="false">MIN($G$2971:$K$2971)</f>
        <v>-0.260058050750525</v>
      </c>
    </row>
    <row r="3178" customFormat="false" ht="15" hidden="false" customHeight="false" outlineLevel="0" collapsed="false">
      <c r="A3178" s="5" t="s">
        <v>507</v>
      </c>
      <c r="C3178" s="25" t="n">
        <f aca="false">SUM($G$2860:$K$2860)</f>
        <v>-938.777818178384</v>
      </c>
    </row>
    <row r="3182" customFormat="false" ht="15" hidden="false" customHeight="false" outlineLevel="0" collapsed="false">
      <c r="A3182" s="9" t="s">
        <v>635</v>
      </c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</row>
    <row r="3183" customFormat="false" ht="15" hidden="false" customHeight="false" outlineLevel="0" collapsed="false">
      <c r="A3183" s="5" t="s">
        <v>622</v>
      </c>
      <c r="C3183" s="11" t="n">
        <v>2</v>
      </c>
    </row>
    <row r="3184" customFormat="false" ht="15" hidden="false" customHeight="false" outlineLevel="0" collapsed="false">
      <c r="A3184" s="5" t="s">
        <v>623</v>
      </c>
      <c r="C3184" s="18" t="n">
        <v>0</v>
      </c>
    </row>
    <row r="3185" customFormat="false" ht="15" hidden="false" customHeight="false" outlineLevel="0" collapsed="false">
      <c r="A3185" s="5" t="s">
        <v>624</v>
      </c>
      <c r="C3185" s="29" t="n">
        <f aca="false">Sensitivities!$A$31</f>
        <v>-0.02</v>
      </c>
    </row>
    <row r="3186" customFormat="false" ht="15" hidden="false" customHeight="false" outlineLevel="0" collapsed="false">
      <c r="A3186" s="5" t="s">
        <v>625</v>
      </c>
      <c r="C3186" s="18" t="n">
        <v>0</v>
      </c>
    </row>
    <row r="3187" customFormat="false" ht="15" hidden="false" customHeight="false" outlineLevel="0" collapsed="false">
      <c r="A3187" s="5" t="s">
        <v>626</v>
      </c>
      <c r="C3187" s="15" t="n">
        <v>0</v>
      </c>
    </row>
    <row r="3189" customFormat="false" ht="15" hidden="false" customHeight="false" outlineLevel="0" collapsed="false">
      <c r="A3189" s="23" t="s">
        <v>237</v>
      </c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</row>
    <row r="3190" customFormat="false" ht="15" hidden="false" customHeight="false" outlineLevel="0" collapsed="false">
      <c r="A3190" s="5" t="s">
        <v>238</v>
      </c>
      <c r="F3190" s="26" t="n">
        <f aca="false">Assumptions!$C$6</f>
        <v>2025</v>
      </c>
      <c r="G3190" s="20" t="n">
        <f aca="false">F3190+1</f>
        <v>2026</v>
      </c>
      <c r="H3190" s="20" t="n">
        <f aca="false">G3190+1</f>
        <v>2027</v>
      </c>
      <c r="I3190" s="20" t="n">
        <f aca="false">H3190+1</f>
        <v>2028</v>
      </c>
      <c r="J3190" s="20" t="n">
        <f aca="false">I3190+1</f>
        <v>2029</v>
      </c>
      <c r="K3190" s="20" t="n">
        <f aca="false">J3190+1</f>
        <v>2030</v>
      </c>
    </row>
    <row r="3191" customFormat="false" ht="15" hidden="false" customHeight="false" outlineLevel="0" collapsed="false">
      <c r="A3191" s="5" t="s">
        <v>239</v>
      </c>
      <c r="G3191" s="20" t="n">
        <f aca="false">G3190-Assumptions!$C$6</f>
        <v>1</v>
      </c>
      <c r="H3191" s="20" t="n">
        <f aca="false">H3190-Assumptions!$C$6</f>
        <v>2</v>
      </c>
      <c r="I3191" s="20" t="n">
        <f aca="false">I3190-Assumptions!$C$6</f>
        <v>3</v>
      </c>
      <c r="J3191" s="20" t="n">
        <f aca="false">J3190-Assumptions!$C$6</f>
        <v>4</v>
      </c>
      <c r="K3191" s="20" t="n">
        <f aca="false">K3190-Assumptions!$C$6</f>
        <v>5</v>
      </c>
    </row>
    <row r="3192" customFormat="false" ht="15" hidden="false" customHeight="false" outlineLevel="0" collapsed="false">
      <c r="A3192" s="5" t="s">
        <v>149</v>
      </c>
      <c r="G3192" s="21" t="n">
        <f aca="false">CHOOSE($C$3183,Assumptions!$G$65,Assumptions!$G$84,Assumptions!$G$103)+$C$3184</f>
        <v>-0.078</v>
      </c>
      <c r="H3192" s="21" t="n">
        <f aca="false">CHOOSE($C$3183,Assumptions!$H$65,Assumptions!$H$84,Assumptions!$H$103)+$C$3184</f>
        <v>-0.039</v>
      </c>
      <c r="I3192" s="21" t="n">
        <f aca="false">CHOOSE($C$3183,Assumptions!$I$65,Assumptions!$I$84,Assumptions!$I$103)+$C$3184</f>
        <v>-0.005</v>
      </c>
      <c r="J3192" s="21" t="n">
        <f aca="false">CHOOSE($C$3183,Assumptions!$J$65,Assumptions!$J$84,Assumptions!$J$103)+$C$3184</f>
        <v>-0.01</v>
      </c>
      <c r="K3192" s="21" t="n">
        <f aca="false">CHOOSE($C$3183,Assumptions!$K$65,Assumptions!$K$84,Assumptions!$K$103)+$C$3184</f>
        <v>-0.01</v>
      </c>
    </row>
    <row r="3193" customFormat="false" ht="15" hidden="false" customHeight="false" outlineLevel="0" collapsed="false">
      <c r="A3193" s="5" t="s">
        <v>150</v>
      </c>
      <c r="G3193" s="21" t="n">
        <f aca="false">CHOOSE($C$3183,Assumptions!$G$66,Assumptions!$G$85,Assumptions!$G$104)</f>
        <v>0.33</v>
      </c>
      <c r="H3193" s="21" t="n">
        <f aca="false">CHOOSE($C$3183,Assumptions!$H$66,Assumptions!$H$85,Assumptions!$H$104)</f>
        <v>0.318</v>
      </c>
      <c r="I3193" s="21" t="n">
        <f aca="false">CHOOSE($C$3183,Assumptions!$I$66,Assumptions!$I$85,Assumptions!$I$104)</f>
        <v>0.324</v>
      </c>
      <c r="J3193" s="21" t="n">
        <f aca="false">CHOOSE($C$3183,Assumptions!$J$66,Assumptions!$J$85,Assumptions!$J$104)</f>
        <v>0.33</v>
      </c>
      <c r="K3193" s="21" t="n">
        <f aca="false">CHOOSE($C$3183,Assumptions!$K$66,Assumptions!$K$85,Assumptions!$K$104)</f>
        <v>0.336</v>
      </c>
    </row>
    <row r="3194" customFormat="false" ht="15" hidden="false" customHeight="false" outlineLevel="0" collapsed="false">
      <c r="A3194" s="5" t="s">
        <v>151</v>
      </c>
      <c r="G3194" s="21" t="n">
        <f aca="false">CHOOSE($C$3183,Assumptions!$G$67,Assumptions!$G$86,Assumptions!$G$105)+$C$3185</f>
        <v>0.015</v>
      </c>
      <c r="H3194" s="21" t="n">
        <f aca="false">CHOOSE($C$3183,Assumptions!$H$67,Assumptions!$H$86,Assumptions!$H$105)+$C$3185</f>
        <v>0.00299999999999999</v>
      </c>
      <c r="I3194" s="21" t="n">
        <f aca="false">CHOOSE($C$3183,Assumptions!$I$67,Assumptions!$I$86,Assumptions!$I$105)+$C$3185</f>
        <v>0.009</v>
      </c>
      <c r="J3194" s="21" t="n">
        <f aca="false">CHOOSE($C$3183,Assumptions!$J$67,Assumptions!$J$86,Assumptions!$J$105)+$C$3185</f>
        <v>0.015</v>
      </c>
      <c r="K3194" s="21" t="n">
        <f aca="false">CHOOSE($C$3183,Assumptions!$K$67,Assumptions!$K$86,Assumptions!$K$105)+$C$3185</f>
        <v>0.021</v>
      </c>
    </row>
    <row r="3195" customFormat="false" ht="15" hidden="false" customHeight="false" outlineLevel="0" collapsed="false">
      <c r="A3195" s="23" t="s">
        <v>240</v>
      </c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</row>
    <row r="3196" customFormat="false" ht="15" hidden="false" customHeight="false" outlineLevel="0" collapsed="false">
      <c r="A3196" s="2" t="s">
        <v>207</v>
      </c>
      <c r="F3196" s="27" t="n">
        <f aca="false">'Historical Financials'!E17</f>
        <v>2400</v>
      </c>
      <c r="G3196" s="16" t="n">
        <f aca="false">F3196*(1+G3192)</f>
        <v>2212.8</v>
      </c>
      <c r="H3196" s="16" t="n">
        <f aca="false">G3196*(1+H3192)</f>
        <v>2126.5008</v>
      </c>
      <c r="I3196" s="16" t="n">
        <f aca="false">H3196*(1+I3192)</f>
        <v>2115.868296</v>
      </c>
      <c r="J3196" s="16" t="n">
        <f aca="false">I3196*(1+J3192)</f>
        <v>2094.70961304</v>
      </c>
      <c r="K3196" s="16" t="n">
        <f aca="false">J3196*(1+K3192)</f>
        <v>2073.7625169096</v>
      </c>
    </row>
    <row r="3197" customFormat="false" ht="15" hidden="false" customHeight="false" outlineLevel="0" collapsed="false">
      <c r="A3197" s="5" t="s">
        <v>217</v>
      </c>
      <c r="G3197" s="25" t="n">
        <f aca="false">G3196*(1-G3193)</f>
        <v>1482.576</v>
      </c>
      <c r="H3197" s="25" t="n">
        <f aca="false">H3196*(1-H3193)</f>
        <v>1450.2735456</v>
      </c>
      <c r="I3197" s="25" t="n">
        <f aca="false">I3196*(1-I3193)</f>
        <v>1430.326968096</v>
      </c>
      <c r="J3197" s="25" t="n">
        <f aca="false">J3196*(1-J3193)</f>
        <v>1403.4554407368</v>
      </c>
      <c r="K3197" s="25" t="n">
        <f aca="false">K3196*(1-K3193)</f>
        <v>1376.97831122797</v>
      </c>
    </row>
    <row r="3198" customFormat="false" ht="15" hidden="false" customHeight="false" outlineLevel="0" collapsed="false">
      <c r="A3198" s="2" t="s">
        <v>218</v>
      </c>
      <c r="G3198" s="16" t="n">
        <f aca="false">G3196-G3197</f>
        <v>730.224</v>
      </c>
      <c r="H3198" s="16" t="n">
        <f aca="false">H3196-H3197</f>
        <v>676.2272544</v>
      </c>
      <c r="I3198" s="16" t="n">
        <f aca="false">I3196-I3197</f>
        <v>685.541327904</v>
      </c>
      <c r="J3198" s="16" t="n">
        <f aca="false">J3196-J3197</f>
        <v>691.2541723032</v>
      </c>
      <c r="K3198" s="16" t="n">
        <f aca="false">K3196-K3197</f>
        <v>696.784205681626</v>
      </c>
    </row>
    <row r="3199" customFormat="false" ht="15" hidden="false" customHeight="false" outlineLevel="0" collapsed="false">
      <c r="A3199" s="5" t="s">
        <v>241</v>
      </c>
      <c r="G3199" s="25" t="n">
        <f aca="false">G3198-G3200</f>
        <v>697.032</v>
      </c>
      <c r="H3199" s="25" t="n">
        <f aca="false">H3198-H3200</f>
        <v>669.847752</v>
      </c>
      <c r="I3199" s="25" t="n">
        <f aca="false">I3198-I3200</f>
        <v>666.49851324</v>
      </c>
      <c r="J3199" s="25" t="n">
        <f aca="false">J3198-J3200</f>
        <v>659.8335281076</v>
      </c>
      <c r="K3199" s="25" t="n">
        <f aca="false">K3198-K3200</f>
        <v>653.235192826524</v>
      </c>
    </row>
    <row r="3200" customFormat="false" ht="15" hidden="false" customHeight="false" outlineLevel="0" collapsed="false">
      <c r="A3200" s="2" t="s">
        <v>242</v>
      </c>
      <c r="G3200" s="16" t="n">
        <f aca="false">G3196*G3194</f>
        <v>33.192</v>
      </c>
      <c r="H3200" s="16" t="n">
        <f aca="false">H3196*H3194</f>
        <v>6.37950239999998</v>
      </c>
      <c r="I3200" s="16" t="n">
        <f aca="false">I3196*I3194</f>
        <v>19.042814664</v>
      </c>
      <c r="J3200" s="16" t="n">
        <f aca="false">J3196*J3194</f>
        <v>31.4206441956</v>
      </c>
      <c r="K3200" s="16" t="n">
        <f aca="false">K3196*K3194</f>
        <v>43.5490128551016</v>
      </c>
    </row>
    <row r="3201" customFormat="false" ht="15" hidden="false" customHeight="false" outlineLevel="0" collapsed="false">
      <c r="A3201" s="5" t="s">
        <v>243</v>
      </c>
      <c r="G3201" s="25" t="n">
        <f aca="false">G3196*'Historical Financials'!E22/'Historical Financials'!E17</f>
        <v>48.6816</v>
      </c>
      <c r="H3201" s="25" t="n">
        <f aca="false">H3196*'Historical Financials'!E22/'Historical Financials'!E17</f>
        <v>46.7830176</v>
      </c>
      <c r="I3201" s="25" t="n">
        <f aca="false">I3196*'Historical Financials'!E22/'Historical Financials'!E17</f>
        <v>46.549102512</v>
      </c>
      <c r="J3201" s="25" t="n">
        <f aca="false">J3196*'Historical Financials'!E22/'Historical Financials'!E17</f>
        <v>46.08361148688</v>
      </c>
      <c r="K3201" s="25" t="n">
        <f aca="false">K3196*'Historical Financials'!E22/'Historical Financials'!E17</f>
        <v>45.6227753720112</v>
      </c>
    </row>
    <row r="3202" customFormat="false" ht="15" hidden="false" customHeight="false" outlineLevel="0" collapsed="false">
      <c r="A3202" s="5" t="s">
        <v>244</v>
      </c>
      <c r="G3202" s="25" t="n">
        <f aca="false">G3196*'Historical Financials'!E23/'Historical Financials'!E17</f>
        <v>0</v>
      </c>
      <c r="H3202" s="25" t="n">
        <f aca="false">H3196*'Historical Financials'!E23/'Historical Financials'!E17</f>
        <v>0</v>
      </c>
      <c r="I3202" s="25" t="n">
        <f aca="false">I3196*'Historical Financials'!E23/'Historical Financials'!E17</f>
        <v>0</v>
      </c>
      <c r="J3202" s="25" t="n">
        <f aca="false">J3196*'Historical Financials'!E23/'Historical Financials'!E17</f>
        <v>0</v>
      </c>
      <c r="K3202" s="25" t="n">
        <f aca="false">K3196*'Historical Financials'!E23/'Historical Financials'!E17</f>
        <v>0</v>
      </c>
    </row>
    <row r="3203" customFormat="false" ht="15" hidden="false" customHeight="false" outlineLevel="0" collapsed="false">
      <c r="A3203" s="2" t="s">
        <v>245</v>
      </c>
      <c r="G3203" s="16" t="n">
        <f aca="false">G3200-G3201-G3202</f>
        <v>-15.4896</v>
      </c>
      <c r="H3203" s="16" t="n">
        <f aca="false">H3200-H3201-H3202</f>
        <v>-40.4035152</v>
      </c>
      <c r="I3203" s="16" t="n">
        <f aca="false">I3200-I3201-I3202</f>
        <v>-27.506287848</v>
      </c>
      <c r="J3203" s="16" t="n">
        <f aca="false">J3200-J3201-J3202</f>
        <v>-14.66296729128</v>
      </c>
      <c r="K3203" s="16" t="n">
        <f aca="false">K3200-K3201-K3202</f>
        <v>-2.07376251690962</v>
      </c>
    </row>
    <row r="3204" customFormat="false" ht="15" hidden="false" customHeight="false" outlineLevel="0" collapsed="false">
      <c r="A3204" s="5" t="s">
        <v>246</v>
      </c>
      <c r="G3204" s="25" t="n">
        <f aca="false">G3230+G3243+G3256+G3269</f>
        <v>129.54</v>
      </c>
      <c r="H3204" s="25" t="n">
        <f aca="false">H3230+H3243+H3256+H3269</f>
        <v>135.1238508</v>
      </c>
      <c r="I3204" s="25" t="n">
        <f aca="false">I3230+I3243+I3256+I3269</f>
        <v>132.5978688</v>
      </c>
      <c r="J3204" s="25" t="n">
        <f aca="false">J3230+J3243+J3256+J3269</f>
        <v>132.0102688</v>
      </c>
      <c r="K3204" s="25" t="n">
        <f aca="false">K3230+K3243+K3256+K3269</f>
        <v>131.4226688</v>
      </c>
    </row>
    <row r="3205" customFormat="false" ht="15" hidden="false" customHeight="false" outlineLevel="0" collapsed="false">
      <c r="A3205" s="5" t="s">
        <v>247</v>
      </c>
      <c r="G3205" s="25" t="n">
        <f aca="false">G3231+G3244+G3257+G3270</f>
        <v>0</v>
      </c>
      <c r="H3205" s="25" t="n">
        <f aca="false">H3231+H3244+H3257+H3270</f>
        <v>0</v>
      </c>
      <c r="I3205" s="25" t="n">
        <f aca="false">I3231+I3244+I3257+I3270</f>
        <v>0</v>
      </c>
      <c r="J3205" s="25" t="n">
        <f aca="false">J3231+J3244+J3257+J3270</f>
        <v>0</v>
      </c>
      <c r="K3205" s="25" t="n">
        <f aca="false">K3231+K3244+K3257+K3270</f>
        <v>0</v>
      </c>
    </row>
    <row r="3206" customFormat="false" ht="15" hidden="false" customHeight="false" outlineLevel="0" collapsed="false">
      <c r="A3206" s="5" t="s">
        <v>212</v>
      </c>
      <c r="G3206" s="25" t="n">
        <f aca="false">G3204+G3205</f>
        <v>129.54</v>
      </c>
      <c r="H3206" s="25" t="n">
        <f aca="false">H3204+H3205</f>
        <v>135.1238508</v>
      </c>
      <c r="I3206" s="25" t="n">
        <f aca="false">I3204+I3205</f>
        <v>132.5978688</v>
      </c>
      <c r="J3206" s="25" t="n">
        <f aca="false">J3204+J3205</f>
        <v>132.0102688</v>
      </c>
      <c r="K3206" s="25" t="n">
        <f aca="false">K3204+K3205</f>
        <v>131.4226688</v>
      </c>
    </row>
    <row r="3207" customFormat="false" ht="15" hidden="false" customHeight="false" outlineLevel="0" collapsed="false">
      <c r="A3207" s="2" t="s">
        <v>223</v>
      </c>
      <c r="G3207" s="16" t="n">
        <f aca="false">G3203-G3206</f>
        <v>-145.0296</v>
      </c>
      <c r="H3207" s="16" t="n">
        <f aca="false">H3203-H3206</f>
        <v>-175.527366</v>
      </c>
      <c r="I3207" s="16" t="n">
        <f aca="false">I3203-I3206</f>
        <v>-160.104156648</v>
      </c>
      <c r="J3207" s="16" t="n">
        <f aca="false">J3203-J3206</f>
        <v>-146.67323609128</v>
      </c>
      <c r="K3207" s="16" t="n">
        <f aca="false">K3203-K3206</f>
        <v>-133.49643131691</v>
      </c>
    </row>
    <row r="3208" customFormat="false" ht="15" hidden="false" customHeight="false" outlineLevel="0" collapsed="false">
      <c r="A3208" s="5" t="s">
        <v>213</v>
      </c>
      <c r="G3208" s="25" t="n">
        <f aca="false">MAX(0,G3207)*Assumptions!$C$9</f>
        <v>0</v>
      </c>
      <c r="H3208" s="25" t="n">
        <f aca="false">MAX(0,H3207)*Assumptions!$C$9</f>
        <v>0</v>
      </c>
      <c r="I3208" s="25" t="n">
        <f aca="false">MAX(0,I3207)*Assumptions!$C$9</f>
        <v>0</v>
      </c>
      <c r="J3208" s="25" t="n">
        <f aca="false">MAX(0,J3207)*Assumptions!$C$9</f>
        <v>0</v>
      </c>
      <c r="K3208" s="25" t="n">
        <f aca="false">MAX(0,K3207)*Assumptions!$C$9</f>
        <v>0</v>
      </c>
    </row>
    <row r="3209" customFormat="false" ht="15" hidden="false" customHeight="false" outlineLevel="0" collapsed="false">
      <c r="A3209" s="2" t="s">
        <v>248</v>
      </c>
      <c r="G3209" s="16" t="n">
        <f aca="false">G3207-G3208</f>
        <v>-145.0296</v>
      </c>
      <c r="H3209" s="16" t="n">
        <f aca="false">H3207-H3208</f>
        <v>-175.527366</v>
      </c>
      <c r="I3209" s="16" t="n">
        <f aca="false">I3207-I3208</f>
        <v>-160.104156648</v>
      </c>
      <c r="J3209" s="16" t="n">
        <f aca="false">J3207-J3208</f>
        <v>-146.67323609128</v>
      </c>
      <c r="K3209" s="16" t="n">
        <f aca="false">K3207-K3208</f>
        <v>-133.49643131691</v>
      </c>
    </row>
    <row r="3210" customFormat="false" ht="15" hidden="false" customHeight="false" outlineLevel="0" collapsed="false">
      <c r="A3210" s="23" t="s">
        <v>249</v>
      </c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</row>
    <row r="3211" customFormat="false" ht="15" hidden="false" customHeight="false" outlineLevel="0" collapsed="false">
      <c r="A3211" s="5" t="s">
        <v>153</v>
      </c>
      <c r="G3211" s="25" t="n">
        <f aca="false">G3196*CHOOSE($C$3183,Assumptions!$C$69,Assumptions!$C$88,Assumptions!$C$107)</f>
        <v>42.0432</v>
      </c>
      <c r="H3211" s="25" t="n">
        <f aca="false">H3196*CHOOSE($C$3183,Assumptions!$C$69,Assumptions!$C$88,Assumptions!$C$107)</f>
        <v>40.4035152</v>
      </c>
      <c r="I3211" s="25" t="n">
        <f aca="false">I3196*CHOOSE($C$3183,Assumptions!$C$69,Assumptions!$C$88,Assumptions!$C$107)</f>
        <v>40.201497624</v>
      </c>
      <c r="J3211" s="25" t="n">
        <f aca="false">J3196*CHOOSE($C$3183,Assumptions!$C$69,Assumptions!$C$88,Assumptions!$C$107)</f>
        <v>39.79948264776</v>
      </c>
      <c r="K3211" s="25" t="n">
        <f aca="false">K3196*CHOOSE($C$3183,Assumptions!$C$69,Assumptions!$C$88,Assumptions!$C$107)</f>
        <v>39.4014878212824</v>
      </c>
    </row>
    <row r="3212" customFormat="false" ht="15" hidden="false" customHeight="false" outlineLevel="0" collapsed="false">
      <c r="A3212" s="5" t="s">
        <v>250</v>
      </c>
      <c r="G3212" s="25" t="n">
        <f aca="false">CHOOSE($C$3183,Assumptions!$C$70,Assumptions!$C$89,Assumptions!$C$108)*(G3196-F3196)+CHOOSE($C$3183,Assumptions!$C$71,Assumptions!$C$90,Assumptions!$C$109)*G3196</f>
        <v>-18.0384</v>
      </c>
      <c r="H3212" s="25" t="n">
        <f aca="false">CHOOSE($C$3183,Assumptions!$C$70,Assumptions!$C$89,Assumptions!$C$108)*(H3196-G3196)+CHOOSE($C$3183,Assumptions!$C$71,Assumptions!$C$90,Assumptions!$C$109)*H3196</f>
        <v>-6.10290239999999</v>
      </c>
      <c r="I3212" s="25" t="n">
        <f aca="false">CHOOSE($C$3183,Assumptions!$C$70,Assumptions!$C$89,Assumptions!$C$108)*(I3196-H3196)+CHOOSE($C$3183,Assumptions!$C$71,Assumptions!$C$90,Assumptions!$C$109)*I3196</f>
        <v>2.95583611199998</v>
      </c>
      <c r="J3212" s="25" t="n">
        <f aca="false">CHOOSE($C$3183,Assumptions!$C$70,Assumptions!$C$89,Assumptions!$C$108)*(J3196-I3196)+CHOOSE($C$3183,Assumptions!$C$71,Assumptions!$C$90,Assumptions!$C$109)*J3196</f>
        <v>1.65037727087999</v>
      </c>
      <c r="K3212" s="25" t="n">
        <f aca="false">CHOOSE($C$3183,Assumptions!$C$70,Assumptions!$C$89,Assumptions!$C$108)*(K3196-J3196)+CHOOSE($C$3183,Assumptions!$C$71,Assumptions!$C$90,Assumptions!$C$109)*K3196</f>
        <v>1.63387349817119</v>
      </c>
    </row>
    <row r="3213" customFormat="false" ht="15" hidden="false" customHeight="false" outlineLevel="0" collapsed="false">
      <c r="A3213" s="2" t="s">
        <v>251</v>
      </c>
      <c r="G3213" s="16" t="n">
        <f aca="false">G3209+G3201+G3202+G3205-G3211-G3212</f>
        <v>-120.3528</v>
      </c>
      <c r="H3213" s="16" t="n">
        <f aca="false">H3209+H3201+H3202+H3205-H3211-H3212</f>
        <v>-163.0449612</v>
      </c>
      <c r="I3213" s="16" t="n">
        <f aca="false">I3209+I3201+I3202+I3205-I3211-I3212</f>
        <v>-156.712387872</v>
      </c>
      <c r="J3213" s="16" t="n">
        <f aca="false">J3209+J3201+J3202+J3205-J3211-J3212</f>
        <v>-142.03948452304</v>
      </c>
      <c r="K3213" s="16" t="n">
        <f aca="false">K3209+K3201+K3202+K3205-K3211-K3212</f>
        <v>-128.909017264352</v>
      </c>
    </row>
    <row r="3215" customFormat="false" ht="15" hidden="false" customHeight="false" outlineLevel="0" collapsed="false">
      <c r="A3215" s="23" t="s">
        <v>253</v>
      </c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</row>
    <row r="3216" customFormat="false" ht="15" hidden="false" customHeight="false" outlineLevel="0" collapsed="false">
      <c r="A3216" s="5" t="s">
        <v>254</v>
      </c>
      <c r="G3216" s="29" t="n">
        <f aca="false">Assumptions!$G$49</f>
        <v>0.0425</v>
      </c>
      <c r="H3216" s="29" t="n">
        <f aca="false">Assumptions!$H$49</f>
        <v>0.04</v>
      </c>
      <c r="I3216" s="29" t="n">
        <f aca="false">Assumptions!$I$49</f>
        <v>0.0375</v>
      </c>
      <c r="J3216" s="29" t="n">
        <f aca="false">Assumptions!$J$49</f>
        <v>0.0375</v>
      </c>
      <c r="K3216" s="29" t="n">
        <f aca="false">Assumptions!$K$49</f>
        <v>0.0375</v>
      </c>
    </row>
    <row r="3217" customFormat="false" ht="15" hidden="false" customHeight="false" outlineLevel="0" collapsed="false">
      <c r="A3217" s="5" t="s">
        <v>255</v>
      </c>
      <c r="C3217" s="30" t="n">
        <f aca="false">CHOOSE($C$3183,Assumptions!$C$72,Assumptions!$C$91,Assumptions!$C$110)+$C$3186</f>
        <v>0.015</v>
      </c>
    </row>
    <row r="3218" customFormat="false" ht="15" hidden="false" customHeight="false" outlineLevel="0" collapsed="false">
      <c r="A3218" s="5" t="s">
        <v>256</v>
      </c>
      <c r="C3218" s="30" t="n">
        <f aca="false">CHOOSE($C$3183,Assumptions!$C$73,Assumptions!$C$92,Assumptions!$C$111)</f>
        <v>0.135</v>
      </c>
    </row>
    <row r="3219" customFormat="false" ht="15" hidden="false" customHeight="false" outlineLevel="0" collapsed="false">
      <c r="A3219" s="5" t="s">
        <v>257</v>
      </c>
      <c r="C3219" s="31" t="n">
        <f aca="false">CHOOSE($C$3183,Assumptions!$C$74,Assumptions!$C$93,Assumptions!$C$112)</f>
        <v>5.5</v>
      </c>
    </row>
    <row r="3220" customFormat="false" ht="15" hidden="false" customHeight="false" outlineLevel="0" collapsed="false">
      <c r="A3220" s="5" t="s">
        <v>258</v>
      </c>
      <c r="C3220" s="31" t="n">
        <f aca="false">CHOOSE($C$3183,Assumptions!$C$75,Assumptions!$C$94,Assumptions!$C$113)</f>
        <v>1.8</v>
      </c>
    </row>
    <row r="3221" customFormat="false" ht="15" hidden="false" customHeight="false" outlineLevel="0" collapsed="false">
      <c r="A3221" s="5" t="s">
        <v>259</v>
      </c>
      <c r="G3221" s="25" t="n">
        <f aca="false">G3226+G3239+G3252+G3265</f>
        <v>1250</v>
      </c>
      <c r="H3221" s="25" t="n">
        <f aca="false">H3226+H3239+H3252+H3265</f>
        <v>1325.3528</v>
      </c>
      <c r="I3221" s="25" t="n">
        <f aca="false">I3226+I3239+I3252+I3265</f>
        <v>1320.1528</v>
      </c>
      <c r="J3221" s="25" t="n">
        <f aca="false">J3226+J3239+J3252+J3265</f>
        <v>1314.9528</v>
      </c>
      <c r="K3221" s="25" t="n">
        <f aca="false">K3226+K3239+K3252+K3265</f>
        <v>1309.7528</v>
      </c>
    </row>
    <row r="3222" customFormat="false" ht="15" hidden="false" customHeight="false" outlineLevel="0" collapsed="false">
      <c r="A3222" s="5" t="s">
        <v>260</v>
      </c>
      <c r="G3222" s="25" t="n">
        <f aca="false">F3312</f>
        <v>45</v>
      </c>
      <c r="H3222" s="25" t="n">
        <f aca="false">G3312</f>
        <v>0</v>
      </c>
      <c r="I3222" s="25" t="n">
        <f aca="false">H3312</f>
        <v>-168.2449612</v>
      </c>
      <c r="J3222" s="25" t="n">
        <f aca="false">I3312</f>
        <v>-330.157349072</v>
      </c>
      <c r="K3222" s="25" t="n">
        <f aca="false">J3312</f>
        <v>-477.39683359504</v>
      </c>
    </row>
    <row r="3223" customFormat="false" ht="15" hidden="false" customHeight="false" outlineLevel="0" collapsed="false">
      <c r="A3223" s="5" t="s">
        <v>261</v>
      </c>
      <c r="G3223" s="25" t="n">
        <f aca="false">G3226*IF(G3227=1,$C$3218,IF(Assumptions!$I$53=1,MAX(G3216,Assumptions!$G$53)+Assumptions!$F$53+$C$3217,Assumptions!$E$53))+G3239*IF(G3240=1,$C$3218,IF(Assumptions!$I$54=1,MAX(G3216,Assumptions!$G$54)+Assumptions!$F$54+$C$3217,Assumptions!$E$54))+G3252*IF(G3253=1,$C$3218,IF(Assumptions!$I$55=1,MAX(G3216,Assumptions!$G$55)+Assumptions!$F$55+$C$3217,Assumptions!$E$55))+G3265*IF(G3266=1,$C$3218,IF(Assumptions!$I$56=1,MAX(G3216,Assumptions!$G$56)+Assumptions!$F$56+$C$3217,Assumptions!$E$56))</f>
        <v>129.54</v>
      </c>
      <c r="H3223" s="25" t="n">
        <f aca="false">H3226*IF(OR(H3227=1,G3378=1),$C$3218,IF(Assumptions!$I$53=1,MAX(H3216,Assumptions!$G$53)+Assumptions!$F$53+$C$3217,Assumptions!$E$53))+H3239*IF(OR(H3240=1,G3379=1),$C$3218,IF(Assumptions!$I$54=1,MAX(H3216,Assumptions!$G$54)+Assumptions!$F$54+$C$3217,Assumptions!$E$54))+H3252*IF(OR(H3253=1,G3380=1),$C$3218,IF(Assumptions!$I$55=1,MAX(H3216,Assumptions!$G$55)+Assumptions!$F$55+$C$3217,Assumptions!$E$55))+H3265*IF(OR(H3266=1,G3381=1),$C$3218,IF(Assumptions!$I$56=1,MAX(H3216,Assumptions!$G$56)+Assumptions!$F$56+$C$3217,Assumptions!$E$56))</f>
        <v>162.634028</v>
      </c>
      <c r="I3223" s="25" t="n">
        <f aca="false">I3226*IF(OR(I3227=1,H3378=1),$C$3218,IF(Assumptions!$I$53=1,MAX(I3216,Assumptions!$G$53)+Assumptions!$F$53+$C$3217,Assumptions!$E$53))+I3239*IF(OR(I3240=1,H3379=1),$C$3218,IF(Assumptions!$I$54=1,MAX(I3216,Assumptions!$G$54)+Assumptions!$F$54+$C$3217,Assumptions!$E$54))+I3252*IF(OR(I3253=1,H3380=1),$C$3218,IF(Assumptions!$I$55=1,MAX(I3216,Assumptions!$G$55)+Assumptions!$F$55+$C$3217,Assumptions!$E$55))+I3265*IF(OR(I3266=1,H3381=1),$C$3218,IF(Assumptions!$I$56=1,MAX(I3216,Assumptions!$G$56)+Assumptions!$F$56+$C$3217,Assumptions!$E$56))</f>
        <v>143.8090688</v>
      </c>
      <c r="J3223" s="25" t="n">
        <f aca="false">J3226*IF(OR(J3227=1,I3378=1),$C$3218,IF(Assumptions!$I$53=1,MAX(J3216,Assumptions!$G$53)+Assumptions!$F$53+$C$3217,Assumptions!$E$53))+J3239*IF(OR(J3240=1,I3379=1),$C$3218,IF(Assumptions!$I$54=1,MAX(J3216,Assumptions!$G$54)+Assumptions!$F$54+$C$3217,Assumptions!$E$54))+J3252*IF(OR(J3253=1,I3380=1),$C$3218,IF(Assumptions!$I$55=1,MAX(J3216,Assumptions!$G$55)+Assumptions!$F$55+$C$3217,Assumptions!$E$55))+J3265*IF(OR(J3266=1,I3381=1),$C$3218,IF(Assumptions!$I$56=1,MAX(J3216,Assumptions!$G$56)+Assumptions!$F$56+$C$3217,Assumptions!$E$56))</f>
        <v>138.2602688</v>
      </c>
      <c r="K3223" s="25" t="n">
        <f aca="false">K3226*IF(OR(K3227=1,J3378=1),$C$3218,IF(Assumptions!$I$53=1,MAX(K3216,Assumptions!$G$53)+Assumptions!$F$53+$C$3217,Assumptions!$E$53))+K3239*IF(OR(K3240=1,J3379=1),$C$3218,IF(Assumptions!$I$54=1,MAX(K3216,Assumptions!$G$54)+Assumptions!$F$54+$C$3217,Assumptions!$E$54))+K3252*IF(OR(K3253=1,J3380=1),$C$3218,IF(Assumptions!$I$55=1,MAX(K3216,Assumptions!$G$55)+Assumptions!$F$55+$C$3217,Assumptions!$E$55))+K3265*IF(OR(K3266=1,J3381=1),$C$3218,IF(Assumptions!$I$56=1,MAX(K3216,Assumptions!$G$56)+Assumptions!$F$56+$C$3217,Assumptions!$E$56))</f>
        <v>131.4226688</v>
      </c>
    </row>
    <row r="3224" customFormat="false" ht="15" hidden="false" customHeight="false" outlineLevel="0" collapsed="false">
      <c r="A3224" s="5" t="s">
        <v>262</v>
      </c>
      <c r="G3224" s="20" t="n">
        <f aca="false">IF(G3200&lt;=0,0,IF(AND((G3221-G3222)/G3200&lt;=$C$3219,G3200/G3223&gt;=$C$3220),1,0))</f>
        <v>0</v>
      </c>
      <c r="H3224" s="20" t="n">
        <f aca="false">IF(H3200&lt;=0,0,IF(AND((H3221-H3222)/H3200&lt;=$C$3219,H3200/H3223&gt;=$C$3220),1,0))</f>
        <v>0</v>
      </c>
      <c r="I3224" s="20" t="n">
        <f aca="false">IF(I3200&lt;=0,0,IF(AND((I3221-I3222)/I3200&lt;=$C$3219,I3200/I3223&gt;=$C$3220),1,0))</f>
        <v>0</v>
      </c>
      <c r="J3224" s="20" t="n">
        <f aca="false">IF(J3200&lt;=0,0,IF(AND((J3221-J3222)/J3200&lt;=$C$3219,J3200/J3223&gt;=$C$3220),1,0))</f>
        <v>0</v>
      </c>
      <c r="K3224" s="20" t="n">
        <f aca="false">IF(K3200&lt;=0,0,IF(AND((K3221-K3222)/K3200&lt;=$C$3219,K3200/K3223&gt;=$C$3220),1,0))</f>
        <v>0</v>
      </c>
    </row>
    <row r="3225" customFormat="false" ht="15" hidden="false" customHeight="false" outlineLevel="0" collapsed="false">
      <c r="A3225" s="23" t="s">
        <v>263</v>
      </c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</row>
    <row r="3226" customFormat="false" ht="15" hidden="false" customHeight="false" outlineLevel="0" collapsed="false">
      <c r="A3226" s="5" t="s">
        <v>264</v>
      </c>
      <c r="G3226" s="25" t="n">
        <f aca="false">F3237</f>
        <v>180</v>
      </c>
      <c r="H3226" s="25" t="n">
        <f aca="false">G3237</f>
        <v>260.5528</v>
      </c>
      <c r="I3226" s="25" t="n">
        <f aca="false">H3237</f>
        <v>260.5528</v>
      </c>
      <c r="J3226" s="25" t="n">
        <f aca="false">I3237</f>
        <v>260.5528</v>
      </c>
      <c r="K3226" s="25" t="n">
        <f aca="false">J3237</f>
        <v>260.5528</v>
      </c>
    </row>
    <row r="3227" customFormat="false" ht="15" hidden="false" customHeight="false" outlineLevel="0" collapsed="false">
      <c r="A3227" s="5" t="s">
        <v>265</v>
      </c>
      <c r="G3227" s="20" t="n">
        <f aca="false">IF(G3190=Assumptions!$K$53,1,0)</f>
        <v>0</v>
      </c>
      <c r="H3227" s="20" t="n">
        <f aca="false">IF(H3190=Assumptions!$K$53,1,0)</f>
        <v>1</v>
      </c>
      <c r="I3227" s="20" t="n">
        <f aca="false">IF(I3190=Assumptions!$K$53,1,0)</f>
        <v>0</v>
      </c>
      <c r="J3227" s="20" t="n">
        <f aca="false">IF(J3190=Assumptions!$K$53,1,0)</f>
        <v>0</v>
      </c>
      <c r="K3227" s="20" t="n">
        <f aca="false">IF(K3190=Assumptions!$K$53,1,0)</f>
        <v>0</v>
      </c>
    </row>
    <row r="3229" customFormat="false" ht="15" hidden="false" customHeight="false" outlineLevel="0" collapsed="false">
      <c r="A3229" s="5" t="s">
        <v>266</v>
      </c>
      <c r="G3229" s="30" t="n">
        <f aca="false">IF(Assumptions!$I$53=1,MAX(G3216,Assumptions!$G$53)+Assumptions!$F$53+$C$3217,Assumptions!$E$53)</f>
        <v>0.101</v>
      </c>
      <c r="H3229" s="30" t="n">
        <f aca="false">IF(G3378=1,$C$3218,IF(Assumptions!$I$53=1,MAX(H3216,Assumptions!$G$53)+Assumptions!$F$53+$C$3217,Assumptions!$E$53))</f>
        <v>0.0985</v>
      </c>
      <c r="I3229" s="30" t="n">
        <f aca="false">IF(H3378=1,$C$3218,IF(Assumptions!$I$53=1,MAX(I3216,Assumptions!$G$53)+Assumptions!$F$53+$C$3217,Assumptions!$E$53))</f>
        <v>0.096</v>
      </c>
      <c r="J3229" s="30" t="n">
        <f aca="false">IF(I3378=1,$C$3218,IF(Assumptions!$I$53=1,MAX(J3216,Assumptions!$G$53)+Assumptions!$F$53+$C$3217,Assumptions!$E$53))</f>
        <v>0.096</v>
      </c>
      <c r="K3229" s="30" t="n">
        <f aca="false">IF(J3378=1,$C$3218,IF(Assumptions!$I$53=1,MAX(K3216,Assumptions!$G$53)+Assumptions!$F$53+$C$3217,Assumptions!$E$53))</f>
        <v>0.096</v>
      </c>
    </row>
    <row r="3230" customFormat="false" ht="15" hidden="false" customHeight="false" outlineLevel="0" collapsed="false">
      <c r="A3230" s="5" t="s">
        <v>267</v>
      </c>
      <c r="G3230" s="25" t="n">
        <f aca="false">G3226*G3229</f>
        <v>18.18</v>
      </c>
      <c r="H3230" s="25" t="n">
        <f aca="false">H3226*H3229</f>
        <v>25.6644508</v>
      </c>
      <c r="I3230" s="25" t="n">
        <f aca="false">I3226*I3229</f>
        <v>25.0130688</v>
      </c>
      <c r="J3230" s="25" t="n">
        <f aca="false">J3226*J3229</f>
        <v>25.0130688</v>
      </c>
      <c r="K3230" s="25" t="n">
        <f aca="false">K3226*K3229</f>
        <v>25.0130688</v>
      </c>
    </row>
    <row r="3231" customFormat="false" ht="15" hidden="false" customHeight="false" outlineLevel="0" collapsed="false">
      <c r="A3231" s="5" t="s">
        <v>268</v>
      </c>
      <c r="G3231" s="25" t="n">
        <f aca="false">G3226*Assumptions!$H$53</f>
        <v>0</v>
      </c>
      <c r="H3231" s="25" t="n">
        <f aca="false">H3226*Assumptions!$H$53</f>
        <v>0</v>
      </c>
      <c r="I3231" s="25" t="n">
        <f aca="false">I3226*Assumptions!$H$53</f>
        <v>0</v>
      </c>
      <c r="J3231" s="25" t="n">
        <f aca="false">J3226*Assumptions!$H$53</f>
        <v>0</v>
      </c>
      <c r="K3231" s="25" t="n">
        <f aca="false">K3226*Assumptions!$H$53</f>
        <v>0</v>
      </c>
    </row>
    <row r="3232" customFormat="false" ht="15" hidden="false" customHeight="false" outlineLevel="0" collapsed="false">
      <c r="A3232" s="5" t="s">
        <v>269</v>
      </c>
      <c r="G3232" s="25" t="n">
        <f aca="false">MIN(G3226,Assumptions!$L$53*Assumptions!$C$53)</f>
        <v>0</v>
      </c>
      <c r="H3232" s="25" t="n">
        <f aca="false">MIN(H3226,Assumptions!$L$53*Assumptions!$C$53)</f>
        <v>0</v>
      </c>
      <c r="I3232" s="25" t="n">
        <f aca="false">MIN(I3226,Assumptions!$L$53*Assumptions!$C$53)</f>
        <v>0</v>
      </c>
      <c r="J3232" s="25" t="n">
        <f aca="false">MIN(J3226,Assumptions!$L$53*Assumptions!$C$53)</f>
        <v>0</v>
      </c>
      <c r="K3232" s="25" t="n">
        <f aca="false">MIN(K3226,Assumptions!$L$53*Assumptions!$C$53)</f>
        <v>0</v>
      </c>
    </row>
    <row r="3233" customFormat="false" ht="15" hidden="false" customHeight="false" outlineLevel="0" collapsed="false">
      <c r="A3233" s="5" t="s">
        <v>270</v>
      </c>
      <c r="G3233" s="25" t="n">
        <f aca="false">IF(AND(Assumptions!$P$53=1,G3190&lt;Assumptions!$K$53),MIN(MAX(0,-G3304),MAX(0,Assumptions!$D$53-G3226)),0)</f>
        <v>80.5528000000001</v>
      </c>
      <c r="H3233" s="25" t="n">
        <f aca="false">IF(AND(Assumptions!$P$53=1,OR(H3190&lt;Assumptions!$K$53,G3378=1)),MIN(MAX(0,-H3304),MAX(0,Assumptions!$D$53-H3226)),0)</f>
        <v>0</v>
      </c>
      <c r="I3233" s="25" t="n">
        <f aca="false">IF(AND(Assumptions!$P$53=1,OR(I3190&lt;Assumptions!$K$53,H3378=1)),MIN(MAX(0,-I3304),MAX(0,Assumptions!$D$53-I3226)),0)</f>
        <v>0</v>
      </c>
      <c r="J3233" s="25" t="n">
        <f aca="false">IF(AND(Assumptions!$P$53=1,OR(J3190&lt;Assumptions!$K$53,I3378=1)),MIN(MAX(0,-J3304),MAX(0,Assumptions!$D$53-J3226)),0)</f>
        <v>0</v>
      </c>
      <c r="K3233" s="25" t="n">
        <f aca="false">IF(AND(Assumptions!$P$53=1,OR(K3190&lt;Assumptions!$K$53,J3378=1)),MIN(MAX(0,-K3304),MAX(0,Assumptions!$D$53-K3226)),0)</f>
        <v>0</v>
      </c>
    </row>
    <row r="3234" customFormat="false" ht="15" hidden="false" customHeight="false" outlineLevel="0" collapsed="false">
      <c r="A3234" s="5" t="s">
        <v>271</v>
      </c>
      <c r="G3234" s="25" t="n">
        <f aca="false">G3227*MIN(G3226-G3232+G3231,MAX(0,G3306-Assumptions!$C$12*G3224))</f>
        <v>0</v>
      </c>
      <c r="H3234" s="25" t="n">
        <f aca="false">H3227*MIN(H3226-H3232+H3231,MAX(0,H3306-Assumptions!$C$12*H3224))</f>
        <v>0</v>
      </c>
      <c r="I3234" s="25" t="n">
        <f aca="false">I3227*MIN(I3226-I3232+I3231,MAX(0,I3306-Assumptions!$C$12*I3224))</f>
        <v>0</v>
      </c>
      <c r="J3234" s="25" t="n">
        <f aca="false">J3227*MIN(J3226-J3232+J3231,MAX(0,J3306-Assumptions!$C$12*J3224))</f>
        <v>0</v>
      </c>
      <c r="K3234" s="25" t="n">
        <f aca="false">K3227*MIN(K3226-K3232+K3231,MAX(0,K3306-Assumptions!$C$12*K3224))</f>
        <v>0</v>
      </c>
    </row>
    <row r="3235" customFormat="false" ht="15" hidden="false" customHeight="false" outlineLevel="0" collapsed="false">
      <c r="A3235" s="5" t="s">
        <v>272</v>
      </c>
      <c r="G3235" s="25" t="n">
        <f aca="false">Assumptions!$N$53*MIN(G3226+G3233+G3231-G3232-G3234,MAX(0,G3310))</f>
        <v>0</v>
      </c>
      <c r="H3235" s="25" t="n">
        <f aca="false">Assumptions!$N$53*MIN(H3226+H3233+H3231-H3232-H3234,MAX(0,H3310))</f>
        <v>0</v>
      </c>
      <c r="I3235" s="25" t="n">
        <f aca="false">Assumptions!$N$53*MIN(I3226+I3233+I3231-I3232-I3234,MAX(0,I3310))</f>
        <v>0</v>
      </c>
      <c r="J3235" s="25" t="n">
        <f aca="false">Assumptions!$N$53*MIN(J3226+J3233+J3231-J3232-J3234,MAX(0,J3310))</f>
        <v>0</v>
      </c>
      <c r="K3235" s="25" t="n">
        <f aca="false">Assumptions!$N$53*MIN(K3226+K3233+K3231-K3232-K3234,MAX(0,K3310))</f>
        <v>0</v>
      </c>
    </row>
    <row r="3236" customFormat="false" ht="15" hidden="false" customHeight="false" outlineLevel="0" collapsed="false">
      <c r="A3236" s="5" t="s">
        <v>273</v>
      </c>
      <c r="G3236" s="25" t="n">
        <f aca="false">G3227*(1-G3224)*(G3226-G3232+G3231-G3234)</f>
        <v>0</v>
      </c>
      <c r="H3236" s="25" t="n">
        <f aca="false">H3227*(1-H3224)*(H3226-H3232+H3231-H3234)</f>
        <v>260.5528</v>
      </c>
      <c r="I3236" s="25" t="n">
        <f aca="false">I3227*(1-I3224)*(I3226-I3232+I3231-I3234)</f>
        <v>0</v>
      </c>
      <c r="J3236" s="25" t="n">
        <f aca="false">J3227*(1-J3224)*(J3226-J3232+J3231-J3234)</f>
        <v>0</v>
      </c>
      <c r="K3236" s="25" t="n">
        <f aca="false">K3227*(1-K3224)*(K3226-K3232+K3231-K3234)</f>
        <v>0</v>
      </c>
    </row>
    <row r="3237" customFormat="false" ht="15" hidden="false" customHeight="false" outlineLevel="0" collapsed="false">
      <c r="A3237" s="2" t="s">
        <v>274</v>
      </c>
      <c r="F3237" s="27" t="n">
        <f aca="false">Assumptions!$C$53</f>
        <v>180</v>
      </c>
      <c r="G3237" s="16" t="n">
        <f aca="false">G3226+G3233+G3231-G3232-G3234-G3235</f>
        <v>260.5528</v>
      </c>
      <c r="H3237" s="16" t="n">
        <f aca="false">H3226+H3233+H3231-H3232-H3234-H3235</f>
        <v>260.5528</v>
      </c>
      <c r="I3237" s="16" t="n">
        <f aca="false">I3226+I3233+I3231-I3232-I3234-I3235</f>
        <v>260.5528</v>
      </c>
      <c r="J3237" s="16" t="n">
        <f aca="false">J3226+J3233+J3231-J3232-J3234-J3235</f>
        <v>260.5528</v>
      </c>
      <c r="K3237" s="16" t="n">
        <f aca="false">K3226+K3233+K3231-K3232-K3234-K3235</f>
        <v>260.5528</v>
      </c>
    </row>
    <row r="3238" customFormat="false" ht="15" hidden="false" customHeight="false" outlineLevel="0" collapsed="false">
      <c r="A3238" s="23" t="s">
        <v>275</v>
      </c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</row>
    <row r="3239" customFormat="false" ht="15" hidden="false" customHeight="false" outlineLevel="0" collapsed="false">
      <c r="A3239" s="5" t="s">
        <v>264</v>
      </c>
      <c r="G3239" s="25" t="n">
        <f aca="false">F3250</f>
        <v>520</v>
      </c>
      <c r="H3239" s="25" t="n">
        <f aca="false">G3250</f>
        <v>514.8</v>
      </c>
      <c r="I3239" s="25" t="n">
        <f aca="false">H3250</f>
        <v>509.6</v>
      </c>
      <c r="J3239" s="25" t="n">
        <f aca="false">I3250</f>
        <v>504.4</v>
      </c>
      <c r="K3239" s="25" t="n">
        <f aca="false">J3250</f>
        <v>499.2</v>
      </c>
    </row>
    <row r="3240" customFormat="false" ht="15" hidden="false" customHeight="false" outlineLevel="0" collapsed="false">
      <c r="A3240" s="5" t="s">
        <v>265</v>
      </c>
      <c r="G3240" s="20" t="n">
        <f aca="false">IF(G3190=Assumptions!$K$54,1,0)</f>
        <v>0</v>
      </c>
      <c r="H3240" s="20" t="n">
        <f aca="false">IF(H3190=Assumptions!$K$54,1,0)</f>
        <v>0</v>
      </c>
      <c r="I3240" s="20" t="n">
        <f aca="false">IF(I3190=Assumptions!$K$54,1,0)</f>
        <v>1</v>
      </c>
      <c r="J3240" s="20" t="n">
        <f aca="false">IF(J3190=Assumptions!$K$54,1,0)</f>
        <v>0</v>
      </c>
      <c r="K3240" s="20" t="n">
        <f aca="false">IF(K3190=Assumptions!$K$54,1,0)</f>
        <v>0</v>
      </c>
    </row>
    <row r="3242" customFormat="false" ht="15" hidden="false" customHeight="false" outlineLevel="0" collapsed="false">
      <c r="A3242" s="5" t="s">
        <v>266</v>
      </c>
      <c r="G3242" s="30" t="n">
        <f aca="false">IF(Assumptions!$I$54=1,MAX(G3216,Assumptions!$G$54)+Assumptions!$F$54+$C$3217,Assumptions!$E$54)</f>
        <v>0.118</v>
      </c>
      <c r="H3242" s="30" t="n">
        <f aca="false">IF(G3379=1,$C$3218,IF(Assumptions!$I$54=1,MAX(H3216,Assumptions!$G$54)+Assumptions!$F$54+$C$3217,Assumptions!$E$54))</f>
        <v>0.1155</v>
      </c>
      <c r="I3242" s="30" t="n">
        <f aca="false">IF(H3379=1,$C$3218,IF(Assumptions!$I$54=1,MAX(I3216,Assumptions!$G$54)+Assumptions!$F$54+$C$3217,Assumptions!$E$54))</f>
        <v>0.113</v>
      </c>
      <c r="J3242" s="30" t="n">
        <f aca="false">IF(I3379=1,$C$3218,IF(Assumptions!$I$54=1,MAX(J3216,Assumptions!$G$54)+Assumptions!$F$54+$C$3217,Assumptions!$E$54))</f>
        <v>0.113</v>
      </c>
      <c r="K3242" s="30" t="n">
        <f aca="false">IF(J3379=1,$C$3218,IF(Assumptions!$I$54=1,MAX(K3216,Assumptions!$G$54)+Assumptions!$F$54+$C$3217,Assumptions!$E$54))</f>
        <v>0.113</v>
      </c>
    </row>
    <row r="3243" customFormat="false" ht="15" hidden="false" customHeight="false" outlineLevel="0" collapsed="false">
      <c r="A3243" s="5" t="s">
        <v>267</v>
      </c>
      <c r="G3243" s="25" t="n">
        <f aca="false">G3239*G3242</f>
        <v>61.36</v>
      </c>
      <c r="H3243" s="25" t="n">
        <f aca="false">H3239*H3242</f>
        <v>59.4594</v>
      </c>
      <c r="I3243" s="25" t="n">
        <f aca="false">I3239*I3242</f>
        <v>57.5848</v>
      </c>
      <c r="J3243" s="25" t="n">
        <f aca="false">J3239*J3242</f>
        <v>56.9972</v>
      </c>
      <c r="K3243" s="25" t="n">
        <f aca="false">K3239*K3242</f>
        <v>56.4096</v>
      </c>
    </row>
    <row r="3244" customFormat="false" ht="15" hidden="false" customHeight="false" outlineLevel="0" collapsed="false">
      <c r="A3244" s="5" t="s">
        <v>268</v>
      </c>
      <c r="G3244" s="25" t="n">
        <f aca="false">G3239*Assumptions!$H$54</f>
        <v>0</v>
      </c>
      <c r="H3244" s="25" t="n">
        <f aca="false">H3239*Assumptions!$H$54</f>
        <v>0</v>
      </c>
      <c r="I3244" s="25" t="n">
        <f aca="false">I3239*Assumptions!$H$54</f>
        <v>0</v>
      </c>
      <c r="J3244" s="25" t="n">
        <f aca="false">J3239*Assumptions!$H$54</f>
        <v>0</v>
      </c>
      <c r="K3244" s="25" t="n">
        <f aca="false">K3239*Assumptions!$H$54</f>
        <v>0</v>
      </c>
    </row>
    <row r="3245" customFormat="false" ht="15" hidden="false" customHeight="false" outlineLevel="0" collapsed="false">
      <c r="A3245" s="5" t="s">
        <v>269</v>
      </c>
      <c r="G3245" s="25" t="n">
        <f aca="false">MIN(G3239,Assumptions!$L$54*Assumptions!$C$54)</f>
        <v>5.2</v>
      </c>
      <c r="H3245" s="25" t="n">
        <f aca="false">MIN(H3239,Assumptions!$L$54*Assumptions!$C$54)</f>
        <v>5.2</v>
      </c>
      <c r="I3245" s="25" t="n">
        <f aca="false">MIN(I3239,Assumptions!$L$54*Assumptions!$C$54)</f>
        <v>5.2</v>
      </c>
      <c r="J3245" s="25" t="n">
        <f aca="false">MIN(J3239,Assumptions!$L$54*Assumptions!$C$54)</f>
        <v>5.2</v>
      </c>
      <c r="K3245" s="25" t="n">
        <f aca="false">MIN(K3239,Assumptions!$L$54*Assumptions!$C$54)</f>
        <v>5.2</v>
      </c>
    </row>
    <row r="3246" customFormat="false" ht="15" hidden="false" customHeight="false" outlineLevel="0" collapsed="false">
      <c r="A3246" s="5" t="s">
        <v>270</v>
      </c>
      <c r="G3246" s="25" t="n">
        <f aca="false">IF(AND(Assumptions!$P$54=1,G3190&lt;Assumptions!$K$54),MIN(MAX(0,-G3304),MAX(0,Assumptions!$D$54-G3239)),0)</f>
        <v>0</v>
      </c>
      <c r="H3246" s="25" t="n">
        <f aca="false">IF(AND(Assumptions!$P$54=1,OR(H3190&lt;Assumptions!$K$54,G3379=1)),MIN(MAX(0,-H3304),MAX(0,Assumptions!$D$54-H3239)),0)</f>
        <v>0</v>
      </c>
      <c r="I3246" s="25" t="n">
        <f aca="false">IF(AND(Assumptions!$P$54=1,OR(I3190&lt;Assumptions!$K$54,H3379=1)),MIN(MAX(0,-I3304),MAX(0,Assumptions!$D$54-I3239)),0)</f>
        <v>0</v>
      </c>
      <c r="J3246" s="25" t="n">
        <f aca="false">IF(AND(Assumptions!$P$54=1,OR(J3190&lt;Assumptions!$K$54,I3379=1)),MIN(MAX(0,-J3304),MAX(0,Assumptions!$D$54-J3239)),0)</f>
        <v>0</v>
      </c>
      <c r="K3246" s="25" t="n">
        <f aca="false">IF(AND(Assumptions!$P$54=1,OR(K3190&lt;Assumptions!$K$54,J3379=1)),MIN(MAX(0,-K3304),MAX(0,Assumptions!$D$54-K3239)),0)</f>
        <v>0</v>
      </c>
    </row>
    <row r="3247" customFormat="false" ht="15" hidden="false" customHeight="false" outlineLevel="0" collapsed="false">
      <c r="A3247" s="5" t="s">
        <v>271</v>
      </c>
      <c r="G3247" s="25" t="n">
        <f aca="false">G3240*MIN(G3239-G3245+G3244,MAX(0,G3306-Assumptions!$C$12*G3224-G3234))</f>
        <v>0</v>
      </c>
      <c r="H3247" s="25" t="n">
        <f aca="false">H3240*MIN(H3239-H3245+H3244,MAX(0,H3306-Assumptions!$C$12*H3224-H3234))</f>
        <v>0</v>
      </c>
      <c r="I3247" s="25" t="n">
        <f aca="false">I3240*MIN(I3239-I3245+I3244,MAX(0,I3306-Assumptions!$C$12*I3224-I3234))</f>
        <v>0</v>
      </c>
      <c r="J3247" s="25" t="n">
        <f aca="false">J3240*MIN(J3239-J3245+J3244,MAX(0,J3306-Assumptions!$C$12*J3224-J3234))</f>
        <v>0</v>
      </c>
      <c r="K3247" s="25" t="n">
        <f aca="false">K3240*MIN(K3239-K3245+K3244,MAX(0,K3306-Assumptions!$C$12*K3224-K3234))</f>
        <v>0</v>
      </c>
    </row>
    <row r="3248" customFormat="false" ht="15" hidden="false" customHeight="false" outlineLevel="0" collapsed="false">
      <c r="A3248" s="5" t="s">
        <v>272</v>
      </c>
      <c r="G3248" s="25" t="n">
        <f aca="false">Assumptions!$N$54*MIN(G3239+G3246+G3244-G3245-G3247,MAX(0,G3310-G3235))</f>
        <v>0</v>
      </c>
      <c r="H3248" s="25" t="n">
        <f aca="false">Assumptions!$N$54*MIN(H3239+H3246+H3244-H3245-H3247,MAX(0,H3310-H3235))</f>
        <v>0</v>
      </c>
      <c r="I3248" s="25" t="n">
        <f aca="false">Assumptions!$N$54*MIN(I3239+I3246+I3244-I3245-I3247,MAX(0,I3310-I3235))</f>
        <v>0</v>
      </c>
      <c r="J3248" s="25" t="n">
        <f aca="false">Assumptions!$N$54*MIN(J3239+J3246+J3244-J3245-J3247,MAX(0,J3310-J3235))</f>
        <v>0</v>
      </c>
      <c r="K3248" s="25" t="n">
        <f aca="false">Assumptions!$N$54*MIN(K3239+K3246+K3244-K3245-K3247,MAX(0,K3310-K3235))</f>
        <v>0</v>
      </c>
    </row>
    <row r="3249" customFormat="false" ht="15" hidden="false" customHeight="false" outlineLevel="0" collapsed="false">
      <c r="A3249" s="5" t="s">
        <v>273</v>
      </c>
      <c r="G3249" s="25" t="n">
        <f aca="false">G3240*(1-G3224)*(G3239-G3245+G3244-G3247)</f>
        <v>0</v>
      </c>
      <c r="H3249" s="25" t="n">
        <f aca="false">H3240*(1-H3224)*(H3239-H3245+H3244-H3247)</f>
        <v>0</v>
      </c>
      <c r="I3249" s="25" t="n">
        <f aca="false">I3240*(1-I3224)*(I3239-I3245+I3244-I3247)</f>
        <v>504.4</v>
      </c>
      <c r="J3249" s="25" t="n">
        <f aca="false">J3240*(1-J3224)*(J3239-J3245+J3244-J3247)</f>
        <v>0</v>
      </c>
      <c r="K3249" s="25" t="n">
        <f aca="false">K3240*(1-K3224)*(K3239-K3245+K3244-K3247)</f>
        <v>0</v>
      </c>
    </row>
    <row r="3250" customFormat="false" ht="15" hidden="false" customHeight="false" outlineLevel="0" collapsed="false">
      <c r="A3250" s="2" t="s">
        <v>274</v>
      </c>
      <c r="F3250" s="27" t="n">
        <f aca="false">Assumptions!$C$54</f>
        <v>520</v>
      </c>
      <c r="G3250" s="16" t="n">
        <f aca="false">G3239+G3246+G3244-G3245-G3247-G3248</f>
        <v>514.8</v>
      </c>
      <c r="H3250" s="16" t="n">
        <f aca="false">H3239+H3246+H3244-H3245-H3247-H3248</f>
        <v>509.6</v>
      </c>
      <c r="I3250" s="16" t="n">
        <f aca="false">I3239+I3246+I3244-I3245-I3247-I3248</f>
        <v>504.4</v>
      </c>
      <c r="J3250" s="16" t="n">
        <f aca="false">J3239+J3246+J3244-J3245-J3247-J3248</f>
        <v>499.2</v>
      </c>
      <c r="K3250" s="16" t="n">
        <f aca="false">K3239+K3246+K3244-K3245-K3247-K3248</f>
        <v>494</v>
      </c>
    </row>
    <row r="3251" customFormat="false" ht="15" hidden="false" customHeight="false" outlineLevel="0" collapsed="false">
      <c r="A3251" s="23" t="s">
        <v>276</v>
      </c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</row>
    <row r="3252" customFormat="false" ht="15" hidden="false" customHeight="false" outlineLevel="0" collapsed="false">
      <c r="A3252" s="5" t="s">
        <v>264</v>
      </c>
      <c r="G3252" s="25" t="n">
        <f aca="false">F3263</f>
        <v>250</v>
      </c>
      <c r="H3252" s="25" t="n">
        <f aca="false">G3263</f>
        <v>250</v>
      </c>
      <c r="I3252" s="25" t="n">
        <f aca="false">H3263</f>
        <v>250</v>
      </c>
      <c r="J3252" s="25" t="n">
        <f aca="false">I3263</f>
        <v>250</v>
      </c>
      <c r="K3252" s="25" t="n">
        <f aca="false">J3263</f>
        <v>250</v>
      </c>
    </row>
    <row r="3253" customFormat="false" ht="15" hidden="false" customHeight="false" outlineLevel="0" collapsed="false">
      <c r="A3253" s="5" t="s">
        <v>265</v>
      </c>
      <c r="G3253" s="20" t="n">
        <f aca="false">IF(G3190=Assumptions!$K$55,1,0)</f>
        <v>0</v>
      </c>
      <c r="H3253" s="20" t="n">
        <f aca="false">IF(H3190=Assumptions!$K$55,1,0)</f>
        <v>0</v>
      </c>
      <c r="I3253" s="20" t="n">
        <f aca="false">IF(I3190=Assumptions!$K$55,1,0)</f>
        <v>0</v>
      </c>
      <c r="J3253" s="20" t="n">
        <f aca="false">IF(J3190=Assumptions!$K$55,1,0)</f>
        <v>1</v>
      </c>
      <c r="K3253" s="20" t="n">
        <f aca="false">IF(K3190=Assumptions!$K$55,1,0)</f>
        <v>0</v>
      </c>
    </row>
    <row r="3255" customFormat="false" ht="15" hidden="false" customHeight="false" outlineLevel="0" collapsed="false">
      <c r="A3255" s="5" t="s">
        <v>266</v>
      </c>
      <c r="G3255" s="30" t="n">
        <f aca="false">IF(Assumptions!$I$55=1,MAX(G3216,Assumptions!$G$55)+Assumptions!$F$55+$C$3217,Assumptions!$E$55)</f>
        <v>0.11</v>
      </c>
      <c r="H3255" s="30" t="n">
        <f aca="false">IF(G3380=1,$C$3218,IF(Assumptions!$I$55=1,MAX(H3216,Assumptions!$G$55)+Assumptions!$F$55+$C$3217,Assumptions!$E$55))</f>
        <v>0.11</v>
      </c>
      <c r="I3255" s="30" t="n">
        <f aca="false">IF(H3380=1,$C$3218,IF(Assumptions!$I$55=1,MAX(I3216,Assumptions!$G$55)+Assumptions!$F$55+$C$3217,Assumptions!$E$55))</f>
        <v>0.11</v>
      </c>
      <c r="J3255" s="30" t="n">
        <f aca="false">IF(I3380=1,$C$3218,IF(Assumptions!$I$55=1,MAX(J3216,Assumptions!$G$55)+Assumptions!$F$55+$C$3217,Assumptions!$E$55))</f>
        <v>0.11</v>
      </c>
      <c r="K3255" s="30" t="n">
        <f aca="false">IF(J3380=1,$C$3218,IF(Assumptions!$I$55=1,MAX(K3216,Assumptions!$G$55)+Assumptions!$F$55+$C$3217,Assumptions!$E$55))</f>
        <v>0.11</v>
      </c>
    </row>
    <row r="3256" customFormat="false" ht="15" hidden="false" customHeight="false" outlineLevel="0" collapsed="false">
      <c r="A3256" s="5" t="s">
        <v>267</v>
      </c>
      <c r="G3256" s="25" t="n">
        <f aca="false">G3252*G3255</f>
        <v>27.5</v>
      </c>
      <c r="H3256" s="25" t="n">
        <f aca="false">H3252*H3255</f>
        <v>27.5</v>
      </c>
      <c r="I3256" s="25" t="n">
        <f aca="false">I3252*I3255</f>
        <v>27.5</v>
      </c>
      <c r="J3256" s="25" t="n">
        <f aca="false">J3252*J3255</f>
        <v>27.5</v>
      </c>
      <c r="K3256" s="25" t="n">
        <f aca="false">K3252*K3255</f>
        <v>27.5</v>
      </c>
    </row>
    <row r="3257" customFormat="false" ht="15" hidden="false" customHeight="false" outlineLevel="0" collapsed="false">
      <c r="A3257" s="5" t="s">
        <v>268</v>
      </c>
      <c r="G3257" s="25" t="n">
        <f aca="false">G3252*Assumptions!$H$55</f>
        <v>0</v>
      </c>
      <c r="H3257" s="25" t="n">
        <f aca="false">H3252*Assumptions!$H$55</f>
        <v>0</v>
      </c>
      <c r="I3257" s="25" t="n">
        <f aca="false">I3252*Assumptions!$H$55</f>
        <v>0</v>
      </c>
      <c r="J3257" s="25" t="n">
        <f aca="false">J3252*Assumptions!$H$55</f>
        <v>0</v>
      </c>
      <c r="K3257" s="25" t="n">
        <f aca="false">K3252*Assumptions!$H$55</f>
        <v>0</v>
      </c>
    </row>
    <row r="3258" customFormat="false" ht="15" hidden="false" customHeight="false" outlineLevel="0" collapsed="false">
      <c r="A3258" s="5" t="s">
        <v>269</v>
      </c>
      <c r="G3258" s="25" t="n">
        <f aca="false">MIN(G3252,Assumptions!$L$55*Assumptions!$C$55)</f>
        <v>0</v>
      </c>
      <c r="H3258" s="25" t="n">
        <f aca="false">MIN(H3252,Assumptions!$L$55*Assumptions!$C$55)</f>
        <v>0</v>
      </c>
      <c r="I3258" s="25" t="n">
        <f aca="false">MIN(I3252,Assumptions!$L$55*Assumptions!$C$55)</f>
        <v>0</v>
      </c>
      <c r="J3258" s="25" t="n">
        <f aca="false">MIN(J3252,Assumptions!$L$55*Assumptions!$C$55)</f>
        <v>0</v>
      </c>
      <c r="K3258" s="25" t="n">
        <f aca="false">MIN(K3252,Assumptions!$L$55*Assumptions!$C$55)</f>
        <v>0</v>
      </c>
    </row>
    <row r="3259" customFormat="false" ht="15" hidden="false" customHeight="false" outlineLevel="0" collapsed="false">
      <c r="A3259" s="5" t="s">
        <v>270</v>
      </c>
      <c r="G3259" s="25" t="n">
        <f aca="false">IF(AND(Assumptions!$P$55=1,G3190&lt;Assumptions!$K$55),MIN(MAX(0,-G3304),MAX(0,Assumptions!$D$55-G3252)),0)</f>
        <v>0</v>
      </c>
      <c r="H3259" s="25" t="n">
        <f aca="false">IF(AND(Assumptions!$P$55=1,OR(H3190&lt;Assumptions!$K$55,G3380=1)),MIN(MAX(0,-H3304),MAX(0,Assumptions!$D$55-H3252)),0)</f>
        <v>0</v>
      </c>
      <c r="I3259" s="25" t="n">
        <f aca="false">IF(AND(Assumptions!$P$55=1,OR(I3190&lt;Assumptions!$K$55,H3380=1)),MIN(MAX(0,-I3304),MAX(0,Assumptions!$D$55-I3252)),0)</f>
        <v>0</v>
      </c>
      <c r="J3259" s="25" t="n">
        <f aca="false">IF(AND(Assumptions!$P$55=1,OR(J3190&lt;Assumptions!$K$55,I3380=1)),MIN(MAX(0,-J3304),MAX(0,Assumptions!$D$55-J3252)),0)</f>
        <v>0</v>
      </c>
      <c r="K3259" s="25" t="n">
        <f aca="false">IF(AND(Assumptions!$P$55=1,OR(K3190&lt;Assumptions!$K$55,J3380=1)),MIN(MAX(0,-K3304),MAX(0,Assumptions!$D$55-K3252)),0)</f>
        <v>0</v>
      </c>
    </row>
    <row r="3260" customFormat="false" ht="15" hidden="false" customHeight="false" outlineLevel="0" collapsed="false">
      <c r="A3260" s="5" t="s">
        <v>271</v>
      </c>
      <c r="G3260" s="25" t="n">
        <f aca="false">G3253*MIN(G3252-G3258+G3257,MAX(0,G3306-Assumptions!$C$12*G3224-G3234-G3247))</f>
        <v>0</v>
      </c>
      <c r="H3260" s="25" t="n">
        <f aca="false">H3253*MIN(H3252-H3258+H3257,MAX(0,H3306-Assumptions!$C$12*H3224-H3234-H3247))</f>
        <v>0</v>
      </c>
      <c r="I3260" s="25" t="n">
        <f aca="false">I3253*MIN(I3252-I3258+I3257,MAX(0,I3306-Assumptions!$C$12*I3224-I3234-I3247))</f>
        <v>0</v>
      </c>
      <c r="J3260" s="25" t="n">
        <f aca="false">J3253*MIN(J3252-J3258+J3257,MAX(0,J3306-Assumptions!$C$12*J3224-J3234-J3247))</f>
        <v>0</v>
      </c>
      <c r="K3260" s="25" t="n">
        <f aca="false">K3253*MIN(K3252-K3258+K3257,MAX(0,K3306-Assumptions!$C$12*K3224-K3234-K3247))</f>
        <v>0</v>
      </c>
    </row>
    <row r="3261" customFormat="false" ht="15" hidden="false" customHeight="false" outlineLevel="0" collapsed="false">
      <c r="A3261" s="5" t="s">
        <v>272</v>
      </c>
      <c r="G3261" s="25" t="n">
        <f aca="false">Assumptions!$N$55*MIN(G3252+G3259+G3257-G3258-G3260,MAX(0,G3310-G3235-G3248))</f>
        <v>0</v>
      </c>
      <c r="H3261" s="25" t="n">
        <f aca="false">Assumptions!$N$55*MIN(H3252+H3259+H3257-H3258-H3260,MAX(0,H3310-H3235-H3248))</f>
        <v>0</v>
      </c>
      <c r="I3261" s="25" t="n">
        <f aca="false">Assumptions!$N$55*MIN(I3252+I3259+I3257-I3258-I3260,MAX(0,I3310-I3235-I3248))</f>
        <v>0</v>
      </c>
      <c r="J3261" s="25" t="n">
        <f aca="false">Assumptions!$N$55*MIN(J3252+J3259+J3257-J3258-J3260,MAX(0,J3310-J3235-J3248))</f>
        <v>0</v>
      </c>
      <c r="K3261" s="25" t="n">
        <f aca="false">Assumptions!$N$55*MIN(K3252+K3259+K3257-K3258-K3260,MAX(0,K3310-K3235-K3248))</f>
        <v>0</v>
      </c>
    </row>
    <row r="3262" customFormat="false" ht="15" hidden="false" customHeight="false" outlineLevel="0" collapsed="false">
      <c r="A3262" s="5" t="s">
        <v>273</v>
      </c>
      <c r="G3262" s="25" t="n">
        <f aca="false">G3253*(1-G3224)*(G3252-G3258+G3257-G3260)</f>
        <v>0</v>
      </c>
      <c r="H3262" s="25" t="n">
        <f aca="false">H3253*(1-H3224)*(H3252-H3258+H3257-H3260)</f>
        <v>0</v>
      </c>
      <c r="I3262" s="25" t="n">
        <f aca="false">I3253*(1-I3224)*(I3252-I3258+I3257-I3260)</f>
        <v>0</v>
      </c>
      <c r="J3262" s="25" t="n">
        <f aca="false">J3253*(1-J3224)*(J3252-J3258+J3257-J3260)</f>
        <v>250</v>
      </c>
      <c r="K3262" s="25" t="n">
        <f aca="false">K3253*(1-K3224)*(K3252-K3258+K3257-K3260)</f>
        <v>0</v>
      </c>
    </row>
    <row r="3263" customFormat="false" ht="15" hidden="false" customHeight="false" outlineLevel="0" collapsed="false">
      <c r="A3263" s="2" t="s">
        <v>274</v>
      </c>
      <c r="F3263" s="27" t="n">
        <f aca="false">Assumptions!$C$55</f>
        <v>250</v>
      </c>
      <c r="G3263" s="16" t="n">
        <f aca="false">G3252+G3259+G3257-G3258-G3260-G3261</f>
        <v>250</v>
      </c>
      <c r="H3263" s="16" t="n">
        <f aca="false">H3252+H3259+H3257-H3258-H3260-H3261</f>
        <v>250</v>
      </c>
      <c r="I3263" s="16" t="n">
        <f aca="false">I3252+I3259+I3257-I3258-I3260-I3261</f>
        <v>250</v>
      </c>
      <c r="J3263" s="16" t="n">
        <f aca="false">J3252+J3259+J3257-J3258-J3260-J3261</f>
        <v>250</v>
      </c>
      <c r="K3263" s="16" t="n">
        <f aca="false">K3252+K3259+K3257-K3258-K3260-K3261</f>
        <v>250</v>
      </c>
    </row>
    <row r="3264" customFormat="false" ht="15" hidden="false" customHeight="false" outlineLevel="0" collapsed="false">
      <c r="A3264" s="23" t="s">
        <v>277</v>
      </c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</row>
    <row r="3265" customFormat="false" ht="15" hidden="false" customHeight="false" outlineLevel="0" collapsed="false">
      <c r="A3265" s="5" t="s">
        <v>264</v>
      </c>
      <c r="G3265" s="25" t="n">
        <f aca="false">F3276</f>
        <v>300</v>
      </c>
      <c r="H3265" s="25" t="n">
        <f aca="false">G3276</f>
        <v>300</v>
      </c>
      <c r="I3265" s="25" t="n">
        <f aca="false">H3276</f>
        <v>300</v>
      </c>
      <c r="J3265" s="25" t="n">
        <f aca="false">I3276</f>
        <v>300</v>
      </c>
      <c r="K3265" s="25" t="n">
        <f aca="false">J3276</f>
        <v>300</v>
      </c>
    </row>
    <row r="3266" customFormat="false" ht="15" hidden="false" customHeight="false" outlineLevel="0" collapsed="false">
      <c r="A3266" s="5" t="s">
        <v>265</v>
      </c>
      <c r="G3266" s="20" t="n">
        <f aca="false">IF(G3190=Assumptions!$K$56,1,0)</f>
        <v>0</v>
      </c>
      <c r="H3266" s="20" t="n">
        <f aca="false">IF(H3190=Assumptions!$K$56,1,0)</f>
        <v>1</v>
      </c>
      <c r="I3266" s="20" t="n">
        <f aca="false">IF(I3190=Assumptions!$K$56,1,0)</f>
        <v>0</v>
      </c>
      <c r="J3266" s="20" t="n">
        <f aca="false">IF(J3190=Assumptions!$K$56,1,0)</f>
        <v>0</v>
      </c>
      <c r="K3266" s="20" t="n">
        <f aca="false">IF(K3190=Assumptions!$K$56,1,0)</f>
        <v>0</v>
      </c>
    </row>
    <row r="3268" customFormat="false" ht="15" hidden="false" customHeight="false" outlineLevel="0" collapsed="false">
      <c r="A3268" s="5" t="s">
        <v>266</v>
      </c>
      <c r="G3268" s="30" t="n">
        <f aca="false">IF(Assumptions!$I$56=1,MAX(G3216,Assumptions!$G$56)+Assumptions!$F$56+$C$3217,Assumptions!$E$56)</f>
        <v>0.075</v>
      </c>
      <c r="H3268" s="30" t="n">
        <f aca="false">IF(G3381=1,$C$3218,IF(Assumptions!$I$56=1,MAX(H3216,Assumptions!$G$56)+Assumptions!$F$56+$C$3217,Assumptions!$E$56))</f>
        <v>0.075</v>
      </c>
      <c r="I3268" s="30" t="n">
        <f aca="false">IF(H3381=1,$C$3218,IF(Assumptions!$I$56=1,MAX(I3216,Assumptions!$G$56)+Assumptions!$F$56+$C$3217,Assumptions!$E$56))</f>
        <v>0.075</v>
      </c>
      <c r="J3268" s="30" t="n">
        <f aca="false">IF(I3381=1,$C$3218,IF(Assumptions!$I$56=1,MAX(J3216,Assumptions!$G$56)+Assumptions!$F$56+$C$3217,Assumptions!$E$56))</f>
        <v>0.075</v>
      </c>
      <c r="K3268" s="30" t="n">
        <f aca="false">IF(J3381=1,$C$3218,IF(Assumptions!$I$56=1,MAX(K3216,Assumptions!$G$56)+Assumptions!$F$56+$C$3217,Assumptions!$E$56))</f>
        <v>0.075</v>
      </c>
    </row>
    <row r="3269" customFormat="false" ht="15" hidden="false" customHeight="false" outlineLevel="0" collapsed="false">
      <c r="A3269" s="5" t="s">
        <v>267</v>
      </c>
      <c r="G3269" s="25" t="n">
        <f aca="false">G3265*G3268</f>
        <v>22.5</v>
      </c>
      <c r="H3269" s="25" t="n">
        <f aca="false">H3265*H3268</f>
        <v>22.5</v>
      </c>
      <c r="I3269" s="25" t="n">
        <f aca="false">I3265*I3268</f>
        <v>22.5</v>
      </c>
      <c r="J3269" s="25" t="n">
        <f aca="false">J3265*J3268</f>
        <v>22.5</v>
      </c>
      <c r="K3269" s="25" t="n">
        <f aca="false">K3265*K3268</f>
        <v>22.5</v>
      </c>
    </row>
    <row r="3270" customFormat="false" ht="15" hidden="false" customHeight="false" outlineLevel="0" collapsed="false">
      <c r="A3270" s="5" t="s">
        <v>268</v>
      </c>
      <c r="G3270" s="25" t="n">
        <f aca="false">G3265*Assumptions!$H$56</f>
        <v>0</v>
      </c>
      <c r="H3270" s="25" t="n">
        <f aca="false">H3265*Assumptions!$H$56</f>
        <v>0</v>
      </c>
      <c r="I3270" s="25" t="n">
        <f aca="false">I3265*Assumptions!$H$56</f>
        <v>0</v>
      </c>
      <c r="J3270" s="25" t="n">
        <f aca="false">J3265*Assumptions!$H$56</f>
        <v>0</v>
      </c>
      <c r="K3270" s="25" t="n">
        <f aca="false">K3265*Assumptions!$H$56</f>
        <v>0</v>
      </c>
    </row>
    <row r="3271" customFormat="false" ht="15" hidden="false" customHeight="false" outlineLevel="0" collapsed="false">
      <c r="A3271" s="5" t="s">
        <v>269</v>
      </c>
      <c r="G3271" s="25" t="n">
        <f aca="false">MIN(G3265,Assumptions!$L$56*Assumptions!$C$56)</f>
        <v>0</v>
      </c>
      <c r="H3271" s="25" t="n">
        <f aca="false">MIN(H3265,Assumptions!$L$56*Assumptions!$C$56)</f>
        <v>0</v>
      </c>
      <c r="I3271" s="25" t="n">
        <f aca="false">MIN(I3265,Assumptions!$L$56*Assumptions!$C$56)</f>
        <v>0</v>
      </c>
      <c r="J3271" s="25" t="n">
        <f aca="false">MIN(J3265,Assumptions!$L$56*Assumptions!$C$56)</f>
        <v>0</v>
      </c>
      <c r="K3271" s="25" t="n">
        <f aca="false">MIN(K3265,Assumptions!$L$56*Assumptions!$C$56)</f>
        <v>0</v>
      </c>
    </row>
    <row r="3272" customFormat="false" ht="15" hidden="false" customHeight="false" outlineLevel="0" collapsed="false">
      <c r="A3272" s="5" t="s">
        <v>270</v>
      </c>
      <c r="G3272" s="25" t="n">
        <f aca="false">IF(AND(Assumptions!$P$56=1,G3190&lt;Assumptions!$K$56),MIN(MAX(0,-G3304),MAX(0,Assumptions!$D$56-G3265)),0)</f>
        <v>0</v>
      </c>
      <c r="H3272" s="25" t="n">
        <f aca="false">IF(AND(Assumptions!$P$56=1,OR(H3190&lt;Assumptions!$K$56,G3381=1)),MIN(MAX(0,-H3304),MAX(0,Assumptions!$D$56-H3265)),0)</f>
        <v>0</v>
      </c>
      <c r="I3272" s="25" t="n">
        <f aca="false">IF(AND(Assumptions!$P$56=1,OR(I3190&lt;Assumptions!$K$56,H3381=1)),MIN(MAX(0,-I3304),MAX(0,Assumptions!$D$56-I3265)),0)</f>
        <v>0</v>
      </c>
      <c r="J3272" s="25" t="n">
        <f aca="false">IF(AND(Assumptions!$P$56=1,OR(J3190&lt;Assumptions!$K$56,I3381=1)),MIN(MAX(0,-J3304),MAX(0,Assumptions!$D$56-J3265)),0)</f>
        <v>0</v>
      </c>
      <c r="K3272" s="25" t="n">
        <f aca="false">IF(AND(Assumptions!$P$56=1,OR(K3190&lt;Assumptions!$K$56,J3381=1)),MIN(MAX(0,-K3304),MAX(0,Assumptions!$D$56-K3265)),0)</f>
        <v>0</v>
      </c>
    </row>
    <row r="3273" customFormat="false" ht="15" hidden="false" customHeight="false" outlineLevel="0" collapsed="false">
      <c r="A3273" s="5" t="s">
        <v>271</v>
      </c>
      <c r="G3273" s="25" t="n">
        <f aca="false">G3266*MIN(G3265-G3271+G3270,MAX(0,G3306-Assumptions!$C$12*G3224-G3234-G3247-G3260))</f>
        <v>0</v>
      </c>
      <c r="H3273" s="25" t="n">
        <f aca="false">H3266*MIN(H3265-H3271+H3270,MAX(0,H3306-Assumptions!$C$12*H3224-H3234-H3247-H3260))</f>
        <v>0</v>
      </c>
      <c r="I3273" s="25" t="n">
        <f aca="false">I3266*MIN(I3265-I3271+I3270,MAX(0,I3306-Assumptions!$C$12*I3224-I3234-I3247-I3260))</f>
        <v>0</v>
      </c>
      <c r="J3273" s="25" t="n">
        <f aca="false">J3266*MIN(J3265-J3271+J3270,MAX(0,J3306-Assumptions!$C$12*J3224-J3234-J3247-J3260))</f>
        <v>0</v>
      </c>
      <c r="K3273" s="25" t="n">
        <f aca="false">K3266*MIN(K3265-K3271+K3270,MAX(0,K3306-Assumptions!$C$12*K3224-K3234-K3247-K3260))</f>
        <v>0</v>
      </c>
    </row>
    <row r="3274" customFormat="false" ht="15" hidden="false" customHeight="false" outlineLevel="0" collapsed="false">
      <c r="A3274" s="5" t="s">
        <v>272</v>
      </c>
      <c r="G3274" s="25" t="n">
        <f aca="false">Assumptions!$N$56*MIN(G3265+G3272+G3270-G3271-G3273,MAX(0,G3310-G3235-G3248-G3261))</f>
        <v>0</v>
      </c>
      <c r="H3274" s="25" t="n">
        <f aca="false">Assumptions!$N$56*MIN(H3265+H3272+H3270-H3271-H3273,MAX(0,H3310-H3235-H3248-H3261))</f>
        <v>0</v>
      </c>
      <c r="I3274" s="25" t="n">
        <f aca="false">Assumptions!$N$56*MIN(I3265+I3272+I3270-I3271-I3273,MAX(0,I3310-I3235-I3248-I3261))</f>
        <v>0</v>
      </c>
      <c r="J3274" s="25" t="n">
        <f aca="false">Assumptions!$N$56*MIN(J3265+J3272+J3270-J3271-J3273,MAX(0,J3310-J3235-J3248-J3261))</f>
        <v>0</v>
      </c>
      <c r="K3274" s="25" t="n">
        <f aca="false">Assumptions!$N$56*MIN(K3265+K3272+K3270-K3271-K3273,MAX(0,K3310-K3235-K3248-K3261))</f>
        <v>0</v>
      </c>
    </row>
    <row r="3275" customFormat="false" ht="15" hidden="false" customHeight="false" outlineLevel="0" collapsed="false">
      <c r="A3275" s="5" t="s">
        <v>273</v>
      </c>
      <c r="G3275" s="25" t="n">
        <f aca="false">G3266*(1-G3224)*(G3265-G3271+G3270-G3273)</f>
        <v>0</v>
      </c>
      <c r="H3275" s="25" t="n">
        <f aca="false">H3266*(1-H3224)*(H3265-H3271+H3270-H3273)</f>
        <v>300</v>
      </c>
      <c r="I3275" s="25" t="n">
        <f aca="false">I3266*(1-I3224)*(I3265-I3271+I3270-I3273)</f>
        <v>0</v>
      </c>
      <c r="J3275" s="25" t="n">
        <f aca="false">J3266*(1-J3224)*(J3265-J3271+J3270-J3273)</f>
        <v>0</v>
      </c>
      <c r="K3275" s="25" t="n">
        <f aca="false">K3266*(1-K3224)*(K3265-K3271+K3270-K3273)</f>
        <v>0</v>
      </c>
    </row>
    <row r="3276" customFormat="false" ht="15" hidden="false" customHeight="false" outlineLevel="0" collapsed="false">
      <c r="A3276" s="2" t="s">
        <v>274</v>
      </c>
      <c r="F3276" s="27" t="n">
        <f aca="false">Assumptions!$C$56</f>
        <v>300</v>
      </c>
      <c r="G3276" s="16" t="n">
        <f aca="false">G3265+G3272+G3270-G3271-G3273-G3274</f>
        <v>300</v>
      </c>
      <c r="H3276" s="16" t="n">
        <f aca="false">H3265+H3272+H3270-H3271-H3273-H3274</f>
        <v>300</v>
      </c>
      <c r="I3276" s="16" t="n">
        <f aca="false">I3265+I3272+I3270-I3271-I3273-I3274</f>
        <v>300</v>
      </c>
      <c r="J3276" s="16" t="n">
        <f aca="false">J3265+J3272+J3270-J3271-J3273-J3274</f>
        <v>300</v>
      </c>
      <c r="K3276" s="16" t="n">
        <f aca="false">K3265+K3272+K3270-K3271-K3273-K3274</f>
        <v>300</v>
      </c>
    </row>
    <row r="3277" customFormat="false" ht="15" hidden="false" customHeight="false" outlineLevel="0" collapsed="false">
      <c r="A3277" s="23" t="s">
        <v>278</v>
      </c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</row>
    <row r="3278" customFormat="false" ht="15" hidden="false" customHeight="false" outlineLevel="0" collapsed="false">
      <c r="A3278" s="2" t="s">
        <v>279</v>
      </c>
      <c r="F3278" s="16" t="n">
        <f aca="false">F3237+F3250+F3263+F3276</f>
        <v>1250</v>
      </c>
      <c r="G3278" s="16" t="n">
        <f aca="false">G3237+G3250+G3263+G3276</f>
        <v>1325.3528</v>
      </c>
      <c r="H3278" s="16" t="n">
        <f aca="false">H3237+H3250+H3263+H3276</f>
        <v>1320.1528</v>
      </c>
      <c r="I3278" s="16" t="n">
        <f aca="false">I3237+I3250+I3263+I3276</f>
        <v>1314.9528</v>
      </c>
      <c r="J3278" s="16" t="n">
        <f aca="false">J3237+J3250+J3263+J3276</f>
        <v>1309.7528</v>
      </c>
      <c r="K3278" s="16" t="n">
        <f aca="false">K3237+K3250+K3263+K3276</f>
        <v>1304.5528</v>
      </c>
    </row>
    <row r="3279" customFormat="false" ht="15" hidden="false" customHeight="false" outlineLevel="0" collapsed="false">
      <c r="A3279" s="5" t="s">
        <v>280</v>
      </c>
      <c r="G3279" s="25" t="n">
        <f aca="false">G3227*Assumptions!$C$53+G3240*Assumptions!$C$54+G3253*Assumptions!$C$55+G3266*Assumptions!$C$56</f>
        <v>0</v>
      </c>
      <c r="H3279" s="25" t="n">
        <f aca="false">H3227*Assumptions!$C$53+H3240*Assumptions!$C$54+H3253*Assumptions!$C$55+H3266*Assumptions!$C$56</f>
        <v>480</v>
      </c>
      <c r="I3279" s="25" t="n">
        <f aca="false">I3227*Assumptions!$C$53+I3240*Assumptions!$C$54+I3253*Assumptions!$C$55+I3266*Assumptions!$C$56</f>
        <v>520</v>
      </c>
      <c r="J3279" s="25" t="n">
        <f aca="false">J3227*Assumptions!$C$53+J3240*Assumptions!$C$54+J3253*Assumptions!$C$55+J3266*Assumptions!$C$56</f>
        <v>250</v>
      </c>
      <c r="K3279" s="25" t="n">
        <f aca="false">K3227*Assumptions!$C$53+K3240*Assumptions!$C$54+K3253*Assumptions!$C$55+K3266*Assumptions!$C$56</f>
        <v>0</v>
      </c>
    </row>
    <row r="3280" customFormat="false" ht="15" hidden="false" customHeight="false" outlineLevel="0" collapsed="false">
      <c r="A3280" s="23" t="s">
        <v>281</v>
      </c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</row>
    <row r="3281" customFormat="false" ht="15" hidden="false" customHeight="false" outlineLevel="0" collapsed="false">
      <c r="A3281" s="5" t="s">
        <v>282</v>
      </c>
      <c r="C3281" s="25" t="n">
        <f aca="false">SUMPRODUCT($G$3227:$K$3227,$G$3226:$K$3226-$G$3232:$K$3232+$G$3231:$K$3231)</f>
        <v>260.5528</v>
      </c>
    </row>
    <row r="3282" customFormat="false" ht="15" hidden="false" customHeight="false" outlineLevel="0" collapsed="false">
      <c r="A3282" s="5" t="s">
        <v>283</v>
      </c>
      <c r="C3282" s="25" t="n">
        <f aca="false">SUMPRODUCT($G$3227:$K$3227,$G$3234:$K$3234)</f>
        <v>0</v>
      </c>
    </row>
    <row r="3283" customFormat="false" ht="15" hidden="false" customHeight="false" outlineLevel="0" collapsed="false">
      <c r="A3283" s="5" t="s">
        <v>284</v>
      </c>
      <c r="C3283" s="5" t="str">
        <f aca="false">IF(SUM($G$3227:$K$3227)=0,"n/a (beyond horizon)",IF(SUMPRODUCT($G$3227:$K$3227,$G$3224:$K$3224)&gt;0,"REFINANCING PASS","REFINANCING FAILURE"))</f>
        <v>REFINANCING FAILURE</v>
      </c>
    </row>
    <row r="3284" customFormat="false" ht="15" hidden="false" customHeight="false" outlineLevel="0" collapsed="false">
      <c r="A3284" s="5" t="s">
        <v>285</v>
      </c>
      <c r="C3284" s="5" t="str">
        <f aca="false">IF(SUM($G$3227:$K$3227)=0,"n/a",IF(C3282&gt;=C3281-0.001,"Repaid from cash",IF(SUMPRODUCT($G$3227:$K$3227,$G$3224:$K$3224)&gt;0,IF(C3282&gt;0,"Partly repaid; remainder refinanced","Refinanced"),IF(SUM($G$3236:$K$3236)&gt;0.001,IF(C3282&gt;0,"Partial repayment; PAYMENT DEFAULT","PAYMENT DEFAULT"),"Repaid from cash"))))</f>
        <v>PAYMENT DEFAULT</v>
      </c>
    </row>
    <row r="3285" customFormat="false" ht="15" hidden="false" customHeight="false" outlineLevel="0" collapsed="false">
      <c r="A3285" s="5" t="s">
        <v>286</v>
      </c>
      <c r="C3285" s="25" t="n">
        <f aca="false">SUMPRODUCT($G$3240:$K$3240,$G$3239:$K$3239-$G$3245:$K$3245+$G$3244:$K$3244)</f>
        <v>504.4</v>
      </c>
    </row>
    <row r="3286" customFormat="false" ht="15" hidden="false" customHeight="false" outlineLevel="0" collapsed="false">
      <c r="A3286" s="5" t="s">
        <v>287</v>
      </c>
      <c r="C3286" s="25" t="n">
        <f aca="false">SUMPRODUCT($G$3240:$K$3240,$G$3247:$K$3247)</f>
        <v>0</v>
      </c>
    </row>
    <row r="3287" customFormat="false" ht="15" hidden="false" customHeight="false" outlineLevel="0" collapsed="false">
      <c r="A3287" s="5" t="s">
        <v>288</v>
      </c>
      <c r="C3287" s="5" t="str">
        <f aca="false">IF(SUM($G$3240:$K$3240)=0,"n/a (beyond horizon)",IF(SUMPRODUCT($G$3240:$K$3240,$G$3224:$K$3224)&gt;0,"REFINANCING PASS","REFINANCING FAILURE"))</f>
        <v>REFINANCING FAILURE</v>
      </c>
    </row>
    <row r="3288" customFormat="false" ht="15" hidden="false" customHeight="false" outlineLevel="0" collapsed="false">
      <c r="A3288" s="5" t="s">
        <v>289</v>
      </c>
      <c r="C3288" s="5" t="str">
        <f aca="false">IF(SUM($G$3240:$K$3240)=0,"n/a",IF(C3286&gt;=C3285-0.001,"Repaid from cash",IF(SUMPRODUCT($G$3240:$K$3240,$G$3224:$K$3224)&gt;0,IF(C3286&gt;0,"Partly repaid; remainder refinanced","Refinanced"),IF(SUM($G$3249:$K$3249)&gt;0.001,IF(C3286&gt;0,"Partial repayment; PAYMENT DEFAULT","PAYMENT DEFAULT"),"Repaid from cash"))))</f>
        <v>PAYMENT DEFAULT</v>
      </c>
    </row>
    <row r="3289" customFormat="false" ht="15" hidden="false" customHeight="false" outlineLevel="0" collapsed="false">
      <c r="A3289" s="5" t="s">
        <v>290</v>
      </c>
      <c r="C3289" s="25" t="n">
        <f aca="false">SUMPRODUCT($G$3253:$K$3253,$G$3252:$K$3252-$G$3258:$K$3258+$G$3257:$K$3257)</f>
        <v>250</v>
      </c>
    </row>
    <row r="3290" customFormat="false" ht="15" hidden="false" customHeight="false" outlineLevel="0" collapsed="false">
      <c r="A3290" s="5" t="s">
        <v>291</v>
      </c>
      <c r="C3290" s="25" t="n">
        <f aca="false">SUMPRODUCT($G$3253:$K$3253,$G$3260:$K$3260)</f>
        <v>0</v>
      </c>
    </row>
    <row r="3291" customFormat="false" ht="15" hidden="false" customHeight="false" outlineLevel="0" collapsed="false">
      <c r="A3291" s="5" t="s">
        <v>292</v>
      </c>
      <c r="C3291" s="5" t="str">
        <f aca="false">IF(SUM($G$3253:$K$3253)=0,"n/a (beyond horizon)",IF(SUMPRODUCT($G$3253:$K$3253,$G$3224:$K$3224)&gt;0,"REFINANCING PASS","REFINANCING FAILURE"))</f>
        <v>REFINANCING FAILURE</v>
      </c>
    </row>
    <row r="3292" customFormat="false" ht="15" hidden="false" customHeight="false" outlineLevel="0" collapsed="false">
      <c r="A3292" s="5" t="s">
        <v>293</v>
      </c>
      <c r="C3292" s="5" t="str">
        <f aca="false">IF(SUM($G$3253:$K$3253)=0,"n/a",IF(C3290&gt;=C3289-0.001,"Repaid from cash",IF(SUMPRODUCT($G$3253:$K$3253,$G$3224:$K$3224)&gt;0,IF(C3290&gt;0,"Partly repaid; remainder refinanced","Refinanced"),IF(SUM($G$3262:$K$3262)&gt;0.001,IF(C3290&gt;0,"Partial repayment; PAYMENT DEFAULT","PAYMENT DEFAULT"),"Repaid from cash"))))</f>
        <v>PAYMENT DEFAULT</v>
      </c>
    </row>
    <row r="3293" customFormat="false" ht="15" hidden="false" customHeight="false" outlineLevel="0" collapsed="false">
      <c r="A3293" s="5" t="s">
        <v>294</v>
      </c>
      <c r="C3293" s="25" t="n">
        <f aca="false">SUMPRODUCT($G$3266:$K$3266,$G$3265:$K$3265-$G$3271:$K$3271+$G$3270:$K$3270)</f>
        <v>300</v>
      </c>
    </row>
    <row r="3294" customFormat="false" ht="15" hidden="false" customHeight="false" outlineLevel="0" collapsed="false">
      <c r="A3294" s="5" t="s">
        <v>295</v>
      </c>
      <c r="C3294" s="25" t="n">
        <f aca="false">SUMPRODUCT($G$3266:$K$3266,$G$3273:$K$3273)</f>
        <v>0</v>
      </c>
    </row>
    <row r="3295" customFormat="false" ht="15" hidden="false" customHeight="false" outlineLevel="0" collapsed="false">
      <c r="A3295" s="5" t="s">
        <v>296</v>
      </c>
      <c r="C3295" s="5" t="str">
        <f aca="false">IF(SUM($G$3266:$K$3266)=0,"n/a (beyond horizon)",IF(SUMPRODUCT($G$3266:$K$3266,$G$3224:$K$3224)&gt;0,"REFINANCING PASS","REFINANCING FAILURE"))</f>
        <v>REFINANCING FAILURE</v>
      </c>
    </row>
    <row r="3296" customFormat="false" ht="15" hidden="false" customHeight="false" outlineLevel="0" collapsed="false">
      <c r="A3296" s="5" t="s">
        <v>297</v>
      </c>
      <c r="C3296" s="5" t="str">
        <f aca="false">IF(SUM($G$3266:$K$3266)=0,"n/a",IF(C3294&gt;=C3293-0.001,"Repaid from cash",IF(SUMPRODUCT($G$3266:$K$3266,$G$3224:$K$3224)&gt;0,IF(C3294&gt;0,"Partly repaid; remainder refinanced","Refinanced"),IF(SUM($G$3275:$K$3275)&gt;0.001,IF(C3294&gt;0,"Partial repayment; PAYMENT DEFAULT","PAYMENT DEFAULT"),"Repaid from cash"))))</f>
        <v>PAYMENT DEFAULT</v>
      </c>
    </row>
    <row r="3297" customFormat="false" ht="15" hidden="false" customHeight="false" outlineLevel="0" collapsed="false">
      <c r="A3297" s="5" t="s">
        <v>298</v>
      </c>
      <c r="C3297" s="20" t="n">
        <f aca="false">IF(C3283="REFINANCING FAILURE",1,0)+IF(C3287="REFINANCING FAILURE",1,0)+IF(C3291="REFINANCING FAILURE",1,0)+IF(C3295="REFINANCING FAILURE",1,0)</f>
        <v>4</v>
      </c>
    </row>
    <row r="3299" customFormat="false" ht="15" hidden="false" customHeight="false" outlineLevel="0" collapsed="false">
      <c r="A3299" s="23" t="s">
        <v>300</v>
      </c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</row>
    <row r="3300" customFormat="false" ht="15" hidden="false" customHeight="false" outlineLevel="0" collapsed="false">
      <c r="A3300" s="5" t="s">
        <v>260</v>
      </c>
      <c r="G3300" s="25" t="n">
        <f aca="false">F3312</f>
        <v>45</v>
      </c>
      <c r="H3300" s="25" t="n">
        <f aca="false">G3312</f>
        <v>0</v>
      </c>
      <c r="I3300" s="25" t="n">
        <f aca="false">H3312</f>
        <v>-168.2449612</v>
      </c>
      <c r="J3300" s="25" t="n">
        <f aca="false">I3312</f>
        <v>-330.157349072</v>
      </c>
      <c r="K3300" s="25" t="n">
        <f aca="false">J3312</f>
        <v>-477.39683359504</v>
      </c>
    </row>
    <row r="3301" customFormat="false" ht="15" hidden="false" customHeight="false" outlineLevel="0" collapsed="false">
      <c r="A3301" s="5" t="s">
        <v>301</v>
      </c>
      <c r="G3301" s="25" t="n">
        <f aca="false">G3213</f>
        <v>-120.3528</v>
      </c>
      <c r="H3301" s="25" t="n">
        <f aca="false">H3213</f>
        <v>-163.0449612</v>
      </c>
      <c r="I3301" s="25" t="n">
        <f aca="false">I3213</f>
        <v>-156.712387872</v>
      </c>
      <c r="J3301" s="25" t="n">
        <f aca="false">J3213</f>
        <v>-142.03948452304</v>
      </c>
      <c r="K3301" s="25" t="n">
        <f aca="false">K3213</f>
        <v>-128.909017264352</v>
      </c>
    </row>
    <row r="3302" customFormat="false" ht="15" hidden="false" customHeight="false" outlineLevel="0" collapsed="false">
      <c r="A3302" s="5" t="s">
        <v>302</v>
      </c>
      <c r="G3302" s="25" t="n">
        <f aca="false">CHOOSE($C$3183,Assumptions!$G$68,Assumptions!$G$87,Assumptions!$G$106)</f>
        <v>0</v>
      </c>
      <c r="H3302" s="25" t="n">
        <f aca="false">CHOOSE($C$3183,Assumptions!$H$68,Assumptions!$H$87,Assumptions!$H$106)</f>
        <v>0</v>
      </c>
      <c r="I3302" s="25" t="n">
        <f aca="false">CHOOSE($C$3183,Assumptions!$I$68,Assumptions!$I$87,Assumptions!$I$106)</f>
        <v>0</v>
      </c>
      <c r="J3302" s="25" t="n">
        <f aca="false">CHOOSE($C$3183,Assumptions!$J$68,Assumptions!$J$87,Assumptions!$J$106)</f>
        <v>0</v>
      </c>
      <c r="K3302" s="25" t="n">
        <f aca="false">CHOOSE($C$3183,Assumptions!$K$68,Assumptions!$K$87,Assumptions!$K$106)</f>
        <v>0</v>
      </c>
    </row>
    <row r="3303" customFormat="false" ht="15" hidden="false" customHeight="false" outlineLevel="0" collapsed="false">
      <c r="A3303" s="5" t="s">
        <v>303</v>
      </c>
      <c r="G3303" s="25" t="n">
        <f aca="false">G3232+G3245+G3258+G3271</f>
        <v>5.2</v>
      </c>
      <c r="H3303" s="25" t="n">
        <f aca="false">H3232+H3245+H3258+H3271</f>
        <v>5.2</v>
      </c>
      <c r="I3303" s="25" t="n">
        <f aca="false">I3232+I3245+I3258+I3271</f>
        <v>5.2</v>
      </c>
      <c r="J3303" s="25" t="n">
        <f aca="false">J3232+J3245+J3258+J3271</f>
        <v>5.2</v>
      </c>
      <c r="K3303" s="25" t="n">
        <f aca="false">K3232+K3245+K3258+K3271</f>
        <v>5.2</v>
      </c>
    </row>
    <row r="3304" customFormat="false" ht="15" hidden="false" customHeight="false" outlineLevel="0" collapsed="false">
      <c r="A3304" s="2" t="s">
        <v>304</v>
      </c>
      <c r="G3304" s="16" t="n">
        <f aca="false">G3300+G3301+G3302-G3303</f>
        <v>-80.5528000000001</v>
      </c>
      <c r="H3304" s="16" t="n">
        <f aca="false">H3300+H3301+H3302-H3303</f>
        <v>-168.2449612</v>
      </c>
      <c r="I3304" s="16" t="n">
        <f aca="false">I3300+I3301+I3302-I3303</f>
        <v>-330.157349072</v>
      </c>
      <c r="J3304" s="16" t="n">
        <f aca="false">J3300+J3301+J3302-J3303</f>
        <v>-477.39683359504</v>
      </c>
      <c r="K3304" s="16" t="n">
        <f aca="false">K3300+K3301+K3302-K3303</f>
        <v>-611.505850859392</v>
      </c>
    </row>
    <row r="3305" customFormat="false" ht="15" hidden="false" customHeight="false" outlineLevel="0" collapsed="false">
      <c r="A3305" s="5" t="s">
        <v>305</v>
      </c>
      <c r="G3305" s="25" t="n">
        <f aca="false">G3233+G3246+G3259+G3272</f>
        <v>80.5528000000001</v>
      </c>
      <c r="H3305" s="25" t="n">
        <f aca="false">H3233+H3246+H3259+H3272</f>
        <v>0</v>
      </c>
      <c r="I3305" s="25" t="n">
        <f aca="false">I3233+I3246+I3259+I3272</f>
        <v>0</v>
      </c>
      <c r="J3305" s="25" t="n">
        <f aca="false">J3233+J3246+J3259+J3272</f>
        <v>0</v>
      </c>
      <c r="K3305" s="25" t="n">
        <f aca="false">K3233+K3246+K3259+K3272</f>
        <v>0</v>
      </c>
    </row>
    <row r="3306" customFormat="false" ht="15" hidden="false" customHeight="false" outlineLevel="0" collapsed="false">
      <c r="A3306" s="2" t="s">
        <v>306</v>
      </c>
      <c r="G3306" s="16" t="n">
        <f aca="false">G3304+G3305</f>
        <v>0</v>
      </c>
      <c r="H3306" s="16" t="n">
        <f aca="false">H3304+H3305</f>
        <v>-168.2449612</v>
      </c>
      <c r="I3306" s="16" t="n">
        <f aca="false">I3304+I3305</f>
        <v>-330.157349072</v>
      </c>
      <c r="J3306" s="16" t="n">
        <f aca="false">J3304+J3305</f>
        <v>-477.39683359504</v>
      </c>
      <c r="K3306" s="16" t="n">
        <f aca="false">K3304+K3305</f>
        <v>-611.505850859392</v>
      </c>
    </row>
    <row r="3307" customFormat="false" ht="15" hidden="false" customHeight="false" outlineLevel="0" collapsed="false">
      <c r="A3307" s="5" t="s">
        <v>307</v>
      </c>
      <c r="G3307" s="25" t="n">
        <f aca="false">G3234+G3247+G3260+G3273</f>
        <v>0</v>
      </c>
      <c r="H3307" s="25" t="n">
        <f aca="false">H3234+H3247+H3260+H3273</f>
        <v>0</v>
      </c>
      <c r="I3307" s="25" t="n">
        <f aca="false">I3234+I3247+I3260+I3273</f>
        <v>0</v>
      </c>
      <c r="J3307" s="25" t="n">
        <f aca="false">J3234+J3247+J3260+J3273</f>
        <v>0</v>
      </c>
      <c r="K3307" s="25" t="n">
        <f aca="false">K3234+K3247+K3260+K3273</f>
        <v>0</v>
      </c>
    </row>
    <row r="3308" customFormat="false" ht="15" hidden="false" customHeight="false" outlineLevel="0" collapsed="false">
      <c r="A3308" s="2" t="s">
        <v>308</v>
      </c>
      <c r="G3308" s="16" t="n">
        <f aca="false">G3306-G3307</f>
        <v>0</v>
      </c>
      <c r="H3308" s="16" t="n">
        <f aca="false">H3306-H3307</f>
        <v>-168.2449612</v>
      </c>
      <c r="I3308" s="16" t="n">
        <f aca="false">I3306-I3307</f>
        <v>-330.157349072</v>
      </c>
      <c r="J3308" s="16" t="n">
        <f aca="false">J3306-J3307</f>
        <v>-477.39683359504</v>
      </c>
      <c r="K3308" s="16" t="n">
        <f aca="false">K3306-K3307</f>
        <v>-611.505850859392</v>
      </c>
    </row>
    <row r="3309" customFormat="false" ht="15" hidden="false" customHeight="false" outlineLevel="0" collapsed="false">
      <c r="A3309" s="5" t="s">
        <v>309</v>
      </c>
      <c r="G3309" s="25" t="n">
        <f aca="false">MAX(0,-G3308)</f>
        <v>-0</v>
      </c>
      <c r="H3309" s="25" t="n">
        <f aca="false">MAX(0,-H3308)</f>
        <v>168.2449612</v>
      </c>
      <c r="I3309" s="25" t="n">
        <f aca="false">MAX(0,-I3308)</f>
        <v>330.157349072</v>
      </c>
      <c r="J3309" s="25" t="n">
        <f aca="false">MAX(0,-J3308)</f>
        <v>477.39683359504</v>
      </c>
      <c r="K3309" s="25" t="n">
        <f aca="false">MAX(0,-K3308)</f>
        <v>611.505850859392</v>
      </c>
    </row>
    <row r="3310" customFormat="false" ht="15" hidden="false" customHeight="false" outlineLevel="0" collapsed="false">
      <c r="A3310" s="5" t="s">
        <v>310</v>
      </c>
      <c r="G3310" s="25" t="n">
        <f aca="false">MAX(0,G3308-Assumptions!$C$12)*Assumptions!$C$13</f>
        <v>0</v>
      </c>
      <c r="H3310" s="25" t="n">
        <f aca="false">MAX(0,H3308-Assumptions!$C$12)*Assumptions!$C$13</f>
        <v>0</v>
      </c>
      <c r="I3310" s="25" t="n">
        <f aca="false">MAX(0,I3308-Assumptions!$C$12)*Assumptions!$C$13</f>
        <v>0</v>
      </c>
      <c r="J3310" s="25" t="n">
        <f aca="false">MAX(0,J3308-Assumptions!$C$12)*Assumptions!$C$13</f>
        <v>0</v>
      </c>
      <c r="K3310" s="25" t="n">
        <f aca="false">MAX(0,K3308-Assumptions!$C$12)*Assumptions!$C$13</f>
        <v>0</v>
      </c>
    </row>
    <row r="3311" customFormat="false" ht="15" hidden="false" customHeight="false" outlineLevel="0" collapsed="false">
      <c r="A3311" s="5" t="s">
        <v>311</v>
      </c>
      <c r="G3311" s="25" t="n">
        <f aca="false">G3235+G3248+G3261+G3274</f>
        <v>0</v>
      </c>
      <c r="H3311" s="25" t="n">
        <f aca="false">H3235+H3248+H3261+H3274</f>
        <v>0</v>
      </c>
      <c r="I3311" s="25" t="n">
        <f aca="false">I3235+I3248+I3261+I3274</f>
        <v>0</v>
      </c>
      <c r="J3311" s="25" t="n">
        <f aca="false">J3235+J3248+J3261+J3274</f>
        <v>0</v>
      </c>
      <c r="K3311" s="25" t="n">
        <f aca="false">K3235+K3248+K3261+K3274</f>
        <v>0</v>
      </c>
    </row>
    <row r="3312" customFormat="false" ht="15" hidden="false" customHeight="false" outlineLevel="0" collapsed="false">
      <c r="A3312" s="2" t="s">
        <v>312</v>
      </c>
      <c r="F3312" s="27" t="n">
        <f aca="false">Assumptions!$C$11</f>
        <v>45</v>
      </c>
      <c r="G3312" s="16" t="n">
        <f aca="false">G3308-G3311</f>
        <v>0</v>
      </c>
      <c r="H3312" s="16" t="n">
        <f aca="false">H3308-H3311</f>
        <v>-168.2449612</v>
      </c>
      <c r="I3312" s="16" t="n">
        <f aca="false">I3308-I3311</f>
        <v>-330.157349072</v>
      </c>
      <c r="J3312" s="16" t="n">
        <f aca="false">J3308-J3311</f>
        <v>-477.39683359504</v>
      </c>
      <c r="K3312" s="16" t="n">
        <f aca="false">K3308-K3311</f>
        <v>-611.505850859392</v>
      </c>
    </row>
    <row r="3313" customFormat="false" ht="15" hidden="false" customHeight="false" outlineLevel="0" collapsed="false">
      <c r="A3313" s="5" t="s">
        <v>313</v>
      </c>
      <c r="G3313" s="25" t="n">
        <f aca="false">G3236+G3249+G3262+G3275</f>
        <v>0</v>
      </c>
      <c r="H3313" s="25" t="n">
        <f aca="false">H3236+H3249+H3262+H3275</f>
        <v>560.5528</v>
      </c>
      <c r="I3313" s="25" t="n">
        <f aca="false">I3236+I3249+I3262+I3275</f>
        <v>504.4</v>
      </c>
      <c r="J3313" s="25" t="n">
        <f aca="false">J3236+J3249+J3262+J3275</f>
        <v>250</v>
      </c>
      <c r="K3313" s="25" t="n">
        <f aca="false">K3236+K3249+K3262+K3275</f>
        <v>0</v>
      </c>
    </row>
    <row r="3314" customFormat="false" ht="15" hidden="false" customHeight="false" outlineLevel="0" collapsed="false">
      <c r="A3314" s="5" t="s">
        <v>314</v>
      </c>
      <c r="G3314" s="20" t="n">
        <f aca="false">IF(OR(G3309&gt;0.001,G3313&gt;0.001),1,0)</f>
        <v>0</v>
      </c>
      <c r="H3314" s="20" t="n">
        <f aca="false">IF(OR(H3309&gt;0.001,H3313&gt;0.001),1,0)</f>
        <v>1</v>
      </c>
      <c r="I3314" s="20" t="n">
        <f aca="false">IF(OR(I3309&gt;0.001,I3313&gt;0.001),1,0)</f>
        <v>1</v>
      </c>
      <c r="J3314" s="20" t="n">
        <f aca="false">IF(OR(J3309&gt;0.001,J3313&gt;0.001),1,0)</f>
        <v>1</v>
      </c>
      <c r="K3314" s="20" t="n">
        <f aca="false">IF(OR(K3309&gt;0.001,K3313&gt;0.001),1,0)</f>
        <v>1</v>
      </c>
    </row>
    <row r="3315" customFormat="false" ht="15" hidden="false" customHeight="false" outlineLevel="0" collapsed="false">
      <c r="A3315" s="5" t="s">
        <v>315</v>
      </c>
      <c r="G3315" s="20" t="n">
        <f aca="false">IF(G3314=1,1,0)</f>
        <v>0</v>
      </c>
      <c r="H3315" s="20" t="n">
        <f aca="false">IF(AND(H3314=1,SUM($G$3314:G3314)=0),1,0)</f>
        <v>1</v>
      </c>
      <c r="I3315" s="20" t="n">
        <f aca="false">IF(AND(I3314=1,SUM($G$3314:H3314)=0),1,0)</f>
        <v>0</v>
      </c>
      <c r="J3315" s="20" t="n">
        <f aca="false">IF(AND(J3314=1,SUM($G$3314:I3314)=0),1,0)</f>
        <v>0</v>
      </c>
      <c r="K3315" s="20" t="n">
        <f aca="false">IF(AND(K3314=1,SUM($G$3314:J3314)=0),1,0)</f>
        <v>0</v>
      </c>
    </row>
    <row r="3316" customFormat="false" ht="15" hidden="false" customHeight="false" outlineLevel="0" collapsed="false">
      <c r="A3316" s="5" t="s">
        <v>316</v>
      </c>
      <c r="G3316" s="25" t="n">
        <f aca="false">(G3278-F3278)-(G3305+G3205-G3303-G3307-G3311)</f>
        <v>0</v>
      </c>
      <c r="H3316" s="25" t="n">
        <f aca="false">(H3278-G3278)-(H3305+H3205-H3303-H3307-H3311)</f>
        <v>-4.52970994047064E-014</v>
      </c>
      <c r="I3316" s="25" t="n">
        <f aca="false">(I3278-H3278)-(I3305+I3205-I3303-I3307-I3311)</f>
        <v>-4.52970994047064E-014</v>
      </c>
      <c r="J3316" s="25" t="n">
        <f aca="false">(J3278-I3278)-(J3305+J3205-J3303-J3307-J3311)</f>
        <v>-4.52970994047064E-014</v>
      </c>
      <c r="K3316" s="25" t="n">
        <f aca="false">(K3278-J3278)-(K3305+K3205-K3303-K3307-K3311)</f>
        <v>-4.52970994047064E-014</v>
      </c>
    </row>
    <row r="3318" customFormat="false" ht="15" hidden="false" customHeight="false" outlineLevel="0" collapsed="false">
      <c r="A3318" s="23" t="s">
        <v>318</v>
      </c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</row>
    <row r="3319" customFormat="false" ht="15" hidden="false" customHeight="false" outlineLevel="0" collapsed="false">
      <c r="A3319" s="5" t="s">
        <v>319</v>
      </c>
      <c r="G3319" s="25" t="n">
        <f aca="false">G3278</f>
        <v>1325.3528</v>
      </c>
      <c r="H3319" s="25" t="n">
        <f aca="false">H3278</f>
        <v>1320.1528</v>
      </c>
      <c r="I3319" s="25" t="n">
        <f aca="false">I3278</f>
        <v>1314.9528</v>
      </c>
      <c r="J3319" s="25" t="n">
        <f aca="false">J3278</f>
        <v>1309.7528</v>
      </c>
      <c r="K3319" s="25" t="n">
        <f aca="false">K3278</f>
        <v>1304.5528</v>
      </c>
    </row>
    <row r="3320" customFormat="false" ht="15" hidden="false" customHeight="false" outlineLevel="0" collapsed="false">
      <c r="A3320" s="5" t="s">
        <v>320</v>
      </c>
      <c r="G3320" s="25" t="n">
        <f aca="false">Assumptions!$O$53*G3237+Assumptions!$O$54*G3250+Assumptions!$O$55*G3263+Assumptions!$O$56*G3276</f>
        <v>1025.3528</v>
      </c>
      <c r="H3320" s="25" t="n">
        <f aca="false">Assumptions!$O$53*H3237+Assumptions!$O$54*H3250+Assumptions!$O$55*H3263+Assumptions!$O$56*H3276</f>
        <v>1020.1528</v>
      </c>
      <c r="I3320" s="25" t="n">
        <f aca="false">Assumptions!$O$53*I3237+Assumptions!$O$54*I3250+Assumptions!$O$55*I3263+Assumptions!$O$56*I3276</f>
        <v>1014.9528</v>
      </c>
      <c r="J3320" s="25" t="n">
        <f aca="false">Assumptions!$O$53*J3237+Assumptions!$O$54*J3250+Assumptions!$O$55*J3263+Assumptions!$O$56*J3276</f>
        <v>1009.7528</v>
      </c>
      <c r="K3320" s="25" t="n">
        <f aca="false">Assumptions!$O$53*K3237+Assumptions!$O$54*K3250+Assumptions!$O$55*K3263+Assumptions!$O$56*K3276</f>
        <v>1004.5528</v>
      </c>
    </row>
    <row r="3321" customFormat="false" ht="15" hidden="false" customHeight="false" outlineLevel="0" collapsed="false">
      <c r="A3321" s="5" t="s">
        <v>321</v>
      </c>
      <c r="G3321" s="25" t="n">
        <f aca="false">G3319-G3312</f>
        <v>1325.3528</v>
      </c>
      <c r="H3321" s="25" t="n">
        <f aca="false">H3319-H3312</f>
        <v>1488.3977612</v>
      </c>
      <c r="I3321" s="25" t="n">
        <f aca="false">I3319-I3312</f>
        <v>1645.110149072</v>
      </c>
      <c r="J3321" s="25" t="n">
        <f aca="false">J3319-J3312</f>
        <v>1787.14963359504</v>
      </c>
      <c r="K3321" s="25" t="n">
        <f aca="false">K3319-K3312</f>
        <v>1916.05865085939</v>
      </c>
    </row>
    <row r="3322" customFormat="false" ht="15" hidden="false" customHeight="false" outlineLevel="0" collapsed="false">
      <c r="A3322" s="5" t="s">
        <v>322</v>
      </c>
      <c r="G3322" s="31" t="n">
        <f aca="false">IF(G3200&gt;0,G3319/G3200,0)</f>
        <v>39.9298867196915</v>
      </c>
      <c r="H3322" s="31" t="n">
        <f aca="false">IF(H3200&gt;0,H3319/H3200,0)</f>
        <v>206.936641328014</v>
      </c>
      <c r="I3322" s="31" t="n">
        <f aca="false">IF(I3200&gt;0,I3319/I3200,0)</f>
        <v>69.0524391063831</v>
      </c>
      <c r="J3322" s="31" t="n">
        <f aca="false">IF(J3200&gt;0,J3319/J3200,0)</f>
        <v>41.6844668061711</v>
      </c>
      <c r="K3322" s="31" t="n">
        <f aca="false">IF(K3200&gt;0,K3319/K3200,0)</f>
        <v>29.95596718439</v>
      </c>
    </row>
    <row r="3323" customFormat="false" ht="15" hidden="false" customHeight="false" outlineLevel="0" collapsed="false">
      <c r="A3323" s="5" t="s">
        <v>323</v>
      </c>
      <c r="G3323" s="31" t="n">
        <f aca="false">IF(G3200&gt;0,G3321/G3200,0)</f>
        <v>39.9298867196915</v>
      </c>
      <c r="H3323" s="31" t="n">
        <f aca="false">IF(H3200&gt;0,H3321/H3200,0)</f>
        <v>233.309381810093</v>
      </c>
      <c r="I3323" s="31" t="n">
        <f aca="false">IF(I3200&gt;0,I3321/I3200,0)</f>
        <v>86.390073006489</v>
      </c>
      <c r="J3323" s="31" t="n">
        <f aca="false">IF(J3200&gt;0,J3321/J3200,0)</f>
        <v>56.8781983739628</v>
      </c>
      <c r="K3323" s="31" t="n">
        <f aca="false">IF(K3200&gt;0,K3321/K3200,0)</f>
        <v>43.9977516191836</v>
      </c>
    </row>
    <row r="3324" customFormat="false" ht="15" hidden="false" customHeight="false" outlineLevel="0" collapsed="false">
      <c r="A3324" s="5" t="s">
        <v>324</v>
      </c>
      <c r="G3324" s="31" t="n">
        <f aca="false">IF(G3204&gt;0,G3200/G3204,0)</f>
        <v>0.256229735988884</v>
      </c>
      <c r="H3324" s="31" t="n">
        <f aca="false">IF(H3204&gt;0,H3200/H3204,0)</f>
        <v>0.0472122601763506</v>
      </c>
      <c r="I3324" s="31" t="n">
        <f aca="false">IF(I3204&gt;0,I3200/I3204,0)</f>
        <v>0.14361327852654</v>
      </c>
      <c r="J3324" s="31" t="n">
        <f aca="false">IF(J3204&gt;0,J3200/J3204,0)</f>
        <v>0.238016667045829</v>
      </c>
      <c r="K3324" s="31" t="n">
        <f aca="false">IF(K3204&gt;0,K3200/K3204,0)</f>
        <v>0.331366066849356</v>
      </c>
    </row>
    <row r="3325" customFormat="false" ht="15" hidden="false" customHeight="false" outlineLevel="0" collapsed="false">
      <c r="A3325" s="5" t="s">
        <v>325</v>
      </c>
      <c r="G3325" s="31" t="n">
        <f aca="false">IF(G3204&gt;0,G3203/G3204,0)</f>
        <v>-0.119573876794812</v>
      </c>
      <c r="H3325" s="31" t="n">
        <f aca="false">IF(H3204&gt;0,H3203/H3204,0)</f>
        <v>-0.299010981116888</v>
      </c>
      <c r="I3325" s="31" t="n">
        <f aca="false">IF(I3204&gt;0,I3203/I3204,0)</f>
        <v>-0.207441402316113</v>
      </c>
      <c r="J3325" s="31" t="n">
        <f aca="false">IF(J3204&gt;0,J3203/J3204,0)</f>
        <v>-0.111074444621387</v>
      </c>
      <c r="K3325" s="31" t="n">
        <f aca="false">IF(K3204&gt;0,K3203/K3204,0)</f>
        <v>-0.0157793365166362</v>
      </c>
    </row>
    <row r="3326" customFormat="false" ht="15" hidden="false" customHeight="false" outlineLevel="0" collapsed="false">
      <c r="A3326" s="5" t="s">
        <v>182</v>
      </c>
      <c r="G3326" s="21" t="n">
        <f aca="false">IF(G3319&gt;0,G3213/G3319,0)</f>
        <v>-0.0908081229390394</v>
      </c>
      <c r="H3326" s="21" t="n">
        <f aca="false">IF(H3319&gt;0,H3213/H3319,0)</f>
        <v>-0.123504613405357</v>
      </c>
      <c r="I3326" s="21" t="n">
        <f aca="false">IF(I3319&gt;0,I3213/I3319,0)</f>
        <v>-0.119177196224838</v>
      </c>
      <c r="J3326" s="21" t="n">
        <f aca="false">IF(J3319&gt;0,J3213/J3319,0)</f>
        <v>-0.108447551723531</v>
      </c>
      <c r="K3326" s="21" t="n">
        <f aca="false">IF(K3319&gt;0,K3213/K3319,0)</f>
        <v>-0.0988147181657592</v>
      </c>
    </row>
    <row r="3327" customFormat="false" ht="15" hidden="false" customHeight="false" outlineLevel="0" collapsed="false">
      <c r="A3327" s="5" t="s">
        <v>326</v>
      </c>
      <c r="G3327" s="31" t="n">
        <f aca="false">IF(G3204+G3303&gt;0,(G3200-G3211-G3208)/(G3204+G3303),0)</f>
        <v>-0.0656909603681164</v>
      </c>
      <c r="H3327" s="31" t="n">
        <f aca="false">IF(H3204+H3303&gt;0,(H3200-H3211-H3208)/(H3204+H3303),0)</f>
        <v>-0.242467781535539</v>
      </c>
      <c r="I3327" s="31" t="n">
        <f aca="false">IF(I3204+I3303&gt;0,(I3200-I3211-I3208)/(I3204+I3303),0)</f>
        <v>-0.15354869523207</v>
      </c>
      <c r="J3327" s="31" t="n">
        <f aca="false">IF(J3204+J3303&gt;0,(J3200-J3211-J3208)/(J3204+J3303),0)</f>
        <v>-0.0610656806187963</v>
      </c>
      <c r="K3327" s="31" t="n">
        <f aca="false">IF(K3204+K3303&gt;0,(K3200-K3211-K3208)/(K3204+K3303),0)</f>
        <v>0.0303575173157441</v>
      </c>
    </row>
    <row r="3328" customFormat="false" ht="15" hidden="false" customHeight="false" outlineLevel="0" collapsed="false">
      <c r="A3328" s="5" t="s">
        <v>327</v>
      </c>
      <c r="G3328" s="25" t="n">
        <f aca="false">MAX(0,G3312)+Assumptions!$P$53*MAX(0,Assumptions!$D$53-G3237)+Assumptions!$P$54*MAX(0,Assumptions!$D$54-G3250)+Assumptions!$P$55*MAX(0,Assumptions!$D$55-G3263)+Assumptions!$P$56*MAX(0,Assumptions!$D$56-G3276)</f>
        <v>39.4472</v>
      </c>
      <c r="H3328" s="25" t="n">
        <f aca="false">MAX(0,H3312)+Assumptions!$P$53*MAX(0,Assumptions!$D$53-H3237)+Assumptions!$P$54*MAX(0,Assumptions!$D$54-H3250)+Assumptions!$P$55*MAX(0,Assumptions!$D$55-H3263)+Assumptions!$P$56*MAX(0,Assumptions!$D$56-H3276)</f>
        <v>39.4472</v>
      </c>
      <c r="I3328" s="25" t="n">
        <f aca="false">MAX(0,I3312)+Assumptions!$P$53*MAX(0,Assumptions!$D$53-I3237)+Assumptions!$P$54*MAX(0,Assumptions!$D$54-I3250)+Assumptions!$P$55*MAX(0,Assumptions!$D$55-I3263)+Assumptions!$P$56*MAX(0,Assumptions!$D$56-I3276)</f>
        <v>39.4472</v>
      </c>
      <c r="J3328" s="25" t="n">
        <f aca="false">MAX(0,J3312)+Assumptions!$P$53*MAX(0,Assumptions!$D$53-J3237)+Assumptions!$P$54*MAX(0,Assumptions!$D$54-J3250)+Assumptions!$P$55*MAX(0,Assumptions!$D$55-J3263)+Assumptions!$P$56*MAX(0,Assumptions!$D$56-J3276)</f>
        <v>39.4472</v>
      </c>
      <c r="K3328" s="25" t="n">
        <f aca="false">MAX(0,K3312)+Assumptions!$P$53*MAX(0,Assumptions!$D$53-K3237)+Assumptions!$P$54*MAX(0,Assumptions!$D$54-K3250)+Assumptions!$P$55*MAX(0,Assumptions!$D$55-K3263)+Assumptions!$P$56*MAX(0,Assumptions!$D$56-K3276)</f>
        <v>39.4472</v>
      </c>
    </row>
    <row r="3329" customFormat="false" ht="15" hidden="false" customHeight="false" outlineLevel="0" collapsed="false">
      <c r="A3329" s="5" t="s">
        <v>328</v>
      </c>
      <c r="G3329" s="21" t="n">
        <f aca="false">IF(G3319&gt;0,G3319/(G3319+MAX(0,G3200*CHOOSE($C$3183,Assumptions!$C$76,Assumptions!$C$95,Assumptions!$C$114)-G3321)),0)</f>
        <v>1</v>
      </c>
      <c r="H3329" s="21" t="n">
        <f aca="false">IF(H3319&gt;0,H3319/(H3319+MAX(0,H3200*CHOOSE($C$3183,Assumptions!$C$76,Assumptions!$C$95,Assumptions!$C$114)-H3321)),0)</f>
        <v>1</v>
      </c>
      <c r="I3329" s="21" t="n">
        <f aca="false">IF(I3319&gt;0,I3319/(I3319+MAX(0,I3200*CHOOSE($C$3183,Assumptions!$C$76,Assumptions!$C$95,Assumptions!$C$114)-I3321)),0)</f>
        <v>1</v>
      </c>
      <c r="J3329" s="21" t="n">
        <f aca="false">IF(J3319&gt;0,J3319/(J3319+MAX(0,J3200*CHOOSE($C$3183,Assumptions!$C$76,Assumptions!$C$95,Assumptions!$C$114)-J3321)),0)</f>
        <v>1</v>
      </c>
      <c r="K3329" s="21" t="n">
        <f aca="false">IF(K3319&gt;0,K3319/(K3319+MAX(0,K3200*CHOOSE($C$3183,Assumptions!$C$76,Assumptions!$C$95,Assumptions!$C$114)-K3321)),0)</f>
        <v>1</v>
      </c>
    </row>
    <row r="3330" customFormat="false" ht="15" hidden="false" customHeight="false" outlineLevel="0" collapsed="false">
      <c r="A3330" s="5" t="s">
        <v>329</v>
      </c>
      <c r="G3330" s="21" t="n">
        <f aca="false">IF(G3319&gt;0,MAX(0,G3312)/G3319,0)</f>
        <v>0</v>
      </c>
      <c r="H3330" s="21" t="n">
        <f aca="false">IF(H3319&gt;0,MAX(0,H3312)/H3319,0)</f>
        <v>0</v>
      </c>
      <c r="I3330" s="21" t="n">
        <f aca="false">IF(I3319&gt;0,MAX(0,I3312)/I3319,0)</f>
        <v>0</v>
      </c>
      <c r="J3330" s="21" t="n">
        <f aca="false">IF(J3319&gt;0,MAX(0,J3312)/J3319,0)</f>
        <v>0</v>
      </c>
      <c r="K3330" s="21" t="n">
        <f aca="false">IF(K3319&gt;0,MAX(0,K3312)/K3319,0)</f>
        <v>0</v>
      </c>
    </row>
    <row r="3331" customFormat="false" ht="15" hidden="false" customHeight="false" outlineLevel="0" collapsed="false">
      <c r="A3331" s="5" t="s">
        <v>330</v>
      </c>
      <c r="G3331" s="25" t="n">
        <f aca="false">Assumptions!$C$27*(1-CHOOSE($C$3183,Assumptions!$C$79,Assumptions!$C$98,Assumptions!$C$117))</f>
        <v>884</v>
      </c>
      <c r="H3331" s="25" t="n">
        <f aca="false">Assumptions!$C$27*(1-CHOOSE($C$3183,Assumptions!$C$79,Assumptions!$C$98,Assumptions!$C$117))</f>
        <v>884</v>
      </c>
      <c r="I3331" s="25" t="n">
        <f aca="false">Assumptions!$C$27*(1-CHOOSE($C$3183,Assumptions!$C$79,Assumptions!$C$98,Assumptions!$C$117))</f>
        <v>884</v>
      </c>
      <c r="J3331" s="25" t="n">
        <f aca="false">Assumptions!$C$27*(1-CHOOSE($C$3183,Assumptions!$C$79,Assumptions!$C$98,Assumptions!$C$117))</f>
        <v>884</v>
      </c>
      <c r="K3331" s="25" t="n">
        <f aca="false">Assumptions!$C$27*(1-CHOOSE($C$3183,Assumptions!$C$79,Assumptions!$C$98,Assumptions!$C$117))</f>
        <v>884</v>
      </c>
    </row>
    <row r="3332" customFormat="false" ht="15" hidden="false" customHeight="false" outlineLevel="0" collapsed="false">
      <c r="A3332" s="23" t="s">
        <v>331</v>
      </c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</row>
    <row r="3333" customFormat="false" ht="15" hidden="false" customHeight="false" outlineLevel="0" collapsed="false">
      <c r="A3333" s="23" t="s">
        <v>332</v>
      </c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</row>
    <row r="3334" customFormat="false" ht="15" hidden="false" customHeight="false" outlineLevel="0" collapsed="false">
      <c r="A3334" s="5" t="s">
        <v>333</v>
      </c>
      <c r="G3334" s="31" t="n">
        <f aca="false">IF(G3200&gt;0,G3321/G3200,99)</f>
        <v>39.9298867196915</v>
      </c>
      <c r="H3334" s="31" t="n">
        <f aca="false">IF(H3200&gt;0,H3321/H3200,99)</f>
        <v>233.309381810093</v>
      </c>
      <c r="I3334" s="31" t="n">
        <f aca="false">IF(I3200&gt;0,I3321/I3200,99)</f>
        <v>86.390073006489</v>
      </c>
      <c r="J3334" s="31" t="n">
        <f aca="false">IF(J3200&gt;0,J3321/J3200,99)</f>
        <v>56.8781983739628</v>
      </c>
      <c r="K3334" s="31" t="n">
        <f aca="false">IF(K3200&gt;0,K3321/K3200,99)</f>
        <v>43.9977516191836</v>
      </c>
    </row>
    <row r="3335" customFormat="false" ht="15" hidden="false" customHeight="false" outlineLevel="0" collapsed="false">
      <c r="A3335" s="5" t="s">
        <v>334</v>
      </c>
      <c r="G3335" s="32" t="n">
        <f aca="false">Assumptions!$G$61</f>
        <v>8.5</v>
      </c>
      <c r="H3335" s="32" t="n">
        <f aca="false">Assumptions!$H$61</f>
        <v>8.5</v>
      </c>
      <c r="I3335" s="32" t="n">
        <f aca="false">Assumptions!$I$61</f>
        <v>8.5</v>
      </c>
      <c r="J3335" s="32" t="n">
        <f aca="false">Assumptions!$J$61</f>
        <v>8.5</v>
      </c>
      <c r="K3335" s="32" t="n">
        <f aca="false">Assumptions!$K$61</f>
        <v>8.5</v>
      </c>
    </row>
    <row r="3336" customFormat="false" ht="15" hidden="false" customHeight="false" outlineLevel="0" collapsed="false">
      <c r="A3336" s="5" t="s">
        <v>335</v>
      </c>
      <c r="G3336" s="31" t="n">
        <f aca="false">G3335-G3334</f>
        <v>-31.4298867196915</v>
      </c>
      <c r="H3336" s="31" t="n">
        <f aca="false">H3335-H3334</f>
        <v>-224.809381810093</v>
      </c>
      <c r="I3336" s="31" t="n">
        <f aca="false">I3335-I3334</f>
        <v>-77.890073006489</v>
      </c>
      <c r="J3336" s="31" t="n">
        <f aca="false">J3335-J3334</f>
        <v>-48.3781983739628</v>
      </c>
      <c r="K3336" s="31" t="n">
        <f aca="false">K3335-K3334</f>
        <v>-35.4977516191836</v>
      </c>
    </row>
    <row r="3337" customFormat="false" ht="15" hidden="false" customHeight="false" outlineLevel="0" collapsed="false">
      <c r="A3337" s="5" t="s">
        <v>336</v>
      </c>
      <c r="G3337" s="21" t="n">
        <f aca="false">IF(G3335=0,0,G3336/ABS(G3335))</f>
        <v>-3.69763373172841</v>
      </c>
      <c r="H3337" s="21" t="n">
        <f aca="false">IF(H3335=0,0,H3336/ABS(H3335))</f>
        <v>-26.4481625658933</v>
      </c>
      <c r="I3337" s="21" t="n">
        <f aca="false">IF(I3335=0,0,I3336/ABS(I3335))</f>
        <v>-9.16353800076342</v>
      </c>
      <c r="J3337" s="21" t="n">
        <f aca="false">IF(J3335=0,0,J3336/ABS(J3335))</f>
        <v>-5.69155274987798</v>
      </c>
      <c r="K3337" s="21" t="n">
        <f aca="false">IF(K3335=0,0,K3336/ABS(K3335))</f>
        <v>-4.17620607284513</v>
      </c>
    </row>
    <row r="3338" customFormat="false" ht="15" hidden="false" customHeight="false" outlineLevel="0" collapsed="false">
      <c r="A3338" s="5" t="s">
        <v>337</v>
      </c>
      <c r="G3338" s="20" t="n">
        <f aca="false">IF(G3336&lt;0,1,0)</f>
        <v>1</v>
      </c>
      <c r="H3338" s="20" t="n">
        <f aca="false">IF(H3336&lt;0,1,0)</f>
        <v>1</v>
      </c>
      <c r="I3338" s="20" t="n">
        <f aca="false">IF(I3336&lt;0,1,0)</f>
        <v>1</v>
      </c>
      <c r="J3338" s="20" t="n">
        <f aca="false">IF(J3336&lt;0,1,0)</f>
        <v>1</v>
      </c>
      <c r="K3338" s="20" t="n">
        <f aca="false">IF(K3336&lt;0,1,0)</f>
        <v>1</v>
      </c>
    </row>
    <row r="3339" customFormat="false" ht="15" hidden="false" customHeight="false" outlineLevel="0" collapsed="false">
      <c r="A3339" s="5" t="s">
        <v>338</v>
      </c>
      <c r="C3339" s="20" t="n">
        <f aca="false">IFERROR(INDEX($G$3190:$K$3190,MATCH(1,$G$3338:$K$3338,0)),0)</f>
        <v>2026</v>
      </c>
    </row>
    <row r="3340" customFormat="false" ht="15" hidden="false" customHeight="false" outlineLevel="0" collapsed="false">
      <c r="A3340" s="5" t="s">
        <v>339</v>
      </c>
      <c r="C3340" s="21" t="n">
        <f aca="false">MIN($G$3337:$K$3337)</f>
        <v>-26.4481625658933</v>
      </c>
    </row>
    <row r="3341" customFormat="false" ht="15" hidden="false" customHeight="false" outlineLevel="0" collapsed="false">
      <c r="A3341" s="5" t="s">
        <v>340</v>
      </c>
      <c r="G3341" s="20" t="n">
        <f aca="false">G3338</f>
        <v>1</v>
      </c>
      <c r="H3341" s="20" t="n">
        <f aca="false">H3338</f>
        <v>1</v>
      </c>
      <c r="I3341" s="20" t="n">
        <f aca="false">I3338</f>
        <v>1</v>
      </c>
      <c r="J3341" s="20" t="n">
        <f aca="false">J3338</f>
        <v>1</v>
      </c>
      <c r="K3341" s="20" t="n">
        <f aca="false">K3338</f>
        <v>1</v>
      </c>
    </row>
    <row r="3342" customFormat="false" ht="15" hidden="false" customHeight="false" outlineLevel="0" collapsed="false">
      <c r="A3342" s="5" t="s">
        <v>341</v>
      </c>
      <c r="C3342" s="20" t="n">
        <f aca="false">SUM($G$3341:$K$3341)</f>
        <v>5</v>
      </c>
    </row>
    <row r="3343" customFormat="false" ht="15" hidden="false" customHeight="false" outlineLevel="0" collapsed="false">
      <c r="A3343" s="5" t="s">
        <v>342</v>
      </c>
      <c r="C3343" s="21" t="n">
        <f aca="false">MIN(C3340)</f>
        <v>-26.4481625658933</v>
      </c>
    </row>
    <row r="3345" customFormat="false" ht="15" hidden="false" customHeight="false" outlineLevel="0" collapsed="false">
      <c r="A3345" s="23" t="s">
        <v>444</v>
      </c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</row>
    <row r="3346" customFormat="false" ht="15" hidden="false" customHeight="false" outlineLevel="0" collapsed="false">
      <c r="A3346" s="5" t="s">
        <v>445</v>
      </c>
      <c r="G3346" s="20" t="n">
        <f aca="false">IF($C$3347=1,G3315,IF(G3200=MIN($G$3200:$K$3200),1,0))</f>
        <v>0</v>
      </c>
      <c r="H3346" s="20" t="n">
        <f aca="false">IF($C$3347=1,H3315,IF(AND(H3200=MIN($G$3200:$K$3200),SUM($G$3346:G3346)=0),1,0))</f>
        <v>1</v>
      </c>
      <c r="I3346" s="20" t="n">
        <f aca="false">IF($C$3347=1,I3315,IF(AND(I3200=MIN($G$3200:$K$3200),SUM($G$3346:H3346)=0),1,0))</f>
        <v>0</v>
      </c>
      <c r="J3346" s="20" t="n">
        <f aca="false">IF($C$3347=1,J3315,IF(AND(J3200=MIN($G$3200:$K$3200),SUM($G$3346:I3346)=0),1,0))</f>
        <v>0</v>
      </c>
      <c r="K3346" s="20" t="n">
        <f aca="false">IF($C$3347=1,K3315,IF(AND(K3200=MIN($G$3200:$K$3200),SUM($G$3346:J3346)=0),1,0))</f>
        <v>0</v>
      </c>
    </row>
    <row r="3347" customFormat="false" ht="15" hidden="false" customHeight="false" outlineLevel="0" collapsed="false">
      <c r="A3347" s="5" t="s">
        <v>446</v>
      </c>
      <c r="C3347" s="20" t="n">
        <f aca="false">IF(SUM($G$3315:$K$3315)&gt;0,1,0)</f>
        <v>1</v>
      </c>
    </row>
    <row r="3348" customFormat="false" ht="15" hidden="false" customHeight="false" outlineLevel="0" collapsed="false">
      <c r="A3348" s="5" t="s">
        <v>447</v>
      </c>
      <c r="C3348" s="20" t="n">
        <f aca="false">SUMPRODUCT($G$3346:$K$3346,$G$3190:$K$3190)</f>
        <v>2027</v>
      </c>
    </row>
    <row r="3349" customFormat="false" ht="15" hidden="false" customHeight="false" outlineLevel="0" collapsed="false">
      <c r="A3349" s="5" t="s">
        <v>448</v>
      </c>
      <c r="C3349" s="25" t="n">
        <f aca="false">SUMPRODUCT($G$3346:$K$3346,$G$3200:$K$3200)</f>
        <v>6.37950239999998</v>
      </c>
    </row>
    <row r="3350" customFormat="false" ht="15" hidden="false" customHeight="false" outlineLevel="0" collapsed="false">
      <c r="A3350" s="5" t="s">
        <v>449</v>
      </c>
      <c r="C3350" s="25" t="n">
        <f aca="false">MAX(0,SUMPRODUCT($G$3346:$K$3346,$G$3312:$K$3312))</f>
        <v>0</v>
      </c>
    </row>
    <row r="3351" customFormat="false" ht="15" hidden="false" customHeight="false" outlineLevel="0" collapsed="false">
      <c r="A3351" s="5" t="s">
        <v>450</v>
      </c>
      <c r="C3351" s="25" t="n">
        <f aca="false">(CHOOSE($C$3183,Assumptions!$C$78,Assumptions!$C$97,Assumptions!$C$116)+$C$3187)*C3349</f>
        <v>25.5180095999999</v>
      </c>
    </row>
    <row r="3352" customFormat="false" ht="15" hidden="false" customHeight="false" outlineLevel="0" collapsed="false">
      <c r="A3352" s="5" t="s">
        <v>451</v>
      </c>
      <c r="C3352" s="25" t="n">
        <f aca="false">Assumptions!$C$27*(1-CHOOSE($C$3183,Assumptions!$C$79,Assumptions!$C$98,Assumptions!$C$117))*CHOOSE($C$3183,Assumptions!$C$80,Assumptions!$C$99,Assumptions!$C$118)</f>
        <v>530.4</v>
      </c>
    </row>
    <row r="3353" customFormat="false" ht="15" hidden="false" customHeight="false" outlineLevel="0" collapsed="false">
      <c r="A3353" s="5" t="s">
        <v>452</v>
      </c>
      <c r="C3353" s="25" t="n">
        <f aca="false">MAX(C3351,C3352)+C3350</f>
        <v>530.4</v>
      </c>
    </row>
    <row r="3354" customFormat="false" ht="15" hidden="false" customHeight="false" outlineLevel="0" collapsed="false">
      <c r="A3354" s="2" t="s">
        <v>453</v>
      </c>
      <c r="C3354" s="16" t="n">
        <f aca="false">IF(ISNUMBER(Assumptions!$C$14),Assumptions!$C$14,C3353)</f>
        <v>530.4</v>
      </c>
    </row>
    <row r="3355" customFormat="false" ht="15" hidden="false" customHeight="false" outlineLevel="0" collapsed="false">
      <c r="A3355" s="5" t="s">
        <v>454</v>
      </c>
      <c r="C3355" s="25" t="n">
        <f aca="false">C3354*Assumptions!$C$15</f>
        <v>21.216</v>
      </c>
    </row>
    <row r="3356" customFormat="false" ht="15" hidden="false" customHeight="false" outlineLevel="0" collapsed="false">
      <c r="A3356" s="2" t="s">
        <v>455</v>
      </c>
      <c r="C3356" s="16" t="n">
        <f aca="false">C3354-C3355</f>
        <v>509.184</v>
      </c>
    </row>
    <row r="3357" customFormat="false" ht="15" hidden="false" customHeight="false" outlineLevel="0" collapsed="false">
      <c r="A3357" s="23" t="s">
        <v>456</v>
      </c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</row>
    <row r="3358" customFormat="false" ht="15" hidden="false" customHeight="false" outlineLevel="0" collapsed="false">
      <c r="A3358" s="5" t="s">
        <v>457</v>
      </c>
      <c r="C3358" s="25" t="n">
        <f aca="false">SUMPRODUCT($G$3346:$K$3346,$G$3237:$K$3237)*(1+SUMPRODUCT($G$3346:$K$3346,$G$3229:$K$3229)*Assumptions!$C$16/12)</f>
        <v>266.9689127</v>
      </c>
    </row>
    <row r="3359" customFormat="false" ht="15" hidden="false" customHeight="false" outlineLevel="0" collapsed="false">
      <c r="A3359" s="5" t="s">
        <v>458</v>
      </c>
      <c r="C3359" s="25" t="n">
        <f aca="false">SUMPRODUCT($G$3346:$K$3346,$G$3250:$K$3250)*(1+SUMPRODUCT($G$3346:$K$3346,$G$3242:$K$3242)*Assumptions!$C$16/12)</f>
        <v>524.3147</v>
      </c>
    </row>
    <row r="3360" customFormat="false" ht="15" hidden="false" customHeight="false" outlineLevel="0" collapsed="false">
      <c r="A3360" s="5" t="s">
        <v>459</v>
      </c>
      <c r="C3360" s="25" t="n">
        <f aca="false">SUMPRODUCT($G$3346:$K$3346,$G$3263:$K$3263)*(1+SUMPRODUCT($G$3346:$K$3346,$G$3255:$K$3255)*Assumptions!$C$16/12)</f>
        <v>256.875</v>
      </c>
    </row>
    <row r="3361" customFormat="false" ht="15" hidden="false" customHeight="false" outlineLevel="0" collapsed="false">
      <c r="A3361" s="5" t="s">
        <v>460</v>
      </c>
      <c r="C3361" s="25" t="n">
        <f aca="false">SUMPRODUCT($G$3346:$K$3346,$G$3276:$K$3276)*(1+SUMPRODUCT($G$3346:$K$3346,$G$3268:$K$3268)*Assumptions!$C$16/12)</f>
        <v>305.625</v>
      </c>
    </row>
    <row r="3362" customFormat="false" ht="15" hidden="false" customHeight="false" outlineLevel="0" collapsed="false">
      <c r="A3362" s="23" t="s">
        <v>461</v>
      </c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</row>
    <row r="3363" customFormat="false" ht="15" hidden="false" customHeight="false" outlineLevel="0" collapsed="false">
      <c r="A3363" s="5" t="s">
        <v>457</v>
      </c>
      <c r="C3363" s="26" t="n">
        <f aca="false">Assumptions!$M$53</f>
        <v>1</v>
      </c>
    </row>
    <row r="3364" customFormat="false" ht="15" hidden="false" customHeight="false" outlineLevel="0" collapsed="false">
      <c r="A3364" s="5" t="s">
        <v>458</v>
      </c>
      <c r="C3364" s="26" t="n">
        <f aca="false">Assumptions!$M$54</f>
        <v>2</v>
      </c>
    </row>
    <row r="3365" customFormat="false" ht="15" hidden="false" customHeight="false" outlineLevel="0" collapsed="false">
      <c r="A3365" s="5" t="s">
        <v>459</v>
      </c>
      <c r="C3365" s="26" t="n">
        <f aca="false">Assumptions!$M$55</f>
        <v>3</v>
      </c>
    </row>
    <row r="3366" customFormat="false" ht="15" hidden="false" customHeight="false" outlineLevel="0" collapsed="false">
      <c r="A3366" s="5" t="s">
        <v>460</v>
      </c>
      <c r="C3366" s="26" t="n">
        <f aca="false">Assumptions!$M$56</f>
        <v>4</v>
      </c>
    </row>
    <row r="3367" customFormat="false" ht="15" hidden="false" customHeight="false" outlineLevel="0" collapsed="false">
      <c r="A3367" s="23" t="s">
        <v>462</v>
      </c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</row>
    <row r="3368" customFormat="false" ht="15" hidden="false" customHeight="false" outlineLevel="0" collapsed="false">
      <c r="A3368" s="5" t="s">
        <v>457</v>
      </c>
      <c r="C3368" s="34" t="n">
        <f aca="false">Assumptions!$Q$53</f>
        <v>0</v>
      </c>
    </row>
    <row r="3369" customFormat="false" ht="15" hidden="false" customHeight="false" outlineLevel="0" collapsed="false">
      <c r="A3369" s="5" t="s">
        <v>458</v>
      </c>
      <c r="C3369" s="34" t="n">
        <f aca="false">Assumptions!$Q$54</f>
        <v>0</v>
      </c>
    </row>
    <row r="3370" customFormat="false" ht="15" hidden="false" customHeight="false" outlineLevel="0" collapsed="false">
      <c r="A3370" s="5" t="s">
        <v>459</v>
      </c>
      <c r="C3370" s="34" t="n">
        <f aca="false">Assumptions!$Q$55</f>
        <v>0</v>
      </c>
    </row>
    <row r="3371" customFormat="false" ht="15" hidden="false" customHeight="false" outlineLevel="0" collapsed="false">
      <c r="A3371" s="5" t="s">
        <v>460</v>
      </c>
      <c r="C3371" s="34" t="n">
        <f aca="false">Assumptions!$Q$56</f>
        <v>0</v>
      </c>
    </row>
    <row r="3372" customFormat="false" ht="15" hidden="false" customHeight="false" outlineLevel="0" collapsed="false">
      <c r="A3372" s="23" t="s">
        <v>463</v>
      </c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</row>
    <row r="3373" customFormat="false" ht="15" hidden="false" customHeight="false" outlineLevel="0" collapsed="false">
      <c r="A3373" s="5" t="s">
        <v>457</v>
      </c>
      <c r="C3373" s="25" t="n">
        <f aca="false">IF(C3368&gt;0,MIN(C3358,C3368*$C$3356),0)</f>
        <v>0</v>
      </c>
    </row>
    <row r="3374" customFormat="false" ht="15" hidden="false" customHeight="false" outlineLevel="0" collapsed="false">
      <c r="A3374" s="5" t="s">
        <v>458</v>
      </c>
      <c r="C3374" s="25" t="n">
        <f aca="false">IF(C3369&gt;0,MIN(C3359,C3369*$C$3356),0)</f>
        <v>0</v>
      </c>
    </row>
    <row r="3375" customFormat="false" ht="15" hidden="false" customHeight="false" outlineLevel="0" collapsed="false">
      <c r="A3375" s="5" t="s">
        <v>459</v>
      </c>
      <c r="C3375" s="25" t="n">
        <f aca="false">IF(C3370&gt;0,MIN(C3360,C3370*$C$3356),0)</f>
        <v>0</v>
      </c>
    </row>
    <row r="3376" customFormat="false" ht="15" hidden="false" customHeight="false" outlineLevel="0" collapsed="false">
      <c r="A3376" s="5" t="s">
        <v>460</v>
      </c>
      <c r="C3376" s="25" t="n">
        <f aca="false">IF(C3371&gt;0,MIN(C3361,C3371*$C$3356),0)</f>
        <v>0</v>
      </c>
    </row>
    <row r="3377" customFormat="false" ht="15" hidden="false" customHeight="false" outlineLevel="0" collapsed="false">
      <c r="A3377" s="23" t="s">
        <v>464</v>
      </c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</row>
    <row r="3378" customFormat="false" ht="15" hidden="false" customHeight="false" outlineLevel="0" collapsed="false">
      <c r="A3378" s="5" t="s">
        <v>457</v>
      </c>
      <c r="C3378" s="25" t="n">
        <f aca="false">IF(C3368&gt;0,C3358-C3373,0)</f>
        <v>0</v>
      </c>
      <c r="G3378" s="20" t="n">
        <f aca="false">IF(AND(G3227=1,G3224=1),1,0)</f>
        <v>0</v>
      </c>
      <c r="H3378" s="20" t="n">
        <f aca="false">IF(G3378=1,1,IF(AND(H3227=1,H3224=1),1,0))</f>
        <v>0</v>
      </c>
      <c r="I3378" s="20" t="n">
        <f aca="false">IF(H3378=1,1,IF(AND(I3227=1,I3224=1),1,0))</f>
        <v>0</v>
      </c>
      <c r="J3378" s="20" t="n">
        <f aca="false">IF(I3378=1,1,IF(AND(J3227=1,J3224=1),1,0))</f>
        <v>0</v>
      </c>
      <c r="K3378" s="20" t="n">
        <f aca="false">IF(J3378=1,1,IF(AND(K3227=1,K3224=1),1,0))</f>
        <v>0</v>
      </c>
    </row>
    <row r="3379" customFormat="false" ht="15" hidden="false" customHeight="false" outlineLevel="0" collapsed="false">
      <c r="A3379" s="5" t="s">
        <v>458</v>
      </c>
      <c r="C3379" s="25" t="n">
        <f aca="false">IF(C3369&gt;0,C3359-C3374,0)</f>
        <v>0</v>
      </c>
      <c r="G3379" s="20" t="n">
        <f aca="false">IF(AND(G3240=1,G3224=1),1,0)</f>
        <v>0</v>
      </c>
      <c r="H3379" s="20" t="n">
        <f aca="false">IF(G3379=1,1,IF(AND(H3240=1,H3224=1),1,0))</f>
        <v>0</v>
      </c>
      <c r="I3379" s="20" t="n">
        <f aca="false">IF(H3379=1,1,IF(AND(I3240=1,I3224=1),1,0))</f>
        <v>0</v>
      </c>
      <c r="J3379" s="20" t="n">
        <f aca="false">IF(I3379=1,1,IF(AND(J3240=1,J3224=1),1,0))</f>
        <v>0</v>
      </c>
      <c r="K3379" s="20" t="n">
        <f aca="false">IF(J3379=1,1,IF(AND(K3240=1,K3224=1),1,0))</f>
        <v>0</v>
      </c>
    </row>
    <row r="3380" customFormat="false" ht="15" hidden="false" customHeight="false" outlineLevel="0" collapsed="false">
      <c r="A3380" s="5" t="s">
        <v>459</v>
      </c>
      <c r="C3380" s="25" t="n">
        <f aca="false">IF(C3370&gt;0,C3360-C3375,0)</f>
        <v>0</v>
      </c>
      <c r="G3380" s="20" t="n">
        <f aca="false">IF(AND(G3253=1,G3224=1),1,0)</f>
        <v>0</v>
      </c>
      <c r="H3380" s="20" t="n">
        <f aca="false">IF(G3380=1,1,IF(AND(H3253=1,H3224=1),1,0))</f>
        <v>0</v>
      </c>
      <c r="I3380" s="20" t="n">
        <f aca="false">IF(H3380=1,1,IF(AND(I3253=1,I3224=1),1,0))</f>
        <v>0</v>
      </c>
      <c r="J3380" s="20" t="n">
        <f aca="false">IF(I3380=1,1,IF(AND(J3253=1,J3224=1),1,0))</f>
        <v>0</v>
      </c>
      <c r="K3380" s="20" t="n">
        <f aca="false">IF(J3380=1,1,IF(AND(K3253=1,K3224=1),1,0))</f>
        <v>0</v>
      </c>
    </row>
    <row r="3381" customFormat="false" ht="15" hidden="false" customHeight="false" outlineLevel="0" collapsed="false">
      <c r="A3381" s="5" t="s">
        <v>460</v>
      </c>
      <c r="C3381" s="25" t="n">
        <f aca="false">IF(C3371&gt;0,C3361-C3376,0)</f>
        <v>0</v>
      </c>
      <c r="G3381" s="20" t="n">
        <f aca="false">IF(AND(G3266=1,G3224=1),1,0)</f>
        <v>0</v>
      </c>
      <c r="H3381" s="20" t="n">
        <f aca="false">IF(G3381=1,1,IF(AND(H3266=1,H3224=1),1,0))</f>
        <v>0</v>
      </c>
      <c r="I3381" s="20" t="n">
        <f aca="false">IF(H3381=1,1,IF(AND(I3266=1,I3224=1),1,0))</f>
        <v>0</v>
      </c>
      <c r="J3381" s="20" t="n">
        <f aca="false">IF(I3381=1,1,IF(AND(J3266=1,J3224=1),1,0))</f>
        <v>0</v>
      </c>
      <c r="K3381" s="20" t="n">
        <f aca="false">IF(J3381=1,1,IF(AND(K3266=1,K3224=1),1,0))</f>
        <v>0</v>
      </c>
    </row>
    <row r="3382" customFormat="false" ht="15" hidden="false" customHeight="false" outlineLevel="0" collapsed="false">
      <c r="A3382" s="23" t="s">
        <v>465</v>
      </c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</row>
    <row r="3383" customFormat="false" ht="15" hidden="false" customHeight="false" outlineLevel="0" collapsed="false">
      <c r="A3383" s="5" t="s">
        <v>457</v>
      </c>
      <c r="C3383" s="25" t="n">
        <f aca="false">IF(C3368&gt;0,C3378,C3358)</f>
        <v>266.9689127</v>
      </c>
    </row>
    <row r="3384" customFormat="false" ht="15" hidden="false" customHeight="false" outlineLevel="0" collapsed="false">
      <c r="A3384" s="5" t="s">
        <v>458</v>
      </c>
      <c r="C3384" s="25" t="n">
        <f aca="false">IF(C3369&gt;0,C3379,C3359)</f>
        <v>524.3147</v>
      </c>
    </row>
    <row r="3385" customFormat="false" ht="15" hidden="false" customHeight="false" outlineLevel="0" collapsed="false">
      <c r="A3385" s="5" t="s">
        <v>459</v>
      </c>
      <c r="C3385" s="25" t="n">
        <f aca="false">IF(C3370&gt;0,C3380,C3360)</f>
        <v>256.875</v>
      </c>
    </row>
    <row r="3386" customFormat="false" ht="15" hidden="false" customHeight="false" outlineLevel="0" collapsed="false">
      <c r="A3386" s="5" t="s">
        <v>460</v>
      </c>
      <c r="C3386" s="25" t="n">
        <f aca="false">IF(C3371&gt;0,C3381,C3361)</f>
        <v>305.625</v>
      </c>
    </row>
    <row r="3387" customFormat="false" ht="15" hidden="false" customHeight="false" outlineLevel="0" collapsed="false">
      <c r="A3387" s="23" t="s">
        <v>466</v>
      </c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</row>
    <row r="3388" customFormat="false" ht="15" hidden="false" customHeight="false" outlineLevel="0" collapsed="false">
      <c r="A3388" s="5" t="s">
        <v>457</v>
      </c>
      <c r="C3388" s="20" t="n">
        <f aca="false">IF(C3368&gt;0,Assumptions!$C$17,C3363)</f>
        <v>1</v>
      </c>
    </row>
    <row r="3389" customFormat="false" ht="15" hidden="false" customHeight="false" outlineLevel="0" collapsed="false">
      <c r="A3389" s="5" t="s">
        <v>458</v>
      </c>
      <c r="C3389" s="20" t="n">
        <f aca="false">IF(C3369&gt;0,Assumptions!$C$17,C3364)</f>
        <v>2</v>
      </c>
    </row>
    <row r="3390" customFormat="false" ht="15" hidden="false" customHeight="false" outlineLevel="0" collapsed="false">
      <c r="A3390" s="5" t="s">
        <v>459</v>
      </c>
      <c r="C3390" s="20" t="n">
        <f aca="false">IF(C3370&gt;0,Assumptions!$C$17,C3365)</f>
        <v>3</v>
      </c>
    </row>
    <row r="3391" customFormat="false" ht="15" hidden="false" customHeight="false" outlineLevel="0" collapsed="false">
      <c r="A3391" s="5" t="s">
        <v>460</v>
      </c>
      <c r="C3391" s="20" t="n">
        <f aca="false">IF(C3371&gt;0,Assumptions!$C$17,C3366)</f>
        <v>4</v>
      </c>
    </row>
    <row r="3392" customFormat="false" ht="15" hidden="false" customHeight="false" outlineLevel="0" collapsed="false">
      <c r="A3392" s="23" t="s">
        <v>467</v>
      </c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</row>
    <row r="3393" customFormat="false" ht="15" hidden="false" customHeight="false" outlineLevel="0" collapsed="false">
      <c r="A3393" s="5" t="s">
        <v>457</v>
      </c>
      <c r="C3393" s="25" t="n">
        <f aca="false">SUMPRODUCT(($C$3388:$C$3391&lt;C3388)*$C$3383:$C$3386)</f>
        <v>0</v>
      </c>
    </row>
    <row r="3394" customFormat="false" ht="15" hidden="false" customHeight="false" outlineLevel="0" collapsed="false">
      <c r="A3394" s="5" t="s">
        <v>458</v>
      </c>
      <c r="C3394" s="25" t="n">
        <f aca="false">SUMPRODUCT(($C$3388:$C$3391&lt;C3389)*$C$3383:$C$3386)</f>
        <v>266.9689127</v>
      </c>
    </row>
    <row r="3395" customFormat="false" ht="15" hidden="false" customHeight="false" outlineLevel="0" collapsed="false">
      <c r="A3395" s="5" t="s">
        <v>459</v>
      </c>
      <c r="C3395" s="25" t="n">
        <f aca="false">SUMPRODUCT(($C$3388:$C$3391&lt;C3390)*$C$3383:$C$3386)</f>
        <v>791.2836127</v>
      </c>
    </row>
    <row r="3396" customFormat="false" ht="15" hidden="false" customHeight="false" outlineLevel="0" collapsed="false">
      <c r="A3396" s="5" t="s">
        <v>460</v>
      </c>
      <c r="C3396" s="25" t="n">
        <f aca="false">SUMPRODUCT(($C$3388:$C$3391&lt;C3391)*$C$3383:$C$3386)</f>
        <v>1048.1586127</v>
      </c>
    </row>
    <row r="3397" customFormat="false" ht="15" hidden="false" customHeight="false" outlineLevel="0" collapsed="false">
      <c r="A3397" s="23" t="s">
        <v>468</v>
      </c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</row>
    <row r="3398" customFormat="false" ht="15" hidden="false" customHeight="false" outlineLevel="0" collapsed="false">
      <c r="A3398" s="5" t="s">
        <v>457</v>
      </c>
      <c r="C3398" s="25" t="n">
        <f aca="false">SUMPRODUCT(($C$3388:$C$3391=C3388)*$C$3383:$C$3386)</f>
        <v>266.9689127</v>
      </c>
    </row>
    <row r="3399" customFormat="false" ht="15" hidden="false" customHeight="false" outlineLevel="0" collapsed="false">
      <c r="A3399" s="5" t="s">
        <v>458</v>
      </c>
      <c r="C3399" s="25" t="n">
        <f aca="false">SUMPRODUCT(($C$3388:$C$3391=C3389)*$C$3383:$C$3386)</f>
        <v>524.3147</v>
      </c>
    </row>
    <row r="3400" customFormat="false" ht="15" hidden="false" customHeight="false" outlineLevel="0" collapsed="false">
      <c r="A3400" s="5" t="s">
        <v>459</v>
      </c>
      <c r="C3400" s="25" t="n">
        <f aca="false">SUMPRODUCT(($C$3388:$C$3391=C3390)*$C$3383:$C$3386)</f>
        <v>256.875</v>
      </c>
    </row>
    <row r="3401" customFormat="false" ht="15" hidden="false" customHeight="false" outlineLevel="0" collapsed="false">
      <c r="A3401" s="5" t="s">
        <v>460</v>
      </c>
      <c r="C3401" s="25" t="n">
        <f aca="false">SUMPRODUCT(($C$3388:$C$3391=C3391)*$C$3383:$C$3386)</f>
        <v>305.625</v>
      </c>
    </row>
    <row r="3402" customFormat="false" ht="15" hidden="false" customHeight="false" outlineLevel="0" collapsed="false">
      <c r="A3402" s="23" t="s">
        <v>469</v>
      </c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</row>
    <row r="3403" customFormat="false" ht="15" hidden="false" customHeight="false" outlineLevel="0" collapsed="false">
      <c r="A3403" s="5" t="s">
        <v>457</v>
      </c>
      <c r="C3403" s="25" t="n">
        <f aca="false">IF(C3398=0,0,C3383/C3398*MAX(0,MIN(C3398,$C$3356-SUM($C$3373:$C$3376)-C3393)))</f>
        <v>266.9689127</v>
      </c>
    </row>
    <row r="3404" customFormat="false" ht="15" hidden="false" customHeight="false" outlineLevel="0" collapsed="false">
      <c r="A3404" s="5" t="s">
        <v>458</v>
      </c>
      <c r="C3404" s="25" t="n">
        <f aca="false">IF(C3399=0,0,C3384/C3399*MAX(0,MIN(C3399,$C$3356-SUM($C$3373:$C$3376)-C3394)))</f>
        <v>242.2150873</v>
      </c>
    </row>
    <row r="3405" customFormat="false" ht="15" hidden="false" customHeight="false" outlineLevel="0" collapsed="false">
      <c r="A3405" s="5" t="s">
        <v>459</v>
      </c>
      <c r="C3405" s="25" t="n">
        <f aca="false">IF(C3400=0,0,C3385/C3400*MAX(0,MIN(C3400,$C$3356-SUM($C$3373:$C$3376)-C3395)))</f>
        <v>0</v>
      </c>
    </row>
    <row r="3406" customFormat="false" ht="15" hidden="false" customHeight="false" outlineLevel="0" collapsed="false">
      <c r="A3406" s="5" t="s">
        <v>460</v>
      </c>
      <c r="C3406" s="25" t="n">
        <f aca="false">IF(C3401=0,0,C3386/C3401*MAX(0,MIN(C3401,$C$3356-SUM($C$3373:$C$3376)-C3396)))</f>
        <v>0</v>
      </c>
    </row>
    <row r="3407" customFormat="false" ht="15" hidden="false" customHeight="false" outlineLevel="0" collapsed="false">
      <c r="A3407" s="23" t="s">
        <v>470</v>
      </c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</row>
    <row r="3408" customFormat="false" ht="15" hidden="false" customHeight="false" outlineLevel="0" collapsed="false">
      <c r="A3408" s="2" t="s">
        <v>457</v>
      </c>
      <c r="C3408" s="16" t="n">
        <f aca="false">C3373+C3403</f>
        <v>266.9689127</v>
      </c>
    </row>
    <row r="3409" customFormat="false" ht="15" hidden="false" customHeight="false" outlineLevel="0" collapsed="false">
      <c r="A3409" s="2" t="s">
        <v>458</v>
      </c>
      <c r="C3409" s="16" t="n">
        <f aca="false">C3374+C3404</f>
        <v>242.2150873</v>
      </c>
    </row>
    <row r="3410" customFormat="false" ht="15" hidden="false" customHeight="false" outlineLevel="0" collapsed="false">
      <c r="A3410" s="2" t="s">
        <v>459</v>
      </c>
      <c r="C3410" s="16" t="n">
        <f aca="false">C3375+C3405</f>
        <v>0</v>
      </c>
    </row>
    <row r="3411" customFormat="false" ht="15" hidden="false" customHeight="false" outlineLevel="0" collapsed="false">
      <c r="A3411" s="2" t="s">
        <v>460</v>
      </c>
      <c r="C3411" s="16" t="n">
        <f aca="false">C3376+C3406</f>
        <v>0</v>
      </c>
    </row>
    <row r="3412" customFormat="false" ht="15" hidden="false" customHeight="false" outlineLevel="0" collapsed="false">
      <c r="A3412" s="23" t="s">
        <v>471</v>
      </c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</row>
    <row r="3413" customFormat="false" ht="15" hidden="false" customHeight="false" outlineLevel="0" collapsed="false">
      <c r="A3413" s="5" t="s">
        <v>457</v>
      </c>
      <c r="C3413" s="21" t="n">
        <f aca="false">IF(C3358=0,1,C3408/C3358)</f>
        <v>1</v>
      </c>
    </row>
    <row r="3414" customFormat="false" ht="15" hidden="false" customHeight="false" outlineLevel="0" collapsed="false">
      <c r="A3414" s="5" t="s">
        <v>458</v>
      </c>
      <c r="C3414" s="21" t="n">
        <f aca="false">IF(C3359=0,1,C3409/C3359)</f>
        <v>0.461965089477751</v>
      </c>
    </row>
    <row r="3415" customFormat="false" ht="15" hidden="false" customHeight="false" outlineLevel="0" collapsed="false">
      <c r="A3415" s="5" t="s">
        <v>459</v>
      </c>
      <c r="C3415" s="21" t="n">
        <f aca="false">IF(C3360=0,1,C3410/C3360)</f>
        <v>0</v>
      </c>
    </row>
    <row r="3416" customFormat="false" ht="15" hidden="false" customHeight="false" outlineLevel="0" collapsed="false">
      <c r="A3416" s="5" t="s">
        <v>460</v>
      </c>
      <c r="C3416" s="21" t="n">
        <f aca="false">IF(C3361=0,1,C3411/C3361)</f>
        <v>0</v>
      </c>
    </row>
    <row r="3417" customFormat="false" ht="15" hidden="false" customHeight="false" outlineLevel="0" collapsed="false">
      <c r="A3417" s="23" t="s">
        <v>472</v>
      </c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</row>
    <row r="3418" customFormat="false" ht="15" hidden="false" customHeight="false" outlineLevel="0" collapsed="false">
      <c r="A3418" s="5" t="s">
        <v>457</v>
      </c>
      <c r="C3418" s="25" t="n">
        <f aca="false">C3358-C3408</f>
        <v>0</v>
      </c>
    </row>
    <row r="3419" customFormat="false" ht="15" hidden="false" customHeight="false" outlineLevel="0" collapsed="false">
      <c r="A3419" s="5" t="s">
        <v>458</v>
      </c>
      <c r="C3419" s="25" t="n">
        <f aca="false">C3359-C3409</f>
        <v>282.0996127</v>
      </c>
    </row>
    <row r="3420" customFormat="false" ht="15" hidden="false" customHeight="false" outlineLevel="0" collapsed="false">
      <c r="A3420" s="5" t="s">
        <v>459</v>
      </c>
      <c r="C3420" s="25" t="n">
        <f aca="false">C3360-C3410</f>
        <v>256.875</v>
      </c>
    </row>
    <row r="3421" customFormat="false" ht="15" hidden="false" customHeight="false" outlineLevel="0" collapsed="false">
      <c r="A3421" s="5" t="s">
        <v>460</v>
      </c>
      <c r="C3421" s="25" t="n">
        <f aca="false">C3361-C3411</f>
        <v>305.625</v>
      </c>
    </row>
    <row r="3422" customFormat="false" ht="15" hidden="false" customHeight="false" outlineLevel="0" collapsed="false">
      <c r="A3422" s="23" t="s">
        <v>473</v>
      </c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</row>
    <row r="3423" customFormat="false" ht="15" hidden="false" customHeight="false" outlineLevel="0" collapsed="false">
      <c r="A3423" s="5" t="s">
        <v>457</v>
      </c>
      <c r="C3423" s="21" t="n">
        <f aca="false">IF(C3358=0,0,C3418/C3358)</f>
        <v>0</v>
      </c>
    </row>
    <row r="3424" customFormat="false" ht="15" hidden="false" customHeight="false" outlineLevel="0" collapsed="false">
      <c r="A3424" s="5" t="s">
        <v>458</v>
      </c>
      <c r="C3424" s="21" t="n">
        <f aca="false">IF(C3359=0,0,C3419/C3359)</f>
        <v>0.538034910522249</v>
      </c>
    </row>
    <row r="3425" customFormat="false" ht="15" hidden="false" customHeight="false" outlineLevel="0" collapsed="false">
      <c r="A3425" s="5" t="s">
        <v>459</v>
      </c>
      <c r="C3425" s="21" t="n">
        <f aca="false">IF(C3360=0,0,C3420/C3360)</f>
        <v>1</v>
      </c>
    </row>
    <row r="3426" customFormat="false" ht="15" hidden="false" customHeight="false" outlineLevel="0" collapsed="false">
      <c r="A3426" s="5" t="s">
        <v>460</v>
      </c>
      <c r="C3426" s="21" t="n">
        <f aca="false">IF(C3361=0,0,C3421/C3361)</f>
        <v>1</v>
      </c>
    </row>
    <row r="3427" customFormat="false" ht="15" hidden="false" customHeight="false" outlineLevel="0" collapsed="false">
      <c r="A3427" s="2" t="s">
        <v>474</v>
      </c>
      <c r="C3427" s="16" t="n">
        <f aca="false">MAX(0,$C$3356-SUM($C$3373:$C$3376)-SUM($C$3383:$C$3386))</f>
        <v>0</v>
      </c>
    </row>
    <row r="3428" customFormat="false" ht="15" hidden="false" customHeight="false" outlineLevel="0" collapsed="false">
      <c r="A3428" s="5" t="s">
        <v>475</v>
      </c>
      <c r="C3428" s="25" t="n">
        <f aca="false">SUM($C$3408:$C$3411)+C3427+C3355-C3354</f>
        <v>0</v>
      </c>
    </row>
    <row r="3430" customFormat="false" ht="15" hidden="false" customHeight="false" outlineLevel="0" collapsed="false">
      <c r="A3430" s="23" t="s">
        <v>478</v>
      </c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</row>
    <row r="3431" customFormat="false" ht="15" hidden="false" customHeight="false" outlineLevel="0" collapsed="false">
      <c r="A3431" s="5" t="s">
        <v>479</v>
      </c>
      <c r="C3431" s="26" t="n">
        <f aca="false">Assumptions!$C$30</f>
        <v>2</v>
      </c>
    </row>
    <row r="3432" customFormat="false" ht="15" hidden="false" customHeight="false" outlineLevel="0" collapsed="false">
      <c r="A3432" s="5" t="s">
        <v>480</v>
      </c>
      <c r="C3432" s="28" t="n">
        <f aca="false">Assumptions!$C$31</f>
        <v>100</v>
      </c>
    </row>
    <row r="3433" customFormat="false" ht="15" hidden="false" customHeight="false" outlineLevel="0" collapsed="false">
      <c r="A3433" s="5" t="s">
        <v>481</v>
      </c>
      <c r="C3433" s="39" t="n">
        <f aca="false">Assumptions!$C$32</f>
        <v>78</v>
      </c>
    </row>
    <row r="3434" customFormat="false" ht="15" hidden="false" customHeight="false" outlineLevel="0" collapsed="false">
      <c r="A3434" s="5" t="s">
        <v>482</v>
      </c>
      <c r="C3434" s="25" t="n">
        <f aca="false">C3432*C3433/100*(1+Assumptions!$C$33)</f>
        <v>78.39</v>
      </c>
    </row>
    <row r="3435" customFormat="false" ht="15" hidden="false" customHeight="false" outlineLevel="0" collapsed="false">
      <c r="A3435" s="5" t="s">
        <v>483</v>
      </c>
      <c r="C3435" s="26" t="n">
        <f aca="false">Assumptions!$C$34</f>
        <v>2</v>
      </c>
    </row>
    <row r="3436" customFormat="false" ht="15" hidden="false" customHeight="false" outlineLevel="0" collapsed="false">
      <c r="A3436" s="5" t="s">
        <v>484</v>
      </c>
      <c r="C3436" s="20" t="n">
        <f aca="false">IF(C3347=1,SUMPRODUCT($G$3315:$K$3315,$G$3191:$K$3191),0)</f>
        <v>2</v>
      </c>
    </row>
    <row r="3437" customFormat="false" ht="15" hidden="false" customHeight="false" outlineLevel="0" collapsed="false">
      <c r="A3437" s="5" t="s">
        <v>485</v>
      </c>
      <c r="C3437" s="21" t="n">
        <f aca="false">IFERROR(C3432/CHOOSE(C3431,SUMPRODUCT($G$3346:$K$3346,$G$3237:$K$3237),SUMPRODUCT($G$3346:$K$3346,$G$3250:$K$3250),SUMPRODUCT($G$3346:$K$3346,$G$3263:$K$3263),SUMPRODUCT($G$3346:$K$3346,$G$3276:$K$3276)),0)</f>
        <v>0.196232339089482</v>
      </c>
    </row>
    <row r="3438" customFormat="false" ht="15" hidden="false" customHeight="false" outlineLevel="0" collapsed="false">
      <c r="A3438" s="5" t="s">
        <v>486</v>
      </c>
      <c r="C3438" s="25" t="n">
        <f aca="false">CHOOSE(C3431,C3408,C3409,C3410,C3411)*C3437</f>
        <v>47.5304331436421</v>
      </c>
    </row>
    <row r="3439" customFormat="false" ht="15" hidden="false" customHeight="false" outlineLevel="0" collapsed="false">
      <c r="A3439" s="5" t="s">
        <v>487</v>
      </c>
      <c r="C3439" s="21" t="n">
        <f aca="false">CHOOSE(C3431,C3413,C3414,C3415,C3416)</f>
        <v>0.461965089477751</v>
      </c>
    </row>
    <row r="3440" customFormat="false" ht="15" hidden="false" customHeight="false" outlineLevel="0" collapsed="false">
      <c r="A3440" s="5" t="s">
        <v>488</v>
      </c>
      <c r="C3440" s="20" t="n">
        <f aca="false">IF(C3347=1,C3436,C3435)</f>
        <v>2</v>
      </c>
    </row>
    <row r="3441" customFormat="false" ht="15" hidden="false" customHeight="false" outlineLevel="0" collapsed="false">
      <c r="A3441" s="5" t="s">
        <v>489</v>
      </c>
      <c r="C3441" s="33" t="n">
        <f aca="false">CHOOSE($C$3183,Assumptions!$C$77,Assumptions!$C$96,Assumptions!$C$115)</f>
        <v>90</v>
      </c>
    </row>
    <row r="3442" customFormat="false" ht="15" hidden="false" customHeight="false" outlineLevel="0" collapsed="false">
      <c r="A3442" s="5" t="s">
        <v>490</v>
      </c>
      <c r="C3442" s="25" t="n">
        <f aca="false">INDEX($G$3200:$K$3200,C3435)*CHOOSE($C$3183,Assumptions!$C$76,Assumptions!$C$95,Assumptions!$C$114)+MAX(0,INDEX($G$3312:$K$3312,C3435))</f>
        <v>31.8975119999999</v>
      </c>
    </row>
    <row r="3443" customFormat="false" ht="15" hidden="false" customHeight="false" outlineLevel="0" collapsed="false">
      <c r="A3443" s="23" t="s">
        <v>491</v>
      </c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</row>
    <row r="3444" customFormat="false" ht="15" hidden="false" customHeight="false" outlineLevel="0" collapsed="false">
      <c r="A3444" s="5" t="s">
        <v>457</v>
      </c>
      <c r="C3444" s="25" t="n">
        <f aca="false">INDEX($G$3237:$K$3237,C3435)</f>
        <v>260.5528</v>
      </c>
    </row>
    <row r="3445" customFormat="false" ht="15" hidden="false" customHeight="false" outlineLevel="0" collapsed="false">
      <c r="A3445" s="5" t="s">
        <v>458</v>
      </c>
      <c r="C3445" s="25" t="n">
        <f aca="false">INDEX($G$3250:$K$3250,C3435)</f>
        <v>509.6</v>
      </c>
    </row>
    <row r="3446" customFormat="false" ht="15" hidden="false" customHeight="false" outlineLevel="0" collapsed="false">
      <c r="A3446" s="5" t="s">
        <v>459</v>
      </c>
      <c r="C3446" s="25" t="n">
        <f aca="false">INDEX($G$3263:$K$3263,C3435)</f>
        <v>250</v>
      </c>
    </row>
    <row r="3447" customFormat="false" ht="15" hidden="false" customHeight="false" outlineLevel="0" collapsed="false">
      <c r="A3447" s="5" t="s">
        <v>460</v>
      </c>
      <c r="C3447" s="25" t="n">
        <f aca="false">INDEX($G$3276:$K$3276,C3435)</f>
        <v>300</v>
      </c>
    </row>
    <row r="3448" customFormat="false" ht="15" hidden="false" customHeight="false" outlineLevel="0" collapsed="false">
      <c r="A3448" s="23" t="s">
        <v>461</v>
      </c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</row>
    <row r="3449" customFormat="false" ht="15" hidden="false" customHeight="false" outlineLevel="0" collapsed="false">
      <c r="A3449" s="5" t="s">
        <v>457</v>
      </c>
      <c r="C3449" s="26" t="n">
        <f aca="false">Assumptions!$M$53</f>
        <v>1</v>
      </c>
    </row>
    <row r="3450" customFormat="false" ht="15" hidden="false" customHeight="false" outlineLevel="0" collapsed="false">
      <c r="A3450" s="5" t="s">
        <v>458</v>
      </c>
      <c r="C3450" s="26" t="n">
        <f aca="false">Assumptions!$M$54</f>
        <v>2</v>
      </c>
    </row>
    <row r="3451" customFormat="false" ht="15" hidden="false" customHeight="false" outlineLevel="0" collapsed="false">
      <c r="A3451" s="5" t="s">
        <v>459</v>
      </c>
      <c r="C3451" s="26" t="n">
        <f aca="false">Assumptions!$M$55</f>
        <v>3</v>
      </c>
    </row>
    <row r="3452" customFormat="false" ht="15" hidden="false" customHeight="false" outlineLevel="0" collapsed="false">
      <c r="A3452" s="5" t="s">
        <v>460</v>
      </c>
      <c r="C3452" s="26" t="n">
        <f aca="false">Assumptions!$M$56</f>
        <v>4</v>
      </c>
    </row>
    <row r="3453" customFormat="false" ht="15" hidden="false" customHeight="false" outlineLevel="0" collapsed="false">
      <c r="A3453" s="23" t="s">
        <v>462</v>
      </c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</row>
    <row r="3454" customFormat="false" ht="15" hidden="false" customHeight="false" outlineLevel="0" collapsed="false">
      <c r="A3454" s="5" t="s">
        <v>457</v>
      </c>
      <c r="C3454" s="34" t="n">
        <f aca="false">Assumptions!$Q$53</f>
        <v>0</v>
      </c>
    </row>
    <row r="3455" customFormat="false" ht="15" hidden="false" customHeight="false" outlineLevel="0" collapsed="false">
      <c r="A3455" s="5" t="s">
        <v>458</v>
      </c>
      <c r="C3455" s="34" t="n">
        <f aca="false">Assumptions!$Q$54</f>
        <v>0</v>
      </c>
    </row>
    <row r="3456" customFormat="false" ht="15" hidden="false" customHeight="false" outlineLevel="0" collapsed="false">
      <c r="A3456" s="5" t="s">
        <v>459</v>
      </c>
      <c r="C3456" s="34" t="n">
        <f aca="false">Assumptions!$Q$55</f>
        <v>0</v>
      </c>
    </row>
    <row r="3457" customFormat="false" ht="15" hidden="false" customHeight="false" outlineLevel="0" collapsed="false">
      <c r="A3457" s="5" t="s">
        <v>460</v>
      </c>
      <c r="C3457" s="34" t="n">
        <f aca="false">Assumptions!$Q$56</f>
        <v>0</v>
      </c>
    </row>
    <row r="3458" customFormat="false" ht="15" hidden="false" customHeight="false" outlineLevel="0" collapsed="false">
      <c r="A3458" s="23" t="s">
        <v>463</v>
      </c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</row>
    <row r="3459" customFormat="false" ht="15" hidden="false" customHeight="false" outlineLevel="0" collapsed="false">
      <c r="A3459" s="5" t="s">
        <v>457</v>
      </c>
      <c r="C3459" s="25" t="n">
        <f aca="false">IF(C3454&gt;0,MIN(C3444,C3454*$C$3442),0)</f>
        <v>0</v>
      </c>
    </row>
    <row r="3460" customFormat="false" ht="15" hidden="false" customHeight="false" outlineLevel="0" collapsed="false">
      <c r="A3460" s="5" t="s">
        <v>458</v>
      </c>
      <c r="C3460" s="25" t="n">
        <f aca="false">IF(C3455&gt;0,MIN(C3445,C3455*$C$3442),0)</f>
        <v>0</v>
      </c>
    </row>
    <row r="3461" customFormat="false" ht="15" hidden="false" customHeight="false" outlineLevel="0" collapsed="false">
      <c r="A3461" s="5" t="s">
        <v>459</v>
      </c>
      <c r="C3461" s="25" t="n">
        <f aca="false">IF(C3456&gt;0,MIN(C3446,C3456*$C$3442),0)</f>
        <v>0</v>
      </c>
    </row>
    <row r="3462" customFormat="false" ht="15" hidden="false" customHeight="false" outlineLevel="0" collapsed="false">
      <c r="A3462" s="5" t="s">
        <v>460</v>
      </c>
      <c r="C3462" s="25" t="n">
        <f aca="false">IF(C3457&gt;0,MIN(C3447,C3457*$C$3442),0)</f>
        <v>0</v>
      </c>
    </row>
    <row r="3463" customFormat="false" ht="15" hidden="false" customHeight="false" outlineLevel="0" collapsed="false">
      <c r="A3463" s="23" t="s">
        <v>464</v>
      </c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</row>
    <row r="3464" customFormat="false" ht="15" hidden="false" customHeight="false" outlineLevel="0" collapsed="false">
      <c r="A3464" s="5" t="s">
        <v>457</v>
      </c>
      <c r="C3464" s="25" t="n">
        <f aca="false">IF(C3454&gt;0,C3444-C3459,0)</f>
        <v>0</v>
      </c>
    </row>
    <row r="3465" customFormat="false" ht="15" hidden="false" customHeight="false" outlineLevel="0" collapsed="false">
      <c r="A3465" s="5" t="s">
        <v>458</v>
      </c>
      <c r="C3465" s="25" t="n">
        <f aca="false">IF(C3455&gt;0,C3445-C3460,0)</f>
        <v>0</v>
      </c>
    </row>
    <row r="3466" customFormat="false" ht="15" hidden="false" customHeight="false" outlineLevel="0" collapsed="false">
      <c r="A3466" s="5" t="s">
        <v>459</v>
      </c>
      <c r="C3466" s="25" t="n">
        <f aca="false">IF(C3456&gt;0,C3446-C3461,0)</f>
        <v>0</v>
      </c>
    </row>
    <row r="3467" customFormat="false" ht="15" hidden="false" customHeight="false" outlineLevel="0" collapsed="false">
      <c r="A3467" s="5" t="s">
        <v>460</v>
      </c>
      <c r="C3467" s="25" t="n">
        <f aca="false">IF(C3457&gt;0,C3447-C3462,0)</f>
        <v>0</v>
      </c>
    </row>
    <row r="3468" customFormat="false" ht="15" hidden="false" customHeight="false" outlineLevel="0" collapsed="false">
      <c r="A3468" s="23" t="s">
        <v>465</v>
      </c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</row>
    <row r="3469" customFormat="false" ht="15" hidden="false" customHeight="false" outlineLevel="0" collapsed="false">
      <c r="A3469" s="5" t="s">
        <v>457</v>
      </c>
      <c r="C3469" s="25" t="n">
        <f aca="false">IF(C3454&gt;0,C3464,C3444)</f>
        <v>260.5528</v>
      </c>
    </row>
    <row r="3470" customFormat="false" ht="15" hidden="false" customHeight="false" outlineLevel="0" collapsed="false">
      <c r="A3470" s="5" t="s">
        <v>458</v>
      </c>
      <c r="C3470" s="25" t="n">
        <f aca="false">IF(C3455&gt;0,C3465,C3445)</f>
        <v>509.6</v>
      </c>
    </row>
    <row r="3471" customFormat="false" ht="15" hidden="false" customHeight="false" outlineLevel="0" collapsed="false">
      <c r="A3471" s="5" t="s">
        <v>459</v>
      </c>
      <c r="C3471" s="25" t="n">
        <f aca="false">IF(C3456&gt;0,C3466,C3446)</f>
        <v>250</v>
      </c>
    </row>
    <row r="3472" customFormat="false" ht="15" hidden="false" customHeight="false" outlineLevel="0" collapsed="false">
      <c r="A3472" s="5" t="s">
        <v>460</v>
      </c>
      <c r="C3472" s="25" t="n">
        <f aca="false">IF(C3457&gt;0,C3467,C3447)</f>
        <v>300</v>
      </c>
    </row>
    <row r="3473" customFormat="false" ht="15" hidden="false" customHeight="false" outlineLevel="0" collapsed="false">
      <c r="A3473" s="23" t="s">
        <v>466</v>
      </c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</row>
    <row r="3474" customFormat="false" ht="15" hidden="false" customHeight="false" outlineLevel="0" collapsed="false">
      <c r="A3474" s="5" t="s">
        <v>457</v>
      </c>
      <c r="C3474" s="20" t="n">
        <f aca="false">IF(C3454&gt;0,Assumptions!$C$17,C3449)</f>
        <v>1</v>
      </c>
    </row>
    <row r="3475" customFormat="false" ht="15" hidden="false" customHeight="false" outlineLevel="0" collapsed="false">
      <c r="A3475" s="5" t="s">
        <v>458</v>
      </c>
      <c r="C3475" s="20" t="n">
        <f aca="false">IF(C3455&gt;0,Assumptions!$C$17,C3450)</f>
        <v>2</v>
      </c>
    </row>
    <row r="3476" customFormat="false" ht="15" hidden="false" customHeight="false" outlineLevel="0" collapsed="false">
      <c r="A3476" s="5" t="s">
        <v>459</v>
      </c>
      <c r="C3476" s="20" t="n">
        <f aca="false">IF(C3456&gt;0,Assumptions!$C$17,C3451)</f>
        <v>3</v>
      </c>
    </row>
    <row r="3477" customFormat="false" ht="15" hidden="false" customHeight="false" outlineLevel="0" collapsed="false">
      <c r="A3477" s="5" t="s">
        <v>460</v>
      </c>
      <c r="C3477" s="20" t="n">
        <f aca="false">IF(C3457&gt;0,Assumptions!$C$17,C3452)</f>
        <v>4</v>
      </c>
    </row>
    <row r="3478" customFormat="false" ht="15" hidden="false" customHeight="false" outlineLevel="0" collapsed="false">
      <c r="A3478" s="23" t="s">
        <v>467</v>
      </c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</row>
    <row r="3479" customFormat="false" ht="15" hidden="false" customHeight="false" outlineLevel="0" collapsed="false">
      <c r="A3479" s="5" t="s">
        <v>457</v>
      </c>
      <c r="C3479" s="25" t="n">
        <f aca="false">SUMPRODUCT(($C$3474:$C$3477&lt;C3474)*$C$3469:$C$3472)</f>
        <v>0</v>
      </c>
    </row>
    <row r="3480" customFormat="false" ht="15" hidden="false" customHeight="false" outlineLevel="0" collapsed="false">
      <c r="A3480" s="5" t="s">
        <v>458</v>
      </c>
      <c r="C3480" s="25" t="n">
        <f aca="false">SUMPRODUCT(($C$3474:$C$3477&lt;C3475)*$C$3469:$C$3472)</f>
        <v>260.5528</v>
      </c>
    </row>
    <row r="3481" customFormat="false" ht="15" hidden="false" customHeight="false" outlineLevel="0" collapsed="false">
      <c r="A3481" s="5" t="s">
        <v>459</v>
      </c>
      <c r="C3481" s="25" t="n">
        <f aca="false">SUMPRODUCT(($C$3474:$C$3477&lt;C3476)*$C$3469:$C$3472)</f>
        <v>770.1528</v>
      </c>
    </row>
    <row r="3482" customFormat="false" ht="15" hidden="false" customHeight="false" outlineLevel="0" collapsed="false">
      <c r="A3482" s="5" t="s">
        <v>460</v>
      </c>
      <c r="C3482" s="25" t="n">
        <f aca="false">SUMPRODUCT(($C$3474:$C$3477&lt;C3477)*$C$3469:$C$3472)</f>
        <v>1020.1528</v>
      </c>
    </row>
    <row r="3483" customFormat="false" ht="15" hidden="false" customHeight="false" outlineLevel="0" collapsed="false">
      <c r="A3483" s="23" t="s">
        <v>468</v>
      </c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</row>
    <row r="3484" customFormat="false" ht="15" hidden="false" customHeight="false" outlineLevel="0" collapsed="false">
      <c r="A3484" s="5" t="s">
        <v>457</v>
      </c>
      <c r="C3484" s="25" t="n">
        <f aca="false">SUMPRODUCT(($C$3474:$C$3477=C3474)*$C$3469:$C$3472)</f>
        <v>260.5528</v>
      </c>
    </row>
    <row r="3485" customFormat="false" ht="15" hidden="false" customHeight="false" outlineLevel="0" collapsed="false">
      <c r="A3485" s="5" t="s">
        <v>458</v>
      </c>
      <c r="C3485" s="25" t="n">
        <f aca="false">SUMPRODUCT(($C$3474:$C$3477=C3475)*$C$3469:$C$3472)</f>
        <v>509.6</v>
      </c>
    </row>
    <row r="3486" customFormat="false" ht="15" hidden="false" customHeight="false" outlineLevel="0" collapsed="false">
      <c r="A3486" s="5" t="s">
        <v>459</v>
      </c>
      <c r="C3486" s="25" t="n">
        <f aca="false">SUMPRODUCT(($C$3474:$C$3477=C3476)*$C$3469:$C$3472)</f>
        <v>250</v>
      </c>
    </row>
    <row r="3487" customFormat="false" ht="15" hidden="false" customHeight="false" outlineLevel="0" collapsed="false">
      <c r="A3487" s="5" t="s">
        <v>460</v>
      </c>
      <c r="C3487" s="25" t="n">
        <f aca="false">SUMPRODUCT(($C$3474:$C$3477=C3477)*$C$3469:$C$3472)</f>
        <v>300</v>
      </c>
    </row>
    <row r="3488" customFormat="false" ht="15" hidden="false" customHeight="false" outlineLevel="0" collapsed="false">
      <c r="A3488" s="23" t="s">
        <v>469</v>
      </c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</row>
    <row r="3489" customFormat="false" ht="15" hidden="false" customHeight="false" outlineLevel="0" collapsed="false">
      <c r="A3489" s="5" t="s">
        <v>457</v>
      </c>
      <c r="C3489" s="25" t="n">
        <f aca="false">IF(C3484=0,0,C3469/C3484*MAX(0,MIN(C3484,$C$3442-SUM($C$3459:$C$3462)-C3479)))</f>
        <v>31.8975119999999</v>
      </c>
    </row>
    <row r="3490" customFormat="false" ht="15" hidden="false" customHeight="false" outlineLevel="0" collapsed="false">
      <c r="A3490" s="5" t="s">
        <v>458</v>
      </c>
      <c r="C3490" s="25" t="n">
        <f aca="false">IF(C3485=0,0,C3470/C3485*MAX(0,MIN(C3485,$C$3442-SUM($C$3459:$C$3462)-C3480)))</f>
        <v>0</v>
      </c>
    </row>
    <row r="3491" customFormat="false" ht="15" hidden="false" customHeight="false" outlineLevel="0" collapsed="false">
      <c r="A3491" s="5" t="s">
        <v>459</v>
      </c>
      <c r="C3491" s="25" t="n">
        <f aca="false">IF(C3486=0,0,C3471/C3486*MAX(0,MIN(C3486,$C$3442-SUM($C$3459:$C$3462)-C3481)))</f>
        <v>0</v>
      </c>
    </row>
    <row r="3492" customFormat="false" ht="15" hidden="false" customHeight="false" outlineLevel="0" collapsed="false">
      <c r="A3492" s="5" t="s">
        <v>460</v>
      </c>
      <c r="C3492" s="25" t="n">
        <f aca="false">IF(C3487=0,0,C3472/C3487*MAX(0,MIN(C3487,$C$3442-SUM($C$3459:$C$3462)-C3482)))</f>
        <v>0</v>
      </c>
    </row>
    <row r="3493" customFormat="false" ht="15" hidden="false" customHeight="false" outlineLevel="0" collapsed="false">
      <c r="A3493" s="23" t="s">
        <v>470</v>
      </c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</row>
    <row r="3494" customFormat="false" ht="15" hidden="false" customHeight="false" outlineLevel="0" collapsed="false">
      <c r="A3494" s="2" t="s">
        <v>457</v>
      </c>
      <c r="C3494" s="16" t="n">
        <f aca="false">C3459+C3489</f>
        <v>31.8975119999999</v>
      </c>
    </row>
    <row r="3495" customFormat="false" ht="15" hidden="false" customHeight="false" outlineLevel="0" collapsed="false">
      <c r="A3495" s="2" t="s">
        <v>458</v>
      </c>
      <c r="C3495" s="16" t="n">
        <f aca="false">C3460+C3490</f>
        <v>0</v>
      </c>
    </row>
    <row r="3496" customFormat="false" ht="15" hidden="false" customHeight="false" outlineLevel="0" collapsed="false">
      <c r="A3496" s="2" t="s">
        <v>459</v>
      </c>
      <c r="C3496" s="16" t="n">
        <f aca="false">C3461+C3491</f>
        <v>0</v>
      </c>
    </row>
    <row r="3497" customFormat="false" ht="15" hidden="false" customHeight="false" outlineLevel="0" collapsed="false">
      <c r="A3497" s="2" t="s">
        <v>460</v>
      </c>
      <c r="C3497" s="16" t="n">
        <f aca="false">C3462+C3492</f>
        <v>0</v>
      </c>
    </row>
    <row r="3498" customFormat="false" ht="15" hidden="false" customHeight="false" outlineLevel="0" collapsed="false">
      <c r="A3498" s="23" t="s">
        <v>471</v>
      </c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</row>
    <row r="3499" customFormat="false" ht="15" hidden="false" customHeight="false" outlineLevel="0" collapsed="false">
      <c r="A3499" s="5" t="s">
        <v>457</v>
      </c>
      <c r="C3499" s="21" t="n">
        <f aca="false">IF(C3444=0,1,C3494/C3444)</f>
        <v>0.122422449499679</v>
      </c>
    </row>
    <row r="3500" customFormat="false" ht="15" hidden="false" customHeight="false" outlineLevel="0" collapsed="false">
      <c r="A3500" s="5" t="s">
        <v>458</v>
      </c>
      <c r="C3500" s="21" t="n">
        <f aca="false">IF(C3445=0,1,C3495/C3445)</f>
        <v>0</v>
      </c>
    </row>
    <row r="3501" customFormat="false" ht="15" hidden="false" customHeight="false" outlineLevel="0" collapsed="false">
      <c r="A3501" s="5" t="s">
        <v>459</v>
      </c>
      <c r="C3501" s="21" t="n">
        <f aca="false">IF(C3446=0,1,C3496/C3446)</f>
        <v>0</v>
      </c>
    </row>
    <row r="3502" customFormat="false" ht="15" hidden="false" customHeight="false" outlineLevel="0" collapsed="false">
      <c r="A3502" s="5" t="s">
        <v>460</v>
      </c>
      <c r="C3502" s="21" t="n">
        <f aca="false">IF(C3447=0,1,C3497/C3447)</f>
        <v>0</v>
      </c>
    </row>
    <row r="3503" customFormat="false" ht="15" hidden="false" customHeight="false" outlineLevel="0" collapsed="false">
      <c r="A3503" s="23" t="s">
        <v>472</v>
      </c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</row>
    <row r="3504" customFormat="false" ht="15" hidden="false" customHeight="false" outlineLevel="0" collapsed="false">
      <c r="A3504" s="5" t="s">
        <v>457</v>
      </c>
      <c r="C3504" s="25" t="n">
        <f aca="false">C3444-C3494</f>
        <v>228.655288</v>
      </c>
    </row>
    <row r="3505" customFormat="false" ht="15" hidden="false" customHeight="false" outlineLevel="0" collapsed="false">
      <c r="A3505" s="5" t="s">
        <v>458</v>
      </c>
      <c r="C3505" s="25" t="n">
        <f aca="false">C3445-C3495</f>
        <v>509.6</v>
      </c>
    </row>
    <row r="3506" customFormat="false" ht="15" hidden="false" customHeight="false" outlineLevel="0" collapsed="false">
      <c r="A3506" s="5" t="s">
        <v>459</v>
      </c>
      <c r="C3506" s="25" t="n">
        <f aca="false">C3446-C3496</f>
        <v>250</v>
      </c>
    </row>
    <row r="3507" customFormat="false" ht="15" hidden="false" customHeight="false" outlineLevel="0" collapsed="false">
      <c r="A3507" s="5" t="s">
        <v>460</v>
      </c>
      <c r="C3507" s="25" t="n">
        <f aca="false">C3447-C3497</f>
        <v>300</v>
      </c>
    </row>
    <row r="3508" customFormat="false" ht="15" hidden="false" customHeight="false" outlineLevel="0" collapsed="false">
      <c r="A3508" s="23" t="s">
        <v>473</v>
      </c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</row>
    <row r="3509" customFormat="false" ht="15" hidden="false" customHeight="false" outlineLevel="0" collapsed="false">
      <c r="A3509" s="5" t="s">
        <v>457</v>
      </c>
      <c r="C3509" s="21" t="n">
        <f aca="false">IF(C3444=0,0,C3504/C3444)</f>
        <v>0.877577550500321</v>
      </c>
    </row>
    <row r="3510" customFormat="false" ht="15" hidden="false" customHeight="false" outlineLevel="0" collapsed="false">
      <c r="A3510" s="5" t="s">
        <v>458</v>
      </c>
      <c r="C3510" s="21" t="n">
        <f aca="false">IF(C3445=0,0,C3505/C3445)</f>
        <v>1</v>
      </c>
    </row>
    <row r="3511" customFormat="false" ht="15" hidden="false" customHeight="false" outlineLevel="0" collapsed="false">
      <c r="A3511" s="5" t="s">
        <v>459</v>
      </c>
      <c r="C3511" s="21" t="n">
        <f aca="false">IF(C3446=0,0,C3506/C3446)</f>
        <v>1</v>
      </c>
    </row>
    <row r="3512" customFormat="false" ht="15" hidden="false" customHeight="false" outlineLevel="0" collapsed="false">
      <c r="A3512" s="5" t="s">
        <v>460</v>
      </c>
      <c r="C3512" s="21" t="n">
        <f aca="false">IF(C3447=0,0,C3507/C3447)</f>
        <v>1</v>
      </c>
    </row>
    <row r="3513" customFormat="false" ht="15" hidden="false" customHeight="false" outlineLevel="0" collapsed="false">
      <c r="A3513" s="2" t="s">
        <v>474</v>
      </c>
      <c r="C3513" s="16" t="n">
        <f aca="false">MAX(0,$C$3442-SUM($C$3459:$C$3462)-SUM($C$3469:$C$3472))</f>
        <v>0</v>
      </c>
    </row>
    <row r="3514" customFormat="false" ht="15" hidden="false" customHeight="false" outlineLevel="0" collapsed="false">
      <c r="A3514" s="5" t="s">
        <v>492</v>
      </c>
      <c r="C3514" s="33" t="n">
        <f aca="false">MIN(C3441,100*CHOOSE(C3431,C3499,C3500,C3501,C3502))</f>
        <v>0</v>
      </c>
    </row>
    <row r="3515" customFormat="false" ht="15" hidden="false" customHeight="false" outlineLevel="0" collapsed="false">
      <c r="A3515" s="5" t="s">
        <v>493</v>
      </c>
      <c r="C3515" s="20" t="n">
        <f aca="false">IF(C3347=1,C3436+Assumptions!$C$36,C3435)</f>
        <v>3</v>
      </c>
    </row>
    <row r="3516" customFormat="false" ht="15" hidden="false" customHeight="false" outlineLevel="0" collapsed="false">
      <c r="A3516" s="23" t="s">
        <v>494</v>
      </c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</row>
    <row r="3517" customFormat="false" ht="15" hidden="false" customHeight="false" outlineLevel="0" collapsed="false">
      <c r="A3517" s="5" t="s">
        <v>495</v>
      </c>
      <c r="C3517" s="20" t="n">
        <f aca="false">COLUMN()-COLUMN($C$1)</f>
        <v>0</v>
      </c>
      <c r="D3517" s="20" t="n">
        <f aca="false">COLUMN()-COLUMN($C$1)</f>
        <v>1</v>
      </c>
      <c r="E3517" s="20" t="n">
        <f aca="false">COLUMN()-COLUMN($C$1)</f>
        <v>2</v>
      </c>
      <c r="F3517" s="20" t="n">
        <f aca="false">COLUMN()-COLUMN($C$1)</f>
        <v>3</v>
      </c>
      <c r="G3517" s="20" t="n">
        <f aca="false">COLUMN()-COLUMN($C$1)</f>
        <v>4</v>
      </c>
      <c r="H3517" s="20" t="n">
        <f aca="false">COLUMN()-COLUMN($C$1)</f>
        <v>5</v>
      </c>
      <c r="I3517" s="20" t="n">
        <f aca="false">COLUMN()-COLUMN($C$1)</f>
        <v>6</v>
      </c>
    </row>
    <row r="3518" customFormat="false" ht="15" hidden="false" customHeight="false" outlineLevel="0" collapsed="false">
      <c r="A3518" s="5" t="s">
        <v>496</v>
      </c>
      <c r="D3518" s="30" t="n">
        <f aca="false">CHOOSE($C$3431,G3229,G3242,G3255,G3268)</f>
        <v>0.118</v>
      </c>
      <c r="E3518" s="30" t="n">
        <f aca="false">CHOOSE($C$3431,H3229,H3242,H3255,H3268)</f>
        <v>0.1155</v>
      </c>
      <c r="F3518" s="30" t="n">
        <f aca="false">CHOOSE($C$3431,I3229,I3242,I3255,I3268)</f>
        <v>0.113</v>
      </c>
      <c r="G3518" s="30" t="n">
        <f aca="false">CHOOSE($C$3431,J3229,J3242,J3255,J3268)</f>
        <v>0.113</v>
      </c>
      <c r="H3518" s="30" t="n">
        <f aca="false">CHOOSE($C$3431,K3229,K3242,K3255,K3268)</f>
        <v>0.113</v>
      </c>
    </row>
    <row r="3519" customFormat="false" ht="15" hidden="false" customHeight="false" outlineLevel="0" collapsed="false">
      <c r="A3519" s="5" t="s">
        <v>497</v>
      </c>
      <c r="D3519" s="25" t="n">
        <f aca="false">IF(D3517&lt;=$C$3440,$C$3432*D3518,0)</f>
        <v>11.8</v>
      </c>
      <c r="E3519" s="25" t="n">
        <f aca="false">IF(E3517&lt;=$C$3440,$C$3432*E3518,0)</f>
        <v>11.55</v>
      </c>
      <c r="F3519" s="25" t="n">
        <f aca="false">IF(F3517&lt;=$C$3440,$C$3432*F3518,0)</f>
        <v>0</v>
      </c>
      <c r="G3519" s="25" t="n">
        <f aca="false">IF(G3517&lt;=$C$3440,$C$3432*G3518,0)</f>
        <v>0</v>
      </c>
      <c r="H3519" s="25" t="n">
        <f aca="false">IF(H3517&lt;=$C$3440,$C$3432*H3518,0)</f>
        <v>0</v>
      </c>
    </row>
    <row r="3520" customFormat="false" ht="15" hidden="false" customHeight="false" outlineLevel="0" collapsed="false">
      <c r="A3520" s="5" t="s">
        <v>498</v>
      </c>
      <c r="D3520" s="25" t="n">
        <f aca="false">IF(AND($C$3347=0,D3517=$C$3435),$C$3432*$C$3514/100,0)+IF(AND($C$3347=1,D3517=$C$3515),$C$3438,0)</f>
        <v>0</v>
      </c>
      <c r="E3520" s="25" t="n">
        <f aca="false">IF(AND($C$3347=0,E3517=$C$3435),$C$3432*$C$3514/100,0)+IF(AND($C$3347=1,E3517=$C$3515),$C$3438,0)</f>
        <v>0</v>
      </c>
      <c r="F3520" s="25" t="n">
        <f aca="false">IF(AND($C$3347=0,F3517=$C$3435),$C$3432*$C$3514/100,0)+IF(AND($C$3347=1,F3517=$C$3515),$C$3438,0)</f>
        <v>47.5304331436421</v>
      </c>
      <c r="G3520" s="25" t="n">
        <f aca="false">IF(AND($C$3347=0,G3517=$C$3435),$C$3432*$C$3514/100,0)+IF(AND($C$3347=1,G3517=$C$3515),$C$3438,0)</f>
        <v>0</v>
      </c>
      <c r="H3520" s="25" t="n">
        <f aca="false">IF(AND($C$3347=0,H3517=$C$3435),$C$3432*$C$3514/100,0)+IF(AND($C$3347=1,H3517=$C$3515),$C$3438,0)</f>
        <v>0</v>
      </c>
      <c r="I3520" s="25" t="n">
        <f aca="false">IF(AND($C$3347=0,I3517=$C$3435),$C$3432*$C$3514/100,0)+IF(AND($C$3347=1,I3517=$C$3515),$C$3438,0)</f>
        <v>0</v>
      </c>
    </row>
    <row r="3521" customFormat="false" ht="15" hidden="false" customHeight="false" outlineLevel="0" collapsed="false">
      <c r="A3521" s="2" t="s">
        <v>499</v>
      </c>
      <c r="C3521" s="16" t="n">
        <f aca="false">-$C$3434</f>
        <v>-78.39</v>
      </c>
      <c r="D3521" s="16" t="n">
        <f aca="false">D3519+D3520</f>
        <v>11.8</v>
      </c>
      <c r="E3521" s="16" t="n">
        <f aca="false">E3519+E3520</f>
        <v>11.55</v>
      </c>
      <c r="F3521" s="16" t="n">
        <f aca="false">F3519+F3520</f>
        <v>47.5304331436421</v>
      </c>
      <c r="G3521" s="16" t="n">
        <f aca="false">G3519+G3520</f>
        <v>0</v>
      </c>
      <c r="H3521" s="16" t="n">
        <f aca="false">H3519+H3520</f>
        <v>0</v>
      </c>
      <c r="I3521" s="16" t="n">
        <f aca="false">I3519+I3520</f>
        <v>0</v>
      </c>
    </row>
    <row r="3522" customFormat="false" ht="15" hidden="false" customHeight="false" outlineLevel="0" collapsed="false">
      <c r="A3522" s="5" t="s">
        <v>500</v>
      </c>
      <c r="C3522" s="25" t="n">
        <f aca="false">SUM($C$3519:$I$3519)</f>
        <v>23.35</v>
      </c>
    </row>
    <row r="3523" customFormat="false" ht="15" hidden="false" customHeight="false" outlineLevel="0" collapsed="false">
      <c r="A3523" s="5" t="s">
        <v>501</v>
      </c>
      <c r="C3523" s="25" t="n">
        <f aca="false">SUM($C$3520:$I$3520)</f>
        <v>47.5304331436421</v>
      </c>
    </row>
    <row r="3524" customFormat="false" ht="15" hidden="false" customHeight="false" outlineLevel="0" collapsed="false">
      <c r="A3524" s="5" t="s">
        <v>502</v>
      </c>
      <c r="C3524" s="25" t="n">
        <f aca="false">C3522+C3523</f>
        <v>70.8804331436421</v>
      </c>
    </row>
    <row r="3525" customFormat="false" ht="15" hidden="false" customHeight="false" outlineLevel="0" collapsed="false">
      <c r="A3525" s="5" t="s">
        <v>503</v>
      </c>
      <c r="C3525" s="25" t="n">
        <f aca="false">C3523-C3432*C3433/100</f>
        <v>-30.4695668563579</v>
      </c>
    </row>
    <row r="3526" customFormat="false" ht="15" hidden="false" customHeight="false" outlineLevel="0" collapsed="false">
      <c r="A3526" s="5" t="s">
        <v>504</v>
      </c>
      <c r="C3526" s="25" t="n">
        <f aca="false">C3524-C3434</f>
        <v>-7.50956685635792</v>
      </c>
    </row>
    <row r="3527" customFormat="false" ht="15" hidden="false" customHeight="false" outlineLevel="0" collapsed="false">
      <c r="A3527" s="2" t="s">
        <v>385</v>
      </c>
      <c r="C3527" s="43" t="n">
        <f aca="false">C3524/C3434</f>
        <v>0.904202489394592</v>
      </c>
    </row>
    <row r="3528" customFormat="false" ht="15" hidden="false" customHeight="false" outlineLevel="0" collapsed="false">
      <c r="A3528" s="2" t="s">
        <v>384</v>
      </c>
      <c r="C3528" s="41" t="n">
        <f aca="false">IF(C3524&lt;=0,-1,IFERROR(IRR($C$3521:$I$3521,MAX(-0.9,C3527^(1/C3515)-1)),IRR($C$3521:$I$3521,0.1)))</f>
        <v>-0.039239922268487</v>
      </c>
    </row>
    <row r="3529" customFormat="false" ht="15" hidden="false" customHeight="false" outlineLevel="0" collapsed="false">
      <c r="A3529" s="5" t="s">
        <v>505</v>
      </c>
      <c r="C3529" s="31" t="n">
        <f aca="false">MAX($G$3323:$K$3323)</f>
        <v>233.309381810093</v>
      </c>
    </row>
    <row r="3530" customFormat="false" ht="15" hidden="false" customHeight="false" outlineLevel="0" collapsed="false">
      <c r="A3530" s="5" t="s">
        <v>506</v>
      </c>
      <c r="C3530" s="31" t="n">
        <f aca="false">MIN($G$3324:$K$3324)</f>
        <v>0.0472122601763506</v>
      </c>
    </row>
    <row r="3531" customFormat="false" ht="15" hidden="false" customHeight="false" outlineLevel="0" collapsed="false">
      <c r="A3531" s="5" t="s">
        <v>507</v>
      </c>
      <c r="C3531" s="25" t="n">
        <f aca="false">SUM($G$3213:$K$3213)</f>
        <v>-711.058650859392</v>
      </c>
    </row>
    <row r="3535" customFormat="false" ht="15" hidden="false" customHeight="false" outlineLevel="0" collapsed="false">
      <c r="A3535" s="9" t="s">
        <v>636</v>
      </c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</row>
    <row r="3536" customFormat="false" ht="15" hidden="false" customHeight="false" outlineLevel="0" collapsed="false">
      <c r="A3536" s="5" t="s">
        <v>622</v>
      </c>
      <c r="C3536" s="11" t="n">
        <v>2</v>
      </c>
    </row>
    <row r="3537" customFormat="false" ht="15" hidden="false" customHeight="false" outlineLevel="0" collapsed="false">
      <c r="A3537" s="5" t="s">
        <v>623</v>
      </c>
      <c r="C3537" s="18" t="n">
        <v>0</v>
      </c>
    </row>
    <row r="3538" customFormat="false" ht="15" hidden="false" customHeight="false" outlineLevel="0" collapsed="false">
      <c r="A3538" s="5" t="s">
        <v>624</v>
      </c>
      <c r="C3538" s="29" t="n">
        <f aca="false">Sensitivities!$A$32</f>
        <v>0</v>
      </c>
    </row>
    <row r="3539" customFormat="false" ht="15" hidden="false" customHeight="false" outlineLevel="0" collapsed="false">
      <c r="A3539" s="5" t="s">
        <v>625</v>
      </c>
      <c r="C3539" s="18" t="n">
        <v>0</v>
      </c>
    </row>
    <row r="3540" customFormat="false" ht="15" hidden="false" customHeight="false" outlineLevel="0" collapsed="false">
      <c r="A3540" s="5" t="s">
        <v>626</v>
      </c>
      <c r="C3540" s="15" t="n">
        <v>0</v>
      </c>
    </row>
    <row r="3542" customFormat="false" ht="15" hidden="false" customHeight="false" outlineLevel="0" collapsed="false">
      <c r="A3542" s="23" t="s">
        <v>237</v>
      </c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</row>
    <row r="3543" customFormat="false" ht="15" hidden="false" customHeight="false" outlineLevel="0" collapsed="false">
      <c r="A3543" s="5" t="s">
        <v>238</v>
      </c>
      <c r="F3543" s="26" t="n">
        <f aca="false">Assumptions!$C$6</f>
        <v>2025</v>
      </c>
      <c r="G3543" s="20" t="n">
        <f aca="false">F3543+1</f>
        <v>2026</v>
      </c>
      <c r="H3543" s="20" t="n">
        <f aca="false">G3543+1</f>
        <v>2027</v>
      </c>
      <c r="I3543" s="20" t="n">
        <f aca="false">H3543+1</f>
        <v>2028</v>
      </c>
      <c r="J3543" s="20" t="n">
        <f aca="false">I3543+1</f>
        <v>2029</v>
      </c>
      <c r="K3543" s="20" t="n">
        <f aca="false">J3543+1</f>
        <v>2030</v>
      </c>
    </row>
    <row r="3544" customFormat="false" ht="15" hidden="false" customHeight="false" outlineLevel="0" collapsed="false">
      <c r="A3544" s="5" t="s">
        <v>239</v>
      </c>
      <c r="G3544" s="20" t="n">
        <f aca="false">G3543-Assumptions!$C$6</f>
        <v>1</v>
      </c>
      <c r="H3544" s="20" t="n">
        <f aca="false">H3543-Assumptions!$C$6</f>
        <v>2</v>
      </c>
      <c r="I3544" s="20" t="n">
        <f aca="false">I3543-Assumptions!$C$6</f>
        <v>3</v>
      </c>
      <c r="J3544" s="20" t="n">
        <f aca="false">J3543-Assumptions!$C$6</f>
        <v>4</v>
      </c>
      <c r="K3544" s="20" t="n">
        <f aca="false">K3543-Assumptions!$C$6</f>
        <v>5</v>
      </c>
    </row>
    <row r="3545" customFormat="false" ht="15" hidden="false" customHeight="false" outlineLevel="0" collapsed="false">
      <c r="A3545" s="5" t="s">
        <v>149</v>
      </c>
      <c r="G3545" s="21" t="n">
        <f aca="false">CHOOSE($C$3536,Assumptions!$G$65,Assumptions!$G$84,Assumptions!$G$103)+$C$3537</f>
        <v>-0.078</v>
      </c>
      <c r="H3545" s="21" t="n">
        <f aca="false">CHOOSE($C$3536,Assumptions!$H$65,Assumptions!$H$84,Assumptions!$H$103)+$C$3537</f>
        <v>-0.039</v>
      </c>
      <c r="I3545" s="21" t="n">
        <f aca="false">CHOOSE($C$3536,Assumptions!$I$65,Assumptions!$I$84,Assumptions!$I$103)+$C$3537</f>
        <v>-0.005</v>
      </c>
      <c r="J3545" s="21" t="n">
        <f aca="false">CHOOSE($C$3536,Assumptions!$J$65,Assumptions!$J$84,Assumptions!$J$103)+$C$3537</f>
        <v>-0.01</v>
      </c>
      <c r="K3545" s="21" t="n">
        <f aca="false">CHOOSE($C$3536,Assumptions!$K$65,Assumptions!$K$84,Assumptions!$K$103)+$C$3537</f>
        <v>-0.01</v>
      </c>
    </row>
    <row r="3546" customFormat="false" ht="15" hidden="false" customHeight="false" outlineLevel="0" collapsed="false">
      <c r="A3546" s="5" t="s">
        <v>150</v>
      </c>
      <c r="G3546" s="21" t="n">
        <f aca="false">CHOOSE($C$3536,Assumptions!$G$66,Assumptions!$G$85,Assumptions!$G$104)</f>
        <v>0.33</v>
      </c>
      <c r="H3546" s="21" t="n">
        <f aca="false">CHOOSE($C$3536,Assumptions!$H$66,Assumptions!$H$85,Assumptions!$H$104)</f>
        <v>0.318</v>
      </c>
      <c r="I3546" s="21" t="n">
        <f aca="false">CHOOSE($C$3536,Assumptions!$I$66,Assumptions!$I$85,Assumptions!$I$104)</f>
        <v>0.324</v>
      </c>
      <c r="J3546" s="21" t="n">
        <f aca="false">CHOOSE($C$3536,Assumptions!$J$66,Assumptions!$J$85,Assumptions!$J$104)</f>
        <v>0.33</v>
      </c>
      <c r="K3546" s="21" t="n">
        <f aca="false">CHOOSE($C$3536,Assumptions!$K$66,Assumptions!$K$85,Assumptions!$K$104)</f>
        <v>0.336</v>
      </c>
    </row>
    <row r="3547" customFormat="false" ht="15" hidden="false" customHeight="false" outlineLevel="0" collapsed="false">
      <c r="A3547" s="5" t="s">
        <v>151</v>
      </c>
      <c r="G3547" s="21" t="n">
        <f aca="false">CHOOSE($C$3536,Assumptions!$G$67,Assumptions!$G$86,Assumptions!$G$105)+$C$3538</f>
        <v>0.035</v>
      </c>
      <c r="H3547" s="21" t="n">
        <f aca="false">CHOOSE($C$3536,Assumptions!$H$67,Assumptions!$H$86,Assumptions!$H$105)+$C$3538</f>
        <v>0.023</v>
      </c>
      <c r="I3547" s="21" t="n">
        <f aca="false">CHOOSE($C$3536,Assumptions!$I$67,Assumptions!$I$86,Assumptions!$I$105)+$C$3538</f>
        <v>0.029</v>
      </c>
      <c r="J3547" s="21" t="n">
        <f aca="false">CHOOSE($C$3536,Assumptions!$J$67,Assumptions!$J$86,Assumptions!$J$105)+$C$3538</f>
        <v>0.035</v>
      </c>
      <c r="K3547" s="21" t="n">
        <f aca="false">CHOOSE($C$3536,Assumptions!$K$67,Assumptions!$K$86,Assumptions!$K$105)+$C$3538</f>
        <v>0.041</v>
      </c>
    </row>
    <row r="3548" customFormat="false" ht="15" hidden="false" customHeight="false" outlineLevel="0" collapsed="false">
      <c r="A3548" s="23" t="s">
        <v>240</v>
      </c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</row>
    <row r="3549" customFormat="false" ht="15" hidden="false" customHeight="false" outlineLevel="0" collapsed="false">
      <c r="A3549" s="2" t="s">
        <v>207</v>
      </c>
      <c r="F3549" s="27" t="n">
        <f aca="false">'Historical Financials'!E17</f>
        <v>2400</v>
      </c>
      <c r="G3549" s="16" t="n">
        <f aca="false">F3549*(1+G3545)</f>
        <v>2212.8</v>
      </c>
      <c r="H3549" s="16" t="n">
        <f aca="false">G3549*(1+H3545)</f>
        <v>2126.5008</v>
      </c>
      <c r="I3549" s="16" t="n">
        <f aca="false">H3549*(1+I3545)</f>
        <v>2115.868296</v>
      </c>
      <c r="J3549" s="16" t="n">
        <f aca="false">I3549*(1+J3545)</f>
        <v>2094.70961304</v>
      </c>
      <c r="K3549" s="16" t="n">
        <f aca="false">J3549*(1+K3545)</f>
        <v>2073.7625169096</v>
      </c>
    </row>
    <row r="3550" customFormat="false" ht="15" hidden="false" customHeight="false" outlineLevel="0" collapsed="false">
      <c r="A3550" s="5" t="s">
        <v>217</v>
      </c>
      <c r="G3550" s="25" t="n">
        <f aca="false">G3549*(1-G3546)</f>
        <v>1482.576</v>
      </c>
      <c r="H3550" s="25" t="n">
        <f aca="false">H3549*(1-H3546)</f>
        <v>1450.2735456</v>
      </c>
      <c r="I3550" s="25" t="n">
        <f aca="false">I3549*(1-I3546)</f>
        <v>1430.326968096</v>
      </c>
      <c r="J3550" s="25" t="n">
        <f aca="false">J3549*(1-J3546)</f>
        <v>1403.4554407368</v>
      </c>
      <c r="K3550" s="25" t="n">
        <f aca="false">K3549*(1-K3546)</f>
        <v>1376.97831122797</v>
      </c>
    </row>
    <row r="3551" customFormat="false" ht="15" hidden="false" customHeight="false" outlineLevel="0" collapsed="false">
      <c r="A3551" s="2" t="s">
        <v>218</v>
      </c>
      <c r="G3551" s="16" t="n">
        <f aca="false">G3549-G3550</f>
        <v>730.224</v>
      </c>
      <c r="H3551" s="16" t="n">
        <f aca="false">H3549-H3550</f>
        <v>676.2272544</v>
      </c>
      <c r="I3551" s="16" t="n">
        <f aca="false">I3549-I3550</f>
        <v>685.541327904</v>
      </c>
      <c r="J3551" s="16" t="n">
        <f aca="false">J3549-J3550</f>
        <v>691.2541723032</v>
      </c>
      <c r="K3551" s="16" t="n">
        <f aca="false">K3549-K3550</f>
        <v>696.784205681626</v>
      </c>
    </row>
    <row r="3552" customFormat="false" ht="15" hidden="false" customHeight="false" outlineLevel="0" collapsed="false">
      <c r="A3552" s="5" t="s">
        <v>241</v>
      </c>
      <c r="G3552" s="25" t="n">
        <f aca="false">G3551-G3553</f>
        <v>652.776</v>
      </c>
      <c r="H3552" s="25" t="n">
        <f aca="false">H3551-H3553</f>
        <v>627.317736</v>
      </c>
      <c r="I3552" s="25" t="n">
        <f aca="false">I3551-I3553</f>
        <v>624.18114732</v>
      </c>
      <c r="J3552" s="25" t="n">
        <f aca="false">J3551-J3553</f>
        <v>617.9393358468</v>
      </c>
      <c r="K3552" s="25" t="n">
        <f aca="false">K3551-K3553</f>
        <v>611.759942488332</v>
      </c>
    </row>
    <row r="3553" customFormat="false" ht="15" hidden="false" customHeight="false" outlineLevel="0" collapsed="false">
      <c r="A3553" s="2" t="s">
        <v>242</v>
      </c>
      <c r="G3553" s="16" t="n">
        <f aca="false">G3549*G3547</f>
        <v>77.448</v>
      </c>
      <c r="H3553" s="16" t="n">
        <f aca="false">H3549*H3547</f>
        <v>48.9095184</v>
      </c>
      <c r="I3553" s="16" t="n">
        <f aca="false">I3549*I3547</f>
        <v>61.360180584</v>
      </c>
      <c r="J3553" s="16" t="n">
        <f aca="false">J3549*J3547</f>
        <v>73.3148364564</v>
      </c>
      <c r="K3553" s="16" t="n">
        <f aca="false">K3549*K3547</f>
        <v>85.0242631932936</v>
      </c>
    </row>
    <row r="3554" customFormat="false" ht="15" hidden="false" customHeight="false" outlineLevel="0" collapsed="false">
      <c r="A3554" s="5" t="s">
        <v>243</v>
      </c>
      <c r="G3554" s="25" t="n">
        <f aca="false">G3549*'Historical Financials'!E22/'Historical Financials'!E17</f>
        <v>48.6816</v>
      </c>
      <c r="H3554" s="25" t="n">
        <f aca="false">H3549*'Historical Financials'!E22/'Historical Financials'!E17</f>
        <v>46.7830176</v>
      </c>
      <c r="I3554" s="25" t="n">
        <f aca="false">I3549*'Historical Financials'!E22/'Historical Financials'!E17</f>
        <v>46.549102512</v>
      </c>
      <c r="J3554" s="25" t="n">
        <f aca="false">J3549*'Historical Financials'!E22/'Historical Financials'!E17</f>
        <v>46.08361148688</v>
      </c>
      <c r="K3554" s="25" t="n">
        <f aca="false">K3549*'Historical Financials'!E22/'Historical Financials'!E17</f>
        <v>45.6227753720112</v>
      </c>
    </row>
    <row r="3555" customFormat="false" ht="15" hidden="false" customHeight="false" outlineLevel="0" collapsed="false">
      <c r="A3555" s="5" t="s">
        <v>244</v>
      </c>
      <c r="G3555" s="25" t="n">
        <f aca="false">G3549*'Historical Financials'!E23/'Historical Financials'!E17</f>
        <v>0</v>
      </c>
      <c r="H3555" s="25" t="n">
        <f aca="false">H3549*'Historical Financials'!E23/'Historical Financials'!E17</f>
        <v>0</v>
      </c>
      <c r="I3555" s="25" t="n">
        <f aca="false">I3549*'Historical Financials'!E23/'Historical Financials'!E17</f>
        <v>0</v>
      </c>
      <c r="J3555" s="25" t="n">
        <f aca="false">J3549*'Historical Financials'!E23/'Historical Financials'!E17</f>
        <v>0</v>
      </c>
      <c r="K3555" s="25" t="n">
        <f aca="false">K3549*'Historical Financials'!E23/'Historical Financials'!E17</f>
        <v>0</v>
      </c>
    </row>
    <row r="3556" customFormat="false" ht="15" hidden="false" customHeight="false" outlineLevel="0" collapsed="false">
      <c r="A3556" s="2" t="s">
        <v>245</v>
      </c>
      <c r="G3556" s="16" t="n">
        <f aca="false">G3553-G3554-G3555</f>
        <v>28.7664</v>
      </c>
      <c r="H3556" s="16" t="n">
        <f aca="false">H3553-H3554-H3555</f>
        <v>2.12650079999998</v>
      </c>
      <c r="I3556" s="16" t="n">
        <f aca="false">I3553-I3554-I3555</f>
        <v>14.811078072</v>
      </c>
      <c r="J3556" s="16" t="n">
        <f aca="false">J3553-J3554-J3555</f>
        <v>27.23122496952</v>
      </c>
      <c r="K3556" s="16" t="n">
        <f aca="false">K3553-K3554-K3555</f>
        <v>39.4014878212824</v>
      </c>
    </row>
    <row r="3557" customFormat="false" ht="15" hidden="false" customHeight="false" outlineLevel="0" collapsed="false">
      <c r="A3557" s="5" t="s">
        <v>246</v>
      </c>
      <c r="G3557" s="25" t="n">
        <f aca="false">G3583+G3596+G3609+G3622</f>
        <v>129.54</v>
      </c>
      <c r="H3557" s="25" t="n">
        <f aca="false">H3583+H3596+H3609+H3622</f>
        <v>130.7646348</v>
      </c>
      <c r="I3557" s="25" t="n">
        <f aca="false">I3583+I3596+I3609+I3622</f>
        <v>128.3492928</v>
      </c>
      <c r="J3557" s="25" t="n">
        <f aca="false">J3583+J3596+J3609+J3622</f>
        <v>127.7616928</v>
      </c>
      <c r="K3557" s="25" t="n">
        <f aca="false">K3583+K3596+K3609+K3622</f>
        <v>127.1740928</v>
      </c>
    </row>
    <row r="3558" customFormat="false" ht="15" hidden="false" customHeight="false" outlineLevel="0" collapsed="false">
      <c r="A3558" s="5" t="s">
        <v>247</v>
      </c>
      <c r="G3558" s="25" t="n">
        <f aca="false">G3584+G3597+G3610+G3623</f>
        <v>0</v>
      </c>
      <c r="H3558" s="25" t="n">
        <f aca="false">H3584+H3597+H3610+H3623</f>
        <v>0</v>
      </c>
      <c r="I3558" s="25" t="n">
        <f aca="false">I3584+I3597+I3610+I3623</f>
        <v>0</v>
      </c>
      <c r="J3558" s="25" t="n">
        <f aca="false">J3584+J3597+J3610+J3623</f>
        <v>0</v>
      </c>
      <c r="K3558" s="25" t="n">
        <f aca="false">K3584+K3597+K3610+K3623</f>
        <v>0</v>
      </c>
    </row>
    <row r="3559" customFormat="false" ht="15" hidden="false" customHeight="false" outlineLevel="0" collapsed="false">
      <c r="A3559" s="5" t="s">
        <v>212</v>
      </c>
      <c r="G3559" s="25" t="n">
        <f aca="false">G3557+G3558</f>
        <v>129.54</v>
      </c>
      <c r="H3559" s="25" t="n">
        <f aca="false">H3557+H3558</f>
        <v>130.7646348</v>
      </c>
      <c r="I3559" s="25" t="n">
        <f aca="false">I3557+I3558</f>
        <v>128.3492928</v>
      </c>
      <c r="J3559" s="25" t="n">
        <f aca="false">J3557+J3558</f>
        <v>127.7616928</v>
      </c>
      <c r="K3559" s="25" t="n">
        <f aca="false">K3557+K3558</f>
        <v>127.1740928</v>
      </c>
    </row>
    <row r="3560" customFormat="false" ht="15" hidden="false" customHeight="false" outlineLevel="0" collapsed="false">
      <c r="A3560" s="2" t="s">
        <v>223</v>
      </c>
      <c r="G3560" s="16" t="n">
        <f aca="false">G3556-G3559</f>
        <v>-100.7736</v>
      </c>
      <c r="H3560" s="16" t="n">
        <f aca="false">H3556-H3559</f>
        <v>-128.638134</v>
      </c>
      <c r="I3560" s="16" t="n">
        <f aca="false">I3556-I3559</f>
        <v>-113.538214728</v>
      </c>
      <c r="J3560" s="16" t="n">
        <f aca="false">J3556-J3559</f>
        <v>-100.53046783048</v>
      </c>
      <c r="K3560" s="16" t="n">
        <f aca="false">K3556-K3559</f>
        <v>-87.7726049787176</v>
      </c>
    </row>
    <row r="3561" customFormat="false" ht="15" hidden="false" customHeight="false" outlineLevel="0" collapsed="false">
      <c r="A3561" s="5" t="s">
        <v>213</v>
      </c>
      <c r="G3561" s="25" t="n">
        <f aca="false">MAX(0,G3560)*Assumptions!$C$9</f>
        <v>0</v>
      </c>
      <c r="H3561" s="25" t="n">
        <f aca="false">MAX(0,H3560)*Assumptions!$C$9</f>
        <v>0</v>
      </c>
      <c r="I3561" s="25" t="n">
        <f aca="false">MAX(0,I3560)*Assumptions!$C$9</f>
        <v>0</v>
      </c>
      <c r="J3561" s="25" t="n">
        <f aca="false">MAX(0,J3560)*Assumptions!$C$9</f>
        <v>0</v>
      </c>
      <c r="K3561" s="25" t="n">
        <f aca="false">MAX(0,K3560)*Assumptions!$C$9</f>
        <v>0</v>
      </c>
    </row>
    <row r="3562" customFormat="false" ht="15" hidden="false" customHeight="false" outlineLevel="0" collapsed="false">
      <c r="A3562" s="2" t="s">
        <v>248</v>
      </c>
      <c r="G3562" s="16" t="n">
        <f aca="false">G3560-G3561</f>
        <v>-100.7736</v>
      </c>
      <c r="H3562" s="16" t="n">
        <f aca="false">H3560-H3561</f>
        <v>-128.638134</v>
      </c>
      <c r="I3562" s="16" t="n">
        <f aca="false">I3560-I3561</f>
        <v>-113.538214728</v>
      </c>
      <c r="J3562" s="16" t="n">
        <f aca="false">J3560-J3561</f>
        <v>-100.53046783048</v>
      </c>
      <c r="K3562" s="16" t="n">
        <f aca="false">K3560-K3561</f>
        <v>-87.7726049787176</v>
      </c>
    </row>
    <row r="3563" customFormat="false" ht="15" hidden="false" customHeight="false" outlineLevel="0" collapsed="false">
      <c r="A3563" s="23" t="s">
        <v>249</v>
      </c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</row>
    <row r="3564" customFormat="false" ht="15" hidden="false" customHeight="false" outlineLevel="0" collapsed="false">
      <c r="A3564" s="5" t="s">
        <v>153</v>
      </c>
      <c r="G3564" s="25" t="n">
        <f aca="false">G3549*CHOOSE($C$3536,Assumptions!$C$69,Assumptions!$C$88,Assumptions!$C$107)</f>
        <v>42.0432</v>
      </c>
      <c r="H3564" s="25" t="n">
        <f aca="false">H3549*CHOOSE($C$3536,Assumptions!$C$69,Assumptions!$C$88,Assumptions!$C$107)</f>
        <v>40.4035152</v>
      </c>
      <c r="I3564" s="25" t="n">
        <f aca="false">I3549*CHOOSE($C$3536,Assumptions!$C$69,Assumptions!$C$88,Assumptions!$C$107)</f>
        <v>40.201497624</v>
      </c>
      <c r="J3564" s="25" t="n">
        <f aca="false">J3549*CHOOSE($C$3536,Assumptions!$C$69,Assumptions!$C$88,Assumptions!$C$107)</f>
        <v>39.79948264776</v>
      </c>
      <c r="K3564" s="25" t="n">
        <f aca="false">K3549*CHOOSE($C$3536,Assumptions!$C$69,Assumptions!$C$88,Assumptions!$C$107)</f>
        <v>39.4014878212824</v>
      </c>
    </row>
    <row r="3565" customFormat="false" ht="15" hidden="false" customHeight="false" outlineLevel="0" collapsed="false">
      <c r="A3565" s="5" t="s">
        <v>250</v>
      </c>
      <c r="G3565" s="25" t="n">
        <f aca="false">CHOOSE($C$3536,Assumptions!$C$70,Assumptions!$C$89,Assumptions!$C$108)*(G3549-F3549)+CHOOSE($C$3536,Assumptions!$C$71,Assumptions!$C$90,Assumptions!$C$109)*G3549</f>
        <v>-18.0384</v>
      </c>
      <c r="H3565" s="25" t="n">
        <f aca="false">CHOOSE($C$3536,Assumptions!$C$70,Assumptions!$C$89,Assumptions!$C$108)*(H3549-G3549)+CHOOSE($C$3536,Assumptions!$C$71,Assumptions!$C$90,Assumptions!$C$109)*H3549</f>
        <v>-6.10290239999999</v>
      </c>
      <c r="I3565" s="25" t="n">
        <f aca="false">CHOOSE($C$3536,Assumptions!$C$70,Assumptions!$C$89,Assumptions!$C$108)*(I3549-H3549)+CHOOSE($C$3536,Assumptions!$C$71,Assumptions!$C$90,Assumptions!$C$109)*I3549</f>
        <v>2.95583611199998</v>
      </c>
      <c r="J3565" s="25" t="n">
        <f aca="false">CHOOSE($C$3536,Assumptions!$C$70,Assumptions!$C$89,Assumptions!$C$108)*(J3549-I3549)+CHOOSE($C$3536,Assumptions!$C$71,Assumptions!$C$90,Assumptions!$C$109)*J3549</f>
        <v>1.65037727087999</v>
      </c>
      <c r="K3565" s="25" t="n">
        <f aca="false">CHOOSE($C$3536,Assumptions!$C$70,Assumptions!$C$89,Assumptions!$C$108)*(K3549-J3549)+CHOOSE($C$3536,Assumptions!$C$71,Assumptions!$C$90,Assumptions!$C$109)*K3549</f>
        <v>1.63387349817119</v>
      </c>
    </row>
    <row r="3566" customFormat="false" ht="15" hidden="false" customHeight="false" outlineLevel="0" collapsed="false">
      <c r="A3566" s="2" t="s">
        <v>251</v>
      </c>
      <c r="G3566" s="16" t="n">
        <f aca="false">G3562+G3554+G3555+G3558-G3564-G3565</f>
        <v>-76.0968</v>
      </c>
      <c r="H3566" s="16" t="n">
        <f aca="false">H3562+H3554+H3555+H3558-H3564-H3565</f>
        <v>-116.1557292</v>
      </c>
      <c r="I3566" s="16" t="n">
        <f aca="false">I3562+I3554+I3555+I3558-I3564-I3565</f>
        <v>-110.146445952</v>
      </c>
      <c r="J3566" s="16" t="n">
        <f aca="false">J3562+J3554+J3555+J3558-J3564-J3565</f>
        <v>-95.89671626224</v>
      </c>
      <c r="K3566" s="16" t="n">
        <f aca="false">K3562+K3554+K3555+K3558-K3564-K3565</f>
        <v>-83.18519092616</v>
      </c>
    </row>
    <row r="3568" customFormat="false" ht="15" hidden="false" customHeight="false" outlineLevel="0" collapsed="false">
      <c r="A3568" s="23" t="s">
        <v>253</v>
      </c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</row>
    <row r="3569" customFormat="false" ht="15" hidden="false" customHeight="false" outlineLevel="0" collapsed="false">
      <c r="A3569" s="5" t="s">
        <v>254</v>
      </c>
      <c r="G3569" s="29" t="n">
        <f aca="false">Assumptions!$G$49</f>
        <v>0.0425</v>
      </c>
      <c r="H3569" s="29" t="n">
        <f aca="false">Assumptions!$H$49</f>
        <v>0.04</v>
      </c>
      <c r="I3569" s="29" t="n">
        <f aca="false">Assumptions!$I$49</f>
        <v>0.0375</v>
      </c>
      <c r="J3569" s="29" t="n">
        <f aca="false">Assumptions!$J$49</f>
        <v>0.0375</v>
      </c>
      <c r="K3569" s="29" t="n">
        <f aca="false">Assumptions!$K$49</f>
        <v>0.0375</v>
      </c>
    </row>
    <row r="3570" customFormat="false" ht="15" hidden="false" customHeight="false" outlineLevel="0" collapsed="false">
      <c r="A3570" s="5" t="s">
        <v>255</v>
      </c>
      <c r="C3570" s="30" t="n">
        <f aca="false">CHOOSE($C$3536,Assumptions!$C$72,Assumptions!$C$91,Assumptions!$C$110)+$C$3539</f>
        <v>0.015</v>
      </c>
    </row>
    <row r="3571" customFormat="false" ht="15" hidden="false" customHeight="false" outlineLevel="0" collapsed="false">
      <c r="A3571" s="5" t="s">
        <v>256</v>
      </c>
      <c r="C3571" s="30" t="n">
        <f aca="false">CHOOSE($C$3536,Assumptions!$C$73,Assumptions!$C$92,Assumptions!$C$111)</f>
        <v>0.135</v>
      </c>
    </row>
    <row r="3572" customFormat="false" ht="15" hidden="false" customHeight="false" outlineLevel="0" collapsed="false">
      <c r="A3572" s="5" t="s">
        <v>257</v>
      </c>
      <c r="C3572" s="31" t="n">
        <f aca="false">CHOOSE($C$3536,Assumptions!$C$74,Assumptions!$C$93,Assumptions!$C$112)</f>
        <v>5.5</v>
      </c>
    </row>
    <row r="3573" customFormat="false" ht="15" hidden="false" customHeight="false" outlineLevel="0" collapsed="false">
      <c r="A3573" s="5" t="s">
        <v>258</v>
      </c>
      <c r="C3573" s="31" t="n">
        <f aca="false">CHOOSE($C$3536,Assumptions!$C$75,Assumptions!$C$94,Assumptions!$C$113)</f>
        <v>1.8</v>
      </c>
    </row>
    <row r="3574" customFormat="false" ht="15" hidden="false" customHeight="false" outlineLevel="0" collapsed="false">
      <c r="A3574" s="5" t="s">
        <v>259</v>
      </c>
      <c r="G3574" s="25" t="n">
        <f aca="false">G3579+G3592+G3605+G3618</f>
        <v>1250</v>
      </c>
      <c r="H3574" s="25" t="n">
        <f aca="false">H3579+H3592+H3605+H3618</f>
        <v>1281.0968</v>
      </c>
      <c r="I3574" s="25" t="n">
        <f aca="false">I3579+I3592+I3605+I3618</f>
        <v>1275.8968</v>
      </c>
      <c r="J3574" s="25" t="n">
        <f aca="false">J3579+J3592+J3605+J3618</f>
        <v>1270.6968</v>
      </c>
      <c r="K3574" s="25" t="n">
        <f aca="false">K3579+K3592+K3605+K3618</f>
        <v>1265.4968</v>
      </c>
    </row>
    <row r="3575" customFormat="false" ht="15" hidden="false" customHeight="false" outlineLevel="0" collapsed="false">
      <c r="A3575" s="5" t="s">
        <v>260</v>
      </c>
      <c r="G3575" s="25" t="n">
        <f aca="false">F3665</f>
        <v>45</v>
      </c>
      <c r="H3575" s="25" t="n">
        <f aca="false">G3665</f>
        <v>0</v>
      </c>
      <c r="I3575" s="25" t="n">
        <f aca="false">H3665</f>
        <v>-121.3557292</v>
      </c>
      <c r="J3575" s="25" t="n">
        <f aca="false">I3665</f>
        <v>-236.702175152</v>
      </c>
      <c r="K3575" s="25" t="n">
        <f aca="false">J3665</f>
        <v>-337.79889141424</v>
      </c>
    </row>
    <row r="3576" customFormat="false" ht="15" hidden="false" customHeight="false" outlineLevel="0" collapsed="false">
      <c r="A3576" s="5" t="s">
        <v>261</v>
      </c>
      <c r="G3576" s="25" t="n">
        <f aca="false">G3579*IF(G3580=1,$C$3571,IF(Assumptions!$I$53=1,MAX(G3569,Assumptions!$G$53)+Assumptions!$F$53+$C$3570,Assumptions!$E$53))+G3592*IF(G3593=1,$C$3571,IF(Assumptions!$I$54=1,MAX(G3569,Assumptions!$G$54)+Assumptions!$F$54+$C$3570,Assumptions!$E$54))+G3605*IF(G3606=1,$C$3571,IF(Assumptions!$I$55=1,MAX(G3569,Assumptions!$G$55)+Assumptions!$F$55+$C$3570,Assumptions!$E$55))+G3618*IF(G3619=1,$C$3571,IF(Assumptions!$I$56=1,MAX(G3569,Assumptions!$G$56)+Assumptions!$F$56+$C$3570,Assumptions!$E$56))</f>
        <v>129.54</v>
      </c>
      <c r="H3576" s="25" t="n">
        <f aca="false">H3579*IF(OR(H3580=1,G3731=1),$C$3571,IF(Assumptions!$I$53=1,MAX(H3569,Assumptions!$G$53)+Assumptions!$F$53+$C$3570,Assumptions!$E$53))+H3592*IF(OR(H3593=1,G3732=1),$C$3571,IF(Assumptions!$I$54=1,MAX(H3569,Assumptions!$G$54)+Assumptions!$F$54+$C$3570,Assumptions!$E$54))+H3605*IF(OR(H3606=1,G3733=1),$C$3571,IF(Assumptions!$I$55=1,MAX(H3569,Assumptions!$G$55)+Assumptions!$F$55+$C$3570,Assumptions!$E$55))+H3618*IF(OR(H3619=1,G3734=1),$C$3571,IF(Assumptions!$I$56=1,MAX(H3569,Assumptions!$G$56)+Assumptions!$F$56+$C$3570,Assumptions!$E$56))</f>
        <v>156.659468</v>
      </c>
      <c r="I3576" s="25" t="n">
        <f aca="false">I3579*IF(OR(I3580=1,H3731=1),$C$3571,IF(Assumptions!$I$53=1,MAX(I3569,Assumptions!$G$53)+Assumptions!$F$53+$C$3570,Assumptions!$E$53))+I3592*IF(OR(I3593=1,H3732=1),$C$3571,IF(Assumptions!$I$54=1,MAX(I3569,Assumptions!$G$54)+Assumptions!$F$54+$C$3570,Assumptions!$E$54))+I3605*IF(OR(I3606=1,H3733=1),$C$3571,IF(Assumptions!$I$55=1,MAX(I3569,Assumptions!$G$55)+Assumptions!$F$55+$C$3570,Assumptions!$E$55))+I3618*IF(OR(I3619=1,H3734=1),$C$3571,IF(Assumptions!$I$56=1,MAX(I3569,Assumptions!$G$56)+Assumptions!$F$56+$C$3570,Assumptions!$E$56))</f>
        <v>139.5604928</v>
      </c>
      <c r="J3576" s="25" t="n">
        <f aca="false">J3579*IF(OR(J3580=1,I3731=1),$C$3571,IF(Assumptions!$I$53=1,MAX(J3569,Assumptions!$G$53)+Assumptions!$F$53+$C$3570,Assumptions!$E$53))+J3592*IF(OR(J3593=1,I3732=1),$C$3571,IF(Assumptions!$I$54=1,MAX(J3569,Assumptions!$G$54)+Assumptions!$F$54+$C$3570,Assumptions!$E$54))+J3605*IF(OR(J3606=1,I3733=1),$C$3571,IF(Assumptions!$I$55=1,MAX(J3569,Assumptions!$G$55)+Assumptions!$F$55+$C$3570,Assumptions!$E$55))+J3618*IF(OR(J3619=1,I3734=1),$C$3571,IF(Assumptions!$I$56=1,MAX(J3569,Assumptions!$G$56)+Assumptions!$F$56+$C$3570,Assumptions!$E$56))</f>
        <v>134.0116928</v>
      </c>
      <c r="K3576" s="25" t="n">
        <f aca="false">K3579*IF(OR(K3580=1,J3731=1),$C$3571,IF(Assumptions!$I$53=1,MAX(K3569,Assumptions!$G$53)+Assumptions!$F$53+$C$3570,Assumptions!$E$53))+K3592*IF(OR(K3593=1,J3732=1),$C$3571,IF(Assumptions!$I$54=1,MAX(K3569,Assumptions!$G$54)+Assumptions!$F$54+$C$3570,Assumptions!$E$54))+K3605*IF(OR(K3606=1,J3733=1),$C$3571,IF(Assumptions!$I$55=1,MAX(K3569,Assumptions!$G$55)+Assumptions!$F$55+$C$3570,Assumptions!$E$55))+K3618*IF(OR(K3619=1,J3734=1),$C$3571,IF(Assumptions!$I$56=1,MAX(K3569,Assumptions!$G$56)+Assumptions!$F$56+$C$3570,Assumptions!$E$56))</f>
        <v>127.1740928</v>
      </c>
    </row>
    <row r="3577" customFormat="false" ht="15" hidden="false" customHeight="false" outlineLevel="0" collapsed="false">
      <c r="A3577" s="5" t="s">
        <v>262</v>
      </c>
      <c r="G3577" s="20" t="n">
        <f aca="false">IF(G3553&lt;=0,0,IF(AND((G3574-G3575)/G3553&lt;=$C$3572,G3553/G3576&gt;=$C$3573),1,0))</f>
        <v>0</v>
      </c>
      <c r="H3577" s="20" t="n">
        <f aca="false">IF(H3553&lt;=0,0,IF(AND((H3574-H3575)/H3553&lt;=$C$3572,H3553/H3576&gt;=$C$3573),1,0))</f>
        <v>0</v>
      </c>
      <c r="I3577" s="20" t="n">
        <f aca="false">IF(I3553&lt;=0,0,IF(AND((I3574-I3575)/I3553&lt;=$C$3572,I3553/I3576&gt;=$C$3573),1,0))</f>
        <v>0</v>
      </c>
      <c r="J3577" s="20" t="n">
        <f aca="false">IF(J3553&lt;=0,0,IF(AND((J3574-J3575)/J3553&lt;=$C$3572,J3553/J3576&gt;=$C$3573),1,0))</f>
        <v>0</v>
      </c>
      <c r="K3577" s="20" t="n">
        <f aca="false">IF(K3553&lt;=0,0,IF(AND((K3574-K3575)/K3553&lt;=$C$3572,K3553/K3576&gt;=$C$3573),1,0))</f>
        <v>0</v>
      </c>
    </row>
    <row r="3578" customFormat="false" ht="15" hidden="false" customHeight="false" outlineLevel="0" collapsed="false">
      <c r="A3578" s="23" t="s">
        <v>263</v>
      </c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</row>
    <row r="3579" customFormat="false" ht="15" hidden="false" customHeight="false" outlineLevel="0" collapsed="false">
      <c r="A3579" s="5" t="s">
        <v>264</v>
      </c>
      <c r="G3579" s="25" t="n">
        <f aca="false">F3590</f>
        <v>180</v>
      </c>
      <c r="H3579" s="25" t="n">
        <f aca="false">G3590</f>
        <v>216.2968</v>
      </c>
      <c r="I3579" s="25" t="n">
        <f aca="false">H3590</f>
        <v>216.2968</v>
      </c>
      <c r="J3579" s="25" t="n">
        <f aca="false">I3590</f>
        <v>216.2968</v>
      </c>
      <c r="K3579" s="25" t="n">
        <f aca="false">J3590</f>
        <v>216.2968</v>
      </c>
    </row>
    <row r="3580" customFormat="false" ht="15" hidden="false" customHeight="false" outlineLevel="0" collapsed="false">
      <c r="A3580" s="5" t="s">
        <v>265</v>
      </c>
      <c r="G3580" s="20" t="n">
        <f aca="false">IF(G3543=Assumptions!$K$53,1,0)</f>
        <v>0</v>
      </c>
      <c r="H3580" s="20" t="n">
        <f aca="false">IF(H3543=Assumptions!$K$53,1,0)</f>
        <v>1</v>
      </c>
      <c r="I3580" s="20" t="n">
        <f aca="false">IF(I3543=Assumptions!$K$53,1,0)</f>
        <v>0</v>
      </c>
      <c r="J3580" s="20" t="n">
        <f aca="false">IF(J3543=Assumptions!$K$53,1,0)</f>
        <v>0</v>
      </c>
      <c r="K3580" s="20" t="n">
        <f aca="false">IF(K3543=Assumptions!$K$53,1,0)</f>
        <v>0</v>
      </c>
    </row>
    <row r="3582" customFormat="false" ht="15" hidden="false" customHeight="false" outlineLevel="0" collapsed="false">
      <c r="A3582" s="5" t="s">
        <v>266</v>
      </c>
      <c r="G3582" s="30" t="n">
        <f aca="false">IF(Assumptions!$I$53=1,MAX(G3569,Assumptions!$G$53)+Assumptions!$F$53+$C$3570,Assumptions!$E$53)</f>
        <v>0.101</v>
      </c>
      <c r="H3582" s="30" t="n">
        <f aca="false">IF(G3731=1,$C$3571,IF(Assumptions!$I$53=1,MAX(H3569,Assumptions!$G$53)+Assumptions!$F$53+$C$3570,Assumptions!$E$53))</f>
        <v>0.0985</v>
      </c>
      <c r="I3582" s="30" t="n">
        <f aca="false">IF(H3731=1,$C$3571,IF(Assumptions!$I$53=1,MAX(I3569,Assumptions!$G$53)+Assumptions!$F$53+$C$3570,Assumptions!$E$53))</f>
        <v>0.096</v>
      </c>
      <c r="J3582" s="30" t="n">
        <f aca="false">IF(I3731=1,$C$3571,IF(Assumptions!$I$53=1,MAX(J3569,Assumptions!$G$53)+Assumptions!$F$53+$C$3570,Assumptions!$E$53))</f>
        <v>0.096</v>
      </c>
      <c r="K3582" s="30" t="n">
        <f aca="false">IF(J3731=1,$C$3571,IF(Assumptions!$I$53=1,MAX(K3569,Assumptions!$G$53)+Assumptions!$F$53+$C$3570,Assumptions!$E$53))</f>
        <v>0.096</v>
      </c>
    </row>
    <row r="3583" customFormat="false" ht="15" hidden="false" customHeight="false" outlineLevel="0" collapsed="false">
      <c r="A3583" s="5" t="s">
        <v>267</v>
      </c>
      <c r="G3583" s="25" t="n">
        <f aca="false">G3579*G3582</f>
        <v>18.18</v>
      </c>
      <c r="H3583" s="25" t="n">
        <f aca="false">H3579*H3582</f>
        <v>21.3052348</v>
      </c>
      <c r="I3583" s="25" t="n">
        <f aca="false">I3579*I3582</f>
        <v>20.7644928</v>
      </c>
      <c r="J3583" s="25" t="n">
        <f aca="false">J3579*J3582</f>
        <v>20.7644928</v>
      </c>
      <c r="K3583" s="25" t="n">
        <f aca="false">K3579*K3582</f>
        <v>20.7644928</v>
      </c>
    </row>
    <row r="3584" customFormat="false" ht="15" hidden="false" customHeight="false" outlineLevel="0" collapsed="false">
      <c r="A3584" s="5" t="s">
        <v>268</v>
      </c>
      <c r="G3584" s="25" t="n">
        <f aca="false">G3579*Assumptions!$H$53</f>
        <v>0</v>
      </c>
      <c r="H3584" s="25" t="n">
        <f aca="false">H3579*Assumptions!$H$53</f>
        <v>0</v>
      </c>
      <c r="I3584" s="25" t="n">
        <f aca="false">I3579*Assumptions!$H$53</f>
        <v>0</v>
      </c>
      <c r="J3584" s="25" t="n">
        <f aca="false">J3579*Assumptions!$H$53</f>
        <v>0</v>
      </c>
      <c r="K3584" s="25" t="n">
        <f aca="false">K3579*Assumptions!$H$53</f>
        <v>0</v>
      </c>
    </row>
    <row r="3585" customFormat="false" ht="15" hidden="false" customHeight="false" outlineLevel="0" collapsed="false">
      <c r="A3585" s="5" t="s">
        <v>269</v>
      </c>
      <c r="G3585" s="25" t="n">
        <f aca="false">MIN(G3579,Assumptions!$L$53*Assumptions!$C$53)</f>
        <v>0</v>
      </c>
      <c r="H3585" s="25" t="n">
        <f aca="false">MIN(H3579,Assumptions!$L$53*Assumptions!$C$53)</f>
        <v>0</v>
      </c>
      <c r="I3585" s="25" t="n">
        <f aca="false">MIN(I3579,Assumptions!$L$53*Assumptions!$C$53)</f>
        <v>0</v>
      </c>
      <c r="J3585" s="25" t="n">
        <f aca="false">MIN(J3579,Assumptions!$L$53*Assumptions!$C$53)</f>
        <v>0</v>
      </c>
      <c r="K3585" s="25" t="n">
        <f aca="false">MIN(K3579,Assumptions!$L$53*Assumptions!$C$53)</f>
        <v>0</v>
      </c>
    </row>
    <row r="3586" customFormat="false" ht="15" hidden="false" customHeight="false" outlineLevel="0" collapsed="false">
      <c r="A3586" s="5" t="s">
        <v>270</v>
      </c>
      <c r="G3586" s="25" t="n">
        <f aca="false">IF(AND(Assumptions!$P$53=1,G3543&lt;Assumptions!$K$53),MIN(MAX(0,-G3657),MAX(0,Assumptions!$D$53-G3579)),0)</f>
        <v>36.2968000000001</v>
      </c>
      <c r="H3586" s="25" t="n">
        <f aca="false">IF(AND(Assumptions!$P$53=1,OR(H3543&lt;Assumptions!$K$53,G3731=1)),MIN(MAX(0,-H3657),MAX(0,Assumptions!$D$53-H3579)),0)</f>
        <v>0</v>
      </c>
      <c r="I3586" s="25" t="n">
        <f aca="false">IF(AND(Assumptions!$P$53=1,OR(I3543&lt;Assumptions!$K$53,H3731=1)),MIN(MAX(0,-I3657),MAX(0,Assumptions!$D$53-I3579)),0)</f>
        <v>0</v>
      </c>
      <c r="J3586" s="25" t="n">
        <f aca="false">IF(AND(Assumptions!$P$53=1,OR(J3543&lt;Assumptions!$K$53,I3731=1)),MIN(MAX(0,-J3657),MAX(0,Assumptions!$D$53-J3579)),0)</f>
        <v>0</v>
      </c>
      <c r="K3586" s="25" t="n">
        <f aca="false">IF(AND(Assumptions!$P$53=1,OR(K3543&lt;Assumptions!$K$53,J3731=1)),MIN(MAX(0,-K3657),MAX(0,Assumptions!$D$53-K3579)),0)</f>
        <v>0</v>
      </c>
    </row>
    <row r="3587" customFormat="false" ht="15" hidden="false" customHeight="false" outlineLevel="0" collapsed="false">
      <c r="A3587" s="5" t="s">
        <v>271</v>
      </c>
      <c r="G3587" s="25" t="n">
        <f aca="false">G3580*MIN(G3579-G3585+G3584,MAX(0,G3659-Assumptions!$C$12*G3577))</f>
        <v>0</v>
      </c>
      <c r="H3587" s="25" t="n">
        <f aca="false">H3580*MIN(H3579-H3585+H3584,MAX(0,H3659-Assumptions!$C$12*H3577))</f>
        <v>0</v>
      </c>
      <c r="I3587" s="25" t="n">
        <f aca="false">I3580*MIN(I3579-I3585+I3584,MAX(0,I3659-Assumptions!$C$12*I3577))</f>
        <v>0</v>
      </c>
      <c r="J3587" s="25" t="n">
        <f aca="false">J3580*MIN(J3579-J3585+J3584,MAX(0,J3659-Assumptions!$C$12*J3577))</f>
        <v>0</v>
      </c>
      <c r="K3587" s="25" t="n">
        <f aca="false">K3580*MIN(K3579-K3585+K3584,MAX(0,K3659-Assumptions!$C$12*K3577))</f>
        <v>0</v>
      </c>
    </row>
    <row r="3588" customFormat="false" ht="15" hidden="false" customHeight="false" outlineLevel="0" collapsed="false">
      <c r="A3588" s="5" t="s">
        <v>272</v>
      </c>
      <c r="G3588" s="25" t="n">
        <f aca="false">Assumptions!$N$53*MIN(G3579+G3586+G3584-G3585-G3587,MAX(0,G3663))</f>
        <v>0</v>
      </c>
      <c r="H3588" s="25" t="n">
        <f aca="false">Assumptions!$N$53*MIN(H3579+H3586+H3584-H3585-H3587,MAX(0,H3663))</f>
        <v>0</v>
      </c>
      <c r="I3588" s="25" t="n">
        <f aca="false">Assumptions!$N$53*MIN(I3579+I3586+I3584-I3585-I3587,MAX(0,I3663))</f>
        <v>0</v>
      </c>
      <c r="J3588" s="25" t="n">
        <f aca="false">Assumptions!$N$53*MIN(J3579+J3586+J3584-J3585-J3587,MAX(0,J3663))</f>
        <v>0</v>
      </c>
      <c r="K3588" s="25" t="n">
        <f aca="false">Assumptions!$N$53*MIN(K3579+K3586+K3584-K3585-K3587,MAX(0,K3663))</f>
        <v>0</v>
      </c>
    </row>
    <row r="3589" customFormat="false" ht="15" hidden="false" customHeight="false" outlineLevel="0" collapsed="false">
      <c r="A3589" s="5" t="s">
        <v>273</v>
      </c>
      <c r="G3589" s="25" t="n">
        <f aca="false">G3580*(1-G3577)*(G3579-G3585+G3584-G3587)</f>
        <v>0</v>
      </c>
      <c r="H3589" s="25" t="n">
        <f aca="false">H3580*(1-H3577)*(H3579-H3585+H3584-H3587)</f>
        <v>216.2968</v>
      </c>
      <c r="I3589" s="25" t="n">
        <f aca="false">I3580*(1-I3577)*(I3579-I3585+I3584-I3587)</f>
        <v>0</v>
      </c>
      <c r="J3589" s="25" t="n">
        <f aca="false">J3580*(1-J3577)*(J3579-J3585+J3584-J3587)</f>
        <v>0</v>
      </c>
      <c r="K3589" s="25" t="n">
        <f aca="false">K3580*(1-K3577)*(K3579-K3585+K3584-K3587)</f>
        <v>0</v>
      </c>
    </row>
    <row r="3590" customFormat="false" ht="15" hidden="false" customHeight="false" outlineLevel="0" collapsed="false">
      <c r="A3590" s="2" t="s">
        <v>274</v>
      </c>
      <c r="F3590" s="27" t="n">
        <f aca="false">Assumptions!$C$53</f>
        <v>180</v>
      </c>
      <c r="G3590" s="16" t="n">
        <f aca="false">G3579+G3586+G3584-G3585-G3587-G3588</f>
        <v>216.2968</v>
      </c>
      <c r="H3590" s="16" t="n">
        <f aca="false">H3579+H3586+H3584-H3585-H3587-H3588</f>
        <v>216.2968</v>
      </c>
      <c r="I3590" s="16" t="n">
        <f aca="false">I3579+I3586+I3584-I3585-I3587-I3588</f>
        <v>216.2968</v>
      </c>
      <c r="J3590" s="16" t="n">
        <f aca="false">J3579+J3586+J3584-J3585-J3587-J3588</f>
        <v>216.2968</v>
      </c>
      <c r="K3590" s="16" t="n">
        <f aca="false">K3579+K3586+K3584-K3585-K3587-K3588</f>
        <v>216.2968</v>
      </c>
    </row>
    <row r="3591" customFormat="false" ht="15" hidden="false" customHeight="false" outlineLevel="0" collapsed="false">
      <c r="A3591" s="23" t="s">
        <v>275</v>
      </c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</row>
    <row r="3592" customFormat="false" ht="15" hidden="false" customHeight="false" outlineLevel="0" collapsed="false">
      <c r="A3592" s="5" t="s">
        <v>264</v>
      </c>
      <c r="G3592" s="25" t="n">
        <f aca="false">F3603</f>
        <v>520</v>
      </c>
      <c r="H3592" s="25" t="n">
        <f aca="false">G3603</f>
        <v>514.8</v>
      </c>
      <c r="I3592" s="25" t="n">
        <f aca="false">H3603</f>
        <v>509.6</v>
      </c>
      <c r="J3592" s="25" t="n">
        <f aca="false">I3603</f>
        <v>504.4</v>
      </c>
      <c r="K3592" s="25" t="n">
        <f aca="false">J3603</f>
        <v>499.2</v>
      </c>
    </row>
    <row r="3593" customFormat="false" ht="15" hidden="false" customHeight="false" outlineLevel="0" collapsed="false">
      <c r="A3593" s="5" t="s">
        <v>265</v>
      </c>
      <c r="G3593" s="20" t="n">
        <f aca="false">IF(G3543=Assumptions!$K$54,1,0)</f>
        <v>0</v>
      </c>
      <c r="H3593" s="20" t="n">
        <f aca="false">IF(H3543=Assumptions!$K$54,1,0)</f>
        <v>0</v>
      </c>
      <c r="I3593" s="20" t="n">
        <f aca="false">IF(I3543=Assumptions!$K$54,1,0)</f>
        <v>1</v>
      </c>
      <c r="J3593" s="20" t="n">
        <f aca="false">IF(J3543=Assumptions!$K$54,1,0)</f>
        <v>0</v>
      </c>
      <c r="K3593" s="20" t="n">
        <f aca="false">IF(K3543=Assumptions!$K$54,1,0)</f>
        <v>0</v>
      </c>
    </row>
    <row r="3595" customFormat="false" ht="15" hidden="false" customHeight="false" outlineLevel="0" collapsed="false">
      <c r="A3595" s="5" t="s">
        <v>266</v>
      </c>
      <c r="G3595" s="30" t="n">
        <f aca="false">IF(Assumptions!$I$54=1,MAX(G3569,Assumptions!$G$54)+Assumptions!$F$54+$C$3570,Assumptions!$E$54)</f>
        <v>0.118</v>
      </c>
      <c r="H3595" s="30" t="n">
        <f aca="false">IF(G3732=1,$C$3571,IF(Assumptions!$I$54=1,MAX(H3569,Assumptions!$G$54)+Assumptions!$F$54+$C$3570,Assumptions!$E$54))</f>
        <v>0.1155</v>
      </c>
      <c r="I3595" s="30" t="n">
        <f aca="false">IF(H3732=1,$C$3571,IF(Assumptions!$I$54=1,MAX(I3569,Assumptions!$G$54)+Assumptions!$F$54+$C$3570,Assumptions!$E$54))</f>
        <v>0.113</v>
      </c>
      <c r="J3595" s="30" t="n">
        <f aca="false">IF(I3732=1,$C$3571,IF(Assumptions!$I$54=1,MAX(J3569,Assumptions!$G$54)+Assumptions!$F$54+$C$3570,Assumptions!$E$54))</f>
        <v>0.113</v>
      </c>
      <c r="K3595" s="30" t="n">
        <f aca="false">IF(J3732=1,$C$3571,IF(Assumptions!$I$54=1,MAX(K3569,Assumptions!$G$54)+Assumptions!$F$54+$C$3570,Assumptions!$E$54))</f>
        <v>0.113</v>
      </c>
    </row>
    <row r="3596" customFormat="false" ht="15" hidden="false" customHeight="false" outlineLevel="0" collapsed="false">
      <c r="A3596" s="5" t="s">
        <v>267</v>
      </c>
      <c r="G3596" s="25" t="n">
        <f aca="false">G3592*G3595</f>
        <v>61.36</v>
      </c>
      <c r="H3596" s="25" t="n">
        <f aca="false">H3592*H3595</f>
        <v>59.4594</v>
      </c>
      <c r="I3596" s="25" t="n">
        <f aca="false">I3592*I3595</f>
        <v>57.5848</v>
      </c>
      <c r="J3596" s="25" t="n">
        <f aca="false">J3592*J3595</f>
        <v>56.9972</v>
      </c>
      <c r="K3596" s="25" t="n">
        <f aca="false">K3592*K3595</f>
        <v>56.4096</v>
      </c>
    </row>
    <row r="3597" customFormat="false" ht="15" hidden="false" customHeight="false" outlineLevel="0" collapsed="false">
      <c r="A3597" s="5" t="s">
        <v>268</v>
      </c>
      <c r="G3597" s="25" t="n">
        <f aca="false">G3592*Assumptions!$H$54</f>
        <v>0</v>
      </c>
      <c r="H3597" s="25" t="n">
        <f aca="false">H3592*Assumptions!$H$54</f>
        <v>0</v>
      </c>
      <c r="I3597" s="25" t="n">
        <f aca="false">I3592*Assumptions!$H$54</f>
        <v>0</v>
      </c>
      <c r="J3597" s="25" t="n">
        <f aca="false">J3592*Assumptions!$H$54</f>
        <v>0</v>
      </c>
      <c r="K3597" s="25" t="n">
        <f aca="false">K3592*Assumptions!$H$54</f>
        <v>0</v>
      </c>
    </row>
    <row r="3598" customFormat="false" ht="15" hidden="false" customHeight="false" outlineLevel="0" collapsed="false">
      <c r="A3598" s="5" t="s">
        <v>269</v>
      </c>
      <c r="G3598" s="25" t="n">
        <f aca="false">MIN(G3592,Assumptions!$L$54*Assumptions!$C$54)</f>
        <v>5.2</v>
      </c>
      <c r="H3598" s="25" t="n">
        <f aca="false">MIN(H3592,Assumptions!$L$54*Assumptions!$C$54)</f>
        <v>5.2</v>
      </c>
      <c r="I3598" s="25" t="n">
        <f aca="false">MIN(I3592,Assumptions!$L$54*Assumptions!$C$54)</f>
        <v>5.2</v>
      </c>
      <c r="J3598" s="25" t="n">
        <f aca="false">MIN(J3592,Assumptions!$L$54*Assumptions!$C$54)</f>
        <v>5.2</v>
      </c>
      <c r="K3598" s="25" t="n">
        <f aca="false">MIN(K3592,Assumptions!$L$54*Assumptions!$C$54)</f>
        <v>5.2</v>
      </c>
    </row>
    <row r="3599" customFormat="false" ht="15" hidden="false" customHeight="false" outlineLevel="0" collapsed="false">
      <c r="A3599" s="5" t="s">
        <v>270</v>
      </c>
      <c r="G3599" s="25" t="n">
        <f aca="false">IF(AND(Assumptions!$P$54=1,G3543&lt;Assumptions!$K$54),MIN(MAX(0,-G3657),MAX(0,Assumptions!$D$54-G3592)),0)</f>
        <v>0</v>
      </c>
      <c r="H3599" s="25" t="n">
        <f aca="false">IF(AND(Assumptions!$P$54=1,OR(H3543&lt;Assumptions!$K$54,G3732=1)),MIN(MAX(0,-H3657),MAX(0,Assumptions!$D$54-H3592)),0)</f>
        <v>0</v>
      </c>
      <c r="I3599" s="25" t="n">
        <f aca="false">IF(AND(Assumptions!$P$54=1,OR(I3543&lt;Assumptions!$K$54,H3732=1)),MIN(MAX(0,-I3657),MAX(0,Assumptions!$D$54-I3592)),0)</f>
        <v>0</v>
      </c>
      <c r="J3599" s="25" t="n">
        <f aca="false">IF(AND(Assumptions!$P$54=1,OR(J3543&lt;Assumptions!$K$54,I3732=1)),MIN(MAX(0,-J3657),MAX(0,Assumptions!$D$54-J3592)),0)</f>
        <v>0</v>
      </c>
      <c r="K3599" s="25" t="n">
        <f aca="false">IF(AND(Assumptions!$P$54=1,OR(K3543&lt;Assumptions!$K$54,J3732=1)),MIN(MAX(0,-K3657),MAX(0,Assumptions!$D$54-K3592)),0)</f>
        <v>0</v>
      </c>
    </row>
    <row r="3600" customFormat="false" ht="15" hidden="false" customHeight="false" outlineLevel="0" collapsed="false">
      <c r="A3600" s="5" t="s">
        <v>271</v>
      </c>
      <c r="G3600" s="25" t="n">
        <f aca="false">G3593*MIN(G3592-G3598+G3597,MAX(0,G3659-Assumptions!$C$12*G3577-G3587))</f>
        <v>0</v>
      </c>
      <c r="H3600" s="25" t="n">
        <f aca="false">H3593*MIN(H3592-H3598+H3597,MAX(0,H3659-Assumptions!$C$12*H3577-H3587))</f>
        <v>0</v>
      </c>
      <c r="I3600" s="25" t="n">
        <f aca="false">I3593*MIN(I3592-I3598+I3597,MAX(0,I3659-Assumptions!$C$12*I3577-I3587))</f>
        <v>0</v>
      </c>
      <c r="J3600" s="25" t="n">
        <f aca="false">J3593*MIN(J3592-J3598+J3597,MAX(0,J3659-Assumptions!$C$12*J3577-J3587))</f>
        <v>0</v>
      </c>
      <c r="K3600" s="25" t="n">
        <f aca="false">K3593*MIN(K3592-K3598+K3597,MAX(0,K3659-Assumptions!$C$12*K3577-K3587))</f>
        <v>0</v>
      </c>
    </row>
    <row r="3601" customFormat="false" ht="15" hidden="false" customHeight="false" outlineLevel="0" collapsed="false">
      <c r="A3601" s="5" t="s">
        <v>272</v>
      </c>
      <c r="G3601" s="25" t="n">
        <f aca="false">Assumptions!$N$54*MIN(G3592+G3599+G3597-G3598-G3600,MAX(0,G3663-G3588))</f>
        <v>0</v>
      </c>
      <c r="H3601" s="25" t="n">
        <f aca="false">Assumptions!$N$54*MIN(H3592+H3599+H3597-H3598-H3600,MAX(0,H3663-H3588))</f>
        <v>0</v>
      </c>
      <c r="I3601" s="25" t="n">
        <f aca="false">Assumptions!$N$54*MIN(I3592+I3599+I3597-I3598-I3600,MAX(0,I3663-I3588))</f>
        <v>0</v>
      </c>
      <c r="J3601" s="25" t="n">
        <f aca="false">Assumptions!$N$54*MIN(J3592+J3599+J3597-J3598-J3600,MAX(0,J3663-J3588))</f>
        <v>0</v>
      </c>
      <c r="K3601" s="25" t="n">
        <f aca="false">Assumptions!$N$54*MIN(K3592+K3599+K3597-K3598-K3600,MAX(0,K3663-K3588))</f>
        <v>0</v>
      </c>
    </row>
    <row r="3602" customFormat="false" ht="15" hidden="false" customHeight="false" outlineLevel="0" collapsed="false">
      <c r="A3602" s="5" t="s">
        <v>273</v>
      </c>
      <c r="G3602" s="25" t="n">
        <f aca="false">G3593*(1-G3577)*(G3592-G3598+G3597-G3600)</f>
        <v>0</v>
      </c>
      <c r="H3602" s="25" t="n">
        <f aca="false">H3593*(1-H3577)*(H3592-H3598+H3597-H3600)</f>
        <v>0</v>
      </c>
      <c r="I3602" s="25" t="n">
        <f aca="false">I3593*(1-I3577)*(I3592-I3598+I3597-I3600)</f>
        <v>504.4</v>
      </c>
      <c r="J3602" s="25" t="n">
        <f aca="false">J3593*(1-J3577)*(J3592-J3598+J3597-J3600)</f>
        <v>0</v>
      </c>
      <c r="K3602" s="25" t="n">
        <f aca="false">K3593*(1-K3577)*(K3592-K3598+K3597-K3600)</f>
        <v>0</v>
      </c>
    </row>
    <row r="3603" customFormat="false" ht="15" hidden="false" customHeight="false" outlineLevel="0" collapsed="false">
      <c r="A3603" s="2" t="s">
        <v>274</v>
      </c>
      <c r="F3603" s="27" t="n">
        <f aca="false">Assumptions!$C$54</f>
        <v>520</v>
      </c>
      <c r="G3603" s="16" t="n">
        <f aca="false">G3592+G3599+G3597-G3598-G3600-G3601</f>
        <v>514.8</v>
      </c>
      <c r="H3603" s="16" t="n">
        <f aca="false">H3592+H3599+H3597-H3598-H3600-H3601</f>
        <v>509.6</v>
      </c>
      <c r="I3603" s="16" t="n">
        <f aca="false">I3592+I3599+I3597-I3598-I3600-I3601</f>
        <v>504.4</v>
      </c>
      <c r="J3603" s="16" t="n">
        <f aca="false">J3592+J3599+J3597-J3598-J3600-J3601</f>
        <v>499.2</v>
      </c>
      <c r="K3603" s="16" t="n">
        <f aca="false">K3592+K3599+K3597-K3598-K3600-K3601</f>
        <v>494</v>
      </c>
    </row>
    <row r="3604" customFormat="false" ht="15" hidden="false" customHeight="false" outlineLevel="0" collapsed="false">
      <c r="A3604" s="23" t="s">
        <v>276</v>
      </c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</row>
    <row r="3605" customFormat="false" ht="15" hidden="false" customHeight="false" outlineLevel="0" collapsed="false">
      <c r="A3605" s="5" t="s">
        <v>264</v>
      </c>
      <c r="G3605" s="25" t="n">
        <f aca="false">F3616</f>
        <v>250</v>
      </c>
      <c r="H3605" s="25" t="n">
        <f aca="false">G3616</f>
        <v>250</v>
      </c>
      <c r="I3605" s="25" t="n">
        <f aca="false">H3616</f>
        <v>250</v>
      </c>
      <c r="J3605" s="25" t="n">
        <f aca="false">I3616</f>
        <v>250</v>
      </c>
      <c r="K3605" s="25" t="n">
        <f aca="false">J3616</f>
        <v>250</v>
      </c>
    </row>
    <row r="3606" customFormat="false" ht="15" hidden="false" customHeight="false" outlineLevel="0" collapsed="false">
      <c r="A3606" s="5" t="s">
        <v>265</v>
      </c>
      <c r="G3606" s="20" t="n">
        <f aca="false">IF(G3543=Assumptions!$K$55,1,0)</f>
        <v>0</v>
      </c>
      <c r="H3606" s="20" t="n">
        <f aca="false">IF(H3543=Assumptions!$K$55,1,0)</f>
        <v>0</v>
      </c>
      <c r="I3606" s="20" t="n">
        <f aca="false">IF(I3543=Assumptions!$K$55,1,0)</f>
        <v>0</v>
      </c>
      <c r="J3606" s="20" t="n">
        <f aca="false">IF(J3543=Assumptions!$K$55,1,0)</f>
        <v>1</v>
      </c>
      <c r="K3606" s="20" t="n">
        <f aca="false">IF(K3543=Assumptions!$K$55,1,0)</f>
        <v>0</v>
      </c>
    </row>
    <row r="3608" customFormat="false" ht="15" hidden="false" customHeight="false" outlineLevel="0" collapsed="false">
      <c r="A3608" s="5" t="s">
        <v>266</v>
      </c>
      <c r="G3608" s="30" t="n">
        <f aca="false">IF(Assumptions!$I$55=1,MAX(G3569,Assumptions!$G$55)+Assumptions!$F$55+$C$3570,Assumptions!$E$55)</f>
        <v>0.11</v>
      </c>
      <c r="H3608" s="30" t="n">
        <f aca="false">IF(G3733=1,$C$3571,IF(Assumptions!$I$55=1,MAX(H3569,Assumptions!$G$55)+Assumptions!$F$55+$C$3570,Assumptions!$E$55))</f>
        <v>0.11</v>
      </c>
      <c r="I3608" s="30" t="n">
        <f aca="false">IF(H3733=1,$C$3571,IF(Assumptions!$I$55=1,MAX(I3569,Assumptions!$G$55)+Assumptions!$F$55+$C$3570,Assumptions!$E$55))</f>
        <v>0.11</v>
      </c>
      <c r="J3608" s="30" t="n">
        <f aca="false">IF(I3733=1,$C$3571,IF(Assumptions!$I$55=1,MAX(J3569,Assumptions!$G$55)+Assumptions!$F$55+$C$3570,Assumptions!$E$55))</f>
        <v>0.11</v>
      </c>
      <c r="K3608" s="30" t="n">
        <f aca="false">IF(J3733=1,$C$3571,IF(Assumptions!$I$55=1,MAX(K3569,Assumptions!$G$55)+Assumptions!$F$55+$C$3570,Assumptions!$E$55))</f>
        <v>0.11</v>
      </c>
    </row>
    <row r="3609" customFormat="false" ht="15" hidden="false" customHeight="false" outlineLevel="0" collapsed="false">
      <c r="A3609" s="5" t="s">
        <v>267</v>
      </c>
      <c r="G3609" s="25" t="n">
        <f aca="false">G3605*G3608</f>
        <v>27.5</v>
      </c>
      <c r="H3609" s="25" t="n">
        <f aca="false">H3605*H3608</f>
        <v>27.5</v>
      </c>
      <c r="I3609" s="25" t="n">
        <f aca="false">I3605*I3608</f>
        <v>27.5</v>
      </c>
      <c r="J3609" s="25" t="n">
        <f aca="false">J3605*J3608</f>
        <v>27.5</v>
      </c>
      <c r="K3609" s="25" t="n">
        <f aca="false">K3605*K3608</f>
        <v>27.5</v>
      </c>
    </row>
    <row r="3610" customFormat="false" ht="15" hidden="false" customHeight="false" outlineLevel="0" collapsed="false">
      <c r="A3610" s="5" t="s">
        <v>268</v>
      </c>
      <c r="G3610" s="25" t="n">
        <f aca="false">G3605*Assumptions!$H$55</f>
        <v>0</v>
      </c>
      <c r="H3610" s="25" t="n">
        <f aca="false">H3605*Assumptions!$H$55</f>
        <v>0</v>
      </c>
      <c r="I3610" s="25" t="n">
        <f aca="false">I3605*Assumptions!$H$55</f>
        <v>0</v>
      </c>
      <c r="J3610" s="25" t="n">
        <f aca="false">J3605*Assumptions!$H$55</f>
        <v>0</v>
      </c>
      <c r="K3610" s="25" t="n">
        <f aca="false">K3605*Assumptions!$H$55</f>
        <v>0</v>
      </c>
    </row>
    <row r="3611" customFormat="false" ht="15" hidden="false" customHeight="false" outlineLevel="0" collapsed="false">
      <c r="A3611" s="5" t="s">
        <v>269</v>
      </c>
      <c r="G3611" s="25" t="n">
        <f aca="false">MIN(G3605,Assumptions!$L$55*Assumptions!$C$55)</f>
        <v>0</v>
      </c>
      <c r="H3611" s="25" t="n">
        <f aca="false">MIN(H3605,Assumptions!$L$55*Assumptions!$C$55)</f>
        <v>0</v>
      </c>
      <c r="I3611" s="25" t="n">
        <f aca="false">MIN(I3605,Assumptions!$L$55*Assumptions!$C$55)</f>
        <v>0</v>
      </c>
      <c r="J3611" s="25" t="n">
        <f aca="false">MIN(J3605,Assumptions!$L$55*Assumptions!$C$55)</f>
        <v>0</v>
      </c>
      <c r="K3611" s="25" t="n">
        <f aca="false">MIN(K3605,Assumptions!$L$55*Assumptions!$C$55)</f>
        <v>0</v>
      </c>
    </row>
    <row r="3612" customFormat="false" ht="15" hidden="false" customHeight="false" outlineLevel="0" collapsed="false">
      <c r="A3612" s="5" t="s">
        <v>270</v>
      </c>
      <c r="G3612" s="25" t="n">
        <f aca="false">IF(AND(Assumptions!$P$55=1,G3543&lt;Assumptions!$K$55),MIN(MAX(0,-G3657),MAX(0,Assumptions!$D$55-G3605)),0)</f>
        <v>0</v>
      </c>
      <c r="H3612" s="25" t="n">
        <f aca="false">IF(AND(Assumptions!$P$55=1,OR(H3543&lt;Assumptions!$K$55,G3733=1)),MIN(MAX(0,-H3657),MAX(0,Assumptions!$D$55-H3605)),0)</f>
        <v>0</v>
      </c>
      <c r="I3612" s="25" t="n">
        <f aca="false">IF(AND(Assumptions!$P$55=1,OR(I3543&lt;Assumptions!$K$55,H3733=1)),MIN(MAX(0,-I3657),MAX(0,Assumptions!$D$55-I3605)),0)</f>
        <v>0</v>
      </c>
      <c r="J3612" s="25" t="n">
        <f aca="false">IF(AND(Assumptions!$P$55=1,OR(J3543&lt;Assumptions!$K$55,I3733=1)),MIN(MAX(0,-J3657),MAX(0,Assumptions!$D$55-J3605)),0)</f>
        <v>0</v>
      </c>
      <c r="K3612" s="25" t="n">
        <f aca="false">IF(AND(Assumptions!$P$55=1,OR(K3543&lt;Assumptions!$K$55,J3733=1)),MIN(MAX(0,-K3657),MAX(0,Assumptions!$D$55-K3605)),0)</f>
        <v>0</v>
      </c>
    </row>
    <row r="3613" customFormat="false" ht="15" hidden="false" customHeight="false" outlineLevel="0" collapsed="false">
      <c r="A3613" s="5" t="s">
        <v>271</v>
      </c>
      <c r="G3613" s="25" t="n">
        <f aca="false">G3606*MIN(G3605-G3611+G3610,MAX(0,G3659-Assumptions!$C$12*G3577-G3587-G3600))</f>
        <v>0</v>
      </c>
      <c r="H3613" s="25" t="n">
        <f aca="false">H3606*MIN(H3605-H3611+H3610,MAX(0,H3659-Assumptions!$C$12*H3577-H3587-H3600))</f>
        <v>0</v>
      </c>
      <c r="I3613" s="25" t="n">
        <f aca="false">I3606*MIN(I3605-I3611+I3610,MAX(0,I3659-Assumptions!$C$12*I3577-I3587-I3600))</f>
        <v>0</v>
      </c>
      <c r="J3613" s="25" t="n">
        <f aca="false">J3606*MIN(J3605-J3611+J3610,MAX(0,J3659-Assumptions!$C$12*J3577-J3587-J3600))</f>
        <v>0</v>
      </c>
      <c r="K3613" s="25" t="n">
        <f aca="false">K3606*MIN(K3605-K3611+K3610,MAX(0,K3659-Assumptions!$C$12*K3577-K3587-K3600))</f>
        <v>0</v>
      </c>
    </row>
    <row r="3614" customFormat="false" ht="15" hidden="false" customHeight="false" outlineLevel="0" collapsed="false">
      <c r="A3614" s="5" t="s">
        <v>272</v>
      </c>
      <c r="G3614" s="25" t="n">
        <f aca="false">Assumptions!$N$55*MIN(G3605+G3612+G3610-G3611-G3613,MAX(0,G3663-G3588-G3601))</f>
        <v>0</v>
      </c>
      <c r="H3614" s="25" t="n">
        <f aca="false">Assumptions!$N$55*MIN(H3605+H3612+H3610-H3611-H3613,MAX(0,H3663-H3588-H3601))</f>
        <v>0</v>
      </c>
      <c r="I3614" s="25" t="n">
        <f aca="false">Assumptions!$N$55*MIN(I3605+I3612+I3610-I3611-I3613,MAX(0,I3663-I3588-I3601))</f>
        <v>0</v>
      </c>
      <c r="J3614" s="25" t="n">
        <f aca="false">Assumptions!$N$55*MIN(J3605+J3612+J3610-J3611-J3613,MAX(0,J3663-J3588-J3601))</f>
        <v>0</v>
      </c>
      <c r="K3614" s="25" t="n">
        <f aca="false">Assumptions!$N$55*MIN(K3605+K3612+K3610-K3611-K3613,MAX(0,K3663-K3588-K3601))</f>
        <v>0</v>
      </c>
    </row>
    <row r="3615" customFormat="false" ht="15" hidden="false" customHeight="false" outlineLevel="0" collapsed="false">
      <c r="A3615" s="5" t="s">
        <v>273</v>
      </c>
      <c r="G3615" s="25" t="n">
        <f aca="false">G3606*(1-G3577)*(G3605-G3611+G3610-G3613)</f>
        <v>0</v>
      </c>
      <c r="H3615" s="25" t="n">
        <f aca="false">H3606*(1-H3577)*(H3605-H3611+H3610-H3613)</f>
        <v>0</v>
      </c>
      <c r="I3615" s="25" t="n">
        <f aca="false">I3606*(1-I3577)*(I3605-I3611+I3610-I3613)</f>
        <v>0</v>
      </c>
      <c r="J3615" s="25" t="n">
        <f aca="false">J3606*(1-J3577)*(J3605-J3611+J3610-J3613)</f>
        <v>250</v>
      </c>
      <c r="K3615" s="25" t="n">
        <f aca="false">K3606*(1-K3577)*(K3605-K3611+K3610-K3613)</f>
        <v>0</v>
      </c>
    </row>
    <row r="3616" customFormat="false" ht="15" hidden="false" customHeight="false" outlineLevel="0" collapsed="false">
      <c r="A3616" s="2" t="s">
        <v>274</v>
      </c>
      <c r="F3616" s="27" t="n">
        <f aca="false">Assumptions!$C$55</f>
        <v>250</v>
      </c>
      <c r="G3616" s="16" t="n">
        <f aca="false">G3605+G3612+G3610-G3611-G3613-G3614</f>
        <v>250</v>
      </c>
      <c r="H3616" s="16" t="n">
        <f aca="false">H3605+H3612+H3610-H3611-H3613-H3614</f>
        <v>250</v>
      </c>
      <c r="I3616" s="16" t="n">
        <f aca="false">I3605+I3612+I3610-I3611-I3613-I3614</f>
        <v>250</v>
      </c>
      <c r="J3616" s="16" t="n">
        <f aca="false">J3605+J3612+J3610-J3611-J3613-J3614</f>
        <v>250</v>
      </c>
      <c r="K3616" s="16" t="n">
        <f aca="false">K3605+K3612+K3610-K3611-K3613-K3614</f>
        <v>250</v>
      </c>
    </row>
    <row r="3617" customFormat="false" ht="15" hidden="false" customHeight="false" outlineLevel="0" collapsed="false">
      <c r="A3617" s="23" t="s">
        <v>277</v>
      </c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</row>
    <row r="3618" customFormat="false" ht="15" hidden="false" customHeight="false" outlineLevel="0" collapsed="false">
      <c r="A3618" s="5" t="s">
        <v>264</v>
      </c>
      <c r="G3618" s="25" t="n">
        <f aca="false">F3629</f>
        <v>300</v>
      </c>
      <c r="H3618" s="25" t="n">
        <f aca="false">G3629</f>
        <v>300</v>
      </c>
      <c r="I3618" s="25" t="n">
        <f aca="false">H3629</f>
        <v>300</v>
      </c>
      <c r="J3618" s="25" t="n">
        <f aca="false">I3629</f>
        <v>300</v>
      </c>
      <c r="K3618" s="25" t="n">
        <f aca="false">J3629</f>
        <v>300</v>
      </c>
    </row>
    <row r="3619" customFormat="false" ht="15" hidden="false" customHeight="false" outlineLevel="0" collapsed="false">
      <c r="A3619" s="5" t="s">
        <v>265</v>
      </c>
      <c r="G3619" s="20" t="n">
        <f aca="false">IF(G3543=Assumptions!$K$56,1,0)</f>
        <v>0</v>
      </c>
      <c r="H3619" s="20" t="n">
        <f aca="false">IF(H3543=Assumptions!$K$56,1,0)</f>
        <v>1</v>
      </c>
      <c r="I3619" s="20" t="n">
        <f aca="false">IF(I3543=Assumptions!$K$56,1,0)</f>
        <v>0</v>
      </c>
      <c r="J3619" s="20" t="n">
        <f aca="false">IF(J3543=Assumptions!$K$56,1,0)</f>
        <v>0</v>
      </c>
      <c r="K3619" s="20" t="n">
        <f aca="false">IF(K3543=Assumptions!$K$56,1,0)</f>
        <v>0</v>
      </c>
    </row>
    <row r="3621" customFormat="false" ht="15" hidden="false" customHeight="false" outlineLevel="0" collapsed="false">
      <c r="A3621" s="5" t="s">
        <v>266</v>
      </c>
      <c r="G3621" s="30" t="n">
        <f aca="false">IF(Assumptions!$I$56=1,MAX(G3569,Assumptions!$G$56)+Assumptions!$F$56+$C$3570,Assumptions!$E$56)</f>
        <v>0.075</v>
      </c>
      <c r="H3621" s="30" t="n">
        <f aca="false">IF(G3734=1,$C$3571,IF(Assumptions!$I$56=1,MAX(H3569,Assumptions!$G$56)+Assumptions!$F$56+$C$3570,Assumptions!$E$56))</f>
        <v>0.075</v>
      </c>
      <c r="I3621" s="30" t="n">
        <f aca="false">IF(H3734=1,$C$3571,IF(Assumptions!$I$56=1,MAX(I3569,Assumptions!$G$56)+Assumptions!$F$56+$C$3570,Assumptions!$E$56))</f>
        <v>0.075</v>
      </c>
      <c r="J3621" s="30" t="n">
        <f aca="false">IF(I3734=1,$C$3571,IF(Assumptions!$I$56=1,MAX(J3569,Assumptions!$G$56)+Assumptions!$F$56+$C$3570,Assumptions!$E$56))</f>
        <v>0.075</v>
      </c>
      <c r="K3621" s="30" t="n">
        <f aca="false">IF(J3734=1,$C$3571,IF(Assumptions!$I$56=1,MAX(K3569,Assumptions!$G$56)+Assumptions!$F$56+$C$3570,Assumptions!$E$56))</f>
        <v>0.075</v>
      </c>
    </row>
    <row r="3622" customFormat="false" ht="15" hidden="false" customHeight="false" outlineLevel="0" collapsed="false">
      <c r="A3622" s="5" t="s">
        <v>267</v>
      </c>
      <c r="G3622" s="25" t="n">
        <f aca="false">G3618*G3621</f>
        <v>22.5</v>
      </c>
      <c r="H3622" s="25" t="n">
        <f aca="false">H3618*H3621</f>
        <v>22.5</v>
      </c>
      <c r="I3622" s="25" t="n">
        <f aca="false">I3618*I3621</f>
        <v>22.5</v>
      </c>
      <c r="J3622" s="25" t="n">
        <f aca="false">J3618*J3621</f>
        <v>22.5</v>
      </c>
      <c r="K3622" s="25" t="n">
        <f aca="false">K3618*K3621</f>
        <v>22.5</v>
      </c>
    </row>
    <row r="3623" customFormat="false" ht="15" hidden="false" customHeight="false" outlineLevel="0" collapsed="false">
      <c r="A3623" s="5" t="s">
        <v>268</v>
      </c>
      <c r="G3623" s="25" t="n">
        <f aca="false">G3618*Assumptions!$H$56</f>
        <v>0</v>
      </c>
      <c r="H3623" s="25" t="n">
        <f aca="false">H3618*Assumptions!$H$56</f>
        <v>0</v>
      </c>
      <c r="I3623" s="25" t="n">
        <f aca="false">I3618*Assumptions!$H$56</f>
        <v>0</v>
      </c>
      <c r="J3623" s="25" t="n">
        <f aca="false">J3618*Assumptions!$H$56</f>
        <v>0</v>
      </c>
      <c r="K3623" s="25" t="n">
        <f aca="false">K3618*Assumptions!$H$56</f>
        <v>0</v>
      </c>
    </row>
    <row r="3624" customFormat="false" ht="15" hidden="false" customHeight="false" outlineLevel="0" collapsed="false">
      <c r="A3624" s="5" t="s">
        <v>269</v>
      </c>
      <c r="G3624" s="25" t="n">
        <f aca="false">MIN(G3618,Assumptions!$L$56*Assumptions!$C$56)</f>
        <v>0</v>
      </c>
      <c r="H3624" s="25" t="n">
        <f aca="false">MIN(H3618,Assumptions!$L$56*Assumptions!$C$56)</f>
        <v>0</v>
      </c>
      <c r="I3624" s="25" t="n">
        <f aca="false">MIN(I3618,Assumptions!$L$56*Assumptions!$C$56)</f>
        <v>0</v>
      </c>
      <c r="J3624" s="25" t="n">
        <f aca="false">MIN(J3618,Assumptions!$L$56*Assumptions!$C$56)</f>
        <v>0</v>
      </c>
      <c r="K3624" s="25" t="n">
        <f aca="false">MIN(K3618,Assumptions!$L$56*Assumptions!$C$56)</f>
        <v>0</v>
      </c>
    </row>
    <row r="3625" customFormat="false" ht="15" hidden="false" customHeight="false" outlineLevel="0" collapsed="false">
      <c r="A3625" s="5" t="s">
        <v>270</v>
      </c>
      <c r="G3625" s="25" t="n">
        <f aca="false">IF(AND(Assumptions!$P$56=1,G3543&lt;Assumptions!$K$56),MIN(MAX(0,-G3657),MAX(0,Assumptions!$D$56-G3618)),0)</f>
        <v>0</v>
      </c>
      <c r="H3625" s="25" t="n">
        <f aca="false">IF(AND(Assumptions!$P$56=1,OR(H3543&lt;Assumptions!$K$56,G3734=1)),MIN(MAX(0,-H3657),MAX(0,Assumptions!$D$56-H3618)),0)</f>
        <v>0</v>
      </c>
      <c r="I3625" s="25" t="n">
        <f aca="false">IF(AND(Assumptions!$P$56=1,OR(I3543&lt;Assumptions!$K$56,H3734=1)),MIN(MAX(0,-I3657),MAX(0,Assumptions!$D$56-I3618)),0)</f>
        <v>0</v>
      </c>
      <c r="J3625" s="25" t="n">
        <f aca="false">IF(AND(Assumptions!$P$56=1,OR(J3543&lt;Assumptions!$K$56,I3734=1)),MIN(MAX(0,-J3657),MAX(0,Assumptions!$D$56-J3618)),0)</f>
        <v>0</v>
      </c>
      <c r="K3625" s="25" t="n">
        <f aca="false">IF(AND(Assumptions!$P$56=1,OR(K3543&lt;Assumptions!$K$56,J3734=1)),MIN(MAX(0,-K3657),MAX(0,Assumptions!$D$56-K3618)),0)</f>
        <v>0</v>
      </c>
    </row>
    <row r="3626" customFormat="false" ht="15" hidden="false" customHeight="false" outlineLevel="0" collapsed="false">
      <c r="A3626" s="5" t="s">
        <v>271</v>
      </c>
      <c r="G3626" s="25" t="n">
        <f aca="false">G3619*MIN(G3618-G3624+G3623,MAX(0,G3659-Assumptions!$C$12*G3577-G3587-G3600-G3613))</f>
        <v>0</v>
      </c>
      <c r="H3626" s="25" t="n">
        <f aca="false">H3619*MIN(H3618-H3624+H3623,MAX(0,H3659-Assumptions!$C$12*H3577-H3587-H3600-H3613))</f>
        <v>0</v>
      </c>
      <c r="I3626" s="25" t="n">
        <f aca="false">I3619*MIN(I3618-I3624+I3623,MAX(0,I3659-Assumptions!$C$12*I3577-I3587-I3600-I3613))</f>
        <v>0</v>
      </c>
      <c r="J3626" s="25" t="n">
        <f aca="false">J3619*MIN(J3618-J3624+J3623,MAX(0,J3659-Assumptions!$C$12*J3577-J3587-J3600-J3613))</f>
        <v>0</v>
      </c>
      <c r="K3626" s="25" t="n">
        <f aca="false">K3619*MIN(K3618-K3624+K3623,MAX(0,K3659-Assumptions!$C$12*K3577-K3587-K3600-K3613))</f>
        <v>0</v>
      </c>
    </row>
    <row r="3627" customFormat="false" ht="15" hidden="false" customHeight="false" outlineLevel="0" collapsed="false">
      <c r="A3627" s="5" t="s">
        <v>272</v>
      </c>
      <c r="G3627" s="25" t="n">
        <f aca="false">Assumptions!$N$56*MIN(G3618+G3625+G3623-G3624-G3626,MAX(0,G3663-G3588-G3601-G3614))</f>
        <v>0</v>
      </c>
      <c r="H3627" s="25" t="n">
        <f aca="false">Assumptions!$N$56*MIN(H3618+H3625+H3623-H3624-H3626,MAX(0,H3663-H3588-H3601-H3614))</f>
        <v>0</v>
      </c>
      <c r="I3627" s="25" t="n">
        <f aca="false">Assumptions!$N$56*MIN(I3618+I3625+I3623-I3624-I3626,MAX(0,I3663-I3588-I3601-I3614))</f>
        <v>0</v>
      </c>
      <c r="J3627" s="25" t="n">
        <f aca="false">Assumptions!$N$56*MIN(J3618+J3625+J3623-J3624-J3626,MAX(0,J3663-J3588-J3601-J3614))</f>
        <v>0</v>
      </c>
      <c r="K3627" s="25" t="n">
        <f aca="false">Assumptions!$N$56*MIN(K3618+K3625+K3623-K3624-K3626,MAX(0,K3663-K3588-K3601-K3614))</f>
        <v>0</v>
      </c>
    </row>
    <row r="3628" customFormat="false" ht="15" hidden="false" customHeight="false" outlineLevel="0" collapsed="false">
      <c r="A3628" s="5" t="s">
        <v>273</v>
      </c>
      <c r="G3628" s="25" t="n">
        <f aca="false">G3619*(1-G3577)*(G3618-G3624+G3623-G3626)</f>
        <v>0</v>
      </c>
      <c r="H3628" s="25" t="n">
        <f aca="false">H3619*(1-H3577)*(H3618-H3624+H3623-H3626)</f>
        <v>300</v>
      </c>
      <c r="I3628" s="25" t="n">
        <f aca="false">I3619*(1-I3577)*(I3618-I3624+I3623-I3626)</f>
        <v>0</v>
      </c>
      <c r="J3628" s="25" t="n">
        <f aca="false">J3619*(1-J3577)*(J3618-J3624+J3623-J3626)</f>
        <v>0</v>
      </c>
      <c r="K3628" s="25" t="n">
        <f aca="false">K3619*(1-K3577)*(K3618-K3624+K3623-K3626)</f>
        <v>0</v>
      </c>
    </row>
    <row r="3629" customFormat="false" ht="15" hidden="false" customHeight="false" outlineLevel="0" collapsed="false">
      <c r="A3629" s="2" t="s">
        <v>274</v>
      </c>
      <c r="F3629" s="27" t="n">
        <f aca="false">Assumptions!$C$56</f>
        <v>300</v>
      </c>
      <c r="G3629" s="16" t="n">
        <f aca="false">G3618+G3625+G3623-G3624-G3626-G3627</f>
        <v>300</v>
      </c>
      <c r="H3629" s="16" t="n">
        <f aca="false">H3618+H3625+H3623-H3624-H3626-H3627</f>
        <v>300</v>
      </c>
      <c r="I3629" s="16" t="n">
        <f aca="false">I3618+I3625+I3623-I3624-I3626-I3627</f>
        <v>300</v>
      </c>
      <c r="J3629" s="16" t="n">
        <f aca="false">J3618+J3625+J3623-J3624-J3626-J3627</f>
        <v>300</v>
      </c>
      <c r="K3629" s="16" t="n">
        <f aca="false">K3618+K3625+K3623-K3624-K3626-K3627</f>
        <v>300</v>
      </c>
    </row>
    <row r="3630" customFormat="false" ht="15" hidden="false" customHeight="false" outlineLevel="0" collapsed="false">
      <c r="A3630" s="23" t="s">
        <v>278</v>
      </c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</row>
    <row r="3631" customFormat="false" ht="15" hidden="false" customHeight="false" outlineLevel="0" collapsed="false">
      <c r="A3631" s="2" t="s">
        <v>279</v>
      </c>
      <c r="F3631" s="16" t="n">
        <f aca="false">F3590+F3603+F3616+F3629</f>
        <v>1250</v>
      </c>
      <c r="G3631" s="16" t="n">
        <f aca="false">G3590+G3603+G3616+G3629</f>
        <v>1281.0968</v>
      </c>
      <c r="H3631" s="16" t="n">
        <f aca="false">H3590+H3603+H3616+H3629</f>
        <v>1275.8968</v>
      </c>
      <c r="I3631" s="16" t="n">
        <f aca="false">I3590+I3603+I3616+I3629</f>
        <v>1270.6968</v>
      </c>
      <c r="J3631" s="16" t="n">
        <f aca="false">J3590+J3603+J3616+J3629</f>
        <v>1265.4968</v>
      </c>
      <c r="K3631" s="16" t="n">
        <f aca="false">K3590+K3603+K3616+K3629</f>
        <v>1260.2968</v>
      </c>
    </row>
    <row r="3632" customFormat="false" ht="15" hidden="false" customHeight="false" outlineLevel="0" collapsed="false">
      <c r="A3632" s="5" t="s">
        <v>280</v>
      </c>
      <c r="G3632" s="25" t="n">
        <f aca="false">G3580*Assumptions!$C$53+G3593*Assumptions!$C$54+G3606*Assumptions!$C$55+G3619*Assumptions!$C$56</f>
        <v>0</v>
      </c>
      <c r="H3632" s="25" t="n">
        <f aca="false">H3580*Assumptions!$C$53+H3593*Assumptions!$C$54+H3606*Assumptions!$C$55+H3619*Assumptions!$C$56</f>
        <v>480</v>
      </c>
      <c r="I3632" s="25" t="n">
        <f aca="false">I3580*Assumptions!$C$53+I3593*Assumptions!$C$54+I3606*Assumptions!$C$55+I3619*Assumptions!$C$56</f>
        <v>520</v>
      </c>
      <c r="J3632" s="25" t="n">
        <f aca="false">J3580*Assumptions!$C$53+J3593*Assumptions!$C$54+J3606*Assumptions!$C$55+J3619*Assumptions!$C$56</f>
        <v>250</v>
      </c>
      <c r="K3632" s="25" t="n">
        <f aca="false">K3580*Assumptions!$C$53+K3593*Assumptions!$C$54+K3606*Assumptions!$C$55+K3619*Assumptions!$C$56</f>
        <v>0</v>
      </c>
    </row>
    <row r="3633" customFormat="false" ht="15" hidden="false" customHeight="false" outlineLevel="0" collapsed="false">
      <c r="A3633" s="23" t="s">
        <v>281</v>
      </c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</row>
    <row r="3634" customFormat="false" ht="15" hidden="false" customHeight="false" outlineLevel="0" collapsed="false">
      <c r="A3634" s="5" t="s">
        <v>282</v>
      </c>
      <c r="C3634" s="25" t="n">
        <f aca="false">SUMPRODUCT($G$3580:$K$3580,$G$3579:$K$3579-$G$3585:$K$3585+$G$3584:$K$3584)</f>
        <v>216.2968</v>
      </c>
    </row>
    <row r="3635" customFormat="false" ht="15" hidden="false" customHeight="false" outlineLevel="0" collapsed="false">
      <c r="A3635" s="5" t="s">
        <v>283</v>
      </c>
      <c r="C3635" s="25" t="n">
        <f aca="false">SUMPRODUCT($G$3580:$K$3580,$G$3587:$K$3587)</f>
        <v>0</v>
      </c>
    </row>
    <row r="3636" customFormat="false" ht="15" hidden="false" customHeight="false" outlineLevel="0" collapsed="false">
      <c r="A3636" s="5" t="s">
        <v>284</v>
      </c>
      <c r="C3636" s="5" t="str">
        <f aca="false">IF(SUM($G$3580:$K$3580)=0,"n/a (beyond horizon)",IF(SUMPRODUCT($G$3580:$K$3580,$G$3577:$K$3577)&gt;0,"REFINANCING PASS","REFINANCING FAILURE"))</f>
        <v>REFINANCING FAILURE</v>
      </c>
    </row>
    <row r="3637" customFormat="false" ht="15" hidden="false" customHeight="false" outlineLevel="0" collapsed="false">
      <c r="A3637" s="5" t="s">
        <v>285</v>
      </c>
      <c r="C3637" s="5" t="str">
        <f aca="false">IF(SUM($G$3580:$K$3580)=0,"n/a",IF(C3635&gt;=C3634-0.001,"Repaid from cash",IF(SUMPRODUCT($G$3580:$K$3580,$G$3577:$K$3577)&gt;0,IF(C3635&gt;0,"Partly repaid; remainder refinanced","Refinanced"),IF(SUM($G$3589:$K$3589)&gt;0.001,IF(C3635&gt;0,"Partial repayment; PAYMENT DEFAULT","PAYMENT DEFAULT"),"Repaid from cash"))))</f>
        <v>PAYMENT DEFAULT</v>
      </c>
    </row>
    <row r="3638" customFormat="false" ht="15" hidden="false" customHeight="false" outlineLevel="0" collapsed="false">
      <c r="A3638" s="5" t="s">
        <v>286</v>
      </c>
      <c r="C3638" s="25" t="n">
        <f aca="false">SUMPRODUCT($G$3593:$K$3593,$G$3592:$K$3592-$G$3598:$K$3598+$G$3597:$K$3597)</f>
        <v>504.4</v>
      </c>
    </row>
    <row r="3639" customFormat="false" ht="15" hidden="false" customHeight="false" outlineLevel="0" collapsed="false">
      <c r="A3639" s="5" t="s">
        <v>287</v>
      </c>
      <c r="C3639" s="25" t="n">
        <f aca="false">SUMPRODUCT($G$3593:$K$3593,$G$3600:$K$3600)</f>
        <v>0</v>
      </c>
    </row>
    <row r="3640" customFormat="false" ht="15" hidden="false" customHeight="false" outlineLevel="0" collapsed="false">
      <c r="A3640" s="5" t="s">
        <v>288</v>
      </c>
      <c r="C3640" s="5" t="str">
        <f aca="false">IF(SUM($G$3593:$K$3593)=0,"n/a (beyond horizon)",IF(SUMPRODUCT($G$3593:$K$3593,$G$3577:$K$3577)&gt;0,"REFINANCING PASS","REFINANCING FAILURE"))</f>
        <v>REFINANCING FAILURE</v>
      </c>
    </row>
    <row r="3641" customFormat="false" ht="15" hidden="false" customHeight="false" outlineLevel="0" collapsed="false">
      <c r="A3641" s="5" t="s">
        <v>289</v>
      </c>
      <c r="C3641" s="5" t="str">
        <f aca="false">IF(SUM($G$3593:$K$3593)=0,"n/a",IF(C3639&gt;=C3638-0.001,"Repaid from cash",IF(SUMPRODUCT($G$3593:$K$3593,$G$3577:$K$3577)&gt;0,IF(C3639&gt;0,"Partly repaid; remainder refinanced","Refinanced"),IF(SUM($G$3602:$K$3602)&gt;0.001,IF(C3639&gt;0,"Partial repayment; PAYMENT DEFAULT","PAYMENT DEFAULT"),"Repaid from cash"))))</f>
        <v>PAYMENT DEFAULT</v>
      </c>
    </row>
    <row r="3642" customFormat="false" ht="15" hidden="false" customHeight="false" outlineLevel="0" collapsed="false">
      <c r="A3642" s="5" t="s">
        <v>290</v>
      </c>
      <c r="C3642" s="25" t="n">
        <f aca="false">SUMPRODUCT($G$3606:$K$3606,$G$3605:$K$3605-$G$3611:$K$3611+$G$3610:$K$3610)</f>
        <v>250</v>
      </c>
    </row>
    <row r="3643" customFormat="false" ht="15" hidden="false" customHeight="false" outlineLevel="0" collapsed="false">
      <c r="A3643" s="5" t="s">
        <v>291</v>
      </c>
      <c r="C3643" s="25" t="n">
        <f aca="false">SUMPRODUCT($G$3606:$K$3606,$G$3613:$K$3613)</f>
        <v>0</v>
      </c>
    </row>
    <row r="3644" customFormat="false" ht="15" hidden="false" customHeight="false" outlineLevel="0" collapsed="false">
      <c r="A3644" s="5" t="s">
        <v>292</v>
      </c>
      <c r="C3644" s="5" t="str">
        <f aca="false">IF(SUM($G$3606:$K$3606)=0,"n/a (beyond horizon)",IF(SUMPRODUCT($G$3606:$K$3606,$G$3577:$K$3577)&gt;0,"REFINANCING PASS","REFINANCING FAILURE"))</f>
        <v>REFINANCING FAILURE</v>
      </c>
    </row>
    <row r="3645" customFormat="false" ht="15" hidden="false" customHeight="false" outlineLevel="0" collapsed="false">
      <c r="A3645" s="5" t="s">
        <v>293</v>
      </c>
      <c r="C3645" s="5" t="str">
        <f aca="false">IF(SUM($G$3606:$K$3606)=0,"n/a",IF(C3643&gt;=C3642-0.001,"Repaid from cash",IF(SUMPRODUCT($G$3606:$K$3606,$G$3577:$K$3577)&gt;0,IF(C3643&gt;0,"Partly repaid; remainder refinanced","Refinanced"),IF(SUM($G$3615:$K$3615)&gt;0.001,IF(C3643&gt;0,"Partial repayment; PAYMENT DEFAULT","PAYMENT DEFAULT"),"Repaid from cash"))))</f>
        <v>PAYMENT DEFAULT</v>
      </c>
    </row>
    <row r="3646" customFormat="false" ht="15" hidden="false" customHeight="false" outlineLevel="0" collapsed="false">
      <c r="A3646" s="5" t="s">
        <v>294</v>
      </c>
      <c r="C3646" s="25" t="n">
        <f aca="false">SUMPRODUCT($G$3619:$K$3619,$G$3618:$K$3618-$G$3624:$K$3624+$G$3623:$K$3623)</f>
        <v>300</v>
      </c>
    </row>
    <row r="3647" customFormat="false" ht="15" hidden="false" customHeight="false" outlineLevel="0" collapsed="false">
      <c r="A3647" s="5" t="s">
        <v>295</v>
      </c>
      <c r="C3647" s="25" t="n">
        <f aca="false">SUMPRODUCT($G$3619:$K$3619,$G$3626:$K$3626)</f>
        <v>0</v>
      </c>
    </row>
    <row r="3648" customFormat="false" ht="15" hidden="false" customHeight="false" outlineLevel="0" collapsed="false">
      <c r="A3648" s="5" t="s">
        <v>296</v>
      </c>
      <c r="C3648" s="5" t="str">
        <f aca="false">IF(SUM($G$3619:$K$3619)=0,"n/a (beyond horizon)",IF(SUMPRODUCT($G$3619:$K$3619,$G$3577:$K$3577)&gt;0,"REFINANCING PASS","REFINANCING FAILURE"))</f>
        <v>REFINANCING FAILURE</v>
      </c>
    </row>
    <row r="3649" customFormat="false" ht="15" hidden="false" customHeight="false" outlineLevel="0" collapsed="false">
      <c r="A3649" s="5" t="s">
        <v>297</v>
      </c>
      <c r="C3649" s="5" t="str">
        <f aca="false">IF(SUM($G$3619:$K$3619)=0,"n/a",IF(C3647&gt;=C3646-0.001,"Repaid from cash",IF(SUMPRODUCT($G$3619:$K$3619,$G$3577:$K$3577)&gt;0,IF(C3647&gt;0,"Partly repaid; remainder refinanced","Refinanced"),IF(SUM($G$3628:$K$3628)&gt;0.001,IF(C3647&gt;0,"Partial repayment; PAYMENT DEFAULT","PAYMENT DEFAULT"),"Repaid from cash"))))</f>
        <v>PAYMENT DEFAULT</v>
      </c>
    </row>
    <row r="3650" customFormat="false" ht="15" hidden="false" customHeight="false" outlineLevel="0" collapsed="false">
      <c r="A3650" s="5" t="s">
        <v>298</v>
      </c>
      <c r="C3650" s="20" t="n">
        <f aca="false">IF(C3636="REFINANCING FAILURE",1,0)+IF(C3640="REFINANCING FAILURE",1,0)+IF(C3644="REFINANCING FAILURE",1,0)+IF(C3648="REFINANCING FAILURE",1,0)</f>
        <v>4</v>
      </c>
    </row>
    <row r="3652" customFormat="false" ht="15" hidden="false" customHeight="false" outlineLevel="0" collapsed="false">
      <c r="A3652" s="23" t="s">
        <v>300</v>
      </c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</row>
    <row r="3653" customFormat="false" ht="15" hidden="false" customHeight="false" outlineLevel="0" collapsed="false">
      <c r="A3653" s="5" t="s">
        <v>260</v>
      </c>
      <c r="G3653" s="25" t="n">
        <f aca="false">F3665</f>
        <v>45</v>
      </c>
      <c r="H3653" s="25" t="n">
        <f aca="false">G3665</f>
        <v>0</v>
      </c>
      <c r="I3653" s="25" t="n">
        <f aca="false">H3665</f>
        <v>-121.3557292</v>
      </c>
      <c r="J3653" s="25" t="n">
        <f aca="false">I3665</f>
        <v>-236.702175152</v>
      </c>
      <c r="K3653" s="25" t="n">
        <f aca="false">J3665</f>
        <v>-337.79889141424</v>
      </c>
    </row>
    <row r="3654" customFormat="false" ht="15" hidden="false" customHeight="false" outlineLevel="0" collapsed="false">
      <c r="A3654" s="5" t="s">
        <v>301</v>
      </c>
      <c r="G3654" s="25" t="n">
        <f aca="false">G3566</f>
        <v>-76.0968</v>
      </c>
      <c r="H3654" s="25" t="n">
        <f aca="false">H3566</f>
        <v>-116.1557292</v>
      </c>
      <c r="I3654" s="25" t="n">
        <f aca="false">I3566</f>
        <v>-110.146445952</v>
      </c>
      <c r="J3654" s="25" t="n">
        <f aca="false">J3566</f>
        <v>-95.89671626224</v>
      </c>
      <c r="K3654" s="25" t="n">
        <f aca="false">K3566</f>
        <v>-83.18519092616</v>
      </c>
    </row>
    <row r="3655" customFormat="false" ht="15" hidden="false" customHeight="false" outlineLevel="0" collapsed="false">
      <c r="A3655" s="5" t="s">
        <v>302</v>
      </c>
      <c r="G3655" s="25" t="n">
        <f aca="false">CHOOSE($C$3536,Assumptions!$G$68,Assumptions!$G$87,Assumptions!$G$106)</f>
        <v>0</v>
      </c>
      <c r="H3655" s="25" t="n">
        <f aca="false">CHOOSE($C$3536,Assumptions!$H$68,Assumptions!$H$87,Assumptions!$H$106)</f>
        <v>0</v>
      </c>
      <c r="I3655" s="25" t="n">
        <f aca="false">CHOOSE($C$3536,Assumptions!$I$68,Assumptions!$I$87,Assumptions!$I$106)</f>
        <v>0</v>
      </c>
      <c r="J3655" s="25" t="n">
        <f aca="false">CHOOSE($C$3536,Assumptions!$J$68,Assumptions!$J$87,Assumptions!$J$106)</f>
        <v>0</v>
      </c>
      <c r="K3655" s="25" t="n">
        <f aca="false">CHOOSE($C$3536,Assumptions!$K$68,Assumptions!$K$87,Assumptions!$K$106)</f>
        <v>0</v>
      </c>
    </row>
    <row r="3656" customFormat="false" ht="15" hidden="false" customHeight="false" outlineLevel="0" collapsed="false">
      <c r="A3656" s="5" t="s">
        <v>303</v>
      </c>
      <c r="G3656" s="25" t="n">
        <f aca="false">G3585+G3598+G3611+G3624</f>
        <v>5.2</v>
      </c>
      <c r="H3656" s="25" t="n">
        <f aca="false">H3585+H3598+H3611+H3624</f>
        <v>5.2</v>
      </c>
      <c r="I3656" s="25" t="n">
        <f aca="false">I3585+I3598+I3611+I3624</f>
        <v>5.2</v>
      </c>
      <c r="J3656" s="25" t="n">
        <f aca="false">J3585+J3598+J3611+J3624</f>
        <v>5.2</v>
      </c>
      <c r="K3656" s="25" t="n">
        <f aca="false">K3585+K3598+K3611+K3624</f>
        <v>5.2</v>
      </c>
    </row>
    <row r="3657" customFormat="false" ht="15" hidden="false" customHeight="false" outlineLevel="0" collapsed="false">
      <c r="A3657" s="2" t="s">
        <v>304</v>
      </c>
      <c r="G3657" s="16" t="n">
        <f aca="false">G3653+G3654+G3655-G3656</f>
        <v>-36.2968000000001</v>
      </c>
      <c r="H3657" s="16" t="n">
        <f aca="false">H3653+H3654+H3655-H3656</f>
        <v>-121.3557292</v>
      </c>
      <c r="I3657" s="16" t="n">
        <f aca="false">I3653+I3654+I3655-I3656</f>
        <v>-236.702175152</v>
      </c>
      <c r="J3657" s="16" t="n">
        <f aca="false">J3653+J3654+J3655-J3656</f>
        <v>-337.79889141424</v>
      </c>
      <c r="K3657" s="16" t="n">
        <f aca="false">K3653+K3654+K3655-K3656</f>
        <v>-426.1840823404</v>
      </c>
    </row>
    <row r="3658" customFormat="false" ht="15" hidden="false" customHeight="false" outlineLevel="0" collapsed="false">
      <c r="A3658" s="5" t="s">
        <v>305</v>
      </c>
      <c r="G3658" s="25" t="n">
        <f aca="false">G3586+G3599+G3612+G3625</f>
        <v>36.2968000000001</v>
      </c>
      <c r="H3658" s="25" t="n">
        <f aca="false">H3586+H3599+H3612+H3625</f>
        <v>0</v>
      </c>
      <c r="I3658" s="25" t="n">
        <f aca="false">I3586+I3599+I3612+I3625</f>
        <v>0</v>
      </c>
      <c r="J3658" s="25" t="n">
        <f aca="false">J3586+J3599+J3612+J3625</f>
        <v>0</v>
      </c>
      <c r="K3658" s="25" t="n">
        <f aca="false">K3586+K3599+K3612+K3625</f>
        <v>0</v>
      </c>
    </row>
    <row r="3659" customFormat="false" ht="15" hidden="false" customHeight="false" outlineLevel="0" collapsed="false">
      <c r="A3659" s="2" t="s">
        <v>306</v>
      </c>
      <c r="G3659" s="16" t="n">
        <f aca="false">G3657+G3658</f>
        <v>0</v>
      </c>
      <c r="H3659" s="16" t="n">
        <f aca="false">H3657+H3658</f>
        <v>-121.3557292</v>
      </c>
      <c r="I3659" s="16" t="n">
        <f aca="false">I3657+I3658</f>
        <v>-236.702175152</v>
      </c>
      <c r="J3659" s="16" t="n">
        <f aca="false">J3657+J3658</f>
        <v>-337.79889141424</v>
      </c>
      <c r="K3659" s="16" t="n">
        <f aca="false">K3657+K3658</f>
        <v>-426.1840823404</v>
      </c>
    </row>
    <row r="3660" customFormat="false" ht="15" hidden="false" customHeight="false" outlineLevel="0" collapsed="false">
      <c r="A3660" s="5" t="s">
        <v>307</v>
      </c>
      <c r="G3660" s="25" t="n">
        <f aca="false">G3587+G3600+G3613+G3626</f>
        <v>0</v>
      </c>
      <c r="H3660" s="25" t="n">
        <f aca="false">H3587+H3600+H3613+H3626</f>
        <v>0</v>
      </c>
      <c r="I3660" s="25" t="n">
        <f aca="false">I3587+I3600+I3613+I3626</f>
        <v>0</v>
      </c>
      <c r="J3660" s="25" t="n">
        <f aca="false">J3587+J3600+J3613+J3626</f>
        <v>0</v>
      </c>
      <c r="K3660" s="25" t="n">
        <f aca="false">K3587+K3600+K3613+K3626</f>
        <v>0</v>
      </c>
    </row>
    <row r="3661" customFormat="false" ht="15" hidden="false" customHeight="false" outlineLevel="0" collapsed="false">
      <c r="A3661" s="2" t="s">
        <v>308</v>
      </c>
      <c r="G3661" s="16" t="n">
        <f aca="false">G3659-G3660</f>
        <v>0</v>
      </c>
      <c r="H3661" s="16" t="n">
        <f aca="false">H3659-H3660</f>
        <v>-121.3557292</v>
      </c>
      <c r="I3661" s="16" t="n">
        <f aca="false">I3659-I3660</f>
        <v>-236.702175152</v>
      </c>
      <c r="J3661" s="16" t="n">
        <f aca="false">J3659-J3660</f>
        <v>-337.79889141424</v>
      </c>
      <c r="K3661" s="16" t="n">
        <f aca="false">K3659-K3660</f>
        <v>-426.1840823404</v>
      </c>
    </row>
    <row r="3662" customFormat="false" ht="15" hidden="false" customHeight="false" outlineLevel="0" collapsed="false">
      <c r="A3662" s="5" t="s">
        <v>309</v>
      </c>
      <c r="G3662" s="25" t="n">
        <f aca="false">MAX(0,-G3661)</f>
        <v>-0</v>
      </c>
      <c r="H3662" s="25" t="n">
        <f aca="false">MAX(0,-H3661)</f>
        <v>121.3557292</v>
      </c>
      <c r="I3662" s="25" t="n">
        <f aca="false">MAX(0,-I3661)</f>
        <v>236.702175152</v>
      </c>
      <c r="J3662" s="25" t="n">
        <f aca="false">MAX(0,-J3661)</f>
        <v>337.79889141424</v>
      </c>
      <c r="K3662" s="25" t="n">
        <f aca="false">MAX(0,-K3661)</f>
        <v>426.1840823404</v>
      </c>
    </row>
    <row r="3663" customFormat="false" ht="15" hidden="false" customHeight="false" outlineLevel="0" collapsed="false">
      <c r="A3663" s="5" t="s">
        <v>310</v>
      </c>
      <c r="G3663" s="25" t="n">
        <f aca="false">MAX(0,G3661-Assumptions!$C$12)*Assumptions!$C$13</f>
        <v>0</v>
      </c>
      <c r="H3663" s="25" t="n">
        <f aca="false">MAX(0,H3661-Assumptions!$C$12)*Assumptions!$C$13</f>
        <v>0</v>
      </c>
      <c r="I3663" s="25" t="n">
        <f aca="false">MAX(0,I3661-Assumptions!$C$12)*Assumptions!$C$13</f>
        <v>0</v>
      </c>
      <c r="J3663" s="25" t="n">
        <f aca="false">MAX(0,J3661-Assumptions!$C$12)*Assumptions!$C$13</f>
        <v>0</v>
      </c>
      <c r="K3663" s="25" t="n">
        <f aca="false">MAX(0,K3661-Assumptions!$C$12)*Assumptions!$C$13</f>
        <v>0</v>
      </c>
    </row>
    <row r="3664" customFormat="false" ht="15" hidden="false" customHeight="false" outlineLevel="0" collapsed="false">
      <c r="A3664" s="5" t="s">
        <v>311</v>
      </c>
      <c r="G3664" s="25" t="n">
        <f aca="false">G3588+G3601+G3614+G3627</f>
        <v>0</v>
      </c>
      <c r="H3664" s="25" t="n">
        <f aca="false">H3588+H3601+H3614+H3627</f>
        <v>0</v>
      </c>
      <c r="I3664" s="25" t="n">
        <f aca="false">I3588+I3601+I3614+I3627</f>
        <v>0</v>
      </c>
      <c r="J3664" s="25" t="n">
        <f aca="false">J3588+J3601+J3614+J3627</f>
        <v>0</v>
      </c>
      <c r="K3664" s="25" t="n">
        <f aca="false">K3588+K3601+K3614+K3627</f>
        <v>0</v>
      </c>
    </row>
    <row r="3665" customFormat="false" ht="15" hidden="false" customHeight="false" outlineLevel="0" collapsed="false">
      <c r="A3665" s="2" t="s">
        <v>312</v>
      </c>
      <c r="F3665" s="27" t="n">
        <f aca="false">Assumptions!$C$11</f>
        <v>45</v>
      </c>
      <c r="G3665" s="16" t="n">
        <f aca="false">G3661-G3664</f>
        <v>0</v>
      </c>
      <c r="H3665" s="16" t="n">
        <f aca="false">H3661-H3664</f>
        <v>-121.3557292</v>
      </c>
      <c r="I3665" s="16" t="n">
        <f aca="false">I3661-I3664</f>
        <v>-236.702175152</v>
      </c>
      <c r="J3665" s="16" t="n">
        <f aca="false">J3661-J3664</f>
        <v>-337.79889141424</v>
      </c>
      <c r="K3665" s="16" t="n">
        <f aca="false">K3661-K3664</f>
        <v>-426.1840823404</v>
      </c>
    </row>
    <row r="3666" customFormat="false" ht="15" hidden="false" customHeight="false" outlineLevel="0" collapsed="false">
      <c r="A3666" s="5" t="s">
        <v>313</v>
      </c>
      <c r="G3666" s="25" t="n">
        <f aca="false">G3589+G3602+G3615+G3628</f>
        <v>0</v>
      </c>
      <c r="H3666" s="25" t="n">
        <f aca="false">H3589+H3602+H3615+H3628</f>
        <v>516.2968</v>
      </c>
      <c r="I3666" s="25" t="n">
        <f aca="false">I3589+I3602+I3615+I3628</f>
        <v>504.4</v>
      </c>
      <c r="J3666" s="25" t="n">
        <f aca="false">J3589+J3602+J3615+J3628</f>
        <v>250</v>
      </c>
      <c r="K3666" s="25" t="n">
        <f aca="false">K3589+K3602+K3615+K3628</f>
        <v>0</v>
      </c>
    </row>
    <row r="3667" customFormat="false" ht="15" hidden="false" customHeight="false" outlineLevel="0" collapsed="false">
      <c r="A3667" s="5" t="s">
        <v>314</v>
      </c>
      <c r="G3667" s="20" t="n">
        <f aca="false">IF(OR(G3662&gt;0.001,G3666&gt;0.001),1,0)</f>
        <v>0</v>
      </c>
      <c r="H3667" s="20" t="n">
        <f aca="false">IF(OR(H3662&gt;0.001,H3666&gt;0.001),1,0)</f>
        <v>1</v>
      </c>
      <c r="I3667" s="20" t="n">
        <f aca="false">IF(OR(I3662&gt;0.001,I3666&gt;0.001),1,0)</f>
        <v>1</v>
      </c>
      <c r="J3667" s="20" t="n">
        <f aca="false">IF(OR(J3662&gt;0.001,J3666&gt;0.001),1,0)</f>
        <v>1</v>
      </c>
      <c r="K3667" s="20" t="n">
        <f aca="false">IF(OR(K3662&gt;0.001,K3666&gt;0.001),1,0)</f>
        <v>1</v>
      </c>
    </row>
    <row r="3668" customFormat="false" ht="15" hidden="false" customHeight="false" outlineLevel="0" collapsed="false">
      <c r="A3668" s="5" t="s">
        <v>315</v>
      </c>
      <c r="G3668" s="20" t="n">
        <f aca="false">IF(G3667=1,1,0)</f>
        <v>0</v>
      </c>
      <c r="H3668" s="20" t="n">
        <f aca="false">IF(AND(H3667=1,SUM($G$3667:G3667)=0),1,0)</f>
        <v>1</v>
      </c>
      <c r="I3668" s="20" t="n">
        <f aca="false">IF(AND(I3667=1,SUM($G$3667:H3667)=0),1,0)</f>
        <v>0</v>
      </c>
      <c r="J3668" s="20" t="n">
        <f aca="false">IF(AND(J3667=1,SUM($G$3667:I3667)=0),1,0)</f>
        <v>0</v>
      </c>
      <c r="K3668" s="20" t="n">
        <f aca="false">IF(AND(K3667=1,SUM($G$3667:J3667)=0),1,0)</f>
        <v>0</v>
      </c>
    </row>
    <row r="3669" customFormat="false" ht="15" hidden="false" customHeight="false" outlineLevel="0" collapsed="false">
      <c r="A3669" s="5" t="s">
        <v>316</v>
      </c>
      <c r="G3669" s="25" t="n">
        <f aca="false">(G3631-F3631)-(G3658+G3558-G3656-G3660-G3664)</f>
        <v>0</v>
      </c>
      <c r="H3669" s="25" t="n">
        <f aca="false">(H3631-G3631)-(H3658+H3558-H3656-H3660-H3664)</f>
        <v>-4.52970994047064E-014</v>
      </c>
      <c r="I3669" s="25" t="n">
        <f aca="false">(I3631-H3631)-(I3658+I3558-I3656-I3660-I3664)</f>
        <v>1.82076576038526E-013</v>
      </c>
      <c r="J3669" s="25" t="n">
        <f aca="false">(J3631-I3631)-(J3658+J3558-J3656-J3660-J3664)</f>
        <v>-2.72670774847938E-013</v>
      </c>
      <c r="K3669" s="25" t="n">
        <f aca="false">(K3631-J3631)-(K3658+K3558-K3656-K3660-K3664)</f>
        <v>1.82076576038526E-013</v>
      </c>
    </row>
    <row r="3671" customFormat="false" ht="15" hidden="false" customHeight="false" outlineLevel="0" collapsed="false">
      <c r="A3671" s="23" t="s">
        <v>318</v>
      </c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</row>
    <row r="3672" customFormat="false" ht="15" hidden="false" customHeight="false" outlineLevel="0" collapsed="false">
      <c r="A3672" s="5" t="s">
        <v>319</v>
      </c>
      <c r="G3672" s="25" t="n">
        <f aca="false">G3631</f>
        <v>1281.0968</v>
      </c>
      <c r="H3672" s="25" t="n">
        <f aca="false">H3631</f>
        <v>1275.8968</v>
      </c>
      <c r="I3672" s="25" t="n">
        <f aca="false">I3631</f>
        <v>1270.6968</v>
      </c>
      <c r="J3672" s="25" t="n">
        <f aca="false">J3631</f>
        <v>1265.4968</v>
      </c>
      <c r="K3672" s="25" t="n">
        <f aca="false">K3631</f>
        <v>1260.2968</v>
      </c>
    </row>
    <row r="3673" customFormat="false" ht="15" hidden="false" customHeight="false" outlineLevel="0" collapsed="false">
      <c r="A3673" s="5" t="s">
        <v>320</v>
      </c>
      <c r="G3673" s="25" t="n">
        <f aca="false">Assumptions!$O$53*G3590+Assumptions!$O$54*G3603+Assumptions!$O$55*G3616+Assumptions!$O$56*G3629</f>
        <v>981.0968</v>
      </c>
      <c r="H3673" s="25" t="n">
        <f aca="false">Assumptions!$O$53*H3590+Assumptions!$O$54*H3603+Assumptions!$O$55*H3616+Assumptions!$O$56*H3629</f>
        <v>975.8968</v>
      </c>
      <c r="I3673" s="25" t="n">
        <f aca="false">Assumptions!$O$53*I3590+Assumptions!$O$54*I3603+Assumptions!$O$55*I3616+Assumptions!$O$56*I3629</f>
        <v>970.6968</v>
      </c>
      <c r="J3673" s="25" t="n">
        <f aca="false">Assumptions!$O$53*J3590+Assumptions!$O$54*J3603+Assumptions!$O$55*J3616+Assumptions!$O$56*J3629</f>
        <v>965.4968</v>
      </c>
      <c r="K3673" s="25" t="n">
        <f aca="false">Assumptions!$O$53*K3590+Assumptions!$O$54*K3603+Assumptions!$O$55*K3616+Assumptions!$O$56*K3629</f>
        <v>960.2968</v>
      </c>
    </row>
    <row r="3674" customFormat="false" ht="15" hidden="false" customHeight="false" outlineLevel="0" collapsed="false">
      <c r="A3674" s="5" t="s">
        <v>321</v>
      </c>
      <c r="G3674" s="25" t="n">
        <f aca="false">G3672-G3665</f>
        <v>1281.0968</v>
      </c>
      <c r="H3674" s="25" t="n">
        <f aca="false">H3672-H3665</f>
        <v>1397.2525292</v>
      </c>
      <c r="I3674" s="25" t="n">
        <f aca="false">I3672-I3665</f>
        <v>1507.398975152</v>
      </c>
      <c r="J3674" s="25" t="n">
        <f aca="false">J3672-J3665</f>
        <v>1603.29569141424</v>
      </c>
      <c r="K3674" s="25" t="n">
        <f aca="false">K3672-K3665</f>
        <v>1686.4808823404</v>
      </c>
    </row>
    <row r="3675" customFormat="false" ht="15" hidden="false" customHeight="false" outlineLevel="0" collapsed="false">
      <c r="A3675" s="5" t="s">
        <v>322</v>
      </c>
      <c r="G3675" s="31" t="n">
        <f aca="false">IF(G3553&gt;0,G3672/G3553,0)</f>
        <v>16.5413800227249</v>
      </c>
      <c r="H3675" s="31" t="n">
        <f aca="false">IF(H3553&gt;0,H3672/H3553,0)</f>
        <v>26.0868812807611</v>
      </c>
      <c r="I3675" s="31" t="n">
        <f aca="false">IF(I3553&gt;0,I3672/I3553,0)</f>
        <v>20.7088178018065</v>
      </c>
      <c r="J3675" s="31" t="n">
        <f aca="false">IF(J3553&gt;0,J3672/J3553,0)</f>
        <v>17.2611283222678</v>
      </c>
      <c r="K3675" s="31" t="n">
        <f aca="false">IF(K3553&gt;0,K3672/K3553,0)</f>
        <v>14.8227900209479</v>
      </c>
    </row>
    <row r="3676" customFormat="false" ht="15" hidden="false" customHeight="false" outlineLevel="0" collapsed="false">
      <c r="A3676" s="5" t="s">
        <v>323</v>
      </c>
      <c r="G3676" s="31" t="n">
        <f aca="false">IF(G3553&gt;0,G3674/G3553,0)</f>
        <v>16.5413800227249</v>
      </c>
      <c r="H3676" s="31" t="n">
        <f aca="false">IF(H3553&gt;0,H3674/H3553,0)</f>
        <v>28.5681105622991</v>
      </c>
      <c r="I3676" s="31" t="n">
        <f aca="false">IF(I3553&gt;0,I3674/I3553,0)</f>
        <v>24.5664038274533</v>
      </c>
      <c r="J3676" s="31" t="n">
        <f aca="false">IF(J3553&gt;0,J3674/J3553,0)</f>
        <v>21.8686389946149</v>
      </c>
      <c r="K3676" s="31" t="n">
        <f aca="false">IF(K3553&gt;0,K3674/K3553,0)</f>
        <v>19.8352895867661</v>
      </c>
    </row>
    <row r="3677" customFormat="false" ht="15" hidden="false" customHeight="false" outlineLevel="0" collapsed="false">
      <c r="A3677" s="5" t="s">
        <v>324</v>
      </c>
      <c r="G3677" s="31" t="n">
        <f aca="false">IF(G3557&gt;0,G3553/G3557,0)</f>
        <v>0.597869383974062</v>
      </c>
      <c r="H3677" s="31" t="n">
        <f aca="false">IF(H3557&gt;0,H3553/H3557,0)</f>
        <v>0.374027109660081</v>
      </c>
      <c r="I3677" s="31" t="n">
        <f aca="false">IF(I3557&gt;0,I3553/I3557,0)</f>
        <v>0.478071824514175</v>
      </c>
      <c r="J3677" s="31" t="n">
        <f aca="false">IF(J3557&gt;0,J3553/J3557,0)</f>
        <v>0.573840521753012</v>
      </c>
      <c r="K3677" s="31" t="n">
        <f aca="false">IF(K3557&gt;0,K3553/K3557,0)</f>
        <v>0.668565910880975</v>
      </c>
    </row>
    <row r="3678" customFormat="false" ht="15" hidden="false" customHeight="false" outlineLevel="0" collapsed="false">
      <c r="A3678" s="5" t="s">
        <v>325</v>
      </c>
      <c r="G3678" s="31" t="n">
        <f aca="false">IF(G3557&gt;0,G3556/G3557,0)</f>
        <v>0.222065771190366</v>
      </c>
      <c r="H3678" s="31" t="n">
        <f aca="false">IF(H3557&gt;0,H3556/H3557,0)</f>
        <v>0.0162620482460903</v>
      </c>
      <c r="I3678" s="31" t="n">
        <f aca="false">IF(I3557&gt;0,I3556/I3557,0)</f>
        <v>0.115396647296525</v>
      </c>
      <c r="J3678" s="31" t="n">
        <f aca="false">IF(J3557&gt;0,J3556/J3557,0)</f>
        <v>0.213140765222547</v>
      </c>
      <c r="K3678" s="31" t="n">
        <f aca="false">IF(K3557&gt;0,K3556/K3557,0)</f>
        <v>0.309823226993622</v>
      </c>
    </row>
    <row r="3679" customFormat="false" ht="15" hidden="false" customHeight="false" outlineLevel="0" collapsed="false">
      <c r="A3679" s="5" t="s">
        <v>182</v>
      </c>
      <c r="G3679" s="21" t="n">
        <f aca="false">IF(G3672&gt;0,G3566/G3672,0)</f>
        <v>-0.0593997268590477</v>
      </c>
      <c r="H3679" s="21" t="n">
        <f aca="false">IF(H3672&gt;0,H3566/H3672,0)</f>
        <v>-0.0910384987249753</v>
      </c>
      <c r="I3679" s="21" t="n">
        <f aca="false">IF(I3672&gt;0,I3566/I3672,0)</f>
        <v>-0.086681925973214</v>
      </c>
      <c r="J3679" s="21" t="n">
        <f aca="false">IF(J3672&gt;0,J3566/J3672,0)</f>
        <v>-0.0757779207835532</v>
      </c>
      <c r="K3679" s="21" t="n">
        <f aca="false">IF(K3672&gt;0,K3566/K3672,0)</f>
        <v>-0.0660044450848086</v>
      </c>
    </row>
    <row r="3680" customFormat="false" ht="15" hidden="false" customHeight="false" outlineLevel="0" collapsed="false">
      <c r="A3680" s="5" t="s">
        <v>326</v>
      </c>
      <c r="G3680" s="31" t="n">
        <f aca="false">IF(G3557+G3656&gt;0,(G3553-G3564-G3561)/(G3557+G3656),0)</f>
        <v>0.262763841472466</v>
      </c>
      <c r="H3680" s="31" t="n">
        <f aca="false">IF(H3557+H3656&gt;0,(H3553-H3564-H3561)/(H3557+H3656),0)</f>
        <v>0.0625604092748976</v>
      </c>
      <c r="I3680" s="31" t="n">
        <f aca="false">IF(I3557+I3656&gt;0,(I3553-I3564-I3561)/(I3557+I3656),0)</f>
        <v>0.158433508080696</v>
      </c>
      <c r="J3680" s="31" t="n">
        <f aca="false">IF(J3557+J3656&gt;0,(J3553-J3564-J3561)/(J3557+J3656),0)</f>
        <v>0.252067742993116</v>
      </c>
      <c r="K3680" s="31" t="n">
        <f aca="false">IF(K3557+K3656&gt;0,(K3553-K3564-K3561)/(K3557+K3656),0)</f>
        <v>0.344650334570687</v>
      </c>
    </row>
    <row r="3681" customFormat="false" ht="15" hidden="false" customHeight="false" outlineLevel="0" collapsed="false">
      <c r="A3681" s="5" t="s">
        <v>327</v>
      </c>
      <c r="G3681" s="25" t="n">
        <f aca="false">MAX(0,G3665)+Assumptions!$P$53*MAX(0,Assumptions!$D$53-G3590)+Assumptions!$P$54*MAX(0,Assumptions!$D$54-G3603)+Assumptions!$P$55*MAX(0,Assumptions!$D$55-G3616)+Assumptions!$P$56*MAX(0,Assumptions!$D$56-G3629)</f>
        <v>83.7032</v>
      </c>
      <c r="H3681" s="25" t="n">
        <f aca="false">MAX(0,H3665)+Assumptions!$P$53*MAX(0,Assumptions!$D$53-H3590)+Assumptions!$P$54*MAX(0,Assumptions!$D$54-H3603)+Assumptions!$P$55*MAX(0,Assumptions!$D$55-H3616)+Assumptions!$P$56*MAX(0,Assumptions!$D$56-H3629)</f>
        <v>83.7032</v>
      </c>
      <c r="I3681" s="25" t="n">
        <f aca="false">MAX(0,I3665)+Assumptions!$P$53*MAX(0,Assumptions!$D$53-I3590)+Assumptions!$P$54*MAX(0,Assumptions!$D$54-I3603)+Assumptions!$P$55*MAX(0,Assumptions!$D$55-I3616)+Assumptions!$P$56*MAX(0,Assumptions!$D$56-I3629)</f>
        <v>83.7032</v>
      </c>
      <c r="J3681" s="25" t="n">
        <f aca="false">MAX(0,J3665)+Assumptions!$P$53*MAX(0,Assumptions!$D$53-J3590)+Assumptions!$P$54*MAX(0,Assumptions!$D$54-J3603)+Assumptions!$P$55*MAX(0,Assumptions!$D$55-J3616)+Assumptions!$P$56*MAX(0,Assumptions!$D$56-J3629)</f>
        <v>83.7032</v>
      </c>
      <c r="K3681" s="25" t="n">
        <f aca="false">MAX(0,K3665)+Assumptions!$P$53*MAX(0,Assumptions!$D$53-K3590)+Assumptions!$P$54*MAX(0,Assumptions!$D$54-K3603)+Assumptions!$P$55*MAX(0,Assumptions!$D$55-K3616)+Assumptions!$P$56*MAX(0,Assumptions!$D$56-K3629)</f>
        <v>83.7032</v>
      </c>
    </row>
    <row r="3682" customFormat="false" ht="15" hidden="false" customHeight="false" outlineLevel="0" collapsed="false">
      <c r="A3682" s="5" t="s">
        <v>328</v>
      </c>
      <c r="G3682" s="21" t="n">
        <f aca="false">IF(G3672&gt;0,G3672/(G3672+MAX(0,G3553*CHOOSE($C$3536,Assumptions!$C$76,Assumptions!$C$95,Assumptions!$C$114)-G3674)),0)</f>
        <v>1</v>
      </c>
      <c r="H3682" s="21" t="n">
        <f aca="false">IF(H3672&gt;0,H3672/(H3672+MAX(0,H3553*CHOOSE($C$3536,Assumptions!$C$76,Assumptions!$C$95,Assumptions!$C$114)-H3674)),0)</f>
        <v>1</v>
      </c>
      <c r="I3682" s="21" t="n">
        <f aca="false">IF(I3672&gt;0,I3672/(I3672+MAX(0,I3553*CHOOSE($C$3536,Assumptions!$C$76,Assumptions!$C$95,Assumptions!$C$114)-I3674)),0)</f>
        <v>1</v>
      </c>
      <c r="J3682" s="21" t="n">
        <f aca="false">IF(J3672&gt;0,J3672/(J3672+MAX(0,J3553*CHOOSE($C$3536,Assumptions!$C$76,Assumptions!$C$95,Assumptions!$C$114)-J3674)),0)</f>
        <v>1</v>
      </c>
      <c r="K3682" s="21" t="n">
        <f aca="false">IF(K3672&gt;0,K3672/(K3672+MAX(0,K3553*CHOOSE($C$3536,Assumptions!$C$76,Assumptions!$C$95,Assumptions!$C$114)-K3674)),0)</f>
        <v>1</v>
      </c>
    </row>
    <row r="3683" customFormat="false" ht="15" hidden="false" customHeight="false" outlineLevel="0" collapsed="false">
      <c r="A3683" s="5" t="s">
        <v>329</v>
      </c>
      <c r="G3683" s="21" t="n">
        <f aca="false">IF(G3672&gt;0,MAX(0,G3665)/G3672,0)</f>
        <v>0</v>
      </c>
      <c r="H3683" s="21" t="n">
        <f aca="false">IF(H3672&gt;0,MAX(0,H3665)/H3672,0)</f>
        <v>0</v>
      </c>
      <c r="I3683" s="21" t="n">
        <f aca="false">IF(I3672&gt;0,MAX(0,I3665)/I3672,0)</f>
        <v>0</v>
      </c>
      <c r="J3683" s="21" t="n">
        <f aca="false">IF(J3672&gt;0,MAX(0,J3665)/J3672,0)</f>
        <v>0</v>
      </c>
      <c r="K3683" s="21" t="n">
        <f aca="false">IF(K3672&gt;0,MAX(0,K3665)/K3672,0)</f>
        <v>0</v>
      </c>
    </row>
    <row r="3684" customFormat="false" ht="15" hidden="false" customHeight="false" outlineLevel="0" collapsed="false">
      <c r="A3684" s="5" t="s">
        <v>330</v>
      </c>
      <c r="G3684" s="25" t="n">
        <f aca="false">Assumptions!$C$27*(1-CHOOSE($C$3536,Assumptions!$C$79,Assumptions!$C$98,Assumptions!$C$117))</f>
        <v>884</v>
      </c>
      <c r="H3684" s="25" t="n">
        <f aca="false">Assumptions!$C$27*(1-CHOOSE($C$3536,Assumptions!$C$79,Assumptions!$C$98,Assumptions!$C$117))</f>
        <v>884</v>
      </c>
      <c r="I3684" s="25" t="n">
        <f aca="false">Assumptions!$C$27*(1-CHOOSE($C$3536,Assumptions!$C$79,Assumptions!$C$98,Assumptions!$C$117))</f>
        <v>884</v>
      </c>
      <c r="J3684" s="25" t="n">
        <f aca="false">Assumptions!$C$27*(1-CHOOSE($C$3536,Assumptions!$C$79,Assumptions!$C$98,Assumptions!$C$117))</f>
        <v>884</v>
      </c>
      <c r="K3684" s="25" t="n">
        <f aca="false">Assumptions!$C$27*(1-CHOOSE($C$3536,Assumptions!$C$79,Assumptions!$C$98,Assumptions!$C$117))</f>
        <v>884</v>
      </c>
    </row>
    <row r="3685" customFormat="false" ht="15" hidden="false" customHeight="false" outlineLevel="0" collapsed="false">
      <c r="A3685" s="23" t="s">
        <v>331</v>
      </c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</row>
    <row r="3686" customFormat="false" ht="15" hidden="false" customHeight="false" outlineLevel="0" collapsed="false">
      <c r="A3686" s="23" t="s">
        <v>332</v>
      </c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</row>
    <row r="3687" customFormat="false" ht="15" hidden="false" customHeight="false" outlineLevel="0" collapsed="false">
      <c r="A3687" s="5" t="s">
        <v>333</v>
      </c>
      <c r="G3687" s="31" t="n">
        <f aca="false">IF(G3553&gt;0,G3674/G3553,99)</f>
        <v>16.5413800227249</v>
      </c>
      <c r="H3687" s="31" t="n">
        <f aca="false">IF(H3553&gt;0,H3674/H3553,99)</f>
        <v>28.5681105622991</v>
      </c>
      <c r="I3687" s="31" t="n">
        <f aca="false">IF(I3553&gt;0,I3674/I3553,99)</f>
        <v>24.5664038274533</v>
      </c>
      <c r="J3687" s="31" t="n">
        <f aca="false">IF(J3553&gt;0,J3674/J3553,99)</f>
        <v>21.8686389946149</v>
      </c>
      <c r="K3687" s="31" t="n">
        <f aca="false">IF(K3553&gt;0,K3674/K3553,99)</f>
        <v>19.8352895867661</v>
      </c>
    </row>
    <row r="3688" customFormat="false" ht="15" hidden="false" customHeight="false" outlineLevel="0" collapsed="false">
      <c r="A3688" s="5" t="s">
        <v>334</v>
      </c>
      <c r="G3688" s="32" t="n">
        <f aca="false">Assumptions!$G$61</f>
        <v>8.5</v>
      </c>
      <c r="H3688" s="32" t="n">
        <f aca="false">Assumptions!$H$61</f>
        <v>8.5</v>
      </c>
      <c r="I3688" s="32" t="n">
        <f aca="false">Assumptions!$I$61</f>
        <v>8.5</v>
      </c>
      <c r="J3688" s="32" t="n">
        <f aca="false">Assumptions!$J$61</f>
        <v>8.5</v>
      </c>
      <c r="K3688" s="32" t="n">
        <f aca="false">Assumptions!$K$61</f>
        <v>8.5</v>
      </c>
    </row>
    <row r="3689" customFormat="false" ht="15" hidden="false" customHeight="false" outlineLevel="0" collapsed="false">
      <c r="A3689" s="5" t="s">
        <v>335</v>
      </c>
      <c r="G3689" s="31" t="n">
        <f aca="false">G3688-G3687</f>
        <v>-8.04138002272492</v>
      </c>
      <c r="H3689" s="31" t="n">
        <f aca="false">H3688-H3687</f>
        <v>-20.0681105622991</v>
      </c>
      <c r="I3689" s="31" t="n">
        <f aca="false">I3688-I3687</f>
        <v>-16.0664038274533</v>
      </c>
      <c r="J3689" s="31" t="n">
        <f aca="false">J3688-J3687</f>
        <v>-13.3686389946149</v>
      </c>
      <c r="K3689" s="31" t="n">
        <f aca="false">K3688-K3687</f>
        <v>-11.3352895867661</v>
      </c>
    </row>
    <row r="3690" customFormat="false" ht="15" hidden="false" customHeight="false" outlineLevel="0" collapsed="false">
      <c r="A3690" s="5" t="s">
        <v>336</v>
      </c>
      <c r="G3690" s="21" t="n">
        <f aca="false">IF(G3688=0,0,G3689/ABS(G3688))</f>
        <v>-0.946044708555873</v>
      </c>
      <c r="H3690" s="21" t="n">
        <f aca="false">IF(H3688=0,0,H3689/ABS(H3688))</f>
        <v>-2.36095418379989</v>
      </c>
      <c r="I3690" s="21" t="n">
        <f aca="false">IF(I3688=0,0,I3689/ABS(I3688))</f>
        <v>-1.89016515617097</v>
      </c>
      <c r="J3690" s="21" t="n">
        <f aca="false">IF(J3688=0,0,J3689/ABS(J3688))</f>
        <v>-1.57278105818998</v>
      </c>
      <c r="K3690" s="21" t="n">
        <f aca="false">IF(K3688=0,0,K3689/ABS(K3688))</f>
        <v>-1.33356348079602</v>
      </c>
    </row>
    <row r="3691" customFormat="false" ht="15" hidden="false" customHeight="false" outlineLevel="0" collapsed="false">
      <c r="A3691" s="5" t="s">
        <v>337</v>
      </c>
      <c r="G3691" s="20" t="n">
        <f aca="false">IF(G3689&lt;0,1,0)</f>
        <v>1</v>
      </c>
      <c r="H3691" s="20" t="n">
        <f aca="false">IF(H3689&lt;0,1,0)</f>
        <v>1</v>
      </c>
      <c r="I3691" s="20" t="n">
        <f aca="false">IF(I3689&lt;0,1,0)</f>
        <v>1</v>
      </c>
      <c r="J3691" s="20" t="n">
        <f aca="false">IF(J3689&lt;0,1,0)</f>
        <v>1</v>
      </c>
      <c r="K3691" s="20" t="n">
        <f aca="false">IF(K3689&lt;0,1,0)</f>
        <v>1</v>
      </c>
    </row>
    <row r="3692" customFormat="false" ht="15" hidden="false" customHeight="false" outlineLevel="0" collapsed="false">
      <c r="A3692" s="5" t="s">
        <v>338</v>
      </c>
      <c r="C3692" s="20" t="n">
        <f aca="false">IFERROR(INDEX($G$3543:$K$3543,MATCH(1,$G$3691:$K$3691,0)),0)</f>
        <v>2026</v>
      </c>
    </row>
    <row r="3693" customFormat="false" ht="15" hidden="false" customHeight="false" outlineLevel="0" collapsed="false">
      <c r="A3693" s="5" t="s">
        <v>339</v>
      </c>
      <c r="C3693" s="21" t="n">
        <f aca="false">MIN($G$3690:$K$3690)</f>
        <v>-2.36095418379989</v>
      </c>
    </row>
    <row r="3694" customFormat="false" ht="15" hidden="false" customHeight="false" outlineLevel="0" collapsed="false">
      <c r="A3694" s="5" t="s">
        <v>340</v>
      </c>
      <c r="G3694" s="20" t="n">
        <f aca="false">G3691</f>
        <v>1</v>
      </c>
      <c r="H3694" s="20" t="n">
        <f aca="false">H3691</f>
        <v>1</v>
      </c>
      <c r="I3694" s="20" t="n">
        <f aca="false">I3691</f>
        <v>1</v>
      </c>
      <c r="J3694" s="20" t="n">
        <f aca="false">J3691</f>
        <v>1</v>
      </c>
      <c r="K3694" s="20" t="n">
        <f aca="false">K3691</f>
        <v>1</v>
      </c>
    </row>
    <row r="3695" customFormat="false" ht="15" hidden="false" customHeight="false" outlineLevel="0" collapsed="false">
      <c r="A3695" s="5" t="s">
        <v>341</v>
      </c>
      <c r="C3695" s="20" t="n">
        <f aca="false">SUM($G$3694:$K$3694)</f>
        <v>5</v>
      </c>
    </row>
    <row r="3696" customFormat="false" ht="15" hidden="false" customHeight="false" outlineLevel="0" collapsed="false">
      <c r="A3696" s="5" t="s">
        <v>342</v>
      </c>
      <c r="C3696" s="21" t="n">
        <f aca="false">MIN(C3693)</f>
        <v>-2.36095418379989</v>
      </c>
    </row>
    <row r="3698" customFormat="false" ht="15" hidden="false" customHeight="false" outlineLevel="0" collapsed="false">
      <c r="A3698" s="23" t="s">
        <v>444</v>
      </c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</row>
    <row r="3699" customFormat="false" ht="15" hidden="false" customHeight="false" outlineLevel="0" collapsed="false">
      <c r="A3699" s="5" t="s">
        <v>445</v>
      </c>
      <c r="G3699" s="20" t="n">
        <f aca="false">IF($C$3700=1,G3668,IF(G3553=MIN($G$3553:$K$3553),1,0))</f>
        <v>0</v>
      </c>
      <c r="H3699" s="20" t="n">
        <f aca="false">IF($C$3700=1,H3668,IF(AND(H3553=MIN($G$3553:$K$3553),SUM($G$3699:G3699)=0),1,0))</f>
        <v>1</v>
      </c>
      <c r="I3699" s="20" t="n">
        <f aca="false">IF($C$3700=1,I3668,IF(AND(I3553=MIN($G$3553:$K$3553),SUM($G$3699:H3699)=0),1,0))</f>
        <v>0</v>
      </c>
      <c r="J3699" s="20" t="n">
        <f aca="false">IF($C$3700=1,J3668,IF(AND(J3553=MIN($G$3553:$K$3553),SUM($G$3699:I3699)=0),1,0))</f>
        <v>0</v>
      </c>
      <c r="K3699" s="20" t="n">
        <f aca="false">IF($C$3700=1,K3668,IF(AND(K3553=MIN($G$3553:$K$3553),SUM($G$3699:J3699)=0),1,0))</f>
        <v>0</v>
      </c>
    </row>
    <row r="3700" customFormat="false" ht="15" hidden="false" customHeight="false" outlineLevel="0" collapsed="false">
      <c r="A3700" s="5" t="s">
        <v>446</v>
      </c>
      <c r="C3700" s="20" t="n">
        <f aca="false">IF(SUM($G$3668:$K$3668)&gt;0,1,0)</f>
        <v>1</v>
      </c>
    </row>
    <row r="3701" customFormat="false" ht="15" hidden="false" customHeight="false" outlineLevel="0" collapsed="false">
      <c r="A3701" s="5" t="s">
        <v>447</v>
      </c>
      <c r="C3701" s="20" t="n">
        <f aca="false">SUMPRODUCT($G$3699:$K$3699,$G$3543:$K$3543)</f>
        <v>2027</v>
      </c>
    </row>
    <row r="3702" customFormat="false" ht="15" hidden="false" customHeight="false" outlineLevel="0" collapsed="false">
      <c r="A3702" s="5" t="s">
        <v>448</v>
      </c>
      <c r="C3702" s="25" t="n">
        <f aca="false">SUMPRODUCT($G$3699:$K$3699,$G$3553:$K$3553)</f>
        <v>48.9095184</v>
      </c>
    </row>
    <row r="3703" customFormat="false" ht="15" hidden="false" customHeight="false" outlineLevel="0" collapsed="false">
      <c r="A3703" s="5" t="s">
        <v>449</v>
      </c>
      <c r="C3703" s="25" t="n">
        <f aca="false">MAX(0,SUMPRODUCT($G$3699:$K$3699,$G$3665:$K$3665))</f>
        <v>0</v>
      </c>
    </row>
    <row r="3704" customFormat="false" ht="15" hidden="false" customHeight="false" outlineLevel="0" collapsed="false">
      <c r="A3704" s="5" t="s">
        <v>450</v>
      </c>
      <c r="C3704" s="25" t="n">
        <f aca="false">(CHOOSE($C$3536,Assumptions!$C$78,Assumptions!$C$97,Assumptions!$C$116)+$C$3540)*C3702</f>
        <v>195.6380736</v>
      </c>
    </row>
    <row r="3705" customFormat="false" ht="15" hidden="false" customHeight="false" outlineLevel="0" collapsed="false">
      <c r="A3705" s="5" t="s">
        <v>451</v>
      </c>
      <c r="C3705" s="25" t="n">
        <f aca="false">Assumptions!$C$27*(1-CHOOSE($C$3536,Assumptions!$C$79,Assumptions!$C$98,Assumptions!$C$117))*CHOOSE($C$3536,Assumptions!$C$80,Assumptions!$C$99,Assumptions!$C$118)</f>
        <v>530.4</v>
      </c>
    </row>
    <row r="3706" customFormat="false" ht="15" hidden="false" customHeight="false" outlineLevel="0" collapsed="false">
      <c r="A3706" s="5" t="s">
        <v>452</v>
      </c>
      <c r="C3706" s="25" t="n">
        <f aca="false">MAX(C3704,C3705)+C3703</f>
        <v>530.4</v>
      </c>
    </row>
    <row r="3707" customFormat="false" ht="15" hidden="false" customHeight="false" outlineLevel="0" collapsed="false">
      <c r="A3707" s="2" t="s">
        <v>453</v>
      </c>
      <c r="C3707" s="16" t="n">
        <f aca="false">IF(ISNUMBER(Assumptions!$C$14),Assumptions!$C$14,C3706)</f>
        <v>530.4</v>
      </c>
    </row>
    <row r="3708" customFormat="false" ht="15" hidden="false" customHeight="false" outlineLevel="0" collapsed="false">
      <c r="A3708" s="5" t="s">
        <v>454</v>
      </c>
      <c r="C3708" s="25" t="n">
        <f aca="false">C3707*Assumptions!$C$15</f>
        <v>21.216</v>
      </c>
    </row>
    <row r="3709" customFormat="false" ht="15" hidden="false" customHeight="false" outlineLevel="0" collapsed="false">
      <c r="A3709" s="2" t="s">
        <v>455</v>
      </c>
      <c r="C3709" s="16" t="n">
        <f aca="false">C3707-C3708</f>
        <v>509.184</v>
      </c>
    </row>
    <row r="3710" customFormat="false" ht="15" hidden="false" customHeight="false" outlineLevel="0" collapsed="false">
      <c r="A3710" s="23" t="s">
        <v>456</v>
      </c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</row>
    <row r="3711" customFormat="false" ht="15" hidden="false" customHeight="false" outlineLevel="0" collapsed="false">
      <c r="A3711" s="5" t="s">
        <v>457</v>
      </c>
      <c r="C3711" s="25" t="n">
        <f aca="false">SUMPRODUCT($G$3699:$K$3699,$G$3590:$K$3590)*(1+SUMPRODUCT($G$3699:$K$3699,$G$3582:$K$3582)*Assumptions!$C$16/12)</f>
        <v>221.6231087</v>
      </c>
    </row>
    <row r="3712" customFormat="false" ht="15" hidden="false" customHeight="false" outlineLevel="0" collapsed="false">
      <c r="A3712" s="5" t="s">
        <v>458</v>
      </c>
      <c r="C3712" s="25" t="n">
        <f aca="false">SUMPRODUCT($G$3699:$K$3699,$G$3603:$K$3603)*(1+SUMPRODUCT($G$3699:$K$3699,$G$3595:$K$3595)*Assumptions!$C$16/12)</f>
        <v>524.3147</v>
      </c>
    </row>
    <row r="3713" customFormat="false" ht="15" hidden="false" customHeight="false" outlineLevel="0" collapsed="false">
      <c r="A3713" s="5" t="s">
        <v>459</v>
      </c>
      <c r="C3713" s="25" t="n">
        <f aca="false">SUMPRODUCT($G$3699:$K$3699,$G$3616:$K$3616)*(1+SUMPRODUCT($G$3699:$K$3699,$G$3608:$K$3608)*Assumptions!$C$16/12)</f>
        <v>256.875</v>
      </c>
    </row>
    <row r="3714" customFormat="false" ht="15" hidden="false" customHeight="false" outlineLevel="0" collapsed="false">
      <c r="A3714" s="5" t="s">
        <v>460</v>
      </c>
      <c r="C3714" s="25" t="n">
        <f aca="false">SUMPRODUCT($G$3699:$K$3699,$G$3629:$K$3629)*(1+SUMPRODUCT($G$3699:$K$3699,$G$3621:$K$3621)*Assumptions!$C$16/12)</f>
        <v>305.625</v>
      </c>
    </row>
    <row r="3715" customFormat="false" ht="15" hidden="false" customHeight="false" outlineLevel="0" collapsed="false">
      <c r="A3715" s="23" t="s">
        <v>461</v>
      </c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</row>
    <row r="3716" customFormat="false" ht="15" hidden="false" customHeight="false" outlineLevel="0" collapsed="false">
      <c r="A3716" s="5" t="s">
        <v>457</v>
      </c>
      <c r="C3716" s="26" t="n">
        <f aca="false">Assumptions!$M$53</f>
        <v>1</v>
      </c>
    </row>
    <row r="3717" customFormat="false" ht="15" hidden="false" customHeight="false" outlineLevel="0" collapsed="false">
      <c r="A3717" s="5" t="s">
        <v>458</v>
      </c>
      <c r="C3717" s="26" t="n">
        <f aca="false">Assumptions!$M$54</f>
        <v>2</v>
      </c>
    </row>
    <row r="3718" customFormat="false" ht="15" hidden="false" customHeight="false" outlineLevel="0" collapsed="false">
      <c r="A3718" s="5" t="s">
        <v>459</v>
      </c>
      <c r="C3718" s="26" t="n">
        <f aca="false">Assumptions!$M$55</f>
        <v>3</v>
      </c>
    </row>
    <row r="3719" customFormat="false" ht="15" hidden="false" customHeight="false" outlineLevel="0" collapsed="false">
      <c r="A3719" s="5" t="s">
        <v>460</v>
      </c>
      <c r="C3719" s="26" t="n">
        <f aca="false">Assumptions!$M$56</f>
        <v>4</v>
      </c>
    </row>
    <row r="3720" customFormat="false" ht="15" hidden="false" customHeight="false" outlineLevel="0" collapsed="false">
      <c r="A3720" s="23" t="s">
        <v>462</v>
      </c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</row>
    <row r="3721" customFormat="false" ht="15" hidden="false" customHeight="false" outlineLevel="0" collapsed="false">
      <c r="A3721" s="5" t="s">
        <v>457</v>
      </c>
      <c r="C3721" s="34" t="n">
        <f aca="false">Assumptions!$Q$53</f>
        <v>0</v>
      </c>
    </row>
    <row r="3722" customFormat="false" ht="15" hidden="false" customHeight="false" outlineLevel="0" collapsed="false">
      <c r="A3722" s="5" t="s">
        <v>458</v>
      </c>
      <c r="C3722" s="34" t="n">
        <f aca="false">Assumptions!$Q$54</f>
        <v>0</v>
      </c>
    </row>
    <row r="3723" customFormat="false" ht="15" hidden="false" customHeight="false" outlineLevel="0" collapsed="false">
      <c r="A3723" s="5" t="s">
        <v>459</v>
      </c>
      <c r="C3723" s="34" t="n">
        <f aca="false">Assumptions!$Q$55</f>
        <v>0</v>
      </c>
    </row>
    <row r="3724" customFormat="false" ht="15" hidden="false" customHeight="false" outlineLevel="0" collapsed="false">
      <c r="A3724" s="5" t="s">
        <v>460</v>
      </c>
      <c r="C3724" s="34" t="n">
        <f aca="false">Assumptions!$Q$56</f>
        <v>0</v>
      </c>
    </row>
    <row r="3725" customFormat="false" ht="15" hidden="false" customHeight="false" outlineLevel="0" collapsed="false">
      <c r="A3725" s="23" t="s">
        <v>463</v>
      </c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</row>
    <row r="3726" customFormat="false" ht="15" hidden="false" customHeight="false" outlineLevel="0" collapsed="false">
      <c r="A3726" s="5" t="s">
        <v>457</v>
      </c>
      <c r="C3726" s="25" t="n">
        <f aca="false">IF(C3721&gt;0,MIN(C3711,C3721*$C$3709),0)</f>
        <v>0</v>
      </c>
    </row>
    <row r="3727" customFormat="false" ht="15" hidden="false" customHeight="false" outlineLevel="0" collapsed="false">
      <c r="A3727" s="5" t="s">
        <v>458</v>
      </c>
      <c r="C3727" s="25" t="n">
        <f aca="false">IF(C3722&gt;0,MIN(C3712,C3722*$C$3709),0)</f>
        <v>0</v>
      </c>
    </row>
    <row r="3728" customFormat="false" ht="15" hidden="false" customHeight="false" outlineLevel="0" collapsed="false">
      <c r="A3728" s="5" t="s">
        <v>459</v>
      </c>
      <c r="C3728" s="25" t="n">
        <f aca="false">IF(C3723&gt;0,MIN(C3713,C3723*$C$3709),0)</f>
        <v>0</v>
      </c>
    </row>
    <row r="3729" customFormat="false" ht="15" hidden="false" customHeight="false" outlineLevel="0" collapsed="false">
      <c r="A3729" s="5" t="s">
        <v>460</v>
      </c>
      <c r="C3729" s="25" t="n">
        <f aca="false">IF(C3724&gt;0,MIN(C3714,C3724*$C$3709),0)</f>
        <v>0</v>
      </c>
    </row>
    <row r="3730" customFormat="false" ht="15" hidden="false" customHeight="false" outlineLevel="0" collapsed="false">
      <c r="A3730" s="23" t="s">
        <v>464</v>
      </c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</row>
    <row r="3731" customFormat="false" ht="15" hidden="false" customHeight="false" outlineLevel="0" collapsed="false">
      <c r="A3731" s="5" t="s">
        <v>457</v>
      </c>
      <c r="C3731" s="25" t="n">
        <f aca="false">IF(C3721&gt;0,C3711-C3726,0)</f>
        <v>0</v>
      </c>
      <c r="G3731" s="20" t="n">
        <f aca="false">IF(AND(G3580=1,G3577=1),1,0)</f>
        <v>0</v>
      </c>
      <c r="H3731" s="20" t="n">
        <f aca="false">IF(G3731=1,1,IF(AND(H3580=1,H3577=1),1,0))</f>
        <v>0</v>
      </c>
      <c r="I3731" s="20" t="n">
        <f aca="false">IF(H3731=1,1,IF(AND(I3580=1,I3577=1),1,0))</f>
        <v>0</v>
      </c>
      <c r="J3731" s="20" t="n">
        <f aca="false">IF(I3731=1,1,IF(AND(J3580=1,J3577=1),1,0))</f>
        <v>0</v>
      </c>
      <c r="K3731" s="20" t="n">
        <f aca="false">IF(J3731=1,1,IF(AND(K3580=1,K3577=1),1,0))</f>
        <v>0</v>
      </c>
    </row>
    <row r="3732" customFormat="false" ht="15" hidden="false" customHeight="false" outlineLevel="0" collapsed="false">
      <c r="A3732" s="5" t="s">
        <v>458</v>
      </c>
      <c r="C3732" s="25" t="n">
        <f aca="false">IF(C3722&gt;0,C3712-C3727,0)</f>
        <v>0</v>
      </c>
      <c r="G3732" s="20" t="n">
        <f aca="false">IF(AND(G3593=1,G3577=1),1,0)</f>
        <v>0</v>
      </c>
      <c r="H3732" s="20" t="n">
        <f aca="false">IF(G3732=1,1,IF(AND(H3593=1,H3577=1),1,0))</f>
        <v>0</v>
      </c>
      <c r="I3732" s="20" t="n">
        <f aca="false">IF(H3732=1,1,IF(AND(I3593=1,I3577=1),1,0))</f>
        <v>0</v>
      </c>
      <c r="J3732" s="20" t="n">
        <f aca="false">IF(I3732=1,1,IF(AND(J3593=1,J3577=1),1,0))</f>
        <v>0</v>
      </c>
      <c r="K3732" s="20" t="n">
        <f aca="false">IF(J3732=1,1,IF(AND(K3593=1,K3577=1),1,0))</f>
        <v>0</v>
      </c>
    </row>
    <row r="3733" customFormat="false" ht="15" hidden="false" customHeight="false" outlineLevel="0" collapsed="false">
      <c r="A3733" s="5" t="s">
        <v>459</v>
      </c>
      <c r="C3733" s="25" t="n">
        <f aca="false">IF(C3723&gt;0,C3713-C3728,0)</f>
        <v>0</v>
      </c>
      <c r="G3733" s="20" t="n">
        <f aca="false">IF(AND(G3606=1,G3577=1),1,0)</f>
        <v>0</v>
      </c>
      <c r="H3733" s="20" t="n">
        <f aca="false">IF(G3733=1,1,IF(AND(H3606=1,H3577=1),1,0))</f>
        <v>0</v>
      </c>
      <c r="I3733" s="20" t="n">
        <f aca="false">IF(H3733=1,1,IF(AND(I3606=1,I3577=1),1,0))</f>
        <v>0</v>
      </c>
      <c r="J3733" s="20" t="n">
        <f aca="false">IF(I3733=1,1,IF(AND(J3606=1,J3577=1),1,0))</f>
        <v>0</v>
      </c>
      <c r="K3733" s="20" t="n">
        <f aca="false">IF(J3733=1,1,IF(AND(K3606=1,K3577=1),1,0))</f>
        <v>0</v>
      </c>
    </row>
    <row r="3734" customFormat="false" ht="15" hidden="false" customHeight="false" outlineLevel="0" collapsed="false">
      <c r="A3734" s="5" t="s">
        <v>460</v>
      </c>
      <c r="C3734" s="25" t="n">
        <f aca="false">IF(C3724&gt;0,C3714-C3729,0)</f>
        <v>0</v>
      </c>
      <c r="G3734" s="20" t="n">
        <f aca="false">IF(AND(G3619=1,G3577=1),1,0)</f>
        <v>0</v>
      </c>
      <c r="H3734" s="20" t="n">
        <f aca="false">IF(G3734=1,1,IF(AND(H3619=1,H3577=1),1,0))</f>
        <v>0</v>
      </c>
      <c r="I3734" s="20" t="n">
        <f aca="false">IF(H3734=1,1,IF(AND(I3619=1,I3577=1),1,0))</f>
        <v>0</v>
      </c>
      <c r="J3734" s="20" t="n">
        <f aca="false">IF(I3734=1,1,IF(AND(J3619=1,J3577=1),1,0))</f>
        <v>0</v>
      </c>
      <c r="K3734" s="20" t="n">
        <f aca="false">IF(J3734=1,1,IF(AND(K3619=1,K3577=1),1,0))</f>
        <v>0</v>
      </c>
    </row>
    <row r="3735" customFormat="false" ht="15" hidden="false" customHeight="false" outlineLevel="0" collapsed="false">
      <c r="A3735" s="23" t="s">
        <v>465</v>
      </c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</row>
    <row r="3736" customFormat="false" ht="15" hidden="false" customHeight="false" outlineLevel="0" collapsed="false">
      <c r="A3736" s="5" t="s">
        <v>457</v>
      </c>
      <c r="C3736" s="25" t="n">
        <f aca="false">IF(C3721&gt;0,C3731,C3711)</f>
        <v>221.6231087</v>
      </c>
    </row>
    <row r="3737" customFormat="false" ht="15" hidden="false" customHeight="false" outlineLevel="0" collapsed="false">
      <c r="A3737" s="5" t="s">
        <v>458</v>
      </c>
      <c r="C3737" s="25" t="n">
        <f aca="false">IF(C3722&gt;0,C3732,C3712)</f>
        <v>524.3147</v>
      </c>
    </row>
    <row r="3738" customFormat="false" ht="15" hidden="false" customHeight="false" outlineLevel="0" collapsed="false">
      <c r="A3738" s="5" t="s">
        <v>459</v>
      </c>
      <c r="C3738" s="25" t="n">
        <f aca="false">IF(C3723&gt;0,C3733,C3713)</f>
        <v>256.875</v>
      </c>
    </row>
    <row r="3739" customFormat="false" ht="15" hidden="false" customHeight="false" outlineLevel="0" collapsed="false">
      <c r="A3739" s="5" t="s">
        <v>460</v>
      </c>
      <c r="C3739" s="25" t="n">
        <f aca="false">IF(C3724&gt;0,C3734,C3714)</f>
        <v>305.625</v>
      </c>
    </row>
    <row r="3740" customFormat="false" ht="15" hidden="false" customHeight="false" outlineLevel="0" collapsed="false">
      <c r="A3740" s="23" t="s">
        <v>466</v>
      </c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</row>
    <row r="3741" customFormat="false" ht="15" hidden="false" customHeight="false" outlineLevel="0" collapsed="false">
      <c r="A3741" s="5" t="s">
        <v>457</v>
      </c>
      <c r="C3741" s="20" t="n">
        <f aca="false">IF(C3721&gt;0,Assumptions!$C$17,C3716)</f>
        <v>1</v>
      </c>
    </row>
    <row r="3742" customFormat="false" ht="15" hidden="false" customHeight="false" outlineLevel="0" collapsed="false">
      <c r="A3742" s="5" t="s">
        <v>458</v>
      </c>
      <c r="C3742" s="20" t="n">
        <f aca="false">IF(C3722&gt;0,Assumptions!$C$17,C3717)</f>
        <v>2</v>
      </c>
    </row>
    <row r="3743" customFormat="false" ht="15" hidden="false" customHeight="false" outlineLevel="0" collapsed="false">
      <c r="A3743" s="5" t="s">
        <v>459</v>
      </c>
      <c r="C3743" s="20" t="n">
        <f aca="false">IF(C3723&gt;0,Assumptions!$C$17,C3718)</f>
        <v>3</v>
      </c>
    </row>
    <row r="3744" customFormat="false" ht="15" hidden="false" customHeight="false" outlineLevel="0" collapsed="false">
      <c r="A3744" s="5" t="s">
        <v>460</v>
      </c>
      <c r="C3744" s="20" t="n">
        <f aca="false">IF(C3724&gt;0,Assumptions!$C$17,C3719)</f>
        <v>4</v>
      </c>
    </row>
    <row r="3745" customFormat="false" ht="15" hidden="false" customHeight="false" outlineLevel="0" collapsed="false">
      <c r="A3745" s="23" t="s">
        <v>467</v>
      </c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</row>
    <row r="3746" customFormat="false" ht="15" hidden="false" customHeight="false" outlineLevel="0" collapsed="false">
      <c r="A3746" s="5" t="s">
        <v>457</v>
      </c>
      <c r="C3746" s="25" t="n">
        <f aca="false">SUMPRODUCT(($C$3741:$C$3744&lt;C3741)*$C$3736:$C$3739)</f>
        <v>0</v>
      </c>
    </row>
    <row r="3747" customFormat="false" ht="15" hidden="false" customHeight="false" outlineLevel="0" collapsed="false">
      <c r="A3747" s="5" t="s">
        <v>458</v>
      </c>
      <c r="C3747" s="25" t="n">
        <f aca="false">SUMPRODUCT(($C$3741:$C$3744&lt;C3742)*$C$3736:$C$3739)</f>
        <v>221.6231087</v>
      </c>
    </row>
    <row r="3748" customFormat="false" ht="15" hidden="false" customHeight="false" outlineLevel="0" collapsed="false">
      <c r="A3748" s="5" t="s">
        <v>459</v>
      </c>
      <c r="C3748" s="25" t="n">
        <f aca="false">SUMPRODUCT(($C$3741:$C$3744&lt;C3743)*$C$3736:$C$3739)</f>
        <v>745.9378087</v>
      </c>
    </row>
    <row r="3749" customFormat="false" ht="15" hidden="false" customHeight="false" outlineLevel="0" collapsed="false">
      <c r="A3749" s="5" t="s">
        <v>460</v>
      </c>
      <c r="C3749" s="25" t="n">
        <f aca="false">SUMPRODUCT(($C$3741:$C$3744&lt;C3744)*$C$3736:$C$3739)</f>
        <v>1002.8128087</v>
      </c>
    </row>
    <row r="3750" customFormat="false" ht="15" hidden="false" customHeight="false" outlineLevel="0" collapsed="false">
      <c r="A3750" s="23" t="s">
        <v>468</v>
      </c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</row>
    <row r="3751" customFormat="false" ht="15" hidden="false" customHeight="false" outlineLevel="0" collapsed="false">
      <c r="A3751" s="5" t="s">
        <v>457</v>
      </c>
      <c r="C3751" s="25" t="n">
        <f aca="false">SUMPRODUCT(($C$3741:$C$3744=C3741)*$C$3736:$C$3739)</f>
        <v>221.6231087</v>
      </c>
    </row>
    <row r="3752" customFormat="false" ht="15" hidden="false" customHeight="false" outlineLevel="0" collapsed="false">
      <c r="A3752" s="5" t="s">
        <v>458</v>
      </c>
      <c r="C3752" s="25" t="n">
        <f aca="false">SUMPRODUCT(($C$3741:$C$3744=C3742)*$C$3736:$C$3739)</f>
        <v>524.3147</v>
      </c>
    </row>
    <row r="3753" customFormat="false" ht="15" hidden="false" customHeight="false" outlineLevel="0" collapsed="false">
      <c r="A3753" s="5" t="s">
        <v>459</v>
      </c>
      <c r="C3753" s="25" t="n">
        <f aca="false">SUMPRODUCT(($C$3741:$C$3744=C3743)*$C$3736:$C$3739)</f>
        <v>256.875</v>
      </c>
    </row>
    <row r="3754" customFormat="false" ht="15" hidden="false" customHeight="false" outlineLevel="0" collapsed="false">
      <c r="A3754" s="5" t="s">
        <v>460</v>
      </c>
      <c r="C3754" s="25" t="n">
        <f aca="false">SUMPRODUCT(($C$3741:$C$3744=C3744)*$C$3736:$C$3739)</f>
        <v>305.625</v>
      </c>
    </row>
    <row r="3755" customFormat="false" ht="15" hidden="false" customHeight="false" outlineLevel="0" collapsed="false">
      <c r="A3755" s="23" t="s">
        <v>469</v>
      </c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</row>
    <row r="3756" customFormat="false" ht="15" hidden="false" customHeight="false" outlineLevel="0" collapsed="false">
      <c r="A3756" s="5" t="s">
        <v>457</v>
      </c>
      <c r="C3756" s="25" t="n">
        <f aca="false">IF(C3751=0,0,C3736/C3751*MAX(0,MIN(C3751,$C$3709-SUM($C$3726:$C$3729)-C3746)))</f>
        <v>221.6231087</v>
      </c>
    </row>
    <row r="3757" customFormat="false" ht="15" hidden="false" customHeight="false" outlineLevel="0" collapsed="false">
      <c r="A3757" s="5" t="s">
        <v>458</v>
      </c>
      <c r="C3757" s="25" t="n">
        <f aca="false">IF(C3752=0,0,C3737/C3752*MAX(0,MIN(C3752,$C$3709-SUM($C$3726:$C$3729)-C3747)))</f>
        <v>287.5608913</v>
      </c>
    </row>
    <row r="3758" customFormat="false" ht="15" hidden="false" customHeight="false" outlineLevel="0" collapsed="false">
      <c r="A3758" s="5" t="s">
        <v>459</v>
      </c>
      <c r="C3758" s="25" t="n">
        <f aca="false">IF(C3753=0,0,C3738/C3753*MAX(0,MIN(C3753,$C$3709-SUM($C$3726:$C$3729)-C3748)))</f>
        <v>0</v>
      </c>
    </row>
    <row r="3759" customFormat="false" ht="15" hidden="false" customHeight="false" outlineLevel="0" collapsed="false">
      <c r="A3759" s="5" t="s">
        <v>460</v>
      </c>
      <c r="C3759" s="25" t="n">
        <f aca="false">IF(C3754=0,0,C3739/C3754*MAX(0,MIN(C3754,$C$3709-SUM($C$3726:$C$3729)-C3749)))</f>
        <v>0</v>
      </c>
    </row>
    <row r="3760" customFormat="false" ht="15" hidden="false" customHeight="false" outlineLevel="0" collapsed="false">
      <c r="A3760" s="23" t="s">
        <v>470</v>
      </c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</row>
    <row r="3761" customFormat="false" ht="15" hidden="false" customHeight="false" outlineLevel="0" collapsed="false">
      <c r="A3761" s="2" t="s">
        <v>457</v>
      </c>
      <c r="C3761" s="16" t="n">
        <f aca="false">C3726+C3756</f>
        <v>221.6231087</v>
      </c>
    </row>
    <row r="3762" customFormat="false" ht="15" hidden="false" customHeight="false" outlineLevel="0" collapsed="false">
      <c r="A3762" s="2" t="s">
        <v>458</v>
      </c>
      <c r="C3762" s="16" t="n">
        <f aca="false">C3727+C3757</f>
        <v>287.5608913</v>
      </c>
    </row>
    <row r="3763" customFormat="false" ht="15" hidden="false" customHeight="false" outlineLevel="0" collapsed="false">
      <c r="A3763" s="2" t="s">
        <v>459</v>
      </c>
      <c r="C3763" s="16" t="n">
        <f aca="false">C3728+C3758</f>
        <v>0</v>
      </c>
    </row>
    <row r="3764" customFormat="false" ht="15" hidden="false" customHeight="false" outlineLevel="0" collapsed="false">
      <c r="A3764" s="2" t="s">
        <v>460</v>
      </c>
      <c r="C3764" s="16" t="n">
        <f aca="false">C3729+C3759</f>
        <v>0</v>
      </c>
    </row>
    <row r="3765" customFormat="false" ht="15" hidden="false" customHeight="false" outlineLevel="0" collapsed="false">
      <c r="A3765" s="23" t="s">
        <v>471</v>
      </c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</row>
    <row r="3766" customFormat="false" ht="15" hidden="false" customHeight="false" outlineLevel="0" collapsed="false">
      <c r="A3766" s="5" t="s">
        <v>457</v>
      </c>
      <c r="C3766" s="21" t="n">
        <f aca="false">IF(C3711=0,1,C3761/C3711)</f>
        <v>1</v>
      </c>
    </row>
    <row r="3767" customFormat="false" ht="15" hidden="false" customHeight="false" outlineLevel="0" collapsed="false">
      <c r="A3767" s="5" t="s">
        <v>458</v>
      </c>
      <c r="C3767" s="21" t="n">
        <f aca="false">IF(C3712=0,1,C3762/C3712)</f>
        <v>0.548450942344359</v>
      </c>
    </row>
    <row r="3768" customFormat="false" ht="15" hidden="false" customHeight="false" outlineLevel="0" collapsed="false">
      <c r="A3768" s="5" t="s">
        <v>459</v>
      </c>
      <c r="C3768" s="21" t="n">
        <f aca="false">IF(C3713=0,1,C3763/C3713)</f>
        <v>0</v>
      </c>
    </row>
    <row r="3769" customFormat="false" ht="15" hidden="false" customHeight="false" outlineLevel="0" collapsed="false">
      <c r="A3769" s="5" t="s">
        <v>460</v>
      </c>
      <c r="C3769" s="21" t="n">
        <f aca="false">IF(C3714=0,1,C3764/C3714)</f>
        <v>0</v>
      </c>
    </row>
    <row r="3770" customFormat="false" ht="15" hidden="false" customHeight="false" outlineLevel="0" collapsed="false">
      <c r="A3770" s="23" t="s">
        <v>472</v>
      </c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</row>
    <row r="3771" customFormat="false" ht="15" hidden="false" customHeight="false" outlineLevel="0" collapsed="false">
      <c r="A3771" s="5" t="s">
        <v>457</v>
      </c>
      <c r="C3771" s="25" t="n">
        <f aca="false">C3711-C3761</f>
        <v>0</v>
      </c>
    </row>
    <row r="3772" customFormat="false" ht="15" hidden="false" customHeight="false" outlineLevel="0" collapsed="false">
      <c r="A3772" s="5" t="s">
        <v>458</v>
      </c>
      <c r="C3772" s="25" t="n">
        <f aca="false">C3712-C3762</f>
        <v>236.7538087</v>
      </c>
    </row>
    <row r="3773" customFormat="false" ht="15" hidden="false" customHeight="false" outlineLevel="0" collapsed="false">
      <c r="A3773" s="5" t="s">
        <v>459</v>
      </c>
      <c r="C3773" s="25" t="n">
        <f aca="false">C3713-C3763</f>
        <v>256.875</v>
      </c>
    </row>
    <row r="3774" customFormat="false" ht="15" hidden="false" customHeight="false" outlineLevel="0" collapsed="false">
      <c r="A3774" s="5" t="s">
        <v>460</v>
      </c>
      <c r="C3774" s="25" t="n">
        <f aca="false">C3714-C3764</f>
        <v>305.625</v>
      </c>
    </row>
    <row r="3775" customFormat="false" ht="15" hidden="false" customHeight="false" outlineLevel="0" collapsed="false">
      <c r="A3775" s="23" t="s">
        <v>473</v>
      </c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</row>
    <row r="3776" customFormat="false" ht="15" hidden="false" customHeight="false" outlineLevel="0" collapsed="false">
      <c r="A3776" s="5" t="s">
        <v>457</v>
      </c>
      <c r="C3776" s="21" t="n">
        <f aca="false">IF(C3711=0,0,C3771/C3711)</f>
        <v>0</v>
      </c>
    </row>
    <row r="3777" customFormat="false" ht="15" hidden="false" customHeight="false" outlineLevel="0" collapsed="false">
      <c r="A3777" s="5" t="s">
        <v>458</v>
      </c>
      <c r="C3777" s="21" t="n">
        <f aca="false">IF(C3712=0,0,C3772/C3712)</f>
        <v>0.451549057655641</v>
      </c>
    </row>
    <row r="3778" customFormat="false" ht="15" hidden="false" customHeight="false" outlineLevel="0" collapsed="false">
      <c r="A3778" s="5" t="s">
        <v>459</v>
      </c>
      <c r="C3778" s="21" t="n">
        <f aca="false">IF(C3713=0,0,C3773/C3713)</f>
        <v>1</v>
      </c>
    </row>
    <row r="3779" customFormat="false" ht="15" hidden="false" customHeight="false" outlineLevel="0" collapsed="false">
      <c r="A3779" s="5" t="s">
        <v>460</v>
      </c>
      <c r="C3779" s="21" t="n">
        <f aca="false">IF(C3714=0,0,C3774/C3714)</f>
        <v>1</v>
      </c>
    </row>
    <row r="3780" customFormat="false" ht="15" hidden="false" customHeight="false" outlineLevel="0" collapsed="false">
      <c r="A3780" s="2" t="s">
        <v>474</v>
      </c>
      <c r="C3780" s="16" t="n">
        <f aca="false">MAX(0,$C$3709-SUM($C$3726:$C$3729)-SUM($C$3736:$C$3739))</f>
        <v>0</v>
      </c>
    </row>
    <row r="3781" customFormat="false" ht="15" hidden="false" customHeight="false" outlineLevel="0" collapsed="false">
      <c r="A3781" s="5" t="s">
        <v>475</v>
      </c>
      <c r="C3781" s="25" t="n">
        <f aca="false">SUM($C$3761:$C$3764)+C3780+C3708-C3707</f>
        <v>0</v>
      </c>
    </row>
    <row r="3783" customFormat="false" ht="15" hidden="false" customHeight="false" outlineLevel="0" collapsed="false">
      <c r="A3783" s="23" t="s">
        <v>478</v>
      </c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</row>
    <row r="3784" customFormat="false" ht="15" hidden="false" customHeight="false" outlineLevel="0" collapsed="false">
      <c r="A3784" s="5" t="s">
        <v>479</v>
      </c>
      <c r="C3784" s="26" t="n">
        <f aca="false">Assumptions!$C$30</f>
        <v>2</v>
      </c>
    </row>
    <row r="3785" customFormat="false" ht="15" hidden="false" customHeight="false" outlineLevel="0" collapsed="false">
      <c r="A3785" s="5" t="s">
        <v>480</v>
      </c>
      <c r="C3785" s="28" t="n">
        <f aca="false">Assumptions!$C$31</f>
        <v>100</v>
      </c>
    </row>
    <row r="3786" customFormat="false" ht="15" hidden="false" customHeight="false" outlineLevel="0" collapsed="false">
      <c r="A3786" s="5" t="s">
        <v>481</v>
      </c>
      <c r="C3786" s="39" t="n">
        <f aca="false">Assumptions!$C$32</f>
        <v>78</v>
      </c>
    </row>
    <row r="3787" customFormat="false" ht="15" hidden="false" customHeight="false" outlineLevel="0" collapsed="false">
      <c r="A3787" s="5" t="s">
        <v>482</v>
      </c>
      <c r="C3787" s="25" t="n">
        <f aca="false">C3785*C3786/100*(1+Assumptions!$C$33)</f>
        <v>78.39</v>
      </c>
    </row>
    <row r="3788" customFormat="false" ht="15" hidden="false" customHeight="false" outlineLevel="0" collapsed="false">
      <c r="A3788" s="5" t="s">
        <v>483</v>
      </c>
      <c r="C3788" s="26" t="n">
        <f aca="false">Assumptions!$C$34</f>
        <v>2</v>
      </c>
    </row>
    <row r="3789" customFormat="false" ht="15" hidden="false" customHeight="false" outlineLevel="0" collapsed="false">
      <c r="A3789" s="5" t="s">
        <v>484</v>
      </c>
      <c r="C3789" s="20" t="n">
        <f aca="false">IF(C3700=1,SUMPRODUCT($G$3668:$K$3668,$G$3544:$K$3544),0)</f>
        <v>2</v>
      </c>
    </row>
    <row r="3790" customFormat="false" ht="15" hidden="false" customHeight="false" outlineLevel="0" collapsed="false">
      <c r="A3790" s="5" t="s">
        <v>485</v>
      </c>
      <c r="C3790" s="21" t="n">
        <f aca="false">IFERROR(C3785/CHOOSE(C3784,SUMPRODUCT($G$3699:$K$3699,$G$3590:$K$3590),SUMPRODUCT($G$3699:$K$3699,$G$3603:$K$3603),SUMPRODUCT($G$3699:$K$3699,$G$3616:$K$3616),SUMPRODUCT($G$3699:$K$3699,$G$3629:$K$3629)),0)</f>
        <v>0.196232339089482</v>
      </c>
    </row>
    <row r="3791" customFormat="false" ht="15" hidden="false" customHeight="false" outlineLevel="0" collapsed="false">
      <c r="A3791" s="5" t="s">
        <v>486</v>
      </c>
      <c r="C3791" s="25" t="n">
        <f aca="false">CHOOSE(C3784,C3761,C3762,C3763,C3764)*C3790</f>
        <v>56.4287463304553</v>
      </c>
    </row>
    <row r="3792" customFormat="false" ht="15" hidden="false" customHeight="false" outlineLevel="0" collapsed="false">
      <c r="A3792" s="5" t="s">
        <v>487</v>
      </c>
      <c r="C3792" s="21" t="n">
        <f aca="false">CHOOSE(C3784,C3766,C3767,C3768,C3769)</f>
        <v>0.548450942344359</v>
      </c>
    </row>
    <row r="3793" customFormat="false" ht="15" hidden="false" customHeight="false" outlineLevel="0" collapsed="false">
      <c r="A3793" s="5" t="s">
        <v>488</v>
      </c>
      <c r="C3793" s="20" t="n">
        <f aca="false">IF(C3700=1,C3789,C3788)</f>
        <v>2</v>
      </c>
    </row>
    <row r="3794" customFormat="false" ht="15" hidden="false" customHeight="false" outlineLevel="0" collapsed="false">
      <c r="A3794" s="5" t="s">
        <v>489</v>
      </c>
      <c r="C3794" s="33" t="n">
        <f aca="false">CHOOSE($C$3536,Assumptions!$C$77,Assumptions!$C$96,Assumptions!$C$115)</f>
        <v>90</v>
      </c>
    </row>
    <row r="3795" customFormat="false" ht="15" hidden="false" customHeight="false" outlineLevel="0" collapsed="false">
      <c r="A3795" s="5" t="s">
        <v>490</v>
      </c>
      <c r="C3795" s="25" t="n">
        <f aca="false">INDEX($G$3553:$K$3553,C3788)*CHOOSE($C$3536,Assumptions!$C$76,Assumptions!$C$95,Assumptions!$C$114)+MAX(0,INDEX($G$3665:$K$3665,C3788))</f>
        <v>244.547592</v>
      </c>
    </row>
    <row r="3796" customFormat="false" ht="15" hidden="false" customHeight="false" outlineLevel="0" collapsed="false">
      <c r="A3796" s="23" t="s">
        <v>491</v>
      </c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</row>
    <row r="3797" customFormat="false" ht="15" hidden="false" customHeight="false" outlineLevel="0" collapsed="false">
      <c r="A3797" s="5" t="s">
        <v>457</v>
      </c>
      <c r="C3797" s="25" t="n">
        <f aca="false">INDEX($G$3590:$K$3590,C3788)</f>
        <v>216.2968</v>
      </c>
    </row>
    <row r="3798" customFormat="false" ht="15" hidden="false" customHeight="false" outlineLevel="0" collapsed="false">
      <c r="A3798" s="5" t="s">
        <v>458</v>
      </c>
      <c r="C3798" s="25" t="n">
        <f aca="false">INDEX($G$3603:$K$3603,C3788)</f>
        <v>509.6</v>
      </c>
    </row>
    <row r="3799" customFormat="false" ht="15" hidden="false" customHeight="false" outlineLevel="0" collapsed="false">
      <c r="A3799" s="5" t="s">
        <v>459</v>
      </c>
      <c r="C3799" s="25" t="n">
        <f aca="false">INDEX($G$3616:$K$3616,C3788)</f>
        <v>250</v>
      </c>
    </row>
    <row r="3800" customFormat="false" ht="15" hidden="false" customHeight="false" outlineLevel="0" collapsed="false">
      <c r="A3800" s="5" t="s">
        <v>460</v>
      </c>
      <c r="C3800" s="25" t="n">
        <f aca="false">INDEX($G$3629:$K$3629,C3788)</f>
        <v>300</v>
      </c>
    </row>
    <row r="3801" customFormat="false" ht="15" hidden="false" customHeight="false" outlineLevel="0" collapsed="false">
      <c r="A3801" s="23" t="s">
        <v>461</v>
      </c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</row>
    <row r="3802" customFormat="false" ht="15" hidden="false" customHeight="false" outlineLevel="0" collapsed="false">
      <c r="A3802" s="5" t="s">
        <v>457</v>
      </c>
      <c r="C3802" s="26" t="n">
        <f aca="false">Assumptions!$M$53</f>
        <v>1</v>
      </c>
    </row>
    <row r="3803" customFormat="false" ht="15" hidden="false" customHeight="false" outlineLevel="0" collapsed="false">
      <c r="A3803" s="5" t="s">
        <v>458</v>
      </c>
      <c r="C3803" s="26" t="n">
        <f aca="false">Assumptions!$M$54</f>
        <v>2</v>
      </c>
    </row>
    <row r="3804" customFormat="false" ht="15" hidden="false" customHeight="false" outlineLevel="0" collapsed="false">
      <c r="A3804" s="5" t="s">
        <v>459</v>
      </c>
      <c r="C3804" s="26" t="n">
        <f aca="false">Assumptions!$M$55</f>
        <v>3</v>
      </c>
    </row>
    <row r="3805" customFormat="false" ht="15" hidden="false" customHeight="false" outlineLevel="0" collapsed="false">
      <c r="A3805" s="5" t="s">
        <v>460</v>
      </c>
      <c r="C3805" s="26" t="n">
        <f aca="false">Assumptions!$M$56</f>
        <v>4</v>
      </c>
    </row>
    <row r="3806" customFormat="false" ht="15" hidden="false" customHeight="false" outlineLevel="0" collapsed="false">
      <c r="A3806" s="23" t="s">
        <v>462</v>
      </c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</row>
    <row r="3807" customFormat="false" ht="15" hidden="false" customHeight="false" outlineLevel="0" collapsed="false">
      <c r="A3807" s="5" t="s">
        <v>457</v>
      </c>
      <c r="C3807" s="34" t="n">
        <f aca="false">Assumptions!$Q$53</f>
        <v>0</v>
      </c>
    </row>
    <row r="3808" customFormat="false" ht="15" hidden="false" customHeight="false" outlineLevel="0" collapsed="false">
      <c r="A3808" s="5" t="s">
        <v>458</v>
      </c>
      <c r="C3808" s="34" t="n">
        <f aca="false">Assumptions!$Q$54</f>
        <v>0</v>
      </c>
    </row>
    <row r="3809" customFormat="false" ht="15" hidden="false" customHeight="false" outlineLevel="0" collapsed="false">
      <c r="A3809" s="5" t="s">
        <v>459</v>
      </c>
      <c r="C3809" s="34" t="n">
        <f aca="false">Assumptions!$Q$55</f>
        <v>0</v>
      </c>
    </row>
    <row r="3810" customFormat="false" ht="15" hidden="false" customHeight="false" outlineLevel="0" collapsed="false">
      <c r="A3810" s="5" t="s">
        <v>460</v>
      </c>
      <c r="C3810" s="34" t="n">
        <f aca="false">Assumptions!$Q$56</f>
        <v>0</v>
      </c>
    </row>
    <row r="3811" customFormat="false" ht="15" hidden="false" customHeight="false" outlineLevel="0" collapsed="false">
      <c r="A3811" s="23" t="s">
        <v>463</v>
      </c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</row>
    <row r="3812" customFormat="false" ht="15" hidden="false" customHeight="false" outlineLevel="0" collapsed="false">
      <c r="A3812" s="5" t="s">
        <v>457</v>
      </c>
      <c r="C3812" s="25" t="n">
        <f aca="false">IF(C3807&gt;0,MIN(C3797,C3807*$C$3795),0)</f>
        <v>0</v>
      </c>
    </row>
    <row r="3813" customFormat="false" ht="15" hidden="false" customHeight="false" outlineLevel="0" collapsed="false">
      <c r="A3813" s="5" t="s">
        <v>458</v>
      </c>
      <c r="C3813" s="25" t="n">
        <f aca="false">IF(C3808&gt;0,MIN(C3798,C3808*$C$3795),0)</f>
        <v>0</v>
      </c>
    </row>
    <row r="3814" customFormat="false" ht="15" hidden="false" customHeight="false" outlineLevel="0" collapsed="false">
      <c r="A3814" s="5" t="s">
        <v>459</v>
      </c>
      <c r="C3814" s="25" t="n">
        <f aca="false">IF(C3809&gt;0,MIN(C3799,C3809*$C$3795),0)</f>
        <v>0</v>
      </c>
    </row>
    <row r="3815" customFormat="false" ht="15" hidden="false" customHeight="false" outlineLevel="0" collapsed="false">
      <c r="A3815" s="5" t="s">
        <v>460</v>
      </c>
      <c r="C3815" s="25" t="n">
        <f aca="false">IF(C3810&gt;0,MIN(C3800,C3810*$C$3795),0)</f>
        <v>0</v>
      </c>
    </row>
    <row r="3816" customFormat="false" ht="15" hidden="false" customHeight="false" outlineLevel="0" collapsed="false">
      <c r="A3816" s="23" t="s">
        <v>464</v>
      </c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</row>
    <row r="3817" customFormat="false" ht="15" hidden="false" customHeight="false" outlineLevel="0" collapsed="false">
      <c r="A3817" s="5" t="s">
        <v>457</v>
      </c>
      <c r="C3817" s="25" t="n">
        <f aca="false">IF(C3807&gt;0,C3797-C3812,0)</f>
        <v>0</v>
      </c>
    </row>
    <row r="3818" customFormat="false" ht="15" hidden="false" customHeight="false" outlineLevel="0" collapsed="false">
      <c r="A3818" s="5" t="s">
        <v>458</v>
      </c>
      <c r="C3818" s="25" t="n">
        <f aca="false">IF(C3808&gt;0,C3798-C3813,0)</f>
        <v>0</v>
      </c>
    </row>
    <row r="3819" customFormat="false" ht="15" hidden="false" customHeight="false" outlineLevel="0" collapsed="false">
      <c r="A3819" s="5" t="s">
        <v>459</v>
      </c>
      <c r="C3819" s="25" t="n">
        <f aca="false">IF(C3809&gt;0,C3799-C3814,0)</f>
        <v>0</v>
      </c>
    </row>
    <row r="3820" customFormat="false" ht="15" hidden="false" customHeight="false" outlineLevel="0" collapsed="false">
      <c r="A3820" s="5" t="s">
        <v>460</v>
      </c>
      <c r="C3820" s="25" t="n">
        <f aca="false">IF(C3810&gt;0,C3800-C3815,0)</f>
        <v>0</v>
      </c>
    </row>
    <row r="3821" customFormat="false" ht="15" hidden="false" customHeight="false" outlineLevel="0" collapsed="false">
      <c r="A3821" s="23" t="s">
        <v>465</v>
      </c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</row>
    <row r="3822" customFormat="false" ht="15" hidden="false" customHeight="false" outlineLevel="0" collapsed="false">
      <c r="A3822" s="5" t="s">
        <v>457</v>
      </c>
      <c r="C3822" s="25" t="n">
        <f aca="false">IF(C3807&gt;0,C3817,C3797)</f>
        <v>216.2968</v>
      </c>
    </row>
    <row r="3823" customFormat="false" ht="15" hidden="false" customHeight="false" outlineLevel="0" collapsed="false">
      <c r="A3823" s="5" t="s">
        <v>458</v>
      </c>
      <c r="C3823" s="25" t="n">
        <f aca="false">IF(C3808&gt;0,C3818,C3798)</f>
        <v>509.6</v>
      </c>
    </row>
    <row r="3824" customFormat="false" ht="15" hidden="false" customHeight="false" outlineLevel="0" collapsed="false">
      <c r="A3824" s="5" t="s">
        <v>459</v>
      </c>
      <c r="C3824" s="25" t="n">
        <f aca="false">IF(C3809&gt;0,C3819,C3799)</f>
        <v>250</v>
      </c>
    </row>
    <row r="3825" customFormat="false" ht="15" hidden="false" customHeight="false" outlineLevel="0" collapsed="false">
      <c r="A3825" s="5" t="s">
        <v>460</v>
      </c>
      <c r="C3825" s="25" t="n">
        <f aca="false">IF(C3810&gt;0,C3820,C3800)</f>
        <v>300</v>
      </c>
    </row>
    <row r="3826" customFormat="false" ht="15" hidden="false" customHeight="false" outlineLevel="0" collapsed="false">
      <c r="A3826" s="23" t="s">
        <v>466</v>
      </c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</row>
    <row r="3827" customFormat="false" ht="15" hidden="false" customHeight="false" outlineLevel="0" collapsed="false">
      <c r="A3827" s="5" t="s">
        <v>457</v>
      </c>
      <c r="C3827" s="20" t="n">
        <f aca="false">IF(C3807&gt;0,Assumptions!$C$17,C3802)</f>
        <v>1</v>
      </c>
    </row>
    <row r="3828" customFormat="false" ht="15" hidden="false" customHeight="false" outlineLevel="0" collapsed="false">
      <c r="A3828" s="5" t="s">
        <v>458</v>
      </c>
      <c r="C3828" s="20" t="n">
        <f aca="false">IF(C3808&gt;0,Assumptions!$C$17,C3803)</f>
        <v>2</v>
      </c>
    </row>
    <row r="3829" customFormat="false" ht="15" hidden="false" customHeight="false" outlineLevel="0" collapsed="false">
      <c r="A3829" s="5" t="s">
        <v>459</v>
      </c>
      <c r="C3829" s="20" t="n">
        <f aca="false">IF(C3809&gt;0,Assumptions!$C$17,C3804)</f>
        <v>3</v>
      </c>
    </row>
    <row r="3830" customFormat="false" ht="15" hidden="false" customHeight="false" outlineLevel="0" collapsed="false">
      <c r="A3830" s="5" t="s">
        <v>460</v>
      </c>
      <c r="C3830" s="20" t="n">
        <f aca="false">IF(C3810&gt;0,Assumptions!$C$17,C3805)</f>
        <v>4</v>
      </c>
    </row>
    <row r="3831" customFormat="false" ht="15" hidden="false" customHeight="false" outlineLevel="0" collapsed="false">
      <c r="A3831" s="23" t="s">
        <v>467</v>
      </c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</row>
    <row r="3832" customFormat="false" ht="15" hidden="false" customHeight="false" outlineLevel="0" collapsed="false">
      <c r="A3832" s="5" t="s">
        <v>457</v>
      </c>
      <c r="C3832" s="25" t="n">
        <f aca="false">SUMPRODUCT(($C$3827:$C$3830&lt;C3827)*$C$3822:$C$3825)</f>
        <v>0</v>
      </c>
    </row>
    <row r="3833" customFormat="false" ht="15" hidden="false" customHeight="false" outlineLevel="0" collapsed="false">
      <c r="A3833" s="5" t="s">
        <v>458</v>
      </c>
      <c r="C3833" s="25" t="n">
        <f aca="false">SUMPRODUCT(($C$3827:$C$3830&lt;C3828)*$C$3822:$C$3825)</f>
        <v>216.2968</v>
      </c>
    </row>
    <row r="3834" customFormat="false" ht="15" hidden="false" customHeight="false" outlineLevel="0" collapsed="false">
      <c r="A3834" s="5" t="s">
        <v>459</v>
      </c>
      <c r="C3834" s="25" t="n">
        <f aca="false">SUMPRODUCT(($C$3827:$C$3830&lt;C3829)*$C$3822:$C$3825)</f>
        <v>725.8968</v>
      </c>
    </row>
    <row r="3835" customFormat="false" ht="15" hidden="false" customHeight="false" outlineLevel="0" collapsed="false">
      <c r="A3835" s="5" t="s">
        <v>460</v>
      </c>
      <c r="C3835" s="25" t="n">
        <f aca="false">SUMPRODUCT(($C$3827:$C$3830&lt;C3830)*$C$3822:$C$3825)</f>
        <v>975.8968</v>
      </c>
    </row>
    <row r="3836" customFormat="false" ht="15" hidden="false" customHeight="false" outlineLevel="0" collapsed="false">
      <c r="A3836" s="23" t="s">
        <v>468</v>
      </c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</row>
    <row r="3837" customFormat="false" ht="15" hidden="false" customHeight="false" outlineLevel="0" collapsed="false">
      <c r="A3837" s="5" t="s">
        <v>457</v>
      </c>
      <c r="C3837" s="25" t="n">
        <f aca="false">SUMPRODUCT(($C$3827:$C$3830=C3827)*$C$3822:$C$3825)</f>
        <v>216.2968</v>
      </c>
    </row>
    <row r="3838" customFormat="false" ht="15" hidden="false" customHeight="false" outlineLevel="0" collapsed="false">
      <c r="A3838" s="5" t="s">
        <v>458</v>
      </c>
      <c r="C3838" s="25" t="n">
        <f aca="false">SUMPRODUCT(($C$3827:$C$3830=C3828)*$C$3822:$C$3825)</f>
        <v>509.6</v>
      </c>
    </row>
    <row r="3839" customFormat="false" ht="15" hidden="false" customHeight="false" outlineLevel="0" collapsed="false">
      <c r="A3839" s="5" t="s">
        <v>459</v>
      </c>
      <c r="C3839" s="25" t="n">
        <f aca="false">SUMPRODUCT(($C$3827:$C$3830=C3829)*$C$3822:$C$3825)</f>
        <v>250</v>
      </c>
    </row>
    <row r="3840" customFormat="false" ht="15" hidden="false" customHeight="false" outlineLevel="0" collapsed="false">
      <c r="A3840" s="5" t="s">
        <v>460</v>
      </c>
      <c r="C3840" s="25" t="n">
        <f aca="false">SUMPRODUCT(($C$3827:$C$3830=C3830)*$C$3822:$C$3825)</f>
        <v>300</v>
      </c>
    </row>
    <row r="3841" customFormat="false" ht="15" hidden="false" customHeight="false" outlineLevel="0" collapsed="false">
      <c r="A3841" s="23" t="s">
        <v>469</v>
      </c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</row>
    <row r="3842" customFormat="false" ht="15" hidden="false" customHeight="false" outlineLevel="0" collapsed="false">
      <c r="A3842" s="5" t="s">
        <v>457</v>
      </c>
      <c r="C3842" s="25" t="n">
        <f aca="false">IF(C3837=0,0,C3822/C3837*MAX(0,MIN(C3837,$C$3795-SUM($C$3812:$C$3815)-C3832)))</f>
        <v>216.2968</v>
      </c>
    </row>
    <row r="3843" customFormat="false" ht="15" hidden="false" customHeight="false" outlineLevel="0" collapsed="false">
      <c r="A3843" s="5" t="s">
        <v>458</v>
      </c>
      <c r="C3843" s="25" t="n">
        <f aca="false">IF(C3838=0,0,C3823/C3838*MAX(0,MIN(C3838,$C$3795-SUM($C$3812:$C$3815)-C3833)))</f>
        <v>28.2507919999998</v>
      </c>
    </row>
    <row r="3844" customFormat="false" ht="15" hidden="false" customHeight="false" outlineLevel="0" collapsed="false">
      <c r="A3844" s="5" t="s">
        <v>459</v>
      </c>
      <c r="C3844" s="25" t="n">
        <f aca="false">IF(C3839=0,0,C3824/C3839*MAX(0,MIN(C3839,$C$3795-SUM($C$3812:$C$3815)-C3834)))</f>
        <v>0</v>
      </c>
    </row>
    <row r="3845" customFormat="false" ht="15" hidden="false" customHeight="false" outlineLevel="0" collapsed="false">
      <c r="A3845" s="5" t="s">
        <v>460</v>
      </c>
      <c r="C3845" s="25" t="n">
        <f aca="false">IF(C3840=0,0,C3825/C3840*MAX(0,MIN(C3840,$C$3795-SUM($C$3812:$C$3815)-C3835)))</f>
        <v>0</v>
      </c>
    </row>
    <row r="3846" customFormat="false" ht="15" hidden="false" customHeight="false" outlineLevel="0" collapsed="false">
      <c r="A3846" s="23" t="s">
        <v>470</v>
      </c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</row>
    <row r="3847" customFormat="false" ht="15" hidden="false" customHeight="false" outlineLevel="0" collapsed="false">
      <c r="A3847" s="2" t="s">
        <v>457</v>
      </c>
      <c r="C3847" s="16" t="n">
        <f aca="false">C3812+C3842</f>
        <v>216.2968</v>
      </c>
    </row>
    <row r="3848" customFormat="false" ht="15" hidden="false" customHeight="false" outlineLevel="0" collapsed="false">
      <c r="A3848" s="2" t="s">
        <v>458</v>
      </c>
      <c r="C3848" s="16" t="n">
        <f aca="false">C3813+C3843</f>
        <v>28.2507919999998</v>
      </c>
    </row>
    <row r="3849" customFormat="false" ht="15" hidden="false" customHeight="false" outlineLevel="0" collapsed="false">
      <c r="A3849" s="2" t="s">
        <v>459</v>
      </c>
      <c r="C3849" s="16" t="n">
        <f aca="false">C3814+C3844</f>
        <v>0</v>
      </c>
    </row>
    <row r="3850" customFormat="false" ht="15" hidden="false" customHeight="false" outlineLevel="0" collapsed="false">
      <c r="A3850" s="2" t="s">
        <v>460</v>
      </c>
      <c r="C3850" s="16" t="n">
        <f aca="false">C3815+C3845</f>
        <v>0</v>
      </c>
    </row>
    <row r="3851" customFormat="false" ht="15" hidden="false" customHeight="false" outlineLevel="0" collapsed="false">
      <c r="A3851" s="23" t="s">
        <v>471</v>
      </c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</row>
    <row r="3852" customFormat="false" ht="15" hidden="false" customHeight="false" outlineLevel="0" collapsed="false">
      <c r="A3852" s="5" t="s">
        <v>457</v>
      </c>
      <c r="C3852" s="21" t="n">
        <f aca="false">IF(C3797=0,1,C3847/C3797)</f>
        <v>1</v>
      </c>
    </row>
    <row r="3853" customFormat="false" ht="15" hidden="false" customHeight="false" outlineLevel="0" collapsed="false">
      <c r="A3853" s="5" t="s">
        <v>458</v>
      </c>
      <c r="C3853" s="21" t="n">
        <f aca="false">IF(C3798=0,1,C3848/C3798)</f>
        <v>0.0554371899529039</v>
      </c>
    </row>
    <row r="3854" customFormat="false" ht="15" hidden="false" customHeight="false" outlineLevel="0" collapsed="false">
      <c r="A3854" s="5" t="s">
        <v>459</v>
      </c>
      <c r="C3854" s="21" t="n">
        <f aca="false">IF(C3799=0,1,C3849/C3799)</f>
        <v>0</v>
      </c>
    </row>
    <row r="3855" customFormat="false" ht="15" hidden="false" customHeight="false" outlineLevel="0" collapsed="false">
      <c r="A3855" s="5" t="s">
        <v>460</v>
      </c>
      <c r="C3855" s="21" t="n">
        <f aca="false">IF(C3800=0,1,C3850/C3800)</f>
        <v>0</v>
      </c>
    </row>
    <row r="3856" customFormat="false" ht="15" hidden="false" customHeight="false" outlineLevel="0" collapsed="false">
      <c r="A3856" s="23" t="s">
        <v>472</v>
      </c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</row>
    <row r="3857" customFormat="false" ht="15" hidden="false" customHeight="false" outlineLevel="0" collapsed="false">
      <c r="A3857" s="5" t="s">
        <v>457</v>
      </c>
      <c r="C3857" s="25" t="n">
        <f aca="false">C3797-C3847</f>
        <v>0</v>
      </c>
    </row>
    <row r="3858" customFormat="false" ht="15" hidden="false" customHeight="false" outlineLevel="0" collapsed="false">
      <c r="A3858" s="5" t="s">
        <v>458</v>
      </c>
      <c r="C3858" s="25" t="n">
        <f aca="false">C3798-C3848</f>
        <v>481.349208</v>
      </c>
    </row>
    <row r="3859" customFormat="false" ht="15" hidden="false" customHeight="false" outlineLevel="0" collapsed="false">
      <c r="A3859" s="5" t="s">
        <v>459</v>
      </c>
      <c r="C3859" s="25" t="n">
        <f aca="false">C3799-C3849</f>
        <v>250</v>
      </c>
    </row>
    <row r="3860" customFormat="false" ht="15" hidden="false" customHeight="false" outlineLevel="0" collapsed="false">
      <c r="A3860" s="5" t="s">
        <v>460</v>
      </c>
      <c r="C3860" s="25" t="n">
        <f aca="false">C3800-C3850</f>
        <v>300</v>
      </c>
    </row>
    <row r="3861" customFormat="false" ht="15" hidden="false" customHeight="false" outlineLevel="0" collapsed="false">
      <c r="A3861" s="23" t="s">
        <v>473</v>
      </c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</row>
    <row r="3862" customFormat="false" ht="15" hidden="false" customHeight="false" outlineLevel="0" collapsed="false">
      <c r="A3862" s="5" t="s">
        <v>457</v>
      </c>
      <c r="C3862" s="21" t="n">
        <f aca="false">IF(C3797=0,0,C3857/C3797)</f>
        <v>0</v>
      </c>
    </row>
    <row r="3863" customFormat="false" ht="15" hidden="false" customHeight="false" outlineLevel="0" collapsed="false">
      <c r="A3863" s="5" t="s">
        <v>458</v>
      </c>
      <c r="C3863" s="21" t="n">
        <f aca="false">IF(C3798=0,0,C3858/C3798)</f>
        <v>0.944562810047096</v>
      </c>
    </row>
    <row r="3864" customFormat="false" ht="15" hidden="false" customHeight="false" outlineLevel="0" collapsed="false">
      <c r="A3864" s="5" t="s">
        <v>459</v>
      </c>
      <c r="C3864" s="21" t="n">
        <f aca="false">IF(C3799=0,0,C3859/C3799)</f>
        <v>1</v>
      </c>
    </row>
    <row r="3865" customFormat="false" ht="15" hidden="false" customHeight="false" outlineLevel="0" collapsed="false">
      <c r="A3865" s="5" t="s">
        <v>460</v>
      </c>
      <c r="C3865" s="21" t="n">
        <f aca="false">IF(C3800=0,0,C3860/C3800)</f>
        <v>1</v>
      </c>
    </row>
    <row r="3866" customFormat="false" ht="15" hidden="false" customHeight="false" outlineLevel="0" collapsed="false">
      <c r="A3866" s="2" t="s">
        <v>474</v>
      </c>
      <c r="C3866" s="16" t="n">
        <f aca="false">MAX(0,$C$3795-SUM($C$3812:$C$3815)-SUM($C$3822:$C$3825))</f>
        <v>0</v>
      </c>
    </row>
    <row r="3867" customFormat="false" ht="15" hidden="false" customHeight="false" outlineLevel="0" collapsed="false">
      <c r="A3867" s="5" t="s">
        <v>492</v>
      </c>
      <c r="C3867" s="33" t="n">
        <f aca="false">MIN(C3794,100*CHOOSE(C3784,C3852,C3853,C3854,C3855))</f>
        <v>5.54371899529039</v>
      </c>
    </row>
    <row r="3868" customFormat="false" ht="15" hidden="false" customHeight="false" outlineLevel="0" collapsed="false">
      <c r="A3868" s="5" t="s">
        <v>493</v>
      </c>
      <c r="C3868" s="20" t="n">
        <f aca="false">IF(C3700=1,C3789+Assumptions!$C$36,C3788)</f>
        <v>3</v>
      </c>
    </row>
    <row r="3869" customFormat="false" ht="15" hidden="false" customHeight="false" outlineLevel="0" collapsed="false">
      <c r="A3869" s="23" t="s">
        <v>494</v>
      </c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</row>
    <row r="3870" customFormat="false" ht="15" hidden="false" customHeight="false" outlineLevel="0" collapsed="false">
      <c r="A3870" s="5" t="s">
        <v>495</v>
      </c>
      <c r="C3870" s="20" t="n">
        <f aca="false">COLUMN()-COLUMN($C$1)</f>
        <v>0</v>
      </c>
      <c r="D3870" s="20" t="n">
        <f aca="false">COLUMN()-COLUMN($C$1)</f>
        <v>1</v>
      </c>
      <c r="E3870" s="20" t="n">
        <f aca="false">COLUMN()-COLUMN($C$1)</f>
        <v>2</v>
      </c>
      <c r="F3870" s="20" t="n">
        <f aca="false">COLUMN()-COLUMN($C$1)</f>
        <v>3</v>
      </c>
      <c r="G3870" s="20" t="n">
        <f aca="false">COLUMN()-COLUMN($C$1)</f>
        <v>4</v>
      </c>
      <c r="H3870" s="20" t="n">
        <f aca="false">COLUMN()-COLUMN($C$1)</f>
        <v>5</v>
      </c>
      <c r="I3870" s="20" t="n">
        <f aca="false">COLUMN()-COLUMN($C$1)</f>
        <v>6</v>
      </c>
    </row>
    <row r="3871" customFormat="false" ht="15" hidden="false" customHeight="false" outlineLevel="0" collapsed="false">
      <c r="A3871" s="5" t="s">
        <v>496</v>
      </c>
      <c r="D3871" s="30" t="n">
        <f aca="false">CHOOSE($C$3784,G3582,G3595,G3608,G3621)</f>
        <v>0.118</v>
      </c>
      <c r="E3871" s="30" t="n">
        <f aca="false">CHOOSE($C$3784,H3582,H3595,H3608,H3621)</f>
        <v>0.1155</v>
      </c>
      <c r="F3871" s="30" t="n">
        <f aca="false">CHOOSE($C$3784,I3582,I3595,I3608,I3621)</f>
        <v>0.113</v>
      </c>
      <c r="G3871" s="30" t="n">
        <f aca="false">CHOOSE($C$3784,J3582,J3595,J3608,J3621)</f>
        <v>0.113</v>
      </c>
      <c r="H3871" s="30" t="n">
        <f aca="false">CHOOSE($C$3784,K3582,K3595,K3608,K3621)</f>
        <v>0.113</v>
      </c>
    </row>
    <row r="3872" customFormat="false" ht="15" hidden="false" customHeight="false" outlineLevel="0" collapsed="false">
      <c r="A3872" s="5" t="s">
        <v>497</v>
      </c>
      <c r="D3872" s="25" t="n">
        <f aca="false">IF(D3870&lt;=$C$3793,$C$3785*D3871,0)</f>
        <v>11.8</v>
      </c>
      <c r="E3872" s="25" t="n">
        <f aca="false">IF(E3870&lt;=$C$3793,$C$3785*E3871,0)</f>
        <v>11.55</v>
      </c>
      <c r="F3872" s="25" t="n">
        <f aca="false">IF(F3870&lt;=$C$3793,$C$3785*F3871,0)</f>
        <v>0</v>
      </c>
      <c r="G3872" s="25" t="n">
        <f aca="false">IF(G3870&lt;=$C$3793,$C$3785*G3871,0)</f>
        <v>0</v>
      </c>
      <c r="H3872" s="25" t="n">
        <f aca="false">IF(H3870&lt;=$C$3793,$C$3785*H3871,0)</f>
        <v>0</v>
      </c>
    </row>
    <row r="3873" customFormat="false" ht="15" hidden="false" customHeight="false" outlineLevel="0" collapsed="false">
      <c r="A3873" s="5" t="s">
        <v>498</v>
      </c>
      <c r="D3873" s="25" t="n">
        <f aca="false">IF(AND($C$3700=0,D3870=$C$3788),$C$3785*$C$3867/100,0)+IF(AND($C$3700=1,D3870=$C$3868),$C$3791,0)</f>
        <v>0</v>
      </c>
      <c r="E3873" s="25" t="n">
        <f aca="false">IF(AND($C$3700=0,E3870=$C$3788),$C$3785*$C$3867/100,0)+IF(AND($C$3700=1,E3870=$C$3868),$C$3791,0)</f>
        <v>0</v>
      </c>
      <c r="F3873" s="25" t="n">
        <f aca="false">IF(AND($C$3700=0,F3870=$C$3788),$C$3785*$C$3867/100,0)+IF(AND($C$3700=1,F3870=$C$3868),$C$3791,0)</f>
        <v>56.4287463304553</v>
      </c>
      <c r="G3873" s="25" t="n">
        <f aca="false">IF(AND($C$3700=0,G3870=$C$3788),$C$3785*$C$3867/100,0)+IF(AND($C$3700=1,G3870=$C$3868),$C$3791,0)</f>
        <v>0</v>
      </c>
      <c r="H3873" s="25" t="n">
        <f aca="false">IF(AND($C$3700=0,H3870=$C$3788),$C$3785*$C$3867/100,0)+IF(AND($C$3700=1,H3870=$C$3868),$C$3791,0)</f>
        <v>0</v>
      </c>
      <c r="I3873" s="25" t="n">
        <f aca="false">IF(AND($C$3700=0,I3870=$C$3788),$C$3785*$C$3867/100,0)+IF(AND($C$3700=1,I3870=$C$3868),$C$3791,0)</f>
        <v>0</v>
      </c>
    </row>
    <row r="3874" customFormat="false" ht="15" hidden="false" customHeight="false" outlineLevel="0" collapsed="false">
      <c r="A3874" s="2" t="s">
        <v>499</v>
      </c>
      <c r="C3874" s="16" t="n">
        <f aca="false">-$C$3787</f>
        <v>-78.39</v>
      </c>
      <c r="D3874" s="16" t="n">
        <f aca="false">D3872+D3873</f>
        <v>11.8</v>
      </c>
      <c r="E3874" s="16" t="n">
        <f aca="false">E3872+E3873</f>
        <v>11.55</v>
      </c>
      <c r="F3874" s="16" t="n">
        <f aca="false">F3872+F3873</f>
        <v>56.4287463304553</v>
      </c>
      <c r="G3874" s="16" t="n">
        <f aca="false">G3872+G3873</f>
        <v>0</v>
      </c>
      <c r="H3874" s="16" t="n">
        <f aca="false">H3872+H3873</f>
        <v>0</v>
      </c>
      <c r="I3874" s="16" t="n">
        <f aca="false">I3872+I3873</f>
        <v>0</v>
      </c>
    </row>
    <row r="3875" customFormat="false" ht="15" hidden="false" customHeight="false" outlineLevel="0" collapsed="false">
      <c r="A3875" s="5" t="s">
        <v>500</v>
      </c>
      <c r="C3875" s="25" t="n">
        <f aca="false">SUM($C$3872:$I$3872)</f>
        <v>23.35</v>
      </c>
    </row>
    <row r="3876" customFormat="false" ht="15" hidden="false" customHeight="false" outlineLevel="0" collapsed="false">
      <c r="A3876" s="5" t="s">
        <v>501</v>
      </c>
      <c r="C3876" s="25" t="n">
        <f aca="false">SUM($C$3873:$I$3873)</f>
        <v>56.4287463304553</v>
      </c>
    </row>
    <row r="3877" customFormat="false" ht="15" hidden="false" customHeight="false" outlineLevel="0" collapsed="false">
      <c r="A3877" s="5" t="s">
        <v>502</v>
      </c>
      <c r="C3877" s="25" t="n">
        <f aca="false">C3875+C3876</f>
        <v>79.7787463304553</v>
      </c>
    </row>
    <row r="3878" customFormat="false" ht="15" hidden="false" customHeight="false" outlineLevel="0" collapsed="false">
      <c r="A3878" s="5" t="s">
        <v>503</v>
      </c>
      <c r="C3878" s="25" t="n">
        <f aca="false">C3876-C3785*C3786/100</f>
        <v>-21.5712536695447</v>
      </c>
    </row>
    <row r="3879" customFormat="false" ht="15" hidden="false" customHeight="false" outlineLevel="0" collapsed="false">
      <c r="A3879" s="5" t="s">
        <v>504</v>
      </c>
      <c r="C3879" s="25" t="n">
        <f aca="false">C3877-C3787</f>
        <v>1.38874633045526</v>
      </c>
    </row>
    <row r="3880" customFormat="false" ht="15" hidden="false" customHeight="false" outlineLevel="0" collapsed="false">
      <c r="A3880" s="2" t="s">
        <v>385</v>
      </c>
      <c r="C3880" s="43" t="n">
        <f aca="false">C3877/C3787</f>
        <v>1.01771586082989</v>
      </c>
    </row>
    <row r="3881" customFormat="false" ht="15" hidden="false" customHeight="false" outlineLevel="0" collapsed="false">
      <c r="A3881" s="2" t="s">
        <v>384</v>
      </c>
      <c r="C3881" s="41" t="n">
        <f aca="false">IF(C3877&lt;=0,-1,IFERROR(IRR($C$3874:$I$3874,MAX(-0.9,C3880^(1/C3868)-1)),IRR($C$3874:$I$3874,0.1)))</f>
        <v>0.00688989684099931</v>
      </c>
    </row>
    <row r="3882" customFormat="false" ht="15" hidden="false" customHeight="false" outlineLevel="0" collapsed="false">
      <c r="A3882" s="5" t="s">
        <v>505</v>
      </c>
      <c r="C3882" s="31" t="n">
        <f aca="false">MAX($G$3676:$K$3676)</f>
        <v>28.5681105622991</v>
      </c>
    </row>
    <row r="3883" customFormat="false" ht="15" hidden="false" customHeight="false" outlineLevel="0" collapsed="false">
      <c r="A3883" s="5" t="s">
        <v>506</v>
      </c>
      <c r="C3883" s="31" t="n">
        <f aca="false">MIN($G$3677:$K$3677)</f>
        <v>0.374027109660081</v>
      </c>
    </row>
    <row r="3884" customFormat="false" ht="15" hidden="false" customHeight="false" outlineLevel="0" collapsed="false">
      <c r="A3884" s="5" t="s">
        <v>507</v>
      </c>
      <c r="C3884" s="25" t="n">
        <f aca="false">SUM($G$3566:$K$3566)</f>
        <v>-481.4808823404</v>
      </c>
    </row>
    <row r="3888" customFormat="false" ht="15" hidden="false" customHeight="false" outlineLevel="0" collapsed="false">
      <c r="A3888" s="9" t="s">
        <v>637</v>
      </c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</row>
    <row r="3889" customFormat="false" ht="15" hidden="false" customHeight="false" outlineLevel="0" collapsed="false">
      <c r="A3889" s="5" t="s">
        <v>622</v>
      </c>
      <c r="C3889" s="11" t="n">
        <v>2</v>
      </c>
    </row>
    <row r="3890" customFormat="false" ht="15" hidden="false" customHeight="false" outlineLevel="0" collapsed="false">
      <c r="A3890" s="5" t="s">
        <v>623</v>
      </c>
      <c r="C3890" s="18" t="n">
        <v>0</v>
      </c>
    </row>
    <row r="3891" customFormat="false" ht="15" hidden="false" customHeight="false" outlineLevel="0" collapsed="false">
      <c r="A3891" s="5" t="s">
        <v>624</v>
      </c>
      <c r="C3891" s="29" t="n">
        <f aca="false">Sensitivities!$A$33</f>
        <v>0.02</v>
      </c>
    </row>
    <row r="3892" customFormat="false" ht="15" hidden="false" customHeight="false" outlineLevel="0" collapsed="false">
      <c r="A3892" s="5" t="s">
        <v>625</v>
      </c>
      <c r="C3892" s="18" t="n">
        <v>0</v>
      </c>
    </row>
    <row r="3893" customFormat="false" ht="15" hidden="false" customHeight="false" outlineLevel="0" collapsed="false">
      <c r="A3893" s="5" t="s">
        <v>626</v>
      </c>
      <c r="C3893" s="15" t="n">
        <v>0</v>
      </c>
    </row>
    <row r="3895" customFormat="false" ht="15" hidden="false" customHeight="false" outlineLevel="0" collapsed="false">
      <c r="A3895" s="23" t="s">
        <v>237</v>
      </c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</row>
    <row r="3896" customFormat="false" ht="15" hidden="false" customHeight="false" outlineLevel="0" collapsed="false">
      <c r="A3896" s="5" t="s">
        <v>238</v>
      </c>
      <c r="F3896" s="26" t="n">
        <f aca="false">Assumptions!$C$6</f>
        <v>2025</v>
      </c>
      <c r="G3896" s="20" t="n">
        <f aca="false">F3896+1</f>
        <v>2026</v>
      </c>
      <c r="H3896" s="20" t="n">
        <f aca="false">G3896+1</f>
        <v>2027</v>
      </c>
      <c r="I3896" s="20" t="n">
        <f aca="false">H3896+1</f>
        <v>2028</v>
      </c>
      <c r="J3896" s="20" t="n">
        <f aca="false">I3896+1</f>
        <v>2029</v>
      </c>
      <c r="K3896" s="20" t="n">
        <f aca="false">J3896+1</f>
        <v>2030</v>
      </c>
    </row>
    <row r="3897" customFormat="false" ht="15" hidden="false" customHeight="false" outlineLevel="0" collapsed="false">
      <c r="A3897" s="5" t="s">
        <v>239</v>
      </c>
      <c r="G3897" s="20" t="n">
        <f aca="false">G3896-Assumptions!$C$6</f>
        <v>1</v>
      </c>
      <c r="H3897" s="20" t="n">
        <f aca="false">H3896-Assumptions!$C$6</f>
        <v>2</v>
      </c>
      <c r="I3897" s="20" t="n">
        <f aca="false">I3896-Assumptions!$C$6</f>
        <v>3</v>
      </c>
      <c r="J3897" s="20" t="n">
        <f aca="false">J3896-Assumptions!$C$6</f>
        <v>4</v>
      </c>
      <c r="K3897" s="20" t="n">
        <f aca="false">K3896-Assumptions!$C$6</f>
        <v>5</v>
      </c>
    </row>
    <row r="3898" customFormat="false" ht="15" hidden="false" customHeight="false" outlineLevel="0" collapsed="false">
      <c r="A3898" s="5" t="s">
        <v>149</v>
      </c>
      <c r="G3898" s="21" t="n">
        <f aca="false">CHOOSE($C$3889,Assumptions!$G$65,Assumptions!$G$84,Assumptions!$G$103)+$C$3890</f>
        <v>-0.078</v>
      </c>
      <c r="H3898" s="21" t="n">
        <f aca="false">CHOOSE($C$3889,Assumptions!$H$65,Assumptions!$H$84,Assumptions!$H$103)+$C$3890</f>
        <v>-0.039</v>
      </c>
      <c r="I3898" s="21" t="n">
        <f aca="false">CHOOSE($C$3889,Assumptions!$I$65,Assumptions!$I$84,Assumptions!$I$103)+$C$3890</f>
        <v>-0.005</v>
      </c>
      <c r="J3898" s="21" t="n">
        <f aca="false">CHOOSE($C$3889,Assumptions!$J$65,Assumptions!$J$84,Assumptions!$J$103)+$C$3890</f>
        <v>-0.01</v>
      </c>
      <c r="K3898" s="21" t="n">
        <f aca="false">CHOOSE($C$3889,Assumptions!$K$65,Assumptions!$K$84,Assumptions!$K$103)+$C$3890</f>
        <v>-0.01</v>
      </c>
    </row>
    <row r="3899" customFormat="false" ht="15" hidden="false" customHeight="false" outlineLevel="0" collapsed="false">
      <c r="A3899" s="5" t="s">
        <v>150</v>
      </c>
      <c r="G3899" s="21" t="n">
        <f aca="false">CHOOSE($C$3889,Assumptions!$G$66,Assumptions!$G$85,Assumptions!$G$104)</f>
        <v>0.33</v>
      </c>
      <c r="H3899" s="21" t="n">
        <f aca="false">CHOOSE($C$3889,Assumptions!$H$66,Assumptions!$H$85,Assumptions!$H$104)</f>
        <v>0.318</v>
      </c>
      <c r="I3899" s="21" t="n">
        <f aca="false">CHOOSE($C$3889,Assumptions!$I$66,Assumptions!$I$85,Assumptions!$I$104)</f>
        <v>0.324</v>
      </c>
      <c r="J3899" s="21" t="n">
        <f aca="false">CHOOSE($C$3889,Assumptions!$J$66,Assumptions!$J$85,Assumptions!$J$104)</f>
        <v>0.33</v>
      </c>
      <c r="K3899" s="21" t="n">
        <f aca="false">CHOOSE($C$3889,Assumptions!$K$66,Assumptions!$K$85,Assumptions!$K$104)</f>
        <v>0.336</v>
      </c>
    </row>
    <row r="3900" customFormat="false" ht="15" hidden="false" customHeight="false" outlineLevel="0" collapsed="false">
      <c r="A3900" s="5" t="s">
        <v>151</v>
      </c>
      <c r="G3900" s="21" t="n">
        <f aca="false">CHOOSE($C$3889,Assumptions!$G$67,Assumptions!$G$86,Assumptions!$G$105)+$C$3891</f>
        <v>0.055</v>
      </c>
      <c r="H3900" s="21" t="n">
        <f aca="false">CHOOSE($C$3889,Assumptions!$H$67,Assumptions!$H$86,Assumptions!$H$105)+$C$3891</f>
        <v>0.043</v>
      </c>
      <c r="I3900" s="21" t="n">
        <f aca="false">CHOOSE($C$3889,Assumptions!$I$67,Assumptions!$I$86,Assumptions!$I$105)+$C$3891</f>
        <v>0.049</v>
      </c>
      <c r="J3900" s="21" t="n">
        <f aca="false">CHOOSE($C$3889,Assumptions!$J$67,Assumptions!$J$86,Assumptions!$J$105)+$C$3891</f>
        <v>0.055</v>
      </c>
      <c r="K3900" s="21" t="n">
        <f aca="false">CHOOSE($C$3889,Assumptions!$K$67,Assumptions!$K$86,Assumptions!$K$105)+$C$3891</f>
        <v>0.061</v>
      </c>
    </row>
    <row r="3901" customFormat="false" ht="15" hidden="false" customHeight="false" outlineLevel="0" collapsed="false">
      <c r="A3901" s="23" t="s">
        <v>240</v>
      </c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</row>
    <row r="3902" customFormat="false" ht="15" hidden="false" customHeight="false" outlineLevel="0" collapsed="false">
      <c r="A3902" s="2" t="s">
        <v>207</v>
      </c>
      <c r="F3902" s="27" t="n">
        <f aca="false">'Historical Financials'!E17</f>
        <v>2400</v>
      </c>
      <c r="G3902" s="16" t="n">
        <f aca="false">F3902*(1+G3898)</f>
        <v>2212.8</v>
      </c>
      <c r="H3902" s="16" t="n">
        <f aca="false">G3902*(1+H3898)</f>
        <v>2126.5008</v>
      </c>
      <c r="I3902" s="16" t="n">
        <f aca="false">H3902*(1+I3898)</f>
        <v>2115.868296</v>
      </c>
      <c r="J3902" s="16" t="n">
        <f aca="false">I3902*(1+J3898)</f>
        <v>2094.70961304</v>
      </c>
      <c r="K3902" s="16" t="n">
        <f aca="false">J3902*(1+K3898)</f>
        <v>2073.7625169096</v>
      </c>
    </row>
    <row r="3903" customFormat="false" ht="15" hidden="false" customHeight="false" outlineLevel="0" collapsed="false">
      <c r="A3903" s="5" t="s">
        <v>217</v>
      </c>
      <c r="G3903" s="25" t="n">
        <f aca="false">G3902*(1-G3899)</f>
        <v>1482.576</v>
      </c>
      <c r="H3903" s="25" t="n">
        <f aca="false">H3902*(1-H3899)</f>
        <v>1450.2735456</v>
      </c>
      <c r="I3903" s="25" t="n">
        <f aca="false">I3902*(1-I3899)</f>
        <v>1430.326968096</v>
      </c>
      <c r="J3903" s="25" t="n">
        <f aca="false">J3902*(1-J3899)</f>
        <v>1403.4554407368</v>
      </c>
      <c r="K3903" s="25" t="n">
        <f aca="false">K3902*(1-K3899)</f>
        <v>1376.97831122797</v>
      </c>
    </row>
    <row r="3904" customFormat="false" ht="15" hidden="false" customHeight="false" outlineLevel="0" collapsed="false">
      <c r="A3904" s="2" t="s">
        <v>218</v>
      </c>
      <c r="G3904" s="16" t="n">
        <f aca="false">G3902-G3903</f>
        <v>730.224</v>
      </c>
      <c r="H3904" s="16" t="n">
        <f aca="false">H3902-H3903</f>
        <v>676.2272544</v>
      </c>
      <c r="I3904" s="16" t="n">
        <f aca="false">I3902-I3903</f>
        <v>685.541327904</v>
      </c>
      <c r="J3904" s="16" t="n">
        <f aca="false">J3902-J3903</f>
        <v>691.2541723032</v>
      </c>
      <c r="K3904" s="16" t="n">
        <f aca="false">K3902-K3903</f>
        <v>696.784205681626</v>
      </c>
    </row>
    <row r="3905" customFormat="false" ht="15" hidden="false" customHeight="false" outlineLevel="0" collapsed="false">
      <c r="A3905" s="5" t="s">
        <v>241</v>
      </c>
      <c r="G3905" s="25" t="n">
        <f aca="false">G3904-G3906</f>
        <v>608.52</v>
      </c>
      <c r="H3905" s="25" t="n">
        <f aca="false">H3904-H3906</f>
        <v>584.78772</v>
      </c>
      <c r="I3905" s="25" t="n">
        <f aca="false">I3904-I3906</f>
        <v>581.8637814</v>
      </c>
      <c r="J3905" s="25" t="n">
        <f aca="false">J3904-J3906</f>
        <v>576.045143586</v>
      </c>
      <c r="K3905" s="25" t="n">
        <f aca="false">K3904-K3906</f>
        <v>570.28469215014</v>
      </c>
    </row>
    <row r="3906" customFormat="false" ht="15" hidden="false" customHeight="false" outlineLevel="0" collapsed="false">
      <c r="A3906" s="2" t="s">
        <v>242</v>
      </c>
      <c r="G3906" s="16" t="n">
        <f aca="false">G3902*G3900</f>
        <v>121.704</v>
      </c>
      <c r="H3906" s="16" t="n">
        <f aca="false">H3902*H3900</f>
        <v>91.4395344</v>
      </c>
      <c r="I3906" s="16" t="n">
        <f aca="false">I3902*I3900</f>
        <v>103.677546504</v>
      </c>
      <c r="J3906" s="16" t="n">
        <f aca="false">J3902*J3900</f>
        <v>115.2090287172</v>
      </c>
      <c r="K3906" s="16" t="n">
        <f aca="false">K3902*K3900</f>
        <v>126.499513531486</v>
      </c>
    </row>
    <row r="3907" customFormat="false" ht="15" hidden="false" customHeight="false" outlineLevel="0" collapsed="false">
      <c r="A3907" s="5" t="s">
        <v>243</v>
      </c>
      <c r="G3907" s="25" t="n">
        <f aca="false">G3902*'Historical Financials'!E22/'Historical Financials'!E17</f>
        <v>48.6816</v>
      </c>
      <c r="H3907" s="25" t="n">
        <f aca="false">H3902*'Historical Financials'!E22/'Historical Financials'!E17</f>
        <v>46.7830176</v>
      </c>
      <c r="I3907" s="25" t="n">
        <f aca="false">I3902*'Historical Financials'!E22/'Historical Financials'!E17</f>
        <v>46.549102512</v>
      </c>
      <c r="J3907" s="25" t="n">
        <f aca="false">J3902*'Historical Financials'!E22/'Historical Financials'!E17</f>
        <v>46.08361148688</v>
      </c>
      <c r="K3907" s="25" t="n">
        <f aca="false">K3902*'Historical Financials'!E22/'Historical Financials'!E17</f>
        <v>45.6227753720112</v>
      </c>
    </row>
    <row r="3908" customFormat="false" ht="15" hidden="false" customHeight="false" outlineLevel="0" collapsed="false">
      <c r="A3908" s="5" t="s">
        <v>244</v>
      </c>
      <c r="G3908" s="25" t="n">
        <f aca="false">G3902*'Historical Financials'!E23/'Historical Financials'!E17</f>
        <v>0</v>
      </c>
      <c r="H3908" s="25" t="n">
        <f aca="false">H3902*'Historical Financials'!E23/'Historical Financials'!E17</f>
        <v>0</v>
      </c>
      <c r="I3908" s="25" t="n">
        <f aca="false">I3902*'Historical Financials'!E23/'Historical Financials'!E17</f>
        <v>0</v>
      </c>
      <c r="J3908" s="25" t="n">
        <f aca="false">J3902*'Historical Financials'!E23/'Historical Financials'!E17</f>
        <v>0</v>
      </c>
      <c r="K3908" s="25" t="n">
        <f aca="false">K3902*'Historical Financials'!E23/'Historical Financials'!E17</f>
        <v>0</v>
      </c>
    </row>
    <row r="3909" customFormat="false" ht="15" hidden="false" customHeight="false" outlineLevel="0" collapsed="false">
      <c r="A3909" s="2" t="s">
        <v>245</v>
      </c>
      <c r="G3909" s="16" t="n">
        <f aca="false">G3906-G3907-G3908</f>
        <v>73.0224</v>
      </c>
      <c r="H3909" s="16" t="n">
        <f aca="false">H3906-H3907-H3908</f>
        <v>44.6565168</v>
      </c>
      <c r="I3909" s="16" t="n">
        <f aca="false">I3906-I3907-I3908</f>
        <v>57.128443992</v>
      </c>
      <c r="J3909" s="16" t="n">
        <f aca="false">J3906-J3907-J3908</f>
        <v>69.12541723032</v>
      </c>
      <c r="K3909" s="16" t="n">
        <f aca="false">K3906-K3907-K3908</f>
        <v>80.8767381594744</v>
      </c>
    </row>
    <row r="3910" customFormat="false" ht="15" hidden="false" customHeight="false" outlineLevel="0" collapsed="false">
      <c r="A3910" s="5" t="s">
        <v>246</v>
      </c>
      <c r="G3910" s="25" t="n">
        <f aca="false">G3936+G3949+G3962+G3975</f>
        <v>129.54</v>
      </c>
      <c r="H3910" s="25" t="n">
        <f aca="false">H3936+H3949+H3962+H3975</f>
        <v>126.4054188</v>
      </c>
      <c r="I3910" s="25" t="n">
        <f aca="false">I3936+I3949+I3962+I3975</f>
        <v>124.1007168</v>
      </c>
      <c r="J3910" s="25" t="n">
        <f aca="false">J3936+J3949+J3962+J3975</f>
        <v>123.5131168</v>
      </c>
      <c r="K3910" s="25" t="n">
        <f aca="false">K3936+K3949+K3962+K3975</f>
        <v>122.9255168</v>
      </c>
    </row>
    <row r="3911" customFormat="false" ht="15" hidden="false" customHeight="false" outlineLevel="0" collapsed="false">
      <c r="A3911" s="5" t="s">
        <v>247</v>
      </c>
      <c r="G3911" s="25" t="n">
        <f aca="false">G3937+G3950+G3963+G3976</f>
        <v>0</v>
      </c>
      <c r="H3911" s="25" t="n">
        <f aca="false">H3937+H3950+H3963+H3976</f>
        <v>0</v>
      </c>
      <c r="I3911" s="25" t="n">
        <f aca="false">I3937+I3950+I3963+I3976</f>
        <v>0</v>
      </c>
      <c r="J3911" s="25" t="n">
        <f aca="false">J3937+J3950+J3963+J3976</f>
        <v>0</v>
      </c>
      <c r="K3911" s="25" t="n">
        <f aca="false">K3937+K3950+K3963+K3976</f>
        <v>0</v>
      </c>
    </row>
    <row r="3912" customFormat="false" ht="15" hidden="false" customHeight="false" outlineLevel="0" collapsed="false">
      <c r="A3912" s="5" t="s">
        <v>212</v>
      </c>
      <c r="G3912" s="25" t="n">
        <f aca="false">G3910+G3911</f>
        <v>129.54</v>
      </c>
      <c r="H3912" s="25" t="n">
        <f aca="false">H3910+H3911</f>
        <v>126.4054188</v>
      </c>
      <c r="I3912" s="25" t="n">
        <f aca="false">I3910+I3911</f>
        <v>124.1007168</v>
      </c>
      <c r="J3912" s="25" t="n">
        <f aca="false">J3910+J3911</f>
        <v>123.5131168</v>
      </c>
      <c r="K3912" s="25" t="n">
        <f aca="false">K3910+K3911</f>
        <v>122.9255168</v>
      </c>
    </row>
    <row r="3913" customFormat="false" ht="15" hidden="false" customHeight="false" outlineLevel="0" collapsed="false">
      <c r="A3913" s="2" t="s">
        <v>223</v>
      </c>
      <c r="G3913" s="16" t="n">
        <f aca="false">G3909-G3912</f>
        <v>-56.5176</v>
      </c>
      <c r="H3913" s="16" t="n">
        <f aca="false">H3909-H3912</f>
        <v>-81.748902</v>
      </c>
      <c r="I3913" s="16" t="n">
        <f aca="false">I3909-I3912</f>
        <v>-66.972272808</v>
      </c>
      <c r="J3913" s="16" t="n">
        <f aca="false">J3909-J3912</f>
        <v>-54.38769956968</v>
      </c>
      <c r="K3913" s="16" t="n">
        <f aca="false">K3909-K3912</f>
        <v>-42.0487786405256</v>
      </c>
    </row>
    <row r="3914" customFormat="false" ht="15" hidden="false" customHeight="false" outlineLevel="0" collapsed="false">
      <c r="A3914" s="5" t="s">
        <v>213</v>
      </c>
      <c r="G3914" s="25" t="n">
        <f aca="false">MAX(0,G3913)*Assumptions!$C$9</f>
        <v>0</v>
      </c>
      <c r="H3914" s="25" t="n">
        <f aca="false">MAX(0,H3913)*Assumptions!$C$9</f>
        <v>0</v>
      </c>
      <c r="I3914" s="25" t="n">
        <f aca="false">MAX(0,I3913)*Assumptions!$C$9</f>
        <v>0</v>
      </c>
      <c r="J3914" s="25" t="n">
        <f aca="false">MAX(0,J3913)*Assumptions!$C$9</f>
        <v>0</v>
      </c>
      <c r="K3914" s="25" t="n">
        <f aca="false">MAX(0,K3913)*Assumptions!$C$9</f>
        <v>0</v>
      </c>
    </row>
    <row r="3915" customFormat="false" ht="15" hidden="false" customHeight="false" outlineLevel="0" collapsed="false">
      <c r="A3915" s="2" t="s">
        <v>248</v>
      </c>
      <c r="G3915" s="16" t="n">
        <f aca="false">G3913-G3914</f>
        <v>-56.5176</v>
      </c>
      <c r="H3915" s="16" t="n">
        <f aca="false">H3913-H3914</f>
        <v>-81.748902</v>
      </c>
      <c r="I3915" s="16" t="n">
        <f aca="false">I3913-I3914</f>
        <v>-66.972272808</v>
      </c>
      <c r="J3915" s="16" t="n">
        <f aca="false">J3913-J3914</f>
        <v>-54.38769956968</v>
      </c>
      <c r="K3915" s="16" t="n">
        <f aca="false">K3913-K3914</f>
        <v>-42.0487786405256</v>
      </c>
    </row>
    <row r="3916" customFormat="false" ht="15" hidden="false" customHeight="false" outlineLevel="0" collapsed="false">
      <c r="A3916" s="23" t="s">
        <v>249</v>
      </c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</row>
    <row r="3917" customFormat="false" ht="15" hidden="false" customHeight="false" outlineLevel="0" collapsed="false">
      <c r="A3917" s="5" t="s">
        <v>153</v>
      </c>
      <c r="G3917" s="25" t="n">
        <f aca="false">G3902*CHOOSE($C$3889,Assumptions!$C$69,Assumptions!$C$88,Assumptions!$C$107)</f>
        <v>42.0432</v>
      </c>
      <c r="H3917" s="25" t="n">
        <f aca="false">H3902*CHOOSE($C$3889,Assumptions!$C$69,Assumptions!$C$88,Assumptions!$C$107)</f>
        <v>40.4035152</v>
      </c>
      <c r="I3917" s="25" t="n">
        <f aca="false">I3902*CHOOSE($C$3889,Assumptions!$C$69,Assumptions!$C$88,Assumptions!$C$107)</f>
        <v>40.201497624</v>
      </c>
      <c r="J3917" s="25" t="n">
        <f aca="false">J3902*CHOOSE($C$3889,Assumptions!$C$69,Assumptions!$C$88,Assumptions!$C$107)</f>
        <v>39.79948264776</v>
      </c>
      <c r="K3917" s="25" t="n">
        <f aca="false">K3902*CHOOSE($C$3889,Assumptions!$C$69,Assumptions!$C$88,Assumptions!$C$107)</f>
        <v>39.4014878212824</v>
      </c>
    </row>
    <row r="3918" customFormat="false" ht="15" hidden="false" customHeight="false" outlineLevel="0" collapsed="false">
      <c r="A3918" s="5" t="s">
        <v>250</v>
      </c>
      <c r="G3918" s="25" t="n">
        <f aca="false">CHOOSE($C$3889,Assumptions!$C$70,Assumptions!$C$89,Assumptions!$C$108)*(G3902-F3902)+CHOOSE($C$3889,Assumptions!$C$71,Assumptions!$C$90,Assumptions!$C$109)*G3902</f>
        <v>-18.0384</v>
      </c>
      <c r="H3918" s="25" t="n">
        <f aca="false">CHOOSE($C$3889,Assumptions!$C$70,Assumptions!$C$89,Assumptions!$C$108)*(H3902-G3902)+CHOOSE($C$3889,Assumptions!$C$71,Assumptions!$C$90,Assumptions!$C$109)*H3902</f>
        <v>-6.10290239999999</v>
      </c>
      <c r="I3918" s="25" t="n">
        <f aca="false">CHOOSE($C$3889,Assumptions!$C$70,Assumptions!$C$89,Assumptions!$C$108)*(I3902-H3902)+CHOOSE($C$3889,Assumptions!$C$71,Assumptions!$C$90,Assumptions!$C$109)*I3902</f>
        <v>2.95583611199998</v>
      </c>
      <c r="J3918" s="25" t="n">
        <f aca="false">CHOOSE($C$3889,Assumptions!$C$70,Assumptions!$C$89,Assumptions!$C$108)*(J3902-I3902)+CHOOSE($C$3889,Assumptions!$C$71,Assumptions!$C$90,Assumptions!$C$109)*J3902</f>
        <v>1.65037727087999</v>
      </c>
      <c r="K3918" s="25" t="n">
        <f aca="false">CHOOSE($C$3889,Assumptions!$C$70,Assumptions!$C$89,Assumptions!$C$108)*(K3902-J3902)+CHOOSE($C$3889,Assumptions!$C$71,Assumptions!$C$90,Assumptions!$C$109)*K3902</f>
        <v>1.63387349817119</v>
      </c>
    </row>
    <row r="3919" customFormat="false" ht="15" hidden="false" customHeight="false" outlineLevel="0" collapsed="false">
      <c r="A3919" s="2" t="s">
        <v>251</v>
      </c>
      <c r="G3919" s="16" t="n">
        <f aca="false">G3915+G3907+G3908+G3911-G3917-G3918</f>
        <v>-31.8408</v>
      </c>
      <c r="H3919" s="16" t="n">
        <f aca="false">H3915+H3907+H3908+H3911-H3917-H3918</f>
        <v>-69.2664972</v>
      </c>
      <c r="I3919" s="16" t="n">
        <f aca="false">I3915+I3907+I3908+I3911-I3917-I3918</f>
        <v>-63.580504032</v>
      </c>
      <c r="J3919" s="16" t="n">
        <f aca="false">J3915+J3907+J3908+J3911-J3917-J3918</f>
        <v>-49.75394800144</v>
      </c>
      <c r="K3919" s="16" t="n">
        <f aca="false">K3915+K3907+K3908+K3911-K3917-K3918</f>
        <v>-37.461364587968</v>
      </c>
    </row>
    <row r="3921" customFormat="false" ht="15" hidden="false" customHeight="false" outlineLevel="0" collapsed="false">
      <c r="A3921" s="23" t="s">
        <v>253</v>
      </c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</row>
    <row r="3922" customFormat="false" ht="15" hidden="false" customHeight="false" outlineLevel="0" collapsed="false">
      <c r="A3922" s="5" t="s">
        <v>254</v>
      </c>
      <c r="G3922" s="29" t="n">
        <f aca="false">Assumptions!$G$49</f>
        <v>0.0425</v>
      </c>
      <c r="H3922" s="29" t="n">
        <f aca="false">Assumptions!$H$49</f>
        <v>0.04</v>
      </c>
      <c r="I3922" s="29" t="n">
        <f aca="false">Assumptions!$I$49</f>
        <v>0.0375</v>
      </c>
      <c r="J3922" s="29" t="n">
        <f aca="false">Assumptions!$J$49</f>
        <v>0.0375</v>
      </c>
      <c r="K3922" s="29" t="n">
        <f aca="false">Assumptions!$K$49</f>
        <v>0.0375</v>
      </c>
    </row>
    <row r="3923" customFormat="false" ht="15" hidden="false" customHeight="false" outlineLevel="0" collapsed="false">
      <c r="A3923" s="5" t="s">
        <v>255</v>
      </c>
      <c r="C3923" s="30" t="n">
        <f aca="false">CHOOSE($C$3889,Assumptions!$C$72,Assumptions!$C$91,Assumptions!$C$110)+$C$3892</f>
        <v>0.015</v>
      </c>
    </row>
    <row r="3924" customFormat="false" ht="15" hidden="false" customHeight="false" outlineLevel="0" collapsed="false">
      <c r="A3924" s="5" t="s">
        <v>256</v>
      </c>
      <c r="C3924" s="30" t="n">
        <f aca="false">CHOOSE($C$3889,Assumptions!$C$73,Assumptions!$C$92,Assumptions!$C$111)</f>
        <v>0.135</v>
      </c>
    </row>
    <row r="3925" customFormat="false" ht="15" hidden="false" customHeight="false" outlineLevel="0" collapsed="false">
      <c r="A3925" s="5" t="s">
        <v>257</v>
      </c>
      <c r="C3925" s="31" t="n">
        <f aca="false">CHOOSE($C$3889,Assumptions!$C$74,Assumptions!$C$93,Assumptions!$C$112)</f>
        <v>5.5</v>
      </c>
    </row>
    <row r="3926" customFormat="false" ht="15" hidden="false" customHeight="false" outlineLevel="0" collapsed="false">
      <c r="A3926" s="5" t="s">
        <v>258</v>
      </c>
      <c r="C3926" s="31" t="n">
        <f aca="false">CHOOSE($C$3889,Assumptions!$C$75,Assumptions!$C$94,Assumptions!$C$113)</f>
        <v>1.8</v>
      </c>
    </row>
    <row r="3927" customFormat="false" ht="15" hidden="false" customHeight="false" outlineLevel="0" collapsed="false">
      <c r="A3927" s="5" t="s">
        <v>259</v>
      </c>
      <c r="G3927" s="25" t="n">
        <f aca="false">G3932+G3945+G3958+G3971</f>
        <v>1250</v>
      </c>
      <c r="H3927" s="25" t="n">
        <f aca="false">H3932+H3945+H3958+H3971</f>
        <v>1236.8408</v>
      </c>
      <c r="I3927" s="25" t="n">
        <f aca="false">I3932+I3945+I3958+I3971</f>
        <v>1231.6408</v>
      </c>
      <c r="J3927" s="25" t="n">
        <f aca="false">J3932+J3945+J3958+J3971</f>
        <v>1226.4408</v>
      </c>
      <c r="K3927" s="25" t="n">
        <f aca="false">K3932+K3945+K3958+K3971</f>
        <v>1221.2408</v>
      </c>
    </row>
    <row r="3928" customFormat="false" ht="15" hidden="false" customHeight="false" outlineLevel="0" collapsed="false">
      <c r="A3928" s="5" t="s">
        <v>260</v>
      </c>
      <c r="G3928" s="25" t="n">
        <f aca="false">F4018</f>
        <v>45</v>
      </c>
      <c r="H3928" s="25" t="n">
        <f aca="false">G4018</f>
        <v>0</v>
      </c>
      <c r="I3928" s="25" t="n">
        <f aca="false">H4018</f>
        <v>-74.4664972</v>
      </c>
      <c r="J3928" s="25" t="n">
        <f aca="false">I4018</f>
        <v>-143.247001232</v>
      </c>
      <c r="K3928" s="25" t="n">
        <f aca="false">J4018</f>
        <v>-198.20094923344</v>
      </c>
    </row>
    <row r="3929" customFormat="false" ht="15" hidden="false" customHeight="false" outlineLevel="0" collapsed="false">
      <c r="A3929" s="5" t="s">
        <v>261</v>
      </c>
      <c r="G3929" s="25" t="n">
        <f aca="false">G3932*IF(G3933=1,$C$3924,IF(Assumptions!$I$53=1,MAX(G3922,Assumptions!$G$53)+Assumptions!$F$53+$C$3923,Assumptions!$E$53))+G3945*IF(G3946=1,$C$3924,IF(Assumptions!$I$54=1,MAX(G3922,Assumptions!$G$54)+Assumptions!$F$54+$C$3923,Assumptions!$E$54))+G3958*IF(G3959=1,$C$3924,IF(Assumptions!$I$55=1,MAX(G3922,Assumptions!$G$55)+Assumptions!$F$55+$C$3923,Assumptions!$E$55))+G3971*IF(G3972=1,$C$3924,IF(Assumptions!$I$56=1,MAX(G3922,Assumptions!$G$56)+Assumptions!$F$56+$C$3923,Assumptions!$E$56))</f>
        <v>129.54</v>
      </c>
      <c r="H3929" s="25" t="n">
        <f aca="false">H3932*IF(OR(H3933=1,G4084=1),$C$3924,IF(Assumptions!$I$53=1,MAX(H3922,Assumptions!$G$53)+Assumptions!$F$53+$C$3923,Assumptions!$E$53))+H3945*IF(OR(H3946=1,G4085=1),$C$3924,IF(Assumptions!$I$54=1,MAX(H3922,Assumptions!$G$54)+Assumptions!$F$54+$C$3923,Assumptions!$E$54))+H3958*IF(OR(H3959=1,G4086=1),$C$3924,IF(Assumptions!$I$55=1,MAX(H3922,Assumptions!$G$55)+Assumptions!$F$55+$C$3923,Assumptions!$E$55))+H3971*IF(OR(H3972=1,G4087=1),$C$3924,IF(Assumptions!$I$56=1,MAX(H3922,Assumptions!$G$56)+Assumptions!$F$56+$C$3923,Assumptions!$E$56))</f>
        <v>150.684908</v>
      </c>
      <c r="I3929" s="25" t="n">
        <f aca="false">I3932*IF(OR(I3933=1,H4084=1),$C$3924,IF(Assumptions!$I$53=1,MAX(I3922,Assumptions!$G$53)+Assumptions!$F$53+$C$3923,Assumptions!$E$53))+I3945*IF(OR(I3946=1,H4085=1),$C$3924,IF(Assumptions!$I$54=1,MAX(I3922,Assumptions!$G$54)+Assumptions!$F$54+$C$3923,Assumptions!$E$54))+I3958*IF(OR(I3959=1,H4086=1),$C$3924,IF(Assumptions!$I$55=1,MAX(I3922,Assumptions!$G$55)+Assumptions!$F$55+$C$3923,Assumptions!$E$55))+I3971*IF(OR(I3972=1,H4087=1),$C$3924,IF(Assumptions!$I$56=1,MAX(I3922,Assumptions!$G$56)+Assumptions!$F$56+$C$3923,Assumptions!$E$56))</f>
        <v>135.3119168</v>
      </c>
      <c r="J3929" s="25" t="n">
        <f aca="false">J3932*IF(OR(J3933=1,I4084=1),$C$3924,IF(Assumptions!$I$53=1,MAX(J3922,Assumptions!$G$53)+Assumptions!$F$53+$C$3923,Assumptions!$E$53))+J3945*IF(OR(J3946=1,I4085=1),$C$3924,IF(Assumptions!$I$54=1,MAX(J3922,Assumptions!$G$54)+Assumptions!$F$54+$C$3923,Assumptions!$E$54))+J3958*IF(OR(J3959=1,I4086=1),$C$3924,IF(Assumptions!$I$55=1,MAX(J3922,Assumptions!$G$55)+Assumptions!$F$55+$C$3923,Assumptions!$E$55))+J3971*IF(OR(J3972=1,I4087=1),$C$3924,IF(Assumptions!$I$56=1,MAX(J3922,Assumptions!$G$56)+Assumptions!$F$56+$C$3923,Assumptions!$E$56))</f>
        <v>129.7631168</v>
      </c>
      <c r="K3929" s="25" t="n">
        <f aca="false">K3932*IF(OR(K3933=1,J4084=1),$C$3924,IF(Assumptions!$I$53=1,MAX(K3922,Assumptions!$G$53)+Assumptions!$F$53+$C$3923,Assumptions!$E$53))+K3945*IF(OR(K3946=1,J4085=1),$C$3924,IF(Assumptions!$I$54=1,MAX(K3922,Assumptions!$G$54)+Assumptions!$F$54+$C$3923,Assumptions!$E$54))+K3958*IF(OR(K3959=1,J4086=1),$C$3924,IF(Assumptions!$I$55=1,MAX(K3922,Assumptions!$G$55)+Assumptions!$F$55+$C$3923,Assumptions!$E$55))+K3971*IF(OR(K3972=1,J4087=1),$C$3924,IF(Assumptions!$I$56=1,MAX(K3922,Assumptions!$G$56)+Assumptions!$F$56+$C$3923,Assumptions!$E$56))</f>
        <v>122.9255168</v>
      </c>
    </row>
    <row r="3930" customFormat="false" ht="15" hidden="false" customHeight="false" outlineLevel="0" collapsed="false">
      <c r="A3930" s="5" t="s">
        <v>262</v>
      </c>
      <c r="G3930" s="20" t="n">
        <f aca="false">IF(G3906&lt;=0,0,IF(AND((G3927-G3928)/G3906&lt;=$C$3925,G3906/G3929&gt;=$C$3926),1,0))</f>
        <v>0</v>
      </c>
      <c r="H3930" s="20" t="n">
        <f aca="false">IF(H3906&lt;=0,0,IF(AND((H3927-H3928)/H3906&lt;=$C$3925,H3906/H3929&gt;=$C$3926),1,0))</f>
        <v>0</v>
      </c>
      <c r="I3930" s="20" t="n">
        <f aca="false">IF(I3906&lt;=0,0,IF(AND((I3927-I3928)/I3906&lt;=$C$3925,I3906/I3929&gt;=$C$3926),1,0))</f>
        <v>0</v>
      </c>
      <c r="J3930" s="20" t="n">
        <f aca="false">IF(J3906&lt;=0,0,IF(AND((J3927-J3928)/J3906&lt;=$C$3925,J3906/J3929&gt;=$C$3926),1,0))</f>
        <v>0</v>
      </c>
      <c r="K3930" s="20" t="n">
        <f aca="false">IF(K3906&lt;=0,0,IF(AND((K3927-K3928)/K3906&lt;=$C$3925,K3906/K3929&gt;=$C$3926),1,0))</f>
        <v>0</v>
      </c>
    </row>
    <row r="3931" customFormat="false" ht="15" hidden="false" customHeight="false" outlineLevel="0" collapsed="false">
      <c r="A3931" s="23" t="s">
        <v>263</v>
      </c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</row>
    <row r="3932" customFormat="false" ht="15" hidden="false" customHeight="false" outlineLevel="0" collapsed="false">
      <c r="A3932" s="5" t="s">
        <v>264</v>
      </c>
      <c r="G3932" s="25" t="n">
        <f aca="false">F3943</f>
        <v>180</v>
      </c>
      <c r="H3932" s="25" t="n">
        <f aca="false">G3943</f>
        <v>172.0408</v>
      </c>
      <c r="I3932" s="25" t="n">
        <f aca="false">H3943</f>
        <v>172.0408</v>
      </c>
      <c r="J3932" s="25" t="n">
        <f aca="false">I3943</f>
        <v>172.0408</v>
      </c>
      <c r="K3932" s="25" t="n">
        <f aca="false">J3943</f>
        <v>172.0408</v>
      </c>
    </row>
    <row r="3933" customFormat="false" ht="15" hidden="false" customHeight="false" outlineLevel="0" collapsed="false">
      <c r="A3933" s="5" t="s">
        <v>265</v>
      </c>
      <c r="G3933" s="20" t="n">
        <f aca="false">IF(G3896=Assumptions!$K$53,1,0)</f>
        <v>0</v>
      </c>
      <c r="H3933" s="20" t="n">
        <f aca="false">IF(H3896=Assumptions!$K$53,1,0)</f>
        <v>1</v>
      </c>
      <c r="I3933" s="20" t="n">
        <f aca="false">IF(I3896=Assumptions!$K$53,1,0)</f>
        <v>0</v>
      </c>
      <c r="J3933" s="20" t="n">
        <f aca="false">IF(J3896=Assumptions!$K$53,1,0)</f>
        <v>0</v>
      </c>
      <c r="K3933" s="20" t="n">
        <f aca="false">IF(K3896=Assumptions!$K$53,1,0)</f>
        <v>0</v>
      </c>
    </row>
    <row r="3935" customFormat="false" ht="15" hidden="false" customHeight="false" outlineLevel="0" collapsed="false">
      <c r="A3935" s="5" t="s">
        <v>266</v>
      </c>
      <c r="G3935" s="30" t="n">
        <f aca="false">IF(Assumptions!$I$53=1,MAX(G3922,Assumptions!$G$53)+Assumptions!$F$53+$C$3923,Assumptions!$E$53)</f>
        <v>0.101</v>
      </c>
      <c r="H3935" s="30" t="n">
        <f aca="false">IF(G4084=1,$C$3924,IF(Assumptions!$I$53=1,MAX(H3922,Assumptions!$G$53)+Assumptions!$F$53+$C$3923,Assumptions!$E$53))</f>
        <v>0.0985</v>
      </c>
      <c r="I3935" s="30" t="n">
        <f aca="false">IF(H4084=1,$C$3924,IF(Assumptions!$I$53=1,MAX(I3922,Assumptions!$G$53)+Assumptions!$F$53+$C$3923,Assumptions!$E$53))</f>
        <v>0.096</v>
      </c>
      <c r="J3935" s="30" t="n">
        <f aca="false">IF(I4084=1,$C$3924,IF(Assumptions!$I$53=1,MAX(J3922,Assumptions!$G$53)+Assumptions!$F$53+$C$3923,Assumptions!$E$53))</f>
        <v>0.096</v>
      </c>
      <c r="K3935" s="30" t="n">
        <f aca="false">IF(J4084=1,$C$3924,IF(Assumptions!$I$53=1,MAX(K3922,Assumptions!$G$53)+Assumptions!$F$53+$C$3923,Assumptions!$E$53))</f>
        <v>0.096</v>
      </c>
    </row>
    <row r="3936" customFormat="false" ht="15" hidden="false" customHeight="false" outlineLevel="0" collapsed="false">
      <c r="A3936" s="5" t="s">
        <v>267</v>
      </c>
      <c r="G3936" s="25" t="n">
        <f aca="false">G3932*G3935</f>
        <v>18.18</v>
      </c>
      <c r="H3936" s="25" t="n">
        <f aca="false">H3932*H3935</f>
        <v>16.9460188</v>
      </c>
      <c r="I3936" s="25" t="n">
        <f aca="false">I3932*I3935</f>
        <v>16.5159168</v>
      </c>
      <c r="J3936" s="25" t="n">
        <f aca="false">J3932*J3935</f>
        <v>16.5159168</v>
      </c>
      <c r="K3936" s="25" t="n">
        <f aca="false">K3932*K3935</f>
        <v>16.5159168</v>
      </c>
    </row>
    <row r="3937" customFormat="false" ht="15" hidden="false" customHeight="false" outlineLevel="0" collapsed="false">
      <c r="A3937" s="5" t="s">
        <v>268</v>
      </c>
      <c r="G3937" s="25" t="n">
        <f aca="false">G3932*Assumptions!$H$53</f>
        <v>0</v>
      </c>
      <c r="H3937" s="25" t="n">
        <f aca="false">H3932*Assumptions!$H$53</f>
        <v>0</v>
      </c>
      <c r="I3937" s="25" t="n">
        <f aca="false">I3932*Assumptions!$H$53</f>
        <v>0</v>
      </c>
      <c r="J3937" s="25" t="n">
        <f aca="false">J3932*Assumptions!$H$53</f>
        <v>0</v>
      </c>
      <c r="K3937" s="25" t="n">
        <f aca="false">K3932*Assumptions!$H$53</f>
        <v>0</v>
      </c>
    </row>
    <row r="3938" customFormat="false" ht="15" hidden="false" customHeight="false" outlineLevel="0" collapsed="false">
      <c r="A3938" s="5" t="s">
        <v>269</v>
      </c>
      <c r="G3938" s="25" t="n">
        <f aca="false">MIN(G3932,Assumptions!$L$53*Assumptions!$C$53)</f>
        <v>0</v>
      </c>
      <c r="H3938" s="25" t="n">
        <f aca="false">MIN(H3932,Assumptions!$L$53*Assumptions!$C$53)</f>
        <v>0</v>
      </c>
      <c r="I3938" s="25" t="n">
        <f aca="false">MIN(I3932,Assumptions!$L$53*Assumptions!$C$53)</f>
        <v>0</v>
      </c>
      <c r="J3938" s="25" t="n">
        <f aca="false">MIN(J3932,Assumptions!$L$53*Assumptions!$C$53)</f>
        <v>0</v>
      </c>
      <c r="K3938" s="25" t="n">
        <f aca="false">MIN(K3932,Assumptions!$L$53*Assumptions!$C$53)</f>
        <v>0</v>
      </c>
    </row>
    <row r="3939" customFormat="false" ht="15" hidden="false" customHeight="false" outlineLevel="0" collapsed="false">
      <c r="A3939" s="5" t="s">
        <v>270</v>
      </c>
      <c r="G3939" s="25" t="n">
        <f aca="false">IF(AND(Assumptions!$P$53=1,G3896&lt;Assumptions!$K$53),MIN(MAX(0,-G4010),MAX(0,Assumptions!$D$53-G3932)),0)</f>
        <v>0</v>
      </c>
      <c r="H3939" s="25" t="n">
        <f aca="false">IF(AND(Assumptions!$P$53=1,OR(H3896&lt;Assumptions!$K$53,G4084=1)),MIN(MAX(0,-H4010),MAX(0,Assumptions!$D$53-H3932)),0)</f>
        <v>0</v>
      </c>
      <c r="I3939" s="25" t="n">
        <f aca="false">IF(AND(Assumptions!$P$53=1,OR(I3896&lt;Assumptions!$K$53,H4084=1)),MIN(MAX(0,-I4010),MAX(0,Assumptions!$D$53-I3932)),0)</f>
        <v>0</v>
      </c>
      <c r="J3939" s="25" t="n">
        <f aca="false">IF(AND(Assumptions!$P$53=1,OR(J3896&lt;Assumptions!$K$53,I4084=1)),MIN(MAX(0,-J4010),MAX(0,Assumptions!$D$53-J3932)),0)</f>
        <v>0</v>
      </c>
      <c r="K3939" s="25" t="n">
        <f aca="false">IF(AND(Assumptions!$P$53=1,OR(K3896&lt;Assumptions!$K$53,J4084=1)),MIN(MAX(0,-K4010),MAX(0,Assumptions!$D$53-K3932)),0)</f>
        <v>0</v>
      </c>
    </row>
    <row r="3940" customFormat="false" ht="15" hidden="false" customHeight="false" outlineLevel="0" collapsed="false">
      <c r="A3940" s="5" t="s">
        <v>271</v>
      </c>
      <c r="G3940" s="25" t="n">
        <f aca="false">G3933*MIN(G3932-G3938+G3937,MAX(0,G4012-Assumptions!$C$12*G3930))</f>
        <v>0</v>
      </c>
      <c r="H3940" s="25" t="n">
        <f aca="false">H3933*MIN(H3932-H3938+H3937,MAX(0,H4012-Assumptions!$C$12*H3930))</f>
        <v>0</v>
      </c>
      <c r="I3940" s="25" t="n">
        <f aca="false">I3933*MIN(I3932-I3938+I3937,MAX(0,I4012-Assumptions!$C$12*I3930))</f>
        <v>0</v>
      </c>
      <c r="J3940" s="25" t="n">
        <f aca="false">J3933*MIN(J3932-J3938+J3937,MAX(0,J4012-Assumptions!$C$12*J3930))</f>
        <v>0</v>
      </c>
      <c r="K3940" s="25" t="n">
        <f aca="false">K3933*MIN(K3932-K3938+K3937,MAX(0,K4012-Assumptions!$C$12*K3930))</f>
        <v>0</v>
      </c>
    </row>
    <row r="3941" customFormat="false" ht="15" hidden="false" customHeight="false" outlineLevel="0" collapsed="false">
      <c r="A3941" s="5" t="s">
        <v>272</v>
      </c>
      <c r="G3941" s="25" t="n">
        <f aca="false">Assumptions!$N$53*MIN(G3932+G3939+G3937-G3938-G3940,MAX(0,G4016))</f>
        <v>7.95919999999998</v>
      </c>
      <c r="H3941" s="25" t="n">
        <f aca="false">Assumptions!$N$53*MIN(H3932+H3939+H3937-H3938-H3940,MAX(0,H4016))</f>
        <v>0</v>
      </c>
      <c r="I3941" s="25" t="n">
        <f aca="false">Assumptions!$N$53*MIN(I3932+I3939+I3937-I3938-I3940,MAX(0,I4016))</f>
        <v>0</v>
      </c>
      <c r="J3941" s="25" t="n">
        <f aca="false">Assumptions!$N$53*MIN(J3932+J3939+J3937-J3938-J3940,MAX(0,J4016))</f>
        <v>0</v>
      </c>
      <c r="K3941" s="25" t="n">
        <f aca="false">Assumptions!$N$53*MIN(K3932+K3939+K3937-K3938-K3940,MAX(0,K4016))</f>
        <v>0</v>
      </c>
    </row>
    <row r="3942" customFormat="false" ht="15" hidden="false" customHeight="false" outlineLevel="0" collapsed="false">
      <c r="A3942" s="5" t="s">
        <v>273</v>
      </c>
      <c r="G3942" s="25" t="n">
        <f aca="false">G3933*(1-G3930)*(G3932-G3938+G3937-G3940)</f>
        <v>0</v>
      </c>
      <c r="H3942" s="25" t="n">
        <f aca="false">H3933*(1-H3930)*(H3932-H3938+H3937-H3940)</f>
        <v>172.0408</v>
      </c>
      <c r="I3942" s="25" t="n">
        <f aca="false">I3933*(1-I3930)*(I3932-I3938+I3937-I3940)</f>
        <v>0</v>
      </c>
      <c r="J3942" s="25" t="n">
        <f aca="false">J3933*(1-J3930)*(J3932-J3938+J3937-J3940)</f>
        <v>0</v>
      </c>
      <c r="K3942" s="25" t="n">
        <f aca="false">K3933*(1-K3930)*(K3932-K3938+K3937-K3940)</f>
        <v>0</v>
      </c>
    </row>
    <row r="3943" customFormat="false" ht="15" hidden="false" customHeight="false" outlineLevel="0" collapsed="false">
      <c r="A3943" s="2" t="s">
        <v>274</v>
      </c>
      <c r="F3943" s="27" t="n">
        <f aca="false">Assumptions!$C$53</f>
        <v>180</v>
      </c>
      <c r="G3943" s="16" t="n">
        <f aca="false">G3932+G3939+G3937-G3938-G3940-G3941</f>
        <v>172.0408</v>
      </c>
      <c r="H3943" s="16" t="n">
        <f aca="false">H3932+H3939+H3937-H3938-H3940-H3941</f>
        <v>172.0408</v>
      </c>
      <c r="I3943" s="16" t="n">
        <f aca="false">I3932+I3939+I3937-I3938-I3940-I3941</f>
        <v>172.0408</v>
      </c>
      <c r="J3943" s="16" t="n">
        <f aca="false">J3932+J3939+J3937-J3938-J3940-J3941</f>
        <v>172.0408</v>
      </c>
      <c r="K3943" s="16" t="n">
        <f aca="false">K3932+K3939+K3937-K3938-K3940-K3941</f>
        <v>172.0408</v>
      </c>
    </row>
    <row r="3944" customFormat="false" ht="15" hidden="false" customHeight="false" outlineLevel="0" collapsed="false">
      <c r="A3944" s="23" t="s">
        <v>275</v>
      </c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</row>
    <row r="3945" customFormat="false" ht="15" hidden="false" customHeight="false" outlineLevel="0" collapsed="false">
      <c r="A3945" s="5" t="s">
        <v>264</v>
      </c>
      <c r="G3945" s="25" t="n">
        <f aca="false">F3956</f>
        <v>520</v>
      </c>
      <c r="H3945" s="25" t="n">
        <f aca="false">G3956</f>
        <v>514.8</v>
      </c>
      <c r="I3945" s="25" t="n">
        <f aca="false">H3956</f>
        <v>509.6</v>
      </c>
      <c r="J3945" s="25" t="n">
        <f aca="false">I3956</f>
        <v>504.4</v>
      </c>
      <c r="K3945" s="25" t="n">
        <f aca="false">J3956</f>
        <v>499.2</v>
      </c>
    </row>
    <row r="3946" customFormat="false" ht="15" hidden="false" customHeight="false" outlineLevel="0" collapsed="false">
      <c r="A3946" s="5" t="s">
        <v>265</v>
      </c>
      <c r="G3946" s="20" t="n">
        <f aca="false">IF(G3896=Assumptions!$K$54,1,0)</f>
        <v>0</v>
      </c>
      <c r="H3946" s="20" t="n">
        <f aca="false">IF(H3896=Assumptions!$K$54,1,0)</f>
        <v>0</v>
      </c>
      <c r="I3946" s="20" t="n">
        <f aca="false">IF(I3896=Assumptions!$K$54,1,0)</f>
        <v>1</v>
      </c>
      <c r="J3946" s="20" t="n">
        <f aca="false">IF(J3896=Assumptions!$K$54,1,0)</f>
        <v>0</v>
      </c>
      <c r="K3946" s="20" t="n">
        <f aca="false">IF(K3896=Assumptions!$K$54,1,0)</f>
        <v>0</v>
      </c>
    </row>
    <row r="3948" customFormat="false" ht="15" hidden="false" customHeight="false" outlineLevel="0" collapsed="false">
      <c r="A3948" s="5" t="s">
        <v>266</v>
      </c>
      <c r="G3948" s="30" t="n">
        <f aca="false">IF(Assumptions!$I$54=1,MAX(G3922,Assumptions!$G$54)+Assumptions!$F$54+$C$3923,Assumptions!$E$54)</f>
        <v>0.118</v>
      </c>
      <c r="H3948" s="30" t="n">
        <f aca="false">IF(G4085=1,$C$3924,IF(Assumptions!$I$54=1,MAX(H3922,Assumptions!$G$54)+Assumptions!$F$54+$C$3923,Assumptions!$E$54))</f>
        <v>0.1155</v>
      </c>
      <c r="I3948" s="30" t="n">
        <f aca="false">IF(H4085=1,$C$3924,IF(Assumptions!$I$54=1,MAX(I3922,Assumptions!$G$54)+Assumptions!$F$54+$C$3923,Assumptions!$E$54))</f>
        <v>0.113</v>
      </c>
      <c r="J3948" s="30" t="n">
        <f aca="false">IF(I4085=1,$C$3924,IF(Assumptions!$I$54=1,MAX(J3922,Assumptions!$G$54)+Assumptions!$F$54+$C$3923,Assumptions!$E$54))</f>
        <v>0.113</v>
      </c>
      <c r="K3948" s="30" t="n">
        <f aca="false">IF(J4085=1,$C$3924,IF(Assumptions!$I$54=1,MAX(K3922,Assumptions!$G$54)+Assumptions!$F$54+$C$3923,Assumptions!$E$54))</f>
        <v>0.113</v>
      </c>
    </row>
    <row r="3949" customFormat="false" ht="15" hidden="false" customHeight="false" outlineLevel="0" collapsed="false">
      <c r="A3949" s="5" t="s">
        <v>267</v>
      </c>
      <c r="G3949" s="25" t="n">
        <f aca="false">G3945*G3948</f>
        <v>61.36</v>
      </c>
      <c r="H3949" s="25" t="n">
        <f aca="false">H3945*H3948</f>
        <v>59.4594</v>
      </c>
      <c r="I3949" s="25" t="n">
        <f aca="false">I3945*I3948</f>
        <v>57.5848</v>
      </c>
      <c r="J3949" s="25" t="n">
        <f aca="false">J3945*J3948</f>
        <v>56.9972</v>
      </c>
      <c r="K3949" s="25" t="n">
        <f aca="false">K3945*K3948</f>
        <v>56.4096</v>
      </c>
    </row>
    <row r="3950" customFormat="false" ht="15" hidden="false" customHeight="false" outlineLevel="0" collapsed="false">
      <c r="A3950" s="5" t="s">
        <v>268</v>
      </c>
      <c r="G3950" s="25" t="n">
        <f aca="false">G3945*Assumptions!$H$54</f>
        <v>0</v>
      </c>
      <c r="H3950" s="25" t="n">
        <f aca="false">H3945*Assumptions!$H$54</f>
        <v>0</v>
      </c>
      <c r="I3950" s="25" t="n">
        <f aca="false">I3945*Assumptions!$H$54</f>
        <v>0</v>
      </c>
      <c r="J3950" s="25" t="n">
        <f aca="false">J3945*Assumptions!$H$54</f>
        <v>0</v>
      </c>
      <c r="K3950" s="25" t="n">
        <f aca="false">K3945*Assumptions!$H$54</f>
        <v>0</v>
      </c>
    </row>
    <row r="3951" customFormat="false" ht="15" hidden="false" customHeight="false" outlineLevel="0" collapsed="false">
      <c r="A3951" s="5" t="s">
        <v>269</v>
      </c>
      <c r="G3951" s="25" t="n">
        <f aca="false">MIN(G3945,Assumptions!$L$54*Assumptions!$C$54)</f>
        <v>5.2</v>
      </c>
      <c r="H3951" s="25" t="n">
        <f aca="false">MIN(H3945,Assumptions!$L$54*Assumptions!$C$54)</f>
        <v>5.2</v>
      </c>
      <c r="I3951" s="25" t="n">
        <f aca="false">MIN(I3945,Assumptions!$L$54*Assumptions!$C$54)</f>
        <v>5.2</v>
      </c>
      <c r="J3951" s="25" t="n">
        <f aca="false">MIN(J3945,Assumptions!$L$54*Assumptions!$C$54)</f>
        <v>5.2</v>
      </c>
      <c r="K3951" s="25" t="n">
        <f aca="false">MIN(K3945,Assumptions!$L$54*Assumptions!$C$54)</f>
        <v>5.2</v>
      </c>
    </row>
    <row r="3952" customFormat="false" ht="15" hidden="false" customHeight="false" outlineLevel="0" collapsed="false">
      <c r="A3952" s="5" t="s">
        <v>270</v>
      </c>
      <c r="G3952" s="25" t="n">
        <f aca="false">IF(AND(Assumptions!$P$54=1,G3896&lt;Assumptions!$K$54),MIN(MAX(0,-G4010),MAX(0,Assumptions!$D$54-G3945)),0)</f>
        <v>0</v>
      </c>
      <c r="H3952" s="25" t="n">
        <f aca="false">IF(AND(Assumptions!$P$54=1,OR(H3896&lt;Assumptions!$K$54,G4085=1)),MIN(MAX(0,-H4010),MAX(0,Assumptions!$D$54-H3945)),0)</f>
        <v>0</v>
      </c>
      <c r="I3952" s="25" t="n">
        <f aca="false">IF(AND(Assumptions!$P$54=1,OR(I3896&lt;Assumptions!$K$54,H4085=1)),MIN(MAX(0,-I4010),MAX(0,Assumptions!$D$54-I3945)),0)</f>
        <v>0</v>
      </c>
      <c r="J3952" s="25" t="n">
        <f aca="false">IF(AND(Assumptions!$P$54=1,OR(J3896&lt;Assumptions!$K$54,I4085=1)),MIN(MAX(0,-J4010),MAX(0,Assumptions!$D$54-J3945)),0)</f>
        <v>0</v>
      </c>
      <c r="K3952" s="25" t="n">
        <f aca="false">IF(AND(Assumptions!$P$54=1,OR(K3896&lt;Assumptions!$K$54,J4085=1)),MIN(MAX(0,-K4010),MAX(0,Assumptions!$D$54-K3945)),0)</f>
        <v>0</v>
      </c>
    </row>
    <row r="3953" customFormat="false" ht="15" hidden="false" customHeight="false" outlineLevel="0" collapsed="false">
      <c r="A3953" s="5" t="s">
        <v>271</v>
      </c>
      <c r="G3953" s="25" t="n">
        <f aca="false">G3946*MIN(G3945-G3951+G3950,MAX(0,G4012-Assumptions!$C$12*G3930-G3940))</f>
        <v>0</v>
      </c>
      <c r="H3953" s="25" t="n">
        <f aca="false">H3946*MIN(H3945-H3951+H3950,MAX(0,H4012-Assumptions!$C$12*H3930-H3940))</f>
        <v>0</v>
      </c>
      <c r="I3953" s="25" t="n">
        <f aca="false">I3946*MIN(I3945-I3951+I3950,MAX(0,I4012-Assumptions!$C$12*I3930-I3940))</f>
        <v>0</v>
      </c>
      <c r="J3953" s="25" t="n">
        <f aca="false">J3946*MIN(J3945-J3951+J3950,MAX(0,J4012-Assumptions!$C$12*J3930-J3940))</f>
        <v>0</v>
      </c>
      <c r="K3953" s="25" t="n">
        <f aca="false">K3946*MIN(K3945-K3951+K3950,MAX(0,K4012-Assumptions!$C$12*K3930-K3940))</f>
        <v>0</v>
      </c>
    </row>
    <row r="3954" customFormat="false" ht="15" hidden="false" customHeight="false" outlineLevel="0" collapsed="false">
      <c r="A3954" s="5" t="s">
        <v>272</v>
      </c>
      <c r="G3954" s="25" t="n">
        <f aca="false">Assumptions!$N$54*MIN(G3945+G3952+G3950-G3951-G3953,MAX(0,G4016-G3941))</f>
        <v>0</v>
      </c>
      <c r="H3954" s="25" t="n">
        <f aca="false">Assumptions!$N$54*MIN(H3945+H3952+H3950-H3951-H3953,MAX(0,H4016-H3941))</f>
        <v>0</v>
      </c>
      <c r="I3954" s="25" t="n">
        <f aca="false">Assumptions!$N$54*MIN(I3945+I3952+I3950-I3951-I3953,MAX(0,I4016-I3941))</f>
        <v>0</v>
      </c>
      <c r="J3954" s="25" t="n">
        <f aca="false">Assumptions!$N$54*MIN(J3945+J3952+J3950-J3951-J3953,MAX(0,J4016-J3941))</f>
        <v>0</v>
      </c>
      <c r="K3954" s="25" t="n">
        <f aca="false">Assumptions!$N$54*MIN(K3945+K3952+K3950-K3951-K3953,MAX(0,K4016-K3941))</f>
        <v>0</v>
      </c>
    </row>
    <row r="3955" customFormat="false" ht="15" hidden="false" customHeight="false" outlineLevel="0" collapsed="false">
      <c r="A3955" s="5" t="s">
        <v>273</v>
      </c>
      <c r="G3955" s="25" t="n">
        <f aca="false">G3946*(1-G3930)*(G3945-G3951+G3950-G3953)</f>
        <v>0</v>
      </c>
      <c r="H3955" s="25" t="n">
        <f aca="false">H3946*(1-H3930)*(H3945-H3951+H3950-H3953)</f>
        <v>0</v>
      </c>
      <c r="I3955" s="25" t="n">
        <f aca="false">I3946*(1-I3930)*(I3945-I3951+I3950-I3953)</f>
        <v>504.4</v>
      </c>
      <c r="J3955" s="25" t="n">
        <f aca="false">J3946*(1-J3930)*(J3945-J3951+J3950-J3953)</f>
        <v>0</v>
      </c>
      <c r="K3955" s="25" t="n">
        <f aca="false">K3946*(1-K3930)*(K3945-K3951+K3950-K3953)</f>
        <v>0</v>
      </c>
    </row>
    <row r="3956" customFormat="false" ht="15" hidden="false" customHeight="false" outlineLevel="0" collapsed="false">
      <c r="A3956" s="2" t="s">
        <v>274</v>
      </c>
      <c r="F3956" s="27" t="n">
        <f aca="false">Assumptions!$C$54</f>
        <v>520</v>
      </c>
      <c r="G3956" s="16" t="n">
        <f aca="false">G3945+G3952+G3950-G3951-G3953-G3954</f>
        <v>514.8</v>
      </c>
      <c r="H3956" s="16" t="n">
        <f aca="false">H3945+H3952+H3950-H3951-H3953-H3954</f>
        <v>509.6</v>
      </c>
      <c r="I3956" s="16" t="n">
        <f aca="false">I3945+I3952+I3950-I3951-I3953-I3954</f>
        <v>504.4</v>
      </c>
      <c r="J3956" s="16" t="n">
        <f aca="false">J3945+J3952+J3950-J3951-J3953-J3954</f>
        <v>499.2</v>
      </c>
      <c r="K3956" s="16" t="n">
        <f aca="false">K3945+K3952+K3950-K3951-K3953-K3954</f>
        <v>494</v>
      </c>
    </row>
    <row r="3957" customFormat="false" ht="15" hidden="false" customHeight="false" outlineLevel="0" collapsed="false">
      <c r="A3957" s="23" t="s">
        <v>276</v>
      </c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</row>
    <row r="3958" customFormat="false" ht="15" hidden="false" customHeight="false" outlineLevel="0" collapsed="false">
      <c r="A3958" s="5" t="s">
        <v>264</v>
      </c>
      <c r="G3958" s="25" t="n">
        <f aca="false">F3969</f>
        <v>250</v>
      </c>
      <c r="H3958" s="25" t="n">
        <f aca="false">G3969</f>
        <v>250</v>
      </c>
      <c r="I3958" s="25" t="n">
        <f aca="false">H3969</f>
        <v>250</v>
      </c>
      <c r="J3958" s="25" t="n">
        <f aca="false">I3969</f>
        <v>250</v>
      </c>
      <c r="K3958" s="25" t="n">
        <f aca="false">J3969</f>
        <v>250</v>
      </c>
    </row>
    <row r="3959" customFormat="false" ht="15" hidden="false" customHeight="false" outlineLevel="0" collapsed="false">
      <c r="A3959" s="5" t="s">
        <v>265</v>
      </c>
      <c r="G3959" s="20" t="n">
        <f aca="false">IF(G3896=Assumptions!$K$55,1,0)</f>
        <v>0</v>
      </c>
      <c r="H3959" s="20" t="n">
        <f aca="false">IF(H3896=Assumptions!$K$55,1,0)</f>
        <v>0</v>
      </c>
      <c r="I3959" s="20" t="n">
        <f aca="false">IF(I3896=Assumptions!$K$55,1,0)</f>
        <v>0</v>
      </c>
      <c r="J3959" s="20" t="n">
        <f aca="false">IF(J3896=Assumptions!$K$55,1,0)</f>
        <v>1</v>
      </c>
      <c r="K3959" s="20" t="n">
        <f aca="false">IF(K3896=Assumptions!$K$55,1,0)</f>
        <v>0</v>
      </c>
    </row>
    <row r="3961" customFormat="false" ht="15" hidden="false" customHeight="false" outlineLevel="0" collapsed="false">
      <c r="A3961" s="5" t="s">
        <v>266</v>
      </c>
      <c r="G3961" s="30" t="n">
        <f aca="false">IF(Assumptions!$I$55=1,MAX(G3922,Assumptions!$G$55)+Assumptions!$F$55+$C$3923,Assumptions!$E$55)</f>
        <v>0.11</v>
      </c>
      <c r="H3961" s="30" t="n">
        <f aca="false">IF(G4086=1,$C$3924,IF(Assumptions!$I$55=1,MAX(H3922,Assumptions!$G$55)+Assumptions!$F$55+$C$3923,Assumptions!$E$55))</f>
        <v>0.11</v>
      </c>
      <c r="I3961" s="30" t="n">
        <f aca="false">IF(H4086=1,$C$3924,IF(Assumptions!$I$55=1,MAX(I3922,Assumptions!$G$55)+Assumptions!$F$55+$C$3923,Assumptions!$E$55))</f>
        <v>0.11</v>
      </c>
      <c r="J3961" s="30" t="n">
        <f aca="false">IF(I4086=1,$C$3924,IF(Assumptions!$I$55=1,MAX(J3922,Assumptions!$G$55)+Assumptions!$F$55+$C$3923,Assumptions!$E$55))</f>
        <v>0.11</v>
      </c>
      <c r="K3961" s="30" t="n">
        <f aca="false">IF(J4086=1,$C$3924,IF(Assumptions!$I$55=1,MAX(K3922,Assumptions!$G$55)+Assumptions!$F$55+$C$3923,Assumptions!$E$55))</f>
        <v>0.11</v>
      </c>
    </row>
    <row r="3962" customFormat="false" ht="15" hidden="false" customHeight="false" outlineLevel="0" collapsed="false">
      <c r="A3962" s="5" t="s">
        <v>267</v>
      </c>
      <c r="G3962" s="25" t="n">
        <f aca="false">G3958*G3961</f>
        <v>27.5</v>
      </c>
      <c r="H3962" s="25" t="n">
        <f aca="false">H3958*H3961</f>
        <v>27.5</v>
      </c>
      <c r="I3962" s="25" t="n">
        <f aca="false">I3958*I3961</f>
        <v>27.5</v>
      </c>
      <c r="J3962" s="25" t="n">
        <f aca="false">J3958*J3961</f>
        <v>27.5</v>
      </c>
      <c r="K3962" s="25" t="n">
        <f aca="false">K3958*K3961</f>
        <v>27.5</v>
      </c>
    </row>
    <row r="3963" customFormat="false" ht="15" hidden="false" customHeight="false" outlineLevel="0" collapsed="false">
      <c r="A3963" s="5" t="s">
        <v>268</v>
      </c>
      <c r="G3963" s="25" t="n">
        <f aca="false">G3958*Assumptions!$H$55</f>
        <v>0</v>
      </c>
      <c r="H3963" s="25" t="n">
        <f aca="false">H3958*Assumptions!$H$55</f>
        <v>0</v>
      </c>
      <c r="I3963" s="25" t="n">
        <f aca="false">I3958*Assumptions!$H$55</f>
        <v>0</v>
      </c>
      <c r="J3963" s="25" t="n">
        <f aca="false">J3958*Assumptions!$H$55</f>
        <v>0</v>
      </c>
      <c r="K3963" s="25" t="n">
        <f aca="false">K3958*Assumptions!$H$55</f>
        <v>0</v>
      </c>
    </row>
    <row r="3964" customFormat="false" ht="15" hidden="false" customHeight="false" outlineLevel="0" collapsed="false">
      <c r="A3964" s="5" t="s">
        <v>269</v>
      </c>
      <c r="G3964" s="25" t="n">
        <f aca="false">MIN(G3958,Assumptions!$L$55*Assumptions!$C$55)</f>
        <v>0</v>
      </c>
      <c r="H3964" s="25" t="n">
        <f aca="false">MIN(H3958,Assumptions!$L$55*Assumptions!$C$55)</f>
        <v>0</v>
      </c>
      <c r="I3964" s="25" t="n">
        <f aca="false">MIN(I3958,Assumptions!$L$55*Assumptions!$C$55)</f>
        <v>0</v>
      </c>
      <c r="J3964" s="25" t="n">
        <f aca="false">MIN(J3958,Assumptions!$L$55*Assumptions!$C$55)</f>
        <v>0</v>
      </c>
      <c r="K3964" s="25" t="n">
        <f aca="false">MIN(K3958,Assumptions!$L$55*Assumptions!$C$55)</f>
        <v>0</v>
      </c>
    </row>
    <row r="3965" customFormat="false" ht="15" hidden="false" customHeight="false" outlineLevel="0" collapsed="false">
      <c r="A3965" s="5" t="s">
        <v>270</v>
      </c>
      <c r="G3965" s="25" t="n">
        <f aca="false">IF(AND(Assumptions!$P$55=1,G3896&lt;Assumptions!$K$55),MIN(MAX(0,-G4010),MAX(0,Assumptions!$D$55-G3958)),0)</f>
        <v>0</v>
      </c>
      <c r="H3965" s="25" t="n">
        <f aca="false">IF(AND(Assumptions!$P$55=1,OR(H3896&lt;Assumptions!$K$55,G4086=1)),MIN(MAX(0,-H4010),MAX(0,Assumptions!$D$55-H3958)),0)</f>
        <v>0</v>
      </c>
      <c r="I3965" s="25" t="n">
        <f aca="false">IF(AND(Assumptions!$P$55=1,OR(I3896&lt;Assumptions!$K$55,H4086=1)),MIN(MAX(0,-I4010),MAX(0,Assumptions!$D$55-I3958)),0)</f>
        <v>0</v>
      </c>
      <c r="J3965" s="25" t="n">
        <f aca="false">IF(AND(Assumptions!$P$55=1,OR(J3896&lt;Assumptions!$K$55,I4086=1)),MIN(MAX(0,-J4010),MAX(0,Assumptions!$D$55-J3958)),0)</f>
        <v>0</v>
      </c>
      <c r="K3965" s="25" t="n">
        <f aca="false">IF(AND(Assumptions!$P$55=1,OR(K3896&lt;Assumptions!$K$55,J4086=1)),MIN(MAX(0,-K4010),MAX(0,Assumptions!$D$55-K3958)),0)</f>
        <v>0</v>
      </c>
    </row>
    <row r="3966" customFormat="false" ht="15" hidden="false" customHeight="false" outlineLevel="0" collapsed="false">
      <c r="A3966" s="5" t="s">
        <v>271</v>
      </c>
      <c r="G3966" s="25" t="n">
        <f aca="false">G3959*MIN(G3958-G3964+G3963,MAX(0,G4012-Assumptions!$C$12*G3930-G3940-G3953))</f>
        <v>0</v>
      </c>
      <c r="H3966" s="25" t="n">
        <f aca="false">H3959*MIN(H3958-H3964+H3963,MAX(0,H4012-Assumptions!$C$12*H3930-H3940-H3953))</f>
        <v>0</v>
      </c>
      <c r="I3966" s="25" t="n">
        <f aca="false">I3959*MIN(I3958-I3964+I3963,MAX(0,I4012-Assumptions!$C$12*I3930-I3940-I3953))</f>
        <v>0</v>
      </c>
      <c r="J3966" s="25" t="n">
        <f aca="false">J3959*MIN(J3958-J3964+J3963,MAX(0,J4012-Assumptions!$C$12*J3930-J3940-J3953))</f>
        <v>0</v>
      </c>
      <c r="K3966" s="25" t="n">
        <f aca="false">K3959*MIN(K3958-K3964+K3963,MAX(0,K4012-Assumptions!$C$12*K3930-K3940-K3953))</f>
        <v>0</v>
      </c>
    </row>
    <row r="3967" customFormat="false" ht="15" hidden="false" customHeight="false" outlineLevel="0" collapsed="false">
      <c r="A3967" s="5" t="s">
        <v>272</v>
      </c>
      <c r="G3967" s="25" t="n">
        <f aca="false">Assumptions!$N$55*MIN(G3958+G3965+G3963-G3964-G3966,MAX(0,G4016-G3941-G3954))</f>
        <v>0</v>
      </c>
      <c r="H3967" s="25" t="n">
        <f aca="false">Assumptions!$N$55*MIN(H3958+H3965+H3963-H3964-H3966,MAX(0,H4016-H3941-H3954))</f>
        <v>0</v>
      </c>
      <c r="I3967" s="25" t="n">
        <f aca="false">Assumptions!$N$55*MIN(I3958+I3965+I3963-I3964-I3966,MAX(0,I4016-I3941-I3954))</f>
        <v>0</v>
      </c>
      <c r="J3967" s="25" t="n">
        <f aca="false">Assumptions!$N$55*MIN(J3958+J3965+J3963-J3964-J3966,MAX(0,J4016-J3941-J3954))</f>
        <v>0</v>
      </c>
      <c r="K3967" s="25" t="n">
        <f aca="false">Assumptions!$N$55*MIN(K3958+K3965+K3963-K3964-K3966,MAX(0,K4016-K3941-K3954))</f>
        <v>0</v>
      </c>
    </row>
    <row r="3968" customFormat="false" ht="15" hidden="false" customHeight="false" outlineLevel="0" collapsed="false">
      <c r="A3968" s="5" t="s">
        <v>273</v>
      </c>
      <c r="G3968" s="25" t="n">
        <f aca="false">G3959*(1-G3930)*(G3958-G3964+G3963-G3966)</f>
        <v>0</v>
      </c>
      <c r="H3968" s="25" t="n">
        <f aca="false">H3959*(1-H3930)*(H3958-H3964+H3963-H3966)</f>
        <v>0</v>
      </c>
      <c r="I3968" s="25" t="n">
        <f aca="false">I3959*(1-I3930)*(I3958-I3964+I3963-I3966)</f>
        <v>0</v>
      </c>
      <c r="J3968" s="25" t="n">
        <f aca="false">J3959*(1-J3930)*(J3958-J3964+J3963-J3966)</f>
        <v>250</v>
      </c>
      <c r="K3968" s="25" t="n">
        <f aca="false">K3959*(1-K3930)*(K3958-K3964+K3963-K3966)</f>
        <v>0</v>
      </c>
    </row>
    <row r="3969" customFormat="false" ht="15" hidden="false" customHeight="false" outlineLevel="0" collapsed="false">
      <c r="A3969" s="2" t="s">
        <v>274</v>
      </c>
      <c r="F3969" s="27" t="n">
        <f aca="false">Assumptions!$C$55</f>
        <v>250</v>
      </c>
      <c r="G3969" s="16" t="n">
        <f aca="false">G3958+G3965+G3963-G3964-G3966-G3967</f>
        <v>250</v>
      </c>
      <c r="H3969" s="16" t="n">
        <f aca="false">H3958+H3965+H3963-H3964-H3966-H3967</f>
        <v>250</v>
      </c>
      <c r="I3969" s="16" t="n">
        <f aca="false">I3958+I3965+I3963-I3964-I3966-I3967</f>
        <v>250</v>
      </c>
      <c r="J3969" s="16" t="n">
        <f aca="false">J3958+J3965+J3963-J3964-J3966-J3967</f>
        <v>250</v>
      </c>
      <c r="K3969" s="16" t="n">
        <f aca="false">K3958+K3965+K3963-K3964-K3966-K3967</f>
        <v>250</v>
      </c>
    </row>
    <row r="3970" customFormat="false" ht="15" hidden="false" customHeight="false" outlineLevel="0" collapsed="false">
      <c r="A3970" s="23" t="s">
        <v>277</v>
      </c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</row>
    <row r="3971" customFormat="false" ht="15" hidden="false" customHeight="false" outlineLevel="0" collapsed="false">
      <c r="A3971" s="5" t="s">
        <v>264</v>
      </c>
      <c r="G3971" s="25" t="n">
        <f aca="false">F3982</f>
        <v>300</v>
      </c>
      <c r="H3971" s="25" t="n">
        <f aca="false">G3982</f>
        <v>300</v>
      </c>
      <c r="I3971" s="25" t="n">
        <f aca="false">H3982</f>
        <v>300</v>
      </c>
      <c r="J3971" s="25" t="n">
        <f aca="false">I3982</f>
        <v>300</v>
      </c>
      <c r="K3971" s="25" t="n">
        <f aca="false">J3982</f>
        <v>300</v>
      </c>
    </row>
    <row r="3972" customFormat="false" ht="15" hidden="false" customHeight="false" outlineLevel="0" collapsed="false">
      <c r="A3972" s="5" t="s">
        <v>265</v>
      </c>
      <c r="G3972" s="20" t="n">
        <f aca="false">IF(G3896=Assumptions!$K$56,1,0)</f>
        <v>0</v>
      </c>
      <c r="H3972" s="20" t="n">
        <f aca="false">IF(H3896=Assumptions!$K$56,1,0)</f>
        <v>1</v>
      </c>
      <c r="I3972" s="20" t="n">
        <f aca="false">IF(I3896=Assumptions!$K$56,1,0)</f>
        <v>0</v>
      </c>
      <c r="J3972" s="20" t="n">
        <f aca="false">IF(J3896=Assumptions!$K$56,1,0)</f>
        <v>0</v>
      </c>
      <c r="K3972" s="20" t="n">
        <f aca="false">IF(K3896=Assumptions!$K$56,1,0)</f>
        <v>0</v>
      </c>
    </row>
    <row r="3974" customFormat="false" ht="15" hidden="false" customHeight="false" outlineLevel="0" collapsed="false">
      <c r="A3974" s="5" t="s">
        <v>266</v>
      </c>
      <c r="G3974" s="30" t="n">
        <f aca="false">IF(Assumptions!$I$56=1,MAX(G3922,Assumptions!$G$56)+Assumptions!$F$56+$C$3923,Assumptions!$E$56)</f>
        <v>0.075</v>
      </c>
      <c r="H3974" s="30" t="n">
        <f aca="false">IF(G4087=1,$C$3924,IF(Assumptions!$I$56=1,MAX(H3922,Assumptions!$G$56)+Assumptions!$F$56+$C$3923,Assumptions!$E$56))</f>
        <v>0.075</v>
      </c>
      <c r="I3974" s="30" t="n">
        <f aca="false">IF(H4087=1,$C$3924,IF(Assumptions!$I$56=1,MAX(I3922,Assumptions!$G$56)+Assumptions!$F$56+$C$3923,Assumptions!$E$56))</f>
        <v>0.075</v>
      </c>
      <c r="J3974" s="30" t="n">
        <f aca="false">IF(I4087=1,$C$3924,IF(Assumptions!$I$56=1,MAX(J3922,Assumptions!$G$56)+Assumptions!$F$56+$C$3923,Assumptions!$E$56))</f>
        <v>0.075</v>
      </c>
      <c r="K3974" s="30" t="n">
        <f aca="false">IF(J4087=1,$C$3924,IF(Assumptions!$I$56=1,MAX(K3922,Assumptions!$G$56)+Assumptions!$F$56+$C$3923,Assumptions!$E$56))</f>
        <v>0.075</v>
      </c>
    </row>
    <row r="3975" customFormat="false" ht="15" hidden="false" customHeight="false" outlineLevel="0" collapsed="false">
      <c r="A3975" s="5" t="s">
        <v>267</v>
      </c>
      <c r="G3975" s="25" t="n">
        <f aca="false">G3971*G3974</f>
        <v>22.5</v>
      </c>
      <c r="H3975" s="25" t="n">
        <f aca="false">H3971*H3974</f>
        <v>22.5</v>
      </c>
      <c r="I3975" s="25" t="n">
        <f aca="false">I3971*I3974</f>
        <v>22.5</v>
      </c>
      <c r="J3975" s="25" t="n">
        <f aca="false">J3971*J3974</f>
        <v>22.5</v>
      </c>
      <c r="K3975" s="25" t="n">
        <f aca="false">K3971*K3974</f>
        <v>22.5</v>
      </c>
    </row>
    <row r="3976" customFormat="false" ht="15" hidden="false" customHeight="false" outlineLevel="0" collapsed="false">
      <c r="A3976" s="5" t="s">
        <v>268</v>
      </c>
      <c r="G3976" s="25" t="n">
        <f aca="false">G3971*Assumptions!$H$56</f>
        <v>0</v>
      </c>
      <c r="H3976" s="25" t="n">
        <f aca="false">H3971*Assumptions!$H$56</f>
        <v>0</v>
      </c>
      <c r="I3976" s="25" t="n">
        <f aca="false">I3971*Assumptions!$H$56</f>
        <v>0</v>
      </c>
      <c r="J3976" s="25" t="n">
        <f aca="false">J3971*Assumptions!$H$56</f>
        <v>0</v>
      </c>
      <c r="K3976" s="25" t="n">
        <f aca="false">K3971*Assumptions!$H$56</f>
        <v>0</v>
      </c>
    </row>
    <row r="3977" customFormat="false" ht="15" hidden="false" customHeight="false" outlineLevel="0" collapsed="false">
      <c r="A3977" s="5" t="s">
        <v>269</v>
      </c>
      <c r="G3977" s="25" t="n">
        <f aca="false">MIN(G3971,Assumptions!$L$56*Assumptions!$C$56)</f>
        <v>0</v>
      </c>
      <c r="H3977" s="25" t="n">
        <f aca="false">MIN(H3971,Assumptions!$L$56*Assumptions!$C$56)</f>
        <v>0</v>
      </c>
      <c r="I3977" s="25" t="n">
        <f aca="false">MIN(I3971,Assumptions!$L$56*Assumptions!$C$56)</f>
        <v>0</v>
      </c>
      <c r="J3977" s="25" t="n">
        <f aca="false">MIN(J3971,Assumptions!$L$56*Assumptions!$C$56)</f>
        <v>0</v>
      </c>
      <c r="K3977" s="25" t="n">
        <f aca="false">MIN(K3971,Assumptions!$L$56*Assumptions!$C$56)</f>
        <v>0</v>
      </c>
    </row>
    <row r="3978" customFormat="false" ht="15" hidden="false" customHeight="false" outlineLevel="0" collapsed="false">
      <c r="A3978" s="5" t="s">
        <v>270</v>
      </c>
      <c r="G3978" s="25" t="n">
        <f aca="false">IF(AND(Assumptions!$P$56=1,G3896&lt;Assumptions!$K$56),MIN(MAX(0,-G4010),MAX(0,Assumptions!$D$56-G3971)),0)</f>
        <v>0</v>
      </c>
      <c r="H3978" s="25" t="n">
        <f aca="false">IF(AND(Assumptions!$P$56=1,OR(H3896&lt;Assumptions!$K$56,G4087=1)),MIN(MAX(0,-H4010),MAX(0,Assumptions!$D$56-H3971)),0)</f>
        <v>0</v>
      </c>
      <c r="I3978" s="25" t="n">
        <f aca="false">IF(AND(Assumptions!$P$56=1,OR(I3896&lt;Assumptions!$K$56,H4087=1)),MIN(MAX(0,-I4010),MAX(0,Assumptions!$D$56-I3971)),0)</f>
        <v>0</v>
      </c>
      <c r="J3978" s="25" t="n">
        <f aca="false">IF(AND(Assumptions!$P$56=1,OR(J3896&lt;Assumptions!$K$56,I4087=1)),MIN(MAX(0,-J4010),MAX(0,Assumptions!$D$56-J3971)),0)</f>
        <v>0</v>
      </c>
      <c r="K3978" s="25" t="n">
        <f aca="false">IF(AND(Assumptions!$P$56=1,OR(K3896&lt;Assumptions!$K$56,J4087=1)),MIN(MAX(0,-K4010),MAX(0,Assumptions!$D$56-K3971)),0)</f>
        <v>0</v>
      </c>
    </row>
    <row r="3979" customFormat="false" ht="15" hidden="false" customHeight="false" outlineLevel="0" collapsed="false">
      <c r="A3979" s="5" t="s">
        <v>271</v>
      </c>
      <c r="G3979" s="25" t="n">
        <f aca="false">G3972*MIN(G3971-G3977+G3976,MAX(0,G4012-Assumptions!$C$12*G3930-G3940-G3953-G3966))</f>
        <v>0</v>
      </c>
      <c r="H3979" s="25" t="n">
        <f aca="false">H3972*MIN(H3971-H3977+H3976,MAX(0,H4012-Assumptions!$C$12*H3930-H3940-H3953-H3966))</f>
        <v>0</v>
      </c>
      <c r="I3979" s="25" t="n">
        <f aca="false">I3972*MIN(I3971-I3977+I3976,MAX(0,I4012-Assumptions!$C$12*I3930-I3940-I3953-I3966))</f>
        <v>0</v>
      </c>
      <c r="J3979" s="25" t="n">
        <f aca="false">J3972*MIN(J3971-J3977+J3976,MAX(0,J4012-Assumptions!$C$12*J3930-J3940-J3953-J3966))</f>
        <v>0</v>
      </c>
      <c r="K3979" s="25" t="n">
        <f aca="false">K3972*MIN(K3971-K3977+K3976,MAX(0,K4012-Assumptions!$C$12*K3930-K3940-K3953-K3966))</f>
        <v>0</v>
      </c>
    </row>
    <row r="3980" customFormat="false" ht="15" hidden="false" customHeight="false" outlineLevel="0" collapsed="false">
      <c r="A3980" s="5" t="s">
        <v>272</v>
      </c>
      <c r="G3980" s="25" t="n">
        <f aca="false">Assumptions!$N$56*MIN(G3971+G3978+G3976-G3977-G3979,MAX(0,G4016-G3941-G3954-G3967))</f>
        <v>0</v>
      </c>
      <c r="H3980" s="25" t="n">
        <f aca="false">Assumptions!$N$56*MIN(H3971+H3978+H3976-H3977-H3979,MAX(0,H4016-H3941-H3954-H3967))</f>
        <v>0</v>
      </c>
      <c r="I3980" s="25" t="n">
        <f aca="false">Assumptions!$N$56*MIN(I3971+I3978+I3976-I3977-I3979,MAX(0,I4016-I3941-I3954-I3967))</f>
        <v>0</v>
      </c>
      <c r="J3980" s="25" t="n">
        <f aca="false">Assumptions!$N$56*MIN(J3971+J3978+J3976-J3977-J3979,MAX(0,J4016-J3941-J3954-J3967))</f>
        <v>0</v>
      </c>
      <c r="K3980" s="25" t="n">
        <f aca="false">Assumptions!$N$56*MIN(K3971+K3978+K3976-K3977-K3979,MAX(0,K4016-K3941-K3954-K3967))</f>
        <v>0</v>
      </c>
    </row>
    <row r="3981" customFormat="false" ht="15" hidden="false" customHeight="false" outlineLevel="0" collapsed="false">
      <c r="A3981" s="5" t="s">
        <v>273</v>
      </c>
      <c r="G3981" s="25" t="n">
        <f aca="false">G3972*(1-G3930)*(G3971-G3977+G3976-G3979)</f>
        <v>0</v>
      </c>
      <c r="H3981" s="25" t="n">
        <f aca="false">H3972*(1-H3930)*(H3971-H3977+H3976-H3979)</f>
        <v>300</v>
      </c>
      <c r="I3981" s="25" t="n">
        <f aca="false">I3972*(1-I3930)*(I3971-I3977+I3976-I3979)</f>
        <v>0</v>
      </c>
      <c r="J3981" s="25" t="n">
        <f aca="false">J3972*(1-J3930)*(J3971-J3977+J3976-J3979)</f>
        <v>0</v>
      </c>
      <c r="K3981" s="25" t="n">
        <f aca="false">K3972*(1-K3930)*(K3971-K3977+K3976-K3979)</f>
        <v>0</v>
      </c>
    </row>
    <row r="3982" customFormat="false" ht="15" hidden="false" customHeight="false" outlineLevel="0" collapsed="false">
      <c r="A3982" s="2" t="s">
        <v>274</v>
      </c>
      <c r="F3982" s="27" t="n">
        <f aca="false">Assumptions!$C$56</f>
        <v>300</v>
      </c>
      <c r="G3982" s="16" t="n">
        <f aca="false">G3971+G3978+G3976-G3977-G3979-G3980</f>
        <v>300</v>
      </c>
      <c r="H3982" s="16" t="n">
        <f aca="false">H3971+H3978+H3976-H3977-H3979-H3980</f>
        <v>300</v>
      </c>
      <c r="I3982" s="16" t="n">
        <f aca="false">I3971+I3978+I3976-I3977-I3979-I3980</f>
        <v>300</v>
      </c>
      <c r="J3982" s="16" t="n">
        <f aca="false">J3971+J3978+J3976-J3977-J3979-J3980</f>
        <v>300</v>
      </c>
      <c r="K3982" s="16" t="n">
        <f aca="false">K3971+K3978+K3976-K3977-K3979-K3980</f>
        <v>300</v>
      </c>
    </row>
    <row r="3983" customFormat="false" ht="15" hidden="false" customHeight="false" outlineLevel="0" collapsed="false">
      <c r="A3983" s="23" t="s">
        <v>278</v>
      </c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</row>
    <row r="3984" customFormat="false" ht="15" hidden="false" customHeight="false" outlineLevel="0" collapsed="false">
      <c r="A3984" s="2" t="s">
        <v>279</v>
      </c>
      <c r="F3984" s="16" t="n">
        <f aca="false">F3943+F3956+F3969+F3982</f>
        <v>1250</v>
      </c>
      <c r="G3984" s="16" t="n">
        <f aca="false">G3943+G3956+G3969+G3982</f>
        <v>1236.8408</v>
      </c>
      <c r="H3984" s="16" t="n">
        <f aca="false">H3943+H3956+H3969+H3982</f>
        <v>1231.6408</v>
      </c>
      <c r="I3984" s="16" t="n">
        <f aca="false">I3943+I3956+I3969+I3982</f>
        <v>1226.4408</v>
      </c>
      <c r="J3984" s="16" t="n">
        <f aca="false">J3943+J3956+J3969+J3982</f>
        <v>1221.2408</v>
      </c>
      <c r="K3984" s="16" t="n">
        <f aca="false">K3943+K3956+K3969+K3982</f>
        <v>1216.0408</v>
      </c>
    </row>
    <row r="3985" customFormat="false" ht="15" hidden="false" customHeight="false" outlineLevel="0" collapsed="false">
      <c r="A3985" s="5" t="s">
        <v>280</v>
      </c>
      <c r="G3985" s="25" t="n">
        <f aca="false">G3933*Assumptions!$C$53+G3946*Assumptions!$C$54+G3959*Assumptions!$C$55+G3972*Assumptions!$C$56</f>
        <v>0</v>
      </c>
      <c r="H3985" s="25" t="n">
        <f aca="false">H3933*Assumptions!$C$53+H3946*Assumptions!$C$54+H3959*Assumptions!$C$55+H3972*Assumptions!$C$56</f>
        <v>480</v>
      </c>
      <c r="I3985" s="25" t="n">
        <f aca="false">I3933*Assumptions!$C$53+I3946*Assumptions!$C$54+I3959*Assumptions!$C$55+I3972*Assumptions!$C$56</f>
        <v>520</v>
      </c>
      <c r="J3985" s="25" t="n">
        <f aca="false">J3933*Assumptions!$C$53+J3946*Assumptions!$C$54+J3959*Assumptions!$C$55+J3972*Assumptions!$C$56</f>
        <v>250</v>
      </c>
      <c r="K3985" s="25" t="n">
        <f aca="false">K3933*Assumptions!$C$53+K3946*Assumptions!$C$54+K3959*Assumptions!$C$55+K3972*Assumptions!$C$56</f>
        <v>0</v>
      </c>
    </row>
    <row r="3986" customFormat="false" ht="15" hidden="false" customHeight="false" outlineLevel="0" collapsed="false">
      <c r="A3986" s="23" t="s">
        <v>281</v>
      </c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</row>
    <row r="3987" customFormat="false" ht="15" hidden="false" customHeight="false" outlineLevel="0" collapsed="false">
      <c r="A3987" s="5" t="s">
        <v>282</v>
      </c>
      <c r="C3987" s="25" t="n">
        <f aca="false">SUMPRODUCT($G$3933:$K$3933,$G$3932:$K$3932-$G$3938:$K$3938+$G$3937:$K$3937)</f>
        <v>172.0408</v>
      </c>
    </row>
    <row r="3988" customFormat="false" ht="15" hidden="false" customHeight="false" outlineLevel="0" collapsed="false">
      <c r="A3988" s="5" t="s">
        <v>283</v>
      </c>
      <c r="C3988" s="25" t="n">
        <f aca="false">SUMPRODUCT($G$3933:$K$3933,$G$3940:$K$3940)</f>
        <v>0</v>
      </c>
    </row>
    <row r="3989" customFormat="false" ht="15" hidden="false" customHeight="false" outlineLevel="0" collapsed="false">
      <c r="A3989" s="5" t="s">
        <v>284</v>
      </c>
      <c r="C3989" s="5" t="str">
        <f aca="false">IF(SUM($G$3933:$K$3933)=0,"n/a (beyond horizon)",IF(SUMPRODUCT($G$3933:$K$3933,$G$3930:$K$3930)&gt;0,"REFINANCING PASS","REFINANCING FAILURE"))</f>
        <v>REFINANCING FAILURE</v>
      </c>
    </row>
    <row r="3990" customFormat="false" ht="15" hidden="false" customHeight="false" outlineLevel="0" collapsed="false">
      <c r="A3990" s="5" t="s">
        <v>285</v>
      </c>
      <c r="C3990" s="5" t="str">
        <f aca="false">IF(SUM($G$3933:$K$3933)=0,"n/a",IF(C3988&gt;=C3987-0.001,"Repaid from cash",IF(SUMPRODUCT($G$3933:$K$3933,$G$3930:$K$3930)&gt;0,IF(C3988&gt;0,"Partly repaid; remainder refinanced","Refinanced"),IF(SUM($G$3942:$K$3942)&gt;0.001,IF(C3988&gt;0,"Partial repayment; PAYMENT DEFAULT","PAYMENT DEFAULT"),"Repaid from cash"))))</f>
        <v>PAYMENT DEFAULT</v>
      </c>
    </row>
    <row r="3991" customFormat="false" ht="15" hidden="false" customHeight="false" outlineLevel="0" collapsed="false">
      <c r="A3991" s="5" t="s">
        <v>286</v>
      </c>
      <c r="C3991" s="25" t="n">
        <f aca="false">SUMPRODUCT($G$3946:$K$3946,$G$3945:$K$3945-$G$3951:$K$3951+$G$3950:$K$3950)</f>
        <v>504.4</v>
      </c>
    </row>
    <row r="3992" customFormat="false" ht="15" hidden="false" customHeight="false" outlineLevel="0" collapsed="false">
      <c r="A3992" s="5" t="s">
        <v>287</v>
      </c>
      <c r="C3992" s="25" t="n">
        <f aca="false">SUMPRODUCT($G$3946:$K$3946,$G$3953:$K$3953)</f>
        <v>0</v>
      </c>
    </row>
    <row r="3993" customFormat="false" ht="15" hidden="false" customHeight="false" outlineLevel="0" collapsed="false">
      <c r="A3993" s="5" t="s">
        <v>288</v>
      </c>
      <c r="C3993" s="5" t="str">
        <f aca="false">IF(SUM($G$3946:$K$3946)=0,"n/a (beyond horizon)",IF(SUMPRODUCT($G$3946:$K$3946,$G$3930:$K$3930)&gt;0,"REFINANCING PASS","REFINANCING FAILURE"))</f>
        <v>REFINANCING FAILURE</v>
      </c>
    </row>
    <row r="3994" customFormat="false" ht="15" hidden="false" customHeight="false" outlineLevel="0" collapsed="false">
      <c r="A3994" s="5" t="s">
        <v>289</v>
      </c>
      <c r="C3994" s="5" t="str">
        <f aca="false">IF(SUM($G$3946:$K$3946)=0,"n/a",IF(C3992&gt;=C3991-0.001,"Repaid from cash",IF(SUMPRODUCT($G$3946:$K$3946,$G$3930:$K$3930)&gt;0,IF(C3992&gt;0,"Partly repaid; remainder refinanced","Refinanced"),IF(SUM($G$3955:$K$3955)&gt;0.001,IF(C3992&gt;0,"Partial repayment; PAYMENT DEFAULT","PAYMENT DEFAULT"),"Repaid from cash"))))</f>
        <v>PAYMENT DEFAULT</v>
      </c>
    </row>
    <row r="3995" customFormat="false" ht="15" hidden="false" customHeight="false" outlineLevel="0" collapsed="false">
      <c r="A3995" s="5" t="s">
        <v>290</v>
      </c>
      <c r="C3995" s="25" t="n">
        <f aca="false">SUMPRODUCT($G$3959:$K$3959,$G$3958:$K$3958-$G$3964:$K$3964+$G$3963:$K$3963)</f>
        <v>250</v>
      </c>
    </row>
    <row r="3996" customFormat="false" ht="15" hidden="false" customHeight="false" outlineLevel="0" collapsed="false">
      <c r="A3996" s="5" t="s">
        <v>291</v>
      </c>
      <c r="C3996" s="25" t="n">
        <f aca="false">SUMPRODUCT($G$3959:$K$3959,$G$3966:$K$3966)</f>
        <v>0</v>
      </c>
    </row>
    <row r="3997" customFormat="false" ht="15" hidden="false" customHeight="false" outlineLevel="0" collapsed="false">
      <c r="A3997" s="5" t="s">
        <v>292</v>
      </c>
      <c r="C3997" s="5" t="str">
        <f aca="false">IF(SUM($G$3959:$K$3959)=0,"n/a (beyond horizon)",IF(SUMPRODUCT($G$3959:$K$3959,$G$3930:$K$3930)&gt;0,"REFINANCING PASS","REFINANCING FAILURE"))</f>
        <v>REFINANCING FAILURE</v>
      </c>
    </row>
    <row r="3998" customFormat="false" ht="15" hidden="false" customHeight="false" outlineLevel="0" collapsed="false">
      <c r="A3998" s="5" t="s">
        <v>293</v>
      </c>
      <c r="C3998" s="5" t="str">
        <f aca="false">IF(SUM($G$3959:$K$3959)=0,"n/a",IF(C3996&gt;=C3995-0.001,"Repaid from cash",IF(SUMPRODUCT($G$3959:$K$3959,$G$3930:$K$3930)&gt;0,IF(C3996&gt;0,"Partly repaid; remainder refinanced","Refinanced"),IF(SUM($G$3968:$K$3968)&gt;0.001,IF(C3996&gt;0,"Partial repayment; PAYMENT DEFAULT","PAYMENT DEFAULT"),"Repaid from cash"))))</f>
        <v>PAYMENT DEFAULT</v>
      </c>
    </row>
    <row r="3999" customFormat="false" ht="15" hidden="false" customHeight="false" outlineLevel="0" collapsed="false">
      <c r="A3999" s="5" t="s">
        <v>294</v>
      </c>
      <c r="C3999" s="25" t="n">
        <f aca="false">SUMPRODUCT($G$3972:$K$3972,$G$3971:$K$3971-$G$3977:$K$3977+$G$3976:$K$3976)</f>
        <v>300</v>
      </c>
    </row>
    <row r="4000" customFormat="false" ht="15" hidden="false" customHeight="false" outlineLevel="0" collapsed="false">
      <c r="A4000" s="5" t="s">
        <v>295</v>
      </c>
      <c r="C4000" s="25" t="n">
        <f aca="false">SUMPRODUCT($G$3972:$K$3972,$G$3979:$K$3979)</f>
        <v>0</v>
      </c>
    </row>
    <row r="4001" customFormat="false" ht="15" hidden="false" customHeight="false" outlineLevel="0" collapsed="false">
      <c r="A4001" s="5" t="s">
        <v>296</v>
      </c>
      <c r="C4001" s="5" t="str">
        <f aca="false">IF(SUM($G$3972:$K$3972)=0,"n/a (beyond horizon)",IF(SUMPRODUCT($G$3972:$K$3972,$G$3930:$K$3930)&gt;0,"REFINANCING PASS","REFINANCING FAILURE"))</f>
        <v>REFINANCING FAILURE</v>
      </c>
    </row>
    <row r="4002" customFormat="false" ht="15" hidden="false" customHeight="false" outlineLevel="0" collapsed="false">
      <c r="A4002" s="5" t="s">
        <v>297</v>
      </c>
      <c r="C4002" s="5" t="str">
        <f aca="false">IF(SUM($G$3972:$K$3972)=0,"n/a",IF(C4000&gt;=C3999-0.001,"Repaid from cash",IF(SUMPRODUCT($G$3972:$K$3972,$G$3930:$K$3930)&gt;0,IF(C4000&gt;0,"Partly repaid; remainder refinanced","Refinanced"),IF(SUM($G$3981:$K$3981)&gt;0.001,IF(C4000&gt;0,"Partial repayment; PAYMENT DEFAULT","PAYMENT DEFAULT"),"Repaid from cash"))))</f>
        <v>PAYMENT DEFAULT</v>
      </c>
    </row>
    <row r="4003" customFormat="false" ht="15" hidden="false" customHeight="false" outlineLevel="0" collapsed="false">
      <c r="A4003" s="5" t="s">
        <v>298</v>
      </c>
      <c r="C4003" s="20" t="n">
        <f aca="false">IF(C3989="REFINANCING FAILURE",1,0)+IF(C3993="REFINANCING FAILURE",1,0)+IF(C3997="REFINANCING FAILURE",1,0)+IF(C4001="REFINANCING FAILURE",1,0)</f>
        <v>4</v>
      </c>
    </row>
    <row r="4005" customFormat="false" ht="15" hidden="false" customHeight="false" outlineLevel="0" collapsed="false">
      <c r="A4005" s="23" t="s">
        <v>300</v>
      </c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</row>
    <row r="4006" customFormat="false" ht="15" hidden="false" customHeight="false" outlineLevel="0" collapsed="false">
      <c r="A4006" s="5" t="s">
        <v>260</v>
      </c>
      <c r="G4006" s="25" t="n">
        <f aca="false">F4018</f>
        <v>45</v>
      </c>
      <c r="H4006" s="25" t="n">
        <f aca="false">G4018</f>
        <v>0</v>
      </c>
      <c r="I4006" s="25" t="n">
        <f aca="false">H4018</f>
        <v>-74.4664972</v>
      </c>
      <c r="J4006" s="25" t="n">
        <f aca="false">I4018</f>
        <v>-143.247001232</v>
      </c>
      <c r="K4006" s="25" t="n">
        <f aca="false">J4018</f>
        <v>-198.20094923344</v>
      </c>
    </row>
    <row r="4007" customFormat="false" ht="15" hidden="false" customHeight="false" outlineLevel="0" collapsed="false">
      <c r="A4007" s="5" t="s">
        <v>301</v>
      </c>
      <c r="G4007" s="25" t="n">
        <f aca="false">G3919</f>
        <v>-31.8408</v>
      </c>
      <c r="H4007" s="25" t="n">
        <f aca="false">H3919</f>
        <v>-69.2664972</v>
      </c>
      <c r="I4007" s="25" t="n">
        <f aca="false">I3919</f>
        <v>-63.580504032</v>
      </c>
      <c r="J4007" s="25" t="n">
        <f aca="false">J3919</f>
        <v>-49.75394800144</v>
      </c>
      <c r="K4007" s="25" t="n">
        <f aca="false">K3919</f>
        <v>-37.461364587968</v>
      </c>
    </row>
    <row r="4008" customFormat="false" ht="15" hidden="false" customHeight="false" outlineLevel="0" collapsed="false">
      <c r="A4008" s="5" t="s">
        <v>302</v>
      </c>
      <c r="G4008" s="25" t="n">
        <f aca="false">CHOOSE($C$3889,Assumptions!$G$68,Assumptions!$G$87,Assumptions!$G$106)</f>
        <v>0</v>
      </c>
      <c r="H4008" s="25" t="n">
        <f aca="false">CHOOSE($C$3889,Assumptions!$H$68,Assumptions!$H$87,Assumptions!$H$106)</f>
        <v>0</v>
      </c>
      <c r="I4008" s="25" t="n">
        <f aca="false">CHOOSE($C$3889,Assumptions!$I$68,Assumptions!$I$87,Assumptions!$I$106)</f>
        <v>0</v>
      </c>
      <c r="J4008" s="25" t="n">
        <f aca="false">CHOOSE($C$3889,Assumptions!$J$68,Assumptions!$J$87,Assumptions!$J$106)</f>
        <v>0</v>
      </c>
      <c r="K4008" s="25" t="n">
        <f aca="false">CHOOSE($C$3889,Assumptions!$K$68,Assumptions!$K$87,Assumptions!$K$106)</f>
        <v>0</v>
      </c>
    </row>
    <row r="4009" customFormat="false" ht="15" hidden="false" customHeight="false" outlineLevel="0" collapsed="false">
      <c r="A4009" s="5" t="s">
        <v>303</v>
      </c>
      <c r="G4009" s="25" t="n">
        <f aca="false">G3938+G3951+G3964+G3977</f>
        <v>5.2</v>
      </c>
      <c r="H4009" s="25" t="n">
        <f aca="false">H3938+H3951+H3964+H3977</f>
        <v>5.2</v>
      </c>
      <c r="I4009" s="25" t="n">
        <f aca="false">I3938+I3951+I3964+I3977</f>
        <v>5.2</v>
      </c>
      <c r="J4009" s="25" t="n">
        <f aca="false">J3938+J3951+J3964+J3977</f>
        <v>5.2</v>
      </c>
      <c r="K4009" s="25" t="n">
        <f aca="false">K3938+K3951+K3964+K3977</f>
        <v>5.2</v>
      </c>
    </row>
    <row r="4010" customFormat="false" ht="15" hidden="false" customHeight="false" outlineLevel="0" collapsed="false">
      <c r="A4010" s="2" t="s">
        <v>304</v>
      </c>
      <c r="G4010" s="16" t="n">
        <f aca="false">G4006+G4007+G4008-G4009</f>
        <v>7.95919999999998</v>
      </c>
      <c r="H4010" s="16" t="n">
        <f aca="false">H4006+H4007+H4008-H4009</f>
        <v>-74.4664972</v>
      </c>
      <c r="I4010" s="16" t="n">
        <f aca="false">I4006+I4007+I4008-I4009</f>
        <v>-143.247001232</v>
      </c>
      <c r="J4010" s="16" t="n">
        <f aca="false">J4006+J4007+J4008-J4009</f>
        <v>-198.20094923344</v>
      </c>
      <c r="K4010" s="16" t="n">
        <f aca="false">K4006+K4007+K4008-K4009</f>
        <v>-240.862313821408</v>
      </c>
    </row>
    <row r="4011" customFormat="false" ht="15" hidden="false" customHeight="false" outlineLevel="0" collapsed="false">
      <c r="A4011" s="5" t="s">
        <v>305</v>
      </c>
      <c r="G4011" s="25" t="n">
        <f aca="false">G3939+G3952+G3965+G3978</f>
        <v>0</v>
      </c>
      <c r="H4011" s="25" t="n">
        <f aca="false">H3939+H3952+H3965+H3978</f>
        <v>0</v>
      </c>
      <c r="I4011" s="25" t="n">
        <f aca="false">I3939+I3952+I3965+I3978</f>
        <v>0</v>
      </c>
      <c r="J4011" s="25" t="n">
        <f aca="false">J3939+J3952+J3965+J3978</f>
        <v>0</v>
      </c>
      <c r="K4011" s="25" t="n">
        <f aca="false">K3939+K3952+K3965+K3978</f>
        <v>0</v>
      </c>
    </row>
    <row r="4012" customFormat="false" ht="15" hidden="false" customHeight="false" outlineLevel="0" collapsed="false">
      <c r="A4012" s="2" t="s">
        <v>306</v>
      </c>
      <c r="G4012" s="16" t="n">
        <f aca="false">G4010+G4011</f>
        <v>7.95919999999998</v>
      </c>
      <c r="H4012" s="16" t="n">
        <f aca="false">H4010+H4011</f>
        <v>-74.4664972</v>
      </c>
      <c r="I4012" s="16" t="n">
        <f aca="false">I4010+I4011</f>
        <v>-143.247001232</v>
      </c>
      <c r="J4012" s="16" t="n">
        <f aca="false">J4010+J4011</f>
        <v>-198.20094923344</v>
      </c>
      <c r="K4012" s="16" t="n">
        <f aca="false">K4010+K4011</f>
        <v>-240.862313821408</v>
      </c>
    </row>
    <row r="4013" customFormat="false" ht="15" hidden="false" customHeight="false" outlineLevel="0" collapsed="false">
      <c r="A4013" s="5" t="s">
        <v>307</v>
      </c>
      <c r="G4013" s="25" t="n">
        <f aca="false">G3940+G3953+G3966+G3979</f>
        <v>0</v>
      </c>
      <c r="H4013" s="25" t="n">
        <f aca="false">H3940+H3953+H3966+H3979</f>
        <v>0</v>
      </c>
      <c r="I4013" s="25" t="n">
        <f aca="false">I3940+I3953+I3966+I3979</f>
        <v>0</v>
      </c>
      <c r="J4013" s="25" t="n">
        <f aca="false">J3940+J3953+J3966+J3979</f>
        <v>0</v>
      </c>
      <c r="K4013" s="25" t="n">
        <f aca="false">K3940+K3953+K3966+K3979</f>
        <v>0</v>
      </c>
    </row>
    <row r="4014" customFormat="false" ht="15" hidden="false" customHeight="false" outlineLevel="0" collapsed="false">
      <c r="A4014" s="2" t="s">
        <v>308</v>
      </c>
      <c r="G4014" s="16" t="n">
        <f aca="false">G4012-G4013</f>
        <v>7.95919999999998</v>
      </c>
      <c r="H4014" s="16" t="n">
        <f aca="false">H4012-H4013</f>
        <v>-74.4664972</v>
      </c>
      <c r="I4014" s="16" t="n">
        <f aca="false">I4012-I4013</f>
        <v>-143.247001232</v>
      </c>
      <c r="J4014" s="16" t="n">
        <f aca="false">J4012-J4013</f>
        <v>-198.20094923344</v>
      </c>
      <c r="K4014" s="16" t="n">
        <f aca="false">K4012-K4013</f>
        <v>-240.862313821408</v>
      </c>
    </row>
    <row r="4015" customFormat="false" ht="15" hidden="false" customHeight="false" outlineLevel="0" collapsed="false">
      <c r="A4015" s="5" t="s">
        <v>309</v>
      </c>
      <c r="G4015" s="25" t="n">
        <f aca="false">MAX(0,-G4014)</f>
        <v>0</v>
      </c>
      <c r="H4015" s="25" t="n">
        <f aca="false">MAX(0,-H4014)</f>
        <v>74.4664972</v>
      </c>
      <c r="I4015" s="25" t="n">
        <f aca="false">MAX(0,-I4014)</f>
        <v>143.247001232</v>
      </c>
      <c r="J4015" s="25" t="n">
        <f aca="false">MAX(0,-J4014)</f>
        <v>198.20094923344</v>
      </c>
      <c r="K4015" s="25" t="n">
        <f aca="false">MAX(0,-K4014)</f>
        <v>240.862313821408</v>
      </c>
    </row>
    <row r="4016" customFormat="false" ht="15" hidden="false" customHeight="false" outlineLevel="0" collapsed="false">
      <c r="A4016" s="5" t="s">
        <v>310</v>
      </c>
      <c r="G4016" s="25" t="n">
        <f aca="false">MAX(0,G4014-Assumptions!$C$12)*Assumptions!$C$13</f>
        <v>7.95919999999998</v>
      </c>
      <c r="H4016" s="25" t="n">
        <f aca="false">MAX(0,H4014-Assumptions!$C$12)*Assumptions!$C$13</f>
        <v>0</v>
      </c>
      <c r="I4016" s="25" t="n">
        <f aca="false">MAX(0,I4014-Assumptions!$C$12)*Assumptions!$C$13</f>
        <v>0</v>
      </c>
      <c r="J4016" s="25" t="n">
        <f aca="false">MAX(0,J4014-Assumptions!$C$12)*Assumptions!$C$13</f>
        <v>0</v>
      </c>
      <c r="K4016" s="25" t="n">
        <f aca="false">MAX(0,K4014-Assumptions!$C$12)*Assumptions!$C$13</f>
        <v>0</v>
      </c>
    </row>
    <row r="4017" customFormat="false" ht="15" hidden="false" customHeight="false" outlineLevel="0" collapsed="false">
      <c r="A4017" s="5" t="s">
        <v>311</v>
      </c>
      <c r="G4017" s="25" t="n">
        <f aca="false">G3941+G3954+G3967+G3980</f>
        <v>7.95919999999998</v>
      </c>
      <c r="H4017" s="25" t="n">
        <f aca="false">H3941+H3954+H3967+H3980</f>
        <v>0</v>
      </c>
      <c r="I4017" s="25" t="n">
        <f aca="false">I3941+I3954+I3967+I3980</f>
        <v>0</v>
      </c>
      <c r="J4017" s="25" t="n">
        <f aca="false">J3941+J3954+J3967+J3980</f>
        <v>0</v>
      </c>
      <c r="K4017" s="25" t="n">
        <f aca="false">K3941+K3954+K3967+K3980</f>
        <v>0</v>
      </c>
    </row>
    <row r="4018" customFormat="false" ht="15" hidden="false" customHeight="false" outlineLevel="0" collapsed="false">
      <c r="A4018" s="2" t="s">
        <v>312</v>
      </c>
      <c r="F4018" s="27" t="n">
        <f aca="false">Assumptions!$C$11</f>
        <v>45</v>
      </c>
      <c r="G4018" s="16" t="n">
        <f aca="false">G4014-G4017</f>
        <v>0</v>
      </c>
      <c r="H4018" s="16" t="n">
        <f aca="false">H4014-H4017</f>
        <v>-74.4664972</v>
      </c>
      <c r="I4018" s="16" t="n">
        <f aca="false">I4014-I4017</f>
        <v>-143.247001232</v>
      </c>
      <c r="J4018" s="16" t="n">
        <f aca="false">J4014-J4017</f>
        <v>-198.20094923344</v>
      </c>
      <c r="K4018" s="16" t="n">
        <f aca="false">K4014-K4017</f>
        <v>-240.862313821408</v>
      </c>
    </row>
    <row r="4019" customFormat="false" ht="15" hidden="false" customHeight="false" outlineLevel="0" collapsed="false">
      <c r="A4019" s="5" t="s">
        <v>313</v>
      </c>
      <c r="G4019" s="25" t="n">
        <f aca="false">G3942+G3955+G3968+G3981</f>
        <v>0</v>
      </c>
      <c r="H4019" s="25" t="n">
        <f aca="false">H3942+H3955+H3968+H3981</f>
        <v>472.0408</v>
      </c>
      <c r="I4019" s="25" t="n">
        <f aca="false">I3942+I3955+I3968+I3981</f>
        <v>504.4</v>
      </c>
      <c r="J4019" s="25" t="n">
        <f aca="false">J3942+J3955+J3968+J3981</f>
        <v>250</v>
      </c>
      <c r="K4019" s="25" t="n">
        <f aca="false">K3942+K3955+K3968+K3981</f>
        <v>0</v>
      </c>
    </row>
    <row r="4020" customFormat="false" ht="15" hidden="false" customHeight="false" outlineLevel="0" collapsed="false">
      <c r="A4020" s="5" t="s">
        <v>314</v>
      </c>
      <c r="G4020" s="20" t="n">
        <f aca="false">IF(OR(G4015&gt;0.001,G4019&gt;0.001),1,0)</f>
        <v>0</v>
      </c>
      <c r="H4020" s="20" t="n">
        <f aca="false">IF(OR(H4015&gt;0.001,H4019&gt;0.001),1,0)</f>
        <v>1</v>
      </c>
      <c r="I4020" s="20" t="n">
        <f aca="false">IF(OR(I4015&gt;0.001,I4019&gt;0.001),1,0)</f>
        <v>1</v>
      </c>
      <c r="J4020" s="20" t="n">
        <f aca="false">IF(OR(J4015&gt;0.001,J4019&gt;0.001),1,0)</f>
        <v>1</v>
      </c>
      <c r="K4020" s="20" t="n">
        <f aca="false">IF(OR(K4015&gt;0.001,K4019&gt;0.001),1,0)</f>
        <v>1</v>
      </c>
    </row>
    <row r="4021" customFormat="false" ht="15" hidden="false" customHeight="false" outlineLevel="0" collapsed="false">
      <c r="A4021" s="5" t="s">
        <v>315</v>
      </c>
      <c r="G4021" s="20" t="n">
        <f aca="false">IF(G4020=1,1,0)</f>
        <v>0</v>
      </c>
      <c r="H4021" s="20" t="n">
        <f aca="false">IF(AND(H4020=1,SUM($G$4020:G4020)=0),1,0)</f>
        <v>1</v>
      </c>
      <c r="I4021" s="20" t="n">
        <f aca="false">IF(AND(I4020=1,SUM($G$4020:H4020)=0),1,0)</f>
        <v>0</v>
      </c>
      <c r="J4021" s="20" t="n">
        <f aca="false">IF(AND(J4020=1,SUM($G$4020:I4020)=0),1,0)</f>
        <v>0</v>
      </c>
      <c r="K4021" s="20" t="n">
        <f aca="false">IF(AND(K4020=1,SUM($G$4020:J4020)=0),1,0)</f>
        <v>0</v>
      </c>
    </row>
    <row r="4022" customFormat="false" ht="15" hidden="false" customHeight="false" outlineLevel="0" collapsed="false">
      <c r="A4022" s="5" t="s">
        <v>316</v>
      </c>
      <c r="G4022" s="25" t="n">
        <f aca="false">(G3984-F3984)-(G4011+G3911-G4009-G4013-G4017)</f>
        <v>-7.46069872548105E-014</v>
      </c>
      <c r="H4022" s="25" t="n">
        <f aca="false">(H3984-G3984)-(H4011+H3911-H4009-H4013-H4017)</f>
        <v>1.82076576038526E-013</v>
      </c>
      <c r="I4022" s="25" t="n">
        <f aca="false">(I3984-H3984)-(I4011+I3911-I4009-I4013-I4017)</f>
        <v>-2.72670774847938E-013</v>
      </c>
      <c r="J4022" s="25" t="n">
        <f aca="false">(J3984-I3984)-(J4011+J3911-J4009-J4013-J4017)</f>
        <v>1.82076576038526E-013</v>
      </c>
      <c r="K4022" s="25" t="n">
        <f aca="false">(K3984-J3984)-(K4011+K3911-K4009-K4013-K4017)</f>
        <v>-4.52970994047064E-014</v>
      </c>
    </row>
    <row r="4024" customFormat="false" ht="15" hidden="false" customHeight="false" outlineLevel="0" collapsed="false">
      <c r="A4024" s="23" t="s">
        <v>318</v>
      </c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</row>
    <row r="4025" customFormat="false" ht="15" hidden="false" customHeight="false" outlineLevel="0" collapsed="false">
      <c r="A4025" s="5" t="s">
        <v>319</v>
      </c>
      <c r="G4025" s="25" t="n">
        <f aca="false">G3984</f>
        <v>1236.8408</v>
      </c>
      <c r="H4025" s="25" t="n">
        <f aca="false">H3984</f>
        <v>1231.6408</v>
      </c>
      <c r="I4025" s="25" t="n">
        <f aca="false">I3984</f>
        <v>1226.4408</v>
      </c>
      <c r="J4025" s="25" t="n">
        <f aca="false">J3984</f>
        <v>1221.2408</v>
      </c>
      <c r="K4025" s="25" t="n">
        <f aca="false">K3984</f>
        <v>1216.0408</v>
      </c>
    </row>
    <row r="4026" customFormat="false" ht="15" hidden="false" customHeight="false" outlineLevel="0" collapsed="false">
      <c r="A4026" s="5" t="s">
        <v>320</v>
      </c>
      <c r="G4026" s="25" t="n">
        <f aca="false">Assumptions!$O$53*G3943+Assumptions!$O$54*G3956+Assumptions!$O$55*G3969+Assumptions!$O$56*G3982</f>
        <v>936.8408</v>
      </c>
      <c r="H4026" s="25" t="n">
        <f aca="false">Assumptions!$O$53*H3943+Assumptions!$O$54*H3956+Assumptions!$O$55*H3969+Assumptions!$O$56*H3982</f>
        <v>931.6408</v>
      </c>
      <c r="I4026" s="25" t="n">
        <f aca="false">Assumptions!$O$53*I3943+Assumptions!$O$54*I3956+Assumptions!$O$55*I3969+Assumptions!$O$56*I3982</f>
        <v>926.4408</v>
      </c>
      <c r="J4026" s="25" t="n">
        <f aca="false">Assumptions!$O$53*J3943+Assumptions!$O$54*J3956+Assumptions!$O$55*J3969+Assumptions!$O$56*J3982</f>
        <v>921.2408</v>
      </c>
      <c r="K4026" s="25" t="n">
        <f aca="false">Assumptions!$O$53*K3943+Assumptions!$O$54*K3956+Assumptions!$O$55*K3969+Assumptions!$O$56*K3982</f>
        <v>916.0408</v>
      </c>
    </row>
    <row r="4027" customFormat="false" ht="15" hidden="false" customHeight="false" outlineLevel="0" collapsed="false">
      <c r="A4027" s="5" t="s">
        <v>321</v>
      </c>
      <c r="G4027" s="25" t="n">
        <f aca="false">G4025-G4018</f>
        <v>1236.8408</v>
      </c>
      <c r="H4027" s="25" t="n">
        <f aca="false">H4025-H4018</f>
        <v>1306.1072972</v>
      </c>
      <c r="I4027" s="25" t="n">
        <f aca="false">I4025-I4018</f>
        <v>1369.687801232</v>
      </c>
      <c r="J4027" s="25" t="n">
        <f aca="false">J4025-J4018</f>
        <v>1419.44174923344</v>
      </c>
      <c r="K4027" s="25" t="n">
        <f aca="false">K4025-K4018</f>
        <v>1456.90311382141</v>
      </c>
    </row>
    <row r="4028" customFormat="false" ht="15" hidden="false" customHeight="false" outlineLevel="0" collapsed="false">
      <c r="A4028" s="5" t="s">
        <v>322</v>
      </c>
      <c r="G4028" s="31" t="n">
        <f aca="false">IF(G3906&gt;0,G4025/G3906,0)</f>
        <v>10.1626963780977</v>
      </c>
      <c r="H4028" s="31" t="n">
        <f aca="false">IF(H3906&gt;0,H4025/H3906,0)</f>
        <v>13.4694561611854</v>
      </c>
      <c r="I4028" s="31" t="n">
        <f aca="false">IF(I3906&gt;0,I4025/I3906,0)</f>
        <v>11.8293771540271</v>
      </c>
      <c r="J4028" s="31" t="n">
        <f aca="false">IF(J3906&gt;0,J4025/J3906,0)</f>
        <v>10.6002178266579</v>
      </c>
      <c r="K4028" s="31" t="n">
        <f aca="false">IF(K3906&gt;0,K4025/K3906,0)</f>
        <v>9.61300771877932</v>
      </c>
    </row>
    <row r="4029" customFormat="false" ht="15" hidden="false" customHeight="false" outlineLevel="0" collapsed="false">
      <c r="A4029" s="5" t="s">
        <v>323</v>
      </c>
      <c r="G4029" s="31" t="n">
        <f aca="false">IF(G3906&gt;0,G4027/G3906,0)</f>
        <v>10.1626963780977</v>
      </c>
      <c r="H4029" s="31" t="n">
        <f aca="false">IF(H3906&gt;0,H4027/H3906,0)</f>
        <v>14.2838358240809</v>
      </c>
      <c r="I4029" s="31" t="n">
        <f aca="false">IF(I3906&gt;0,I4027/I3906,0)</f>
        <v>13.2110360190589</v>
      </c>
      <c r="J4029" s="31" t="n">
        <f aca="false">IF(J3906&gt;0,J4027/J3906,0)</f>
        <v>12.3205773457018</v>
      </c>
      <c r="K4029" s="31" t="n">
        <f aca="false">IF(K3906&gt;0,K4027/K3906,0)</f>
        <v>11.5170649526552</v>
      </c>
    </row>
    <row r="4030" customFormat="false" ht="15" hidden="false" customHeight="false" outlineLevel="0" collapsed="false">
      <c r="A4030" s="5" t="s">
        <v>324</v>
      </c>
      <c r="G4030" s="31" t="n">
        <f aca="false">IF(G3910&gt;0,G3906/G3910,0)</f>
        <v>0.93950903195924</v>
      </c>
      <c r="H4030" s="31" t="n">
        <f aca="false">IF(H3910&gt;0,H3906/H3910,0)</f>
        <v>0.723383026361208</v>
      </c>
      <c r="I4030" s="31" t="n">
        <f aca="false">IF(I3910&gt;0,I3906/I3910,0)</f>
        <v>0.835430682250499</v>
      </c>
      <c r="J4030" s="31" t="n">
        <f aca="false">IF(J3910&gt;0,J3906/J3910,0)</f>
        <v>0.932767561066033</v>
      </c>
      <c r="K4030" s="31" t="n">
        <f aca="false">IF(K3910&gt;0,K3906/K3910,0)</f>
        <v>1.02907449018336</v>
      </c>
    </row>
    <row r="4031" customFormat="false" ht="15" hidden="false" customHeight="false" outlineLevel="0" collapsed="false">
      <c r="A4031" s="5" t="s">
        <v>325</v>
      </c>
      <c r="G4031" s="31" t="n">
        <f aca="false">IF(G3910&gt;0,G3909/G3910,0)</f>
        <v>0.563705419175544</v>
      </c>
      <c r="H4031" s="31" t="n">
        <f aca="false">IF(H3910&gt;0,H3909/H3910,0)</f>
        <v>0.35328008264152</v>
      </c>
      <c r="I4031" s="31" t="n">
        <f aca="false">IF(I3910&gt;0,I3909/I3910,0)</f>
        <v>0.460339355525785</v>
      </c>
      <c r="J4031" s="31" t="n">
        <f aca="false">IF(J3910&gt;0,J3909/J3910,0)</f>
        <v>0.55966053663962</v>
      </c>
      <c r="K4031" s="31" t="n">
        <f aca="false">IF(K3910&gt;0,K3909/K3910,0)</f>
        <v>0.657932870772965</v>
      </c>
    </row>
    <row r="4032" customFormat="false" ht="15" hidden="false" customHeight="false" outlineLevel="0" collapsed="false">
      <c r="A4032" s="5" t="s">
        <v>182</v>
      </c>
      <c r="G4032" s="21" t="n">
        <f aca="false">IF(G4025&gt;0,G3919/G4025,0)</f>
        <v>-0.0257436526996846</v>
      </c>
      <c r="H4032" s="21" t="n">
        <f aca="false">IF(H4025&gt;0,H3919/H4025,0)</f>
        <v>-0.0562392031832658</v>
      </c>
      <c r="I4032" s="21" t="n">
        <f aca="false">IF(I4025&gt;0,I3919/I4025,0)</f>
        <v>-0.0518414782287086</v>
      </c>
      <c r="J4032" s="21" t="n">
        <f aca="false">IF(J4025&gt;0,J3919/J4025,0)</f>
        <v>-0.0407404895098821</v>
      </c>
      <c r="K4032" s="21" t="n">
        <f aca="false">IF(K4025&gt;0,K3919/K4025,0)</f>
        <v>-0.0308060096239929</v>
      </c>
    </row>
    <row r="4033" customFormat="false" ht="15" hidden="false" customHeight="false" outlineLevel="0" collapsed="false">
      <c r="A4033" s="5" t="s">
        <v>326</v>
      </c>
      <c r="G4033" s="31" t="n">
        <f aca="false">IF(G3910+G4009&gt;0,(G3906-G3917-G3914)/(G3910+G4009),0)</f>
        <v>0.591218643313048</v>
      </c>
      <c r="H4033" s="31" t="n">
        <f aca="false">IF(H3910+H4009&gt;0,(H3906-H3917-H3914)/(H3910+H4009),0)</f>
        <v>0.387795728058577</v>
      </c>
      <c r="I4033" s="31" t="n">
        <f aca="false">IF(I3910+I4009&gt;0,(I3906-I3917-I3914)/(I3910+I4009),0)</f>
        <v>0.490917996828924</v>
      </c>
      <c r="J4033" s="31" t="n">
        <f aca="false">IF(J3910+J4009&gt;0,(J3906-J3917-J3914)/(J3910+J4009),0)</f>
        <v>0.585873048095126</v>
      </c>
      <c r="K4033" s="31" t="n">
        <f aca="false">IF(K3910+K4009&gt;0,(K3906-K3917-K3914)/(K3910+K4009),0)</f>
        <v>0.67978672699647</v>
      </c>
    </row>
    <row r="4034" customFormat="false" ht="15" hidden="false" customHeight="false" outlineLevel="0" collapsed="false">
      <c r="A4034" s="5" t="s">
        <v>327</v>
      </c>
      <c r="G4034" s="25" t="n">
        <f aca="false">MAX(0,G4018)+Assumptions!$P$53*MAX(0,Assumptions!$D$53-G3943)+Assumptions!$P$54*MAX(0,Assumptions!$D$54-G3956)+Assumptions!$P$55*MAX(0,Assumptions!$D$55-G3969)+Assumptions!$P$56*MAX(0,Assumptions!$D$56-G3982)</f>
        <v>127.9592</v>
      </c>
      <c r="H4034" s="25" t="n">
        <f aca="false">MAX(0,H4018)+Assumptions!$P$53*MAX(0,Assumptions!$D$53-H3943)+Assumptions!$P$54*MAX(0,Assumptions!$D$54-H3956)+Assumptions!$P$55*MAX(0,Assumptions!$D$55-H3969)+Assumptions!$P$56*MAX(0,Assumptions!$D$56-H3982)</f>
        <v>127.9592</v>
      </c>
      <c r="I4034" s="25" t="n">
        <f aca="false">MAX(0,I4018)+Assumptions!$P$53*MAX(0,Assumptions!$D$53-I3943)+Assumptions!$P$54*MAX(0,Assumptions!$D$54-I3956)+Assumptions!$P$55*MAX(0,Assumptions!$D$55-I3969)+Assumptions!$P$56*MAX(0,Assumptions!$D$56-I3982)</f>
        <v>127.9592</v>
      </c>
      <c r="J4034" s="25" t="n">
        <f aca="false">MAX(0,J4018)+Assumptions!$P$53*MAX(0,Assumptions!$D$53-J3943)+Assumptions!$P$54*MAX(0,Assumptions!$D$54-J3956)+Assumptions!$P$55*MAX(0,Assumptions!$D$55-J3969)+Assumptions!$P$56*MAX(0,Assumptions!$D$56-J3982)</f>
        <v>127.9592</v>
      </c>
      <c r="K4034" s="25" t="n">
        <f aca="false">MAX(0,K4018)+Assumptions!$P$53*MAX(0,Assumptions!$D$53-K3943)+Assumptions!$P$54*MAX(0,Assumptions!$D$54-K3956)+Assumptions!$P$55*MAX(0,Assumptions!$D$55-K3969)+Assumptions!$P$56*MAX(0,Assumptions!$D$56-K3982)</f>
        <v>127.9592</v>
      </c>
    </row>
    <row r="4035" customFormat="false" ht="15" hidden="false" customHeight="false" outlineLevel="0" collapsed="false">
      <c r="A4035" s="5" t="s">
        <v>328</v>
      </c>
      <c r="G4035" s="21" t="n">
        <f aca="false">IF(G4025&gt;0,G4025/(G4025+MAX(0,G3906*CHOOSE($C$3889,Assumptions!$C$76,Assumptions!$C$95,Assumptions!$C$114)-G4027)),0)</f>
        <v>1</v>
      </c>
      <c r="H4035" s="21" t="n">
        <f aca="false">IF(H4025&gt;0,H4025/(H4025+MAX(0,H3906*CHOOSE($C$3889,Assumptions!$C$76,Assumptions!$C$95,Assumptions!$C$114)-H4027)),0)</f>
        <v>1</v>
      </c>
      <c r="I4035" s="21" t="n">
        <f aca="false">IF(I4025&gt;0,I4025/(I4025+MAX(0,I3906*CHOOSE($C$3889,Assumptions!$C$76,Assumptions!$C$95,Assumptions!$C$114)-I4027)),0)</f>
        <v>1</v>
      </c>
      <c r="J4035" s="21" t="n">
        <f aca="false">IF(J4025&gt;0,J4025/(J4025+MAX(0,J3906*CHOOSE($C$3889,Assumptions!$C$76,Assumptions!$C$95,Assumptions!$C$114)-J4027)),0)</f>
        <v>1</v>
      </c>
      <c r="K4035" s="21" t="n">
        <f aca="false">IF(K4025&gt;0,K4025/(K4025+MAX(0,K3906*CHOOSE($C$3889,Assumptions!$C$76,Assumptions!$C$95,Assumptions!$C$114)-K4027)),0)</f>
        <v>1</v>
      </c>
    </row>
    <row r="4036" customFormat="false" ht="15" hidden="false" customHeight="false" outlineLevel="0" collapsed="false">
      <c r="A4036" s="5" t="s">
        <v>329</v>
      </c>
      <c r="G4036" s="21" t="n">
        <f aca="false">IF(G4025&gt;0,MAX(0,G4018)/G4025,0)</f>
        <v>0</v>
      </c>
      <c r="H4036" s="21" t="n">
        <f aca="false">IF(H4025&gt;0,MAX(0,H4018)/H4025,0)</f>
        <v>0</v>
      </c>
      <c r="I4036" s="21" t="n">
        <f aca="false">IF(I4025&gt;0,MAX(0,I4018)/I4025,0)</f>
        <v>0</v>
      </c>
      <c r="J4036" s="21" t="n">
        <f aca="false">IF(J4025&gt;0,MAX(0,J4018)/J4025,0)</f>
        <v>0</v>
      </c>
      <c r="K4036" s="21" t="n">
        <f aca="false">IF(K4025&gt;0,MAX(0,K4018)/K4025,0)</f>
        <v>0</v>
      </c>
    </row>
    <row r="4037" customFormat="false" ht="15" hidden="false" customHeight="false" outlineLevel="0" collapsed="false">
      <c r="A4037" s="5" t="s">
        <v>330</v>
      </c>
      <c r="G4037" s="25" t="n">
        <f aca="false">Assumptions!$C$27*(1-CHOOSE($C$3889,Assumptions!$C$79,Assumptions!$C$98,Assumptions!$C$117))</f>
        <v>884</v>
      </c>
      <c r="H4037" s="25" t="n">
        <f aca="false">Assumptions!$C$27*(1-CHOOSE($C$3889,Assumptions!$C$79,Assumptions!$C$98,Assumptions!$C$117))</f>
        <v>884</v>
      </c>
      <c r="I4037" s="25" t="n">
        <f aca="false">Assumptions!$C$27*(1-CHOOSE($C$3889,Assumptions!$C$79,Assumptions!$C$98,Assumptions!$C$117))</f>
        <v>884</v>
      </c>
      <c r="J4037" s="25" t="n">
        <f aca="false">Assumptions!$C$27*(1-CHOOSE($C$3889,Assumptions!$C$79,Assumptions!$C$98,Assumptions!$C$117))</f>
        <v>884</v>
      </c>
      <c r="K4037" s="25" t="n">
        <f aca="false">Assumptions!$C$27*(1-CHOOSE($C$3889,Assumptions!$C$79,Assumptions!$C$98,Assumptions!$C$117))</f>
        <v>884</v>
      </c>
    </row>
    <row r="4038" customFormat="false" ht="15" hidden="false" customHeight="false" outlineLevel="0" collapsed="false">
      <c r="A4038" s="23" t="s">
        <v>331</v>
      </c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</row>
    <row r="4039" customFormat="false" ht="15" hidden="false" customHeight="false" outlineLevel="0" collapsed="false">
      <c r="A4039" s="23" t="s">
        <v>332</v>
      </c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</row>
    <row r="4040" customFormat="false" ht="15" hidden="false" customHeight="false" outlineLevel="0" collapsed="false">
      <c r="A4040" s="5" t="s">
        <v>333</v>
      </c>
      <c r="G4040" s="31" t="n">
        <f aca="false">IF(G3906&gt;0,G4027/G3906,99)</f>
        <v>10.1626963780977</v>
      </c>
      <c r="H4040" s="31" t="n">
        <f aca="false">IF(H3906&gt;0,H4027/H3906,99)</f>
        <v>14.2838358240809</v>
      </c>
      <c r="I4040" s="31" t="n">
        <f aca="false">IF(I3906&gt;0,I4027/I3906,99)</f>
        <v>13.2110360190589</v>
      </c>
      <c r="J4040" s="31" t="n">
        <f aca="false">IF(J3906&gt;0,J4027/J3906,99)</f>
        <v>12.3205773457018</v>
      </c>
      <c r="K4040" s="31" t="n">
        <f aca="false">IF(K3906&gt;0,K4027/K3906,99)</f>
        <v>11.5170649526552</v>
      </c>
    </row>
    <row r="4041" customFormat="false" ht="15" hidden="false" customHeight="false" outlineLevel="0" collapsed="false">
      <c r="A4041" s="5" t="s">
        <v>334</v>
      </c>
      <c r="G4041" s="32" t="n">
        <f aca="false">Assumptions!$G$61</f>
        <v>8.5</v>
      </c>
      <c r="H4041" s="32" t="n">
        <f aca="false">Assumptions!$H$61</f>
        <v>8.5</v>
      </c>
      <c r="I4041" s="32" t="n">
        <f aca="false">Assumptions!$I$61</f>
        <v>8.5</v>
      </c>
      <c r="J4041" s="32" t="n">
        <f aca="false">Assumptions!$J$61</f>
        <v>8.5</v>
      </c>
      <c r="K4041" s="32" t="n">
        <f aca="false">Assumptions!$K$61</f>
        <v>8.5</v>
      </c>
    </row>
    <row r="4042" customFormat="false" ht="15" hidden="false" customHeight="false" outlineLevel="0" collapsed="false">
      <c r="A4042" s="5" t="s">
        <v>335</v>
      </c>
      <c r="G4042" s="31" t="n">
        <f aca="false">G4041-G4040</f>
        <v>-1.66269637809768</v>
      </c>
      <c r="H4042" s="31" t="n">
        <f aca="false">H4041-H4040</f>
        <v>-5.78383582408093</v>
      </c>
      <c r="I4042" s="31" t="n">
        <f aca="false">I4041-I4040</f>
        <v>-4.71103601905892</v>
      </c>
      <c r="J4042" s="31" t="n">
        <f aca="false">J4041-J4040</f>
        <v>-3.82057734570178</v>
      </c>
      <c r="K4042" s="31" t="n">
        <f aca="false">K4041-K4040</f>
        <v>-3.01706495265523</v>
      </c>
    </row>
    <row r="4043" customFormat="false" ht="15" hidden="false" customHeight="false" outlineLevel="0" collapsed="false">
      <c r="A4043" s="5" t="s">
        <v>336</v>
      </c>
      <c r="G4043" s="21" t="n">
        <f aca="false">IF(G4041=0,0,G4042/ABS(G4041))</f>
        <v>-0.195611338599727</v>
      </c>
      <c r="H4043" s="21" t="n">
        <f aca="false">IF(H4041=0,0,H4042/ABS(H4041))</f>
        <v>-0.680451273421286</v>
      </c>
      <c r="I4043" s="21" t="n">
        <f aca="false">IF(I4041=0,0,I4042/ABS(I4041))</f>
        <v>-0.55423953165399</v>
      </c>
      <c r="J4043" s="21" t="n">
        <f aca="false">IF(J4041=0,0,J4042/ABS(J4041))</f>
        <v>-0.449479687729621</v>
      </c>
      <c r="K4043" s="21" t="n">
        <f aca="false">IF(K4041=0,0,K4042/ABS(K4041))</f>
        <v>-0.354948817959439</v>
      </c>
    </row>
    <row r="4044" customFormat="false" ht="15" hidden="false" customHeight="false" outlineLevel="0" collapsed="false">
      <c r="A4044" s="5" t="s">
        <v>337</v>
      </c>
      <c r="G4044" s="20" t="n">
        <f aca="false">IF(G4042&lt;0,1,0)</f>
        <v>1</v>
      </c>
      <c r="H4044" s="20" t="n">
        <f aca="false">IF(H4042&lt;0,1,0)</f>
        <v>1</v>
      </c>
      <c r="I4044" s="20" t="n">
        <f aca="false">IF(I4042&lt;0,1,0)</f>
        <v>1</v>
      </c>
      <c r="J4044" s="20" t="n">
        <f aca="false">IF(J4042&lt;0,1,0)</f>
        <v>1</v>
      </c>
      <c r="K4044" s="20" t="n">
        <f aca="false">IF(K4042&lt;0,1,0)</f>
        <v>1</v>
      </c>
    </row>
    <row r="4045" customFormat="false" ht="15" hidden="false" customHeight="false" outlineLevel="0" collapsed="false">
      <c r="A4045" s="5" t="s">
        <v>338</v>
      </c>
      <c r="C4045" s="20" t="n">
        <f aca="false">IFERROR(INDEX($G$3896:$K$3896,MATCH(1,$G$4044:$K$4044,0)),0)</f>
        <v>2026</v>
      </c>
    </row>
    <row r="4046" customFormat="false" ht="15" hidden="false" customHeight="false" outlineLevel="0" collapsed="false">
      <c r="A4046" s="5" t="s">
        <v>339</v>
      </c>
      <c r="C4046" s="21" t="n">
        <f aca="false">MIN($G$4043:$K$4043)</f>
        <v>-0.680451273421286</v>
      </c>
    </row>
    <row r="4047" customFormat="false" ht="15" hidden="false" customHeight="false" outlineLevel="0" collapsed="false">
      <c r="A4047" s="5" t="s">
        <v>340</v>
      </c>
      <c r="G4047" s="20" t="n">
        <f aca="false">G4044</f>
        <v>1</v>
      </c>
      <c r="H4047" s="20" t="n">
        <f aca="false">H4044</f>
        <v>1</v>
      </c>
      <c r="I4047" s="20" t="n">
        <f aca="false">I4044</f>
        <v>1</v>
      </c>
      <c r="J4047" s="20" t="n">
        <f aca="false">J4044</f>
        <v>1</v>
      </c>
      <c r="K4047" s="20" t="n">
        <f aca="false">K4044</f>
        <v>1</v>
      </c>
    </row>
    <row r="4048" customFormat="false" ht="15" hidden="false" customHeight="false" outlineLevel="0" collapsed="false">
      <c r="A4048" s="5" t="s">
        <v>341</v>
      </c>
      <c r="C4048" s="20" t="n">
        <f aca="false">SUM($G$4047:$K$4047)</f>
        <v>5</v>
      </c>
    </row>
    <row r="4049" customFormat="false" ht="15" hidden="false" customHeight="false" outlineLevel="0" collapsed="false">
      <c r="A4049" s="5" t="s">
        <v>342</v>
      </c>
      <c r="C4049" s="21" t="n">
        <f aca="false">MIN(C4046)</f>
        <v>-0.680451273421286</v>
      </c>
    </row>
    <row r="4051" customFormat="false" ht="15" hidden="false" customHeight="false" outlineLevel="0" collapsed="false">
      <c r="A4051" s="23" t="s">
        <v>444</v>
      </c>
      <c r="B4051" s="24"/>
      <c r="C4051" s="24"/>
      <c r="D4051" s="24"/>
      <c r="E4051" s="24"/>
      <c r="F4051" s="24"/>
      <c r="G4051" s="24"/>
      <c r="H4051" s="24"/>
      <c r="I4051" s="24"/>
      <c r="J4051" s="24"/>
      <c r="K4051" s="24"/>
    </row>
    <row r="4052" customFormat="false" ht="15" hidden="false" customHeight="false" outlineLevel="0" collapsed="false">
      <c r="A4052" s="5" t="s">
        <v>445</v>
      </c>
      <c r="G4052" s="20" t="n">
        <f aca="false">IF($C$4053=1,G4021,IF(G3906=MIN($G$3906:$K$3906),1,0))</f>
        <v>0</v>
      </c>
      <c r="H4052" s="20" t="n">
        <f aca="false">IF($C$4053=1,H4021,IF(AND(H3906=MIN($G$3906:$K$3906),SUM($G$4052:G4052)=0),1,0))</f>
        <v>1</v>
      </c>
      <c r="I4052" s="20" t="n">
        <f aca="false">IF($C$4053=1,I4021,IF(AND(I3906=MIN($G$3906:$K$3906),SUM($G$4052:H4052)=0),1,0))</f>
        <v>0</v>
      </c>
      <c r="J4052" s="20" t="n">
        <f aca="false">IF($C$4053=1,J4021,IF(AND(J3906=MIN($G$3906:$K$3906),SUM($G$4052:I4052)=0),1,0))</f>
        <v>0</v>
      </c>
      <c r="K4052" s="20" t="n">
        <f aca="false">IF($C$4053=1,K4021,IF(AND(K3906=MIN($G$3906:$K$3906),SUM($G$4052:J4052)=0),1,0))</f>
        <v>0</v>
      </c>
    </row>
    <row r="4053" customFormat="false" ht="15" hidden="false" customHeight="false" outlineLevel="0" collapsed="false">
      <c r="A4053" s="5" t="s">
        <v>446</v>
      </c>
      <c r="C4053" s="20" t="n">
        <f aca="false">IF(SUM($G$4021:$K$4021)&gt;0,1,0)</f>
        <v>1</v>
      </c>
    </row>
    <row r="4054" customFormat="false" ht="15" hidden="false" customHeight="false" outlineLevel="0" collapsed="false">
      <c r="A4054" s="5" t="s">
        <v>447</v>
      </c>
      <c r="C4054" s="20" t="n">
        <f aca="false">SUMPRODUCT($G$4052:$K$4052,$G$3896:$K$3896)</f>
        <v>2027</v>
      </c>
    </row>
    <row r="4055" customFormat="false" ht="15" hidden="false" customHeight="false" outlineLevel="0" collapsed="false">
      <c r="A4055" s="5" t="s">
        <v>448</v>
      </c>
      <c r="C4055" s="25" t="n">
        <f aca="false">SUMPRODUCT($G$4052:$K$4052,$G$3906:$K$3906)</f>
        <v>91.4395344</v>
      </c>
    </row>
    <row r="4056" customFormat="false" ht="15" hidden="false" customHeight="false" outlineLevel="0" collapsed="false">
      <c r="A4056" s="5" t="s">
        <v>449</v>
      </c>
      <c r="C4056" s="25" t="n">
        <f aca="false">MAX(0,SUMPRODUCT($G$4052:$K$4052,$G$4018:$K$4018))</f>
        <v>0</v>
      </c>
    </row>
    <row r="4057" customFormat="false" ht="15" hidden="false" customHeight="false" outlineLevel="0" collapsed="false">
      <c r="A4057" s="5" t="s">
        <v>450</v>
      </c>
      <c r="C4057" s="25" t="n">
        <f aca="false">(CHOOSE($C$3889,Assumptions!$C$78,Assumptions!$C$97,Assumptions!$C$116)+$C$3893)*C4055</f>
        <v>365.7581376</v>
      </c>
    </row>
    <row r="4058" customFormat="false" ht="15" hidden="false" customHeight="false" outlineLevel="0" collapsed="false">
      <c r="A4058" s="5" t="s">
        <v>451</v>
      </c>
      <c r="C4058" s="25" t="n">
        <f aca="false">Assumptions!$C$27*(1-CHOOSE($C$3889,Assumptions!$C$79,Assumptions!$C$98,Assumptions!$C$117))*CHOOSE($C$3889,Assumptions!$C$80,Assumptions!$C$99,Assumptions!$C$118)</f>
        <v>530.4</v>
      </c>
    </row>
    <row r="4059" customFormat="false" ht="15" hidden="false" customHeight="false" outlineLevel="0" collapsed="false">
      <c r="A4059" s="5" t="s">
        <v>452</v>
      </c>
      <c r="C4059" s="25" t="n">
        <f aca="false">MAX(C4057,C4058)+C4056</f>
        <v>530.4</v>
      </c>
    </row>
    <row r="4060" customFormat="false" ht="15" hidden="false" customHeight="false" outlineLevel="0" collapsed="false">
      <c r="A4060" s="2" t="s">
        <v>453</v>
      </c>
      <c r="C4060" s="16" t="n">
        <f aca="false">IF(ISNUMBER(Assumptions!$C$14),Assumptions!$C$14,C4059)</f>
        <v>530.4</v>
      </c>
    </row>
    <row r="4061" customFormat="false" ht="15" hidden="false" customHeight="false" outlineLevel="0" collapsed="false">
      <c r="A4061" s="5" t="s">
        <v>454</v>
      </c>
      <c r="C4061" s="25" t="n">
        <f aca="false">C4060*Assumptions!$C$15</f>
        <v>21.216</v>
      </c>
    </row>
    <row r="4062" customFormat="false" ht="15" hidden="false" customHeight="false" outlineLevel="0" collapsed="false">
      <c r="A4062" s="2" t="s">
        <v>455</v>
      </c>
      <c r="C4062" s="16" t="n">
        <f aca="false">C4060-C4061</f>
        <v>509.184</v>
      </c>
    </row>
    <row r="4063" customFormat="false" ht="15" hidden="false" customHeight="false" outlineLevel="0" collapsed="false">
      <c r="A4063" s="23" t="s">
        <v>456</v>
      </c>
      <c r="B4063" s="24"/>
      <c r="C4063" s="24"/>
      <c r="D4063" s="24"/>
      <c r="E4063" s="24"/>
      <c r="F4063" s="24"/>
      <c r="G4063" s="24"/>
      <c r="H4063" s="24"/>
      <c r="I4063" s="24"/>
      <c r="J4063" s="24"/>
      <c r="K4063" s="24"/>
    </row>
    <row r="4064" customFormat="false" ht="15" hidden="false" customHeight="false" outlineLevel="0" collapsed="false">
      <c r="A4064" s="5" t="s">
        <v>457</v>
      </c>
      <c r="C4064" s="25" t="n">
        <f aca="false">SUMPRODUCT($G$4052:$K$4052,$G$3943:$K$3943)*(1+SUMPRODUCT($G$4052:$K$4052,$G$3935:$K$3935)*Assumptions!$C$16/12)</f>
        <v>176.2773047</v>
      </c>
    </row>
    <row r="4065" customFormat="false" ht="15" hidden="false" customHeight="false" outlineLevel="0" collapsed="false">
      <c r="A4065" s="5" t="s">
        <v>458</v>
      </c>
      <c r="C4065" s="25" t="n">
        <f aca="false">SUMPRODUCT($G$4052:$K$4052,$G$3956:$K$3956)*(1+SUMPRODUCT($G$4052:$K$4052,$G$3948:$K$3948)*Assumptions!$C$16/12)</f>
        <v>524.3147</v>
      </c>
    </row>
    <row r="4066" customFormat="false" ht="15" hidden="false" customHeight="false" outlineLevel="0" collapsed="false">
      <c r="A4066" s="5" t="s">
        <v>459</v>
      </c>
      <c r="C4066" s="25" t="n">
        <f aca="false">SUMPRODUCT($G$4052:$K$4052,$G$3969:$K$3969)*(1+SUMPRODUCT($G$4052:$K$4052,$G$3961:$K$3961)*Assumptions!$C$16/12)</f>
        <v>256.875</v>
      </c>
    </row>
    <row r="4067" customFormat="false" ht="15" hidden="false" customHeight="false" outlineLevel="0" collapsed="false">
      <c r="A4067" s="5" t="s">
        <v>460</v>
      </c>
      <c r="C4067" s="25" t="n">
        <f aca="false">SUMPRODUCT($G$4052:$K$4052,$G$3982:$K$3982)*(1+SUMPRODUCT($G$4052:$K$4052,$G$3974:$K$3974)*Assumptions!$C$16/12)</f>
        <v>305.625</v>
      </c>
    </row>
    <row r="4068" customFormat="false" ht="15" hidden="false" customHeight="false" outlineLevel="0" collapsed="false">
      <c r="A4068" s="23" t="s">
        <v>461</v>
      </c>
      <c r="B4068" s="24"/>
      <c r="C4068" s="24"/>
      <c r="D4068" s="24"/>
      <c r="E4068" s="24"/>
      <c r="F4068" s="24"/>
      <c r="G4068" s="24"/>
      <c r="H4068" s="24"/>
      <c r="I4068" s="24"/>
      <c r="J4068" s="24"/>
      <c r="K4068" s="24"/>
    </row>
    <row r="4069" customFormat="false" ht="15" hidden="false" customHeight="false" outlineLevel="0" collapsed="false">
      <c r="A4069" s="5" t="s">
        <v>457</v>
      </c>
      <c r="C4069" s="26" t="n">
        <f aca="false">Assumptions!$M$53</f>
        <v>1</v>
      </c>
    </row>
    <row r="4070" customFormat="false" ht="15" hidden="false" customHeight="false" outlineLevel="0" collapsed="false">
      <c r="A4070" s="5" t="s">
        <v>458</v>
      </c>
      <c r="C4070" s="26" t="n">
        <f aca="false">Assumptions!$M$54</f>
        <v>2</v>
      </c>
    </row>
    <row r="4071" customFormat="false" ht="15" hidden="false" customHeight="false" outlineLevel="0" collapsed="false">
      <c r="A4071" s="5" t="s">
        <v>459</v>
      </c>
      <c r="C4071" s="26" t="n">
        <f aca="false">Assumptions!$M$55</f>
        <v>3</v>
      </c>
    </row>
    <row r="4072" customFormat="false" ht="15" hidden="false" customHeight="false" outlineLevel="0" collapsed="false">
      <c r="A4072" s="5" t="s">
        <v>460</v>
      </c>
      <c r="C4072" s="26" t="n">
        <f aca="false">Assumptions!$M$56</f>
        <v>4</v>
      </c>
    </row>
    <row r="4073" customFormat="false" ht="15" hidden="false" customHeight="false" outlineLevel="0" collapsed="false">
      <c r="A4073" s="23" t="s">
        <v>462</v>
      </c>
      <c r="B4073" s="24"/>
      <c r="C4073" s="24"/>
      <c r="D4073" s="24"/>
      <c r="E4073" s="24"/>
      <c r="F4073" s="24"/>
      <c r="G4073" s="24"/>
      <c r="H4073" s="24"/>
      <c r="I4073" s="24"/>
      <c r="J4073" s="24"/>
      <c r="K4073" s="24"/>
    </row>
    <row r="4074" customFormat="false" ht="15" hidden="false" customHeight="false" outlineLevel="0" collapsed="false">
      <c r="A4074" s="5" t="s">
        <v>457</v>
      </c>
      <c r="C4074" s="34" t="n">
        <f aca="false">Assumptions!$Q$53</f>
        <v>0</v>
      </c>
    </row>
    <row r="4075" customFormat="false" ht="15" hidden="false" customHeight="false" outlineLevel="0" collapsed="false">
      <c r="A4075" s="5" t="s">
        <v>458</v>
      </c>
      <c r="C4075" s="34" t="n">
        <f aca="false">Assumptions!$Q$54</f>
        <v>0</v>
      </c>
    </row>
    <row r="4076" customFormat="false" ht="15" hidden="false" customHeight="false" outlineLevel="0" collapsed="false">
      <c r="A4076" s="5" t="s">
        <v>459</v>
      </c>
      <c r="C4076" s="34" t="n">
        <f aca="false">Assumptions!$Q$55</f>
        <v>0</v>
      </c>
    </row>
    <row r="4077" customFormat="false" ht="15" hidden="false" customHeight="false" outlineLevel="0" collapsed="false">
      <c r="A4077" s="5" t="s">
        <v>460</v>
      </c>
      <c r="C4077" s="34" t="n">
        <f aca="false">Assumptions!$Q$56</f>
        <v>0</v>
      </c>
    </row>
    <row r="4078" customFormat="false" ht="15" hidden="false" customHeight="false" outlineLevel="0" collapsed="false">
      <c r="A4078" s="23" t="s">
        <v>463</v>
      </c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</row>
    <row r="4079" customFormat="false" ht="15" hidden="false" customHeight="false" outlineLevel="0" collapsed="false">
      <c r="A4079" s="5" t="s">
        <v>457</v>
      </c>
      <c r="C4079" s="25" t="n">
        <f aca="false">IF(C4074&gt;0,MIN(C4064,C4074*$C$4062),0)</f>
        <v>0</v>
      </c>
    </row>
    <row r="4080" customFormat="false" ht="15" hidden="false" customHeight="false" outlineLevel="0" collapsed="false">
      <c r="A4080" s="5" t="s">
        <v>458</v>
      </c>
      <c r="C4080" s="25" t="n">
        <f aca="false">IF(C4075&gt;0,MIN(C4065,C4075*$C$4062),0)</f>
        <v>0</v>
      </c>
    </row>
    <row r="4081" customFormat="false" ht="15" hidden="false" customHeight="false" outlineLevel="0" collapsed="false">
      <c r="A4081" s="5" t="s">
        <v>459</v>
      </c>
      <c r="C4081" s="25" t="n">
        <f aca="false">IF(C4076&gt;0,MIN(C4066,C4076*$C$4062),0)</f>
        <v>0</v>
      </c>
    </row>
    <row r="4082" customFormat="false" ht="15" hidden="false" customHeight="false" outlineLevel="0" collapsed="false">
      <c r="A4082" s="5" t="s">
        <v>460</v>
      </c>
      <c r="C4082" s="25" t="n">
        <f aca="false">IF(C4077&gt;0,MIN(C4067,C4077*$C$4062),0)</f>
        <v>0</v>
      </c>
    </row>
    <row r="4083" customFormat="false" ht="15" hidden="false" customHeight="false" outlineLevel="0" collapsed="false">
      <c r="A4083" s="23" t="s">
        <v>464</v>
      </c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</row>
    <row r="4084" customFormat="false" ht="15" hidden="false" customHeight="false" outlineLevel="0" collapsed="false">
      <c r="A4084" s="5" t="s">
        <v>457</v>
      </c>
      <c r="C4084" s="25" t="n">
        <f aca="false">IF(C4074&gt;0,C4064-C4079,0)</f>
        <v>0</v>
      </c>
      <c r="G4084" s="20" t="n">
        <f aca="false">IF(AND(G3933=1,G3930=1),1,0)</f>
        <v>0</v>
      </c>
      <c r="H4084" s="20" t="n">
        <f aca="false">IF(G4084=1,1,IF(AND(H3933=1,H3930=1),1,0))</f>
        <v>0</v>
      </c>
      <c r="I4084" s="20" t="n">
        <f aca="false">IF(H4084=1,1,IF(AND(I3933=1,I3930=1),1,0))</f>
        <v>0</v>
      </c>
      <c r="J4084" s="20" t="n">
        <f aca="false">IF(I4084=1,1,IF(AND(J3933=1,J3930=1),1,0))</f>
        <v>0</v>
      </c>
      <c r="K4084" s="20" t="n">
        <f aca="false">IF(J4084=1,1,IF(AND(K3933=1,K3930=1),1,0))</f>
        <v>0</v>
      </c>
    </row>
    <row r="4085" customFormat="false" ht="15" hidden="false" customHeight="false" outlineLevel="0" collapsed="false">
      <c r="A4085" s="5" t="s">
        <v>458</v>
      </c>
      <c r="C4085" s="25" t="n">
        <f aca="false">IF(C4075&gt;0,C4065-C4080,0)</f>
        <v>0</v>
      </c>
      <c r="G4085" s="20" t="n">
        <f aca="false">IF(AND(G3946=1,G3930=1),1,0)</f>
        <v>0</v>
      </c>
      <c r="H4085" s="20" t="n">
        <f aca="false">IF(G4085=1,1,IF(AND(H3946=1,H3930=1),1,0))</f>
        <v>0</v>
      </c>
      <c r="I4085" s="20" t="n">
        <f aca="false">IF(H4085=1,1,IF(AND(I3946=1,I3930=1),1,0))</f>
        <v>0</v>
      </c>
      <c r="J4085" s="20" t="n">
        <f aca="false">IF(I4085=1,1,IF(AND(J3946=1,J3930=1),1,0))</f>
        <v>0</v>
      </c>
      <c r="K4085" s="20" t="n">
        <f aca="false">IF(J4085=1,1,IF(AND(K3946=1,K3930=1),1,0))</f>
        <v>0</v>
      </c>
    </row>
    <row r="4086" customFormat="false" ht="15" hidden="false" customHeight="false" outlineLevel="0" collapsed="false">
      <c r="A4086" s="5" t="s">
        <v>459</v>
      </c>
      <c r="C4086" s="25" t="n">
        <f aca="false">IF(C4076&gt;0,C4066-C4081,0)</f>
        <v>0</v>
      </c>
      <c r="G4086" s="20" t="n">
        <f aca="false">IF(AND(G3959=1,G3930=1),1,0)</f>
        <v>0</v>
      </c>
      <c r="H4086" s="20" t="n">
        <f aca="false">IF(G4086=1,1,IF(AND(H3959=1,H3930=1),1,0))</f>
        <v>0</v>
      </c>
      <c r="I4086" s="20" t="n">
        <f aca="false">IF(H4086=1,1,IF(AND(I3959=1,I3930=1),1,0))</f>
        <v>0</v>
      </c>
      <c r="J4086" s="20" t="n">
        <f aca="false">IF(I4086=1,1,IF(AND(J3959=1,J3930=1),1,0))</f>
        <v>0</v>
      </c>
      <c r="K4086" s="20" t="n">
        <f aca="false">IF(J4086=1,1,IF(AND(K3959=1,K3930=1),1,0))</f>
        <v>0</v>
      </c>
    </row>
    <row r="4087" customFormat="false" ht="15" hidden="false" customHeight="false" outlineLevel="0" collapsed="false">
      <c r="A4087" s="5" t="s">
        <v>460</v>
      </c>
      <c r="C4087" s="25" t="n">
        <f aca="false">IF(C4077&gt;0,C4067-C4082,0)</f>
        <v>0</v>
      </c>
      <c r="G4087" s="20" t="n">
        <f aca="false">IF(AND(G3972=1,G3930=1),1,0)</f>
        <v>0</v>
      </c>
      <c r="H4087" s="20" t="n">
        <f aca="false">IF(G4087=1,1,IF(AND(H3972=1,H3930=1),1,0))</f>
        <v>0</v>
      </c>
      <c r="I4087" s="20" t="n">
        <f aca="false">IF(H4087=1,1,IF(AND(I3972=1,I3930=1),1,0))</f>
        <v>0</v>
      </c>
      <c r="J4087" s="20" t="n">
        <f aca="false">IF(I4087=1,1,IF(AND(J3972=1,J3930=1),1,0))</f>
        <v>0</v>
      </c>
      <c r="K4087" s="20" t="n">
        <f aca="false">IF(J4087=1,1,IF(AND(K3972=1,K3930=1),1,0))</f>
        <v>0</v>
      </c>
    </row>
    <row r="4088" customFormat="false" ht="15" hidden="false" customHeight="false" outlineLevel="0" collapsed="false">
      <c r="A4088" s="23" t="s">
        <v>465</v>
      </c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</row>
    <row r="4089" customFormat="false" ht="15" hidden="false" customHeight="false" outlineLevel="0" collapsed="false">
      <c r="A4089" s="5" t="s">
        <v>457</v>
      </c>
      <c r="C4089" s="25" t="n">
        <f aca="false">IF(C4074&gt;0,C4084,C4064)</f>
        <v>176.2773047</v>
      </c>
    </row>
    <row r="4090" customFormat="false" ht="15" hidden="false" customHeight="false" outlineLevel="0" collapsed="false">
      <c r="A4090" s="5" t="s">
        <v>458</v>
      </c>
      <c r="C4090" s="25" t="n">
        <f aca="false">IF(C4075&gt;0,C4085,C4065)</f>
        <v>524.3147</v>
      </c>
    </row>
    <row r="4091" customFormat="false" ht="15" hidden="false" customHeight="false" outlineLevel="0" collapsed="false">
      <c r="A4091" s="5" t="s">
        <v>459</v>
      </c>
      <c r="C4091" s="25" t="n">
        <f aca="false">IF(C4076&gt;0,C4086,C4066)</f>
        <v>256.875</v>
      </c>
    </row>
    <row r="4092" customFormat="false" ht="15" hidden="false" customHeight="false" outlineLevel="0" collapsed="false">
      <c r="A4092" s="5" t="s">
        <v>460</v>
      </c>
      <c r="C4092" s="25" t="n">
        <f aca="false">IF(C4077&gt;0,C4087,C4067)</f>
        <v>305.625</v>
      </c>
    </row>
    <row r="4093" customFormat="false" ht="15" hidden="false" customHeight="false" outlineLevel="0" collapsed="false">
      <c r="A4093" s="23" t="s">
        <v>466</v>
      </c>
      <c r="B4093" s="24"/>
      <c r="C4093" s="24"/>
      <c r="D4093" s="24"/>
      <c r="E4093" s="24"/>
      <c r="F4093" s="24"/>
      <c r="G4093" s="24"/>
      <c r="H4093" s="24"/>
      <c r="I4093" s="24"/>
      <c r="J4093" s="24"/>
      <c r="K4093" s="24"/>
    </row>
    <row r="4094" customFormat="false" ht="15" hidden="false" customHeight="false" outlineLevel="0" collapsed="false">
      <c r="A4094" s="5" t="s">
        <v>457</v>
      </c>
      <c r="C4094" s="20" t="n">
        <f aca="false">IF(C4074&gt;0,Assumptions!$C$17,C4069)</f>
        <v>1</v>
      </c>
    </row>
    <row r="4095" customFormat="false" ht="15" hidden="false" customHeight="false" outlineLevel="0" collapsed="false">
      <c r="A4095" s="5" t="s">
        <v>458</v>
      </c>
      <c r="C4095" s="20" t="n">
        <f aca="false">IF(C4075&gt;0,Assumptions!$C$17,C4070)</f>
        <v>2</v>
      </c>
    </row>
    <row r="4096" customFormat="false" ht="15" hidden="false" customHeight="false" outlineLevel="0" collapsed="false">
      <c r="A4096" s="5" t="s">
        <v>459</v>
      </c>
      <c r="C4096" s="20" t="n">
        <f aca="false">IF(C4076&gt;0,Assumptions!$C$17,C4071)</f>
        <v>3</v>
      </c>
    </row>
    <row r="4097" customFormat="false" ht="15" hidden="false" customHeight="false" outlineLevel="0" collapsed="false">
      <c r="A4097" s="5" t="s">
        <v>460</v>
      </c>
      <c r="C4097" s="20" t="n">
        <f aca="false">IF(C4077&gt;0,Assumptions!$C$17,C4072)</f>
        <v>4</v>
      </c>
    </row>
    <row r="4098" customFormat="false" ht="15" hidden="false" customHeight="false" outlineLevel="0" collapsed="false">
      <c r="A4098" s="23" t="s">
        <v>467</v>
      </c>
      <c r="B4098" s="24"/>
      <c r="C4098" s="24"/>
      <c r="D4098" s="24"/>
      <c r="E4098" s="24"/>
      <c r="F4098" s="24"/>
      <c r="G4098" s="24"/>
      <c r="H4098" s="24"/>
      <c r="I4098" s="24"/>
      <c r="J4098" s="24"/>
      <c r="K4098" s="24"/>
    </row>
    <row r="4099" customFormat="false" ht="15" hidden="false" customHeight="false" outlineLevel="0" collapsed="false">
      <c r="A4099" s="5" t="s">
        <v>457</v>
      </c>
      <c r="C4099" s="25" t="n">
        <f aca="false">SUMPRODUCT(($C$4094:$C$4097&lt;C4094)*$C$4089:$C$4092)</f>
        <v>0</v>
      </c>
    </row>
    <row r="4100" customFormat="false" ht="15" hidden="false" customHeight="false" outlineLevel="0" collapsed="false">
      <c r="A4100" s="5" t="s">
        <v>458</v>
      </c>
      <c r="C4100" s="25" t="n">
        <f aca="false">SUMPRODUCT(($C$4094:$C$4097&lt;C4095)*$C$4089:$C$4092)</f>
        <v>176.2773047</v>
      </c>
    </row>
    <row r="4101" customFormat="false" ht="15" hidden="false" customHeight="false" outlineLevel="0" collapsed="false">
      <c r="A4101" s="5" t="s">
        <v>459</v>
      </c>
      <c r="C4101" s="25" t="n">
        <f aca="false">SUMPRODUCT(($C$4094:$C$4097&lt;C4096)*$C$4089:$C$4092)</f>
        <v>700.5920047</v>
      </c>
    </row>
    <row r="4102" customFormat="false" ht="15" hidden="false" customHeight="false" outlineLevel="0" collapsed="false">
      <c r="A4102" s="5" t="s">
        <v>460</v>
      </c>
      <c r="C4102" s="25" t="n">
        <f aca="false">SUMPRODUCT(($C$4094:$C$4097&lt;C4097)*$C$4089:$C$4092)</f>
        <v>957.4670047</v>
      </c>
    </row>
    <row r="4103" customFormat="false" ht="15" hidden="false" customHeight="false" outlineLevel="0" collapsed="false">
      <c r="A4103" s="23" t="s">
        <v>468</v>
      </c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</row>
    <row r="4104" customFormat="false" ht="15" hidden="false" customHeight="false" outlineLevel="0" collapsed="false">
      <c r="A4104" s="5" t="s">
        <v>457</v>
      </c>
      <c r="C4104" s="25" t="n">
        <f aca="false">SUMPRODUCT(($C$4094:$C$4097=C4094)*$C$4089:$C$4092)</f>
        <v>176.2773047</v>
      </c>
    </row>
    <row r="4105" customFormat="false" ht="15" hidden="false" customHeight="false" outlineLevel="0" collapsed="false">
      <c r="A4105" s="5" t="s">
        <v>458</v>
      </c>
      <c r="C4105" s="25" t="n">
        <f aca="false">SUMPRODUCT(($C$4094:$C$4097=C4095)*$C$4089:$C$4092)</f>
        <v>524.3147</v>
      </c>
    </row>
    <row r="4106" customFormat="false" ht="15" hidden="false" customHeight="false" outlineLevel="0" collapsed="false">
      <c r="A4106" s="5" t="s">
        <v>459</v>
      </c>
      <c r="C4106" s="25" t="n">
        <f aca="false">SUMPRODUCT(($C$4094:$C$4097=C4096)*$C$4089:$C$4092)</f>
        <v>256.875</v>
      </c>
    </row>
    <row r="4107" customFormat="false" ht="15" hidden="false" customHeight="false" outlineLevel="0" collapsed="false">
      <c r="A4107" s="5" t="s">
        <v>460</v>
      </c>
      <c r="C4107" s="25" t="n">
        <f aca="false">SUMPRODUCT(($C$4094:$C$4097=C4097)*$C$4089:$C$4092)</f>
        <v>305.625</v>
      </c>
    </row>
    <row r="4108" customFormat="false" ht="15" hidden="false" customHeight="false" outlineLevel="0" collapsed="false">
      <c r="A4108" s="23" t="s">
        <v>469</v>
      </c>
      <c r="B4108" s="24"/>
      <c r="C4108" s="24"/>
      <c r="D4108" s="24"/>
      <c r="E4108" s="24"/>
      <c r="F4108" s="24"/>
      <c r="G4108" s="24"/>
      <c r="H4108" s="24"/>
      <c r="I4108" s="24"/>
      <c r="J4108" s="24"/>
      <c r="K4108" s="24"/>
    </row>
    <row r="4109" customFormat="false" ht="15" hidden="false" customHeight="false" outlineLevel="0" collapsed="false">
      <c r="A4109" s="5" t="s">
        <v>457</v>
      </c>
      <c r="C4109" s="25" t="n">
        <f aca="false">IF(C4104=0,0,C4089/C4104*MAX(0,MIN(C4104,$C$4062-SUM($C$4079:$C$4082)-C4099)))</f>
        <v>176.2773047</v>
      </c>
    </row>
    <row r="4110" customFormat="false" ht="15" hidden="false" customHeight="false" outlineLevel="0" collapsed="false">
      <c r="A4110" s="5" t="s">
        <v>458</v>
      </c>
      <c r="C4110" s="25" t="n">
        <f aca="false">IF(C4105=0,0,C4090/C4105*MAX(0,MIN(C4105,$C$4062-SUM($C$4079:$C$4082)-C4100)))</f>
        <v>332.9066953</v>
      </c>
    </row>
    <row r="4111" customFormat="false" ht="15" hidden="false" customHeight="false" outlineLevel="0" collapsed="false">
      <c r="A4111" s="5" t="s">
        <v>459</v>
      </c>
      <c r="C4111" s="25" t="n">
        <f aca="false">IF(C4106=0,0,C4091/C4106*MAX(0,MIN(C4106,$C$4062-SUM($C$4079:$C$4082)-C4101)))</f>
        <v>0</v>
      </c>
    </row>
    <row r="4112" customFormat="false" ht="15" hidden="false" customHeight="false" outlineLevel="0" collapsed="false">
      <c r="A4112" s="5" t="s">
        <v>460</v>
      </c>
      <c r="C4112" s="25" t="n">
        <f aca="false">IF(C4107=0,0,C4092/C4107*MAX(0,MIN(C4107,$C$4062-SUM($C$4079:$C$4082)-C4102)))</f>
        <v>0</v>
      </c>
    </row>
    <row r="4113" customFormat="false" ht="15" hidden="false" customHeight="false" outlineLevel="0" collapsed="false">
      <c r="A4113" s="23" t="s">
        <v>470</v>
      </c>
      <c r="B4113" s="24"/>
      <c r="C4113" s="24"/>
      <c r="D4113" s="24"/>
      <c r="E4113" s="24"/>
      <c r="F4113" s="24"/>
      <c r="G4113" s="24"/>
      <c r="H4113" s="24"/>
      <c r="I4113" s="24"/>
      <c r="J4113" s="24"/>
      <c r="K4113" s="24"/>
    </row>
    <row r="4114" customFormat="false" ht="15" hidden="false" customHeight="false" outlineLevel="0" collapsed="false">
      <c r="A4114" s="2" t="s">
        <v>457</v>
      </c>
      <c r="C4114" s="16" t="n">
        <f aca="false">C4079+C4109</f>
        <v>176.2773047</v>
      </c>
    </row>
    <row r="4115" customFormat="false" ht="15" hidden="false" customHeight="false" outlineLevel="0" collapsed="false">
      <c r="A4115" s="2" t="s">
        <v>458</v>
      </c>
      <c r="C4115" s="16" t="n">
        <f aca="false">C4080+C4110</f>
        <v>332.9066953</v>
      </c>
    </row>
    <row r="4116" customFormat="false" ht="15" hidden="false" customHeight="false" outlineLevel="0" collapsed="false">
      <c r="A4116" s="2" t="s">
        <v>459</v>
      </c>
      <c r="C4116" s="16" t="n">
        <f aca="false">C4081+C4111</f>
        <v>0</v>
      </c>
    </row>
    <row r="4117" customFormat="false" ht="15" hidden="false" customHeight="false" outlineLevel="0" collapsed="false">
      <c r="A4117" s="2" t="s">
        <v>460</v>
      </c>
      <c r="C4117" s="16" t="n">
        <f aca="false">C4082+C4112</f>
        <v>0</v>
      </c>
    </row>
    <row r="4118" customFormat="false" ht="15" hidden="false" customHeight="false" outlineLevel="0" collapsed="false">
      <c r="A4118" s="23" t="s">
        <v>471</v>
      </c>
      <c r="B4118" s="24"/>
      <c r="C4118" s="24"/>
      <c r="D4118" s="24"/>
      <c r="E4118" s="24"/>
      <c r="F4118" s="24"/>
      <c r="G4118" s="24"/>
      <c r="H4118" s="24"/>
      <c r="I4118" s="24"/>
      <c r="J4118" s="24"/>
      <c r="K4118" s="24"/>
    </row>
    <row r="4119" customFormat="false" ht="15" hidden="false" customHeight="false" outlineLevel="0" collapsed="false">
      <c r="A4119" s="5" t="s">
        <v>457</v>
      </c>
      <c r="C4119" s="21" t="n">
        <f aca="false">IF(C4064=0,1,C4114/C4064)</f>
        <v>1</v>
      </c>
    </row>
    <row r="4120" customFormat="false" ht="15" hidden="false" customHeight="false" outlineLevel="0" collapsed="false">
      <c r="A4120" s="5" t="s">
        <v>458</v>
      </c>
      <c r="C4120" s="21" t="n">
        <f aca="false">IF(C4065=0,1,C4115/C4065)</f>
        <v>0.634936795210968</v>
      </c>
    </row>
    <row r="4121" customFormat="false" ht="15" hidden="false" customHeight="false" outlineLevel="0" collapsed="false">
      <c r="A4121" s="5" t="s">
        <v>459</v>
      </c>
      <c r="C4121" s="21" t="n">
        <f aca="false">IF(C4066=0,1,C4116/C4066)</f>
        <v>0</v>
      </c>
    </row>
    <row r="4122" customFormat="false" ht="15" hidden="false" customHeight="false" outlineLevel="0" collapsed="false">
      <c r="A4122" s="5" t="s">
        <v>460</v>
      </c>
      <c r="C4122" s="21" t="n">
        <f aca="false">IF(C4067=0,1,C4117/C4067)</f>
        <v>0</v>
      </c>
    </row>
    <row r="4123" customFormat="false" ht="15" hidden="false" customHeight="false" outlineLevel="0" collapsed="false">
      <c r="A4123" s="23" t="s">
        <v>472</v>
      </c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</row>
    <row r="4124" customFormat="false" ht="15" hidden="false" customHeight="false" outlineLevel="0" collapsed="false">
      <c r="A4124" s="5" t="s">
        <v>457</v>
      </c>
      <c r="C4124" s="25" t="n">
        <f aca="false">C4064-C4114</f>
        <v>0</v>
      </c>
    </row>
    <row r="4125" customFormat="false" ht="15" hidden="false" customHeight="false" outlineLevel="0" collapsed="false">
      <c r="A4125" s="5" t="s">
        <v>458</v>
      </c>
      <c r="C4125" s="25" t="n">
        <f aca="false">C4065-C4115</f>
        <v>191.4080047</v>
      </c>
    </row>
    <row r="4126" customFormat="false" ht="15" hidden="false" customHeight="false" outlineLevel="0" collapsed="false">
      <c r="A4126" s="5" t="s">
        <v>459</v>
      </c>
      <c r="C4126" s="25" t="n">
        <f aca="false">C4066-C4116</f>
        <v>256.875</v>
      </c>
    </row>
    <row r="4127" customFormat="false" ht="15" hidden="false" customHeight="false" outlineLevel="0" collapsed="false">
      <c r="A4127" s="5" t="s">
        <v>460</v>
      </c>
      <c r="C4127" s="25" t="n">
        <f aca="false">C4067-C4117</f>
        <v>305.625</v>
      </c>
    </row>
    <row r="4128" customFormat="false" ht="15" hidden="false" customHeight="false" outlineLevel="0" collapsed="false">
      <c r="A4128" s="23" t="s">
        <v>473</v>
      </c>
      <c r="B4128" s="24"/>
      <c r="C4128" s="24"/>
      <c r="D4128" s="24"/>
      <c r="E4128" s="24"/>
      <c r="F4128" s="24"/>
      <c r="G4128" s="24"/>
      <c r="H4128" s="24"/>
      <c r="I4128" s="24"/>
      <c r="J4128" s="24"/>
      <c r="K4128" s="24"/>
    </row>
    <row r="4129" customFormat="false" ht="15" hidden="false" customHeight="false" outlineLevel="0" collapsed="false">
      <c r="A4129" s="5" t="s">
        <v>457</v>
      </c>
      <c r="C4129" s="21" t="n">
        <f aca="false">IF(C4064=0,0,C4124/C4064)</f>
        <v>0</v>
      </c>
    </row>
    <row r="4130" customFormat="false" ht="15" hidden="false" customHeight="false" outlineLevel="0" collapsed="false">
      <c r="A4130" s="5" t="s">
        <v>458</v>
      </c>
      <c r="C4130" s="21" t="n">
        <f aca="false">IF(C4065=0,0,C4125/C4065)</f>
        <v>0.365063204789032</v>
      </c>
    </row>
    <row r="4131" customFormat="false" ht="15" hidden="false" customHeight="false" outlineLevel="0" collapsed="false">
      <c r="A4131" s="5" t="s">
        <v>459</v>
      </c>
      <c r="C4131" s="21" t="n">
        <f aca="false">IF(C4066=0,0,C4126/C4066)</f>
        <v>1</v>
      </c>
    </row>
    <row r="4132" customFormat="false" ht="15" hidden="false" customHeight="false" outlineLevel="0" collapsed="false">
      <c r="A4132" s="5" t="s">
        <v>460</v>
      </c>
      <c r="C4132" s="21" t="n">
        <f aca="false">IF(C4067=0,0,C4127/C4067)</f>
        <v>1</v>
      </c>
    </row>
    <row r="4133" customFormat="false" ht="15" hidden="false" customHeight="false" outlineLevel="0" collapsed="false">
      <c r="A4133" s="2" t="s">
        <v>474</v>
      </c>
      <c r="C4133" s="16" t="n">
        <f aca="false">MAX(0,$C$4062-SUM($C$4079:$C$4082)-SUM($C$4089:$C$4092))</f>
        <v>0</v>
      </c>
    </row>
    <row r="4134" customFormat="false" ht="15" hidden="false" customHeight="false" outlineLevel="0" collapsed="false">
      <c r="A4134" s="5" t="s">
        <v>475</v>
      </c>
      <c r="C4134" s="25" t="n">
        <f aca="false">SUM($C$4114:$C$4117)+C4133+C4061-C4060</f>
        <v>0</v>
      </c>
    </row>
    <row r="4136" customFormat="false" ht="15" hidden="false" customHeight="false" outlineLevel="0" collapsed="false">
      <c r="A4136" s="23" t="s">
        <v>478</v>
      </c>
      <c r="B4136" s="24"/>
      <c r="C4136" s="24"/>
      <c r="D4136" s="24"/>
      <c r="E4136" s="24"/>
      <c r="F4136" s="24"/>
      <c r="G4136" s="24"/>
      <c r="H4136" s="24"/>
      <c r="I4136" s="24"/>
      <c r="J4136" s="24"/>
      <c r="K4136" s="24"/>
    </row>
    <row r="4137" customFormat="false" ht="15" hidden="false" customHeight="false" outlineLevel="0" collapsed="false">
      <c r="A4137" s="5" t="s">
        <v>479</v>
      </c>
      <c r="C4137" s="26" t="n">
        <f aca="false">Assumptions!$C$30</f>
        <v>2</v>
      </c>
    </row>
    <row r="4138" customFormat="false" ht="15" hidden="false" customHeight="false" outlineLevel="0" collapsed="false">
      <c r="A4138" s="5" t="s">
        <v>480</v>
      </c>
      <c r="C4138" s="28" t="n">
        <f aca="false">Assumptions!$C$31</f>
        <v>100</v>
      </c>
    </row>
    <row r="4139" customFormat="false" ht="15" hidden="false" customHeight="false" outlineLevel="0" collapsed="false">
      <c r="A4139" s="5" t="s">
        <v>481</v>
      </c>
      <c r="C4139" s="39" t="n">
        <f aca="false">Assumptions!$C$32</f>
        <v>78</v>
      </c>
    </row>
    <row r="4140" customFormat="false" ht="15" hidden="false" customHeight="false" outlineLevel="0" collapsed="false">
      <c r="A4140" s="5" t="s">
        <v>482</v>
      </c>
      <c r="C4140" s="25" t="n">
        <f aca="false">C4138*C4139/100*(1+Assumptions!$C$33)</f>
        <v>78.39</v>
      </c>
    </row>
    <row r="4141" customFormat="false" ht="15" hidden="false" customHeight="false" outlineLevel="0" collapsed="false">
      <c r="A4141" s="5" t="s">
        <v>483</v>
      </c>
      <c r="C4141" s="26" t="n">
        <f aca="false">Assumptions!$C$34</f>
        <v>2</v>
      </c>
    </row>
    <row r="4142" customFormat="false" ht="15" hidden="false" customHeight="false" outlineLevel="0" collapsed="false">
      <c r="A4142" s="5" t="s">
        <v>484</v>
      </c>
      <c r="C4142" s="20" t="n">
        <f aca="false">IF(C4053=1,SUMPRODUCT($G$4021:$K$4021,$G$3897:$K$3897),0)</f>
        <v>2</v>
      </c>
    </row>
    <row r="4143" customFormat="false" ht="15" hidden="false" customHeight="false" outlineLevel="0" collapsed="false">
      <c r="A4143" s="5" t="s">
        <v>485</v>
      </c>
      <c r="C4143" s="21" t="n">
        <f aca="false">IFERROR(C4138/CHOOSE(C4137,SUMPRODUCT($G$4052:$K$4052,$G$3943:$K$3943),SUMPRODUCT($G$4052:$K$4052,$G$3956:$K$3956),SUMPRODUCT($G$4052:$K$4052,$G$3969:$K$3969),SUMPRODUCT($G$4052:$K$4052,$G$3982:$K$3982)),0)</f>
        <v>0.196232339089482</v>
      </c>
    </row>
    <row r="4144" customFormat="false" ht="15" hidden="false" customHeight="false" outlineLevel="0" collapsed="false">
      <c r="A4144" s="5" t="s">
        <v>486</v>
      </c>
      <c r="C4144" s="25" t="n">
        <f aca="false">CHOOSE(C4137,C4114,C4115,C4116,C4117)*C4143</f>
        <v>65.3270595172684</v>
      </c>
    </row>
    <row r="4145" customFormat="false" ht="15" hidden="false" customHeight="false" outlineLevel="0" collapsed="false">
      <c r="A4145" s="5" t="s">
        <v>487</v>
      </c>
      <c r="C4145" s="21" t="n">
        <f aca="false">CHOOSE(C4137,C4119,C4120,C4121,C4122)</f>
        <v>0.634936795210968</v>
      </c>
    </row>
    <row r="4146" customFormat="false" ht="15" hidden="false" customHeight="false" outlineLevel="0" collapsed="false">
      <c r="A4146" s="5" t="s">
        <v>488</v>
      </c>
      <c r="C4146" s="20" t="n">
        <f aca="false">IF(C4053=1,C4142,C4141)</f>
        <v>2</v>
      </c>
    </row>
    <row r="4147" customFormat="false" ht="15" hidden="false" customHeight="false" outlineLevel="0" collapsed="false">
      <c r="A4147" s="5" t="s">
        <v>489</v>
      </c>
      <c r="C4147" s="33" t="n">
        <f aca="false">CHOOSE($C$3889,Assumptions!$C$77,Assumptions!$C$96,Assumptions!$C$115)</f>
        <v>90</v>
      </c>
    </row>
    <row r="4148" customFormat="false" ht="15" hidden="false" customHeight="false" outlineLevel="0" collapsed="false">
      <c r="A4148" s="5" t="s">
        <v>490</v>
      </c>
      <c r="C4148" s="25" t="n">
        <f aca="false">INDEX($G$3906:$K$3906,C4141)*CHOOSE($C$3889,Assumptions!$C$76,Assumptions!$C$95,Assumptions!$C$114)+MAX(0,INDEX($G$4018:$K$4018,C4141))</f>
        <v>457.197672</v>
      </c>
    </row>
    <row r="4149" customFormat="false" ht="15" hidden="false" customHeight="false" outlineLevel="0" collapsed="false">
      <c r="A4149" s="23" t="s">
        <v>491</v>
      </c>
      <c r="B4149" s="24"/>
      <c r="C4149" s="24"/>
      <c r="D4149" s="24"/>
      <c r="E4149" s="24"/>
      <c r="F4149" s="24"/>
      <c r="G4149" s="24"/>
      <c r="H4149" s="24"/>
      <c r="I4149" s="24"/>
      <c r="J4149" s="24"/>
      <c r="K4149" s="24"/>
    </row>
    <row r="4150" customFormat="false" ht="15" hidden="false" customHeight="false" outlineLevel="0" collapsed="false">
      <c r="A4150" s="5" t="s">
        <v>457</v>
      </c>
      <c r="C4150" s="25" t="n">
        <f aca="false">INDEX($G$3943:$K$3943,C4141)</f>
        <v>172.0408</v>
      </c>
    </row>
    <row r="4151" customFormat="false" ht="15" hidden="false" customHeight="false" outlineLevel="0" collapsed="false">
      <c r="A4151" s="5" t="s">
        <v>458</v>
      </c>
      <c r="C4151" s="25" t="n">
        <f aca="false">INDEX($G$3956:$K$3956,C4141)</f>
        <v>509.6</v>
      </c>
    </row>
    <row r="4152" customFormat="false" ht="15" hidden="false" customHeight="false" outlineLevel="0" collapsed="false">
      <c r="A4152" s="5" t="s">
        <v>459</v>
      </c>
      <c r="C4152" s="25" t="n">
        <f aca="false">INDEX($G$3969:$K$3969,C4141)</f>
        <v>250</v>
      </c>
    </row>
    <row r="4153" customFormat="false" ht="15" hidden="false" customHeight="false" outlineLevel="0" collapsed="false">
      <c r="A4153" s="5" t="s">
        <v>460</v>
      </c>
      <c r="C4153" s="25" t="n">
        <f aca="false">INDEX($G$3982:$K$3982,C4141)</f>
        <v>300</v>
      </c>
    </row>
    <row r="4154" customFormat="false" ht="15" hidden="false" customHeight="false" outlineLevel="0" collapsed="false">
      <c r="A4154" s="23" t="s">
        <v>461</v>
      </c>
      <c r="B4154" s="24"/>
      <c r="C4154" s="24"/>
      <c r="D4154" s="24"/>
      <c r="E4154" s="24"/>
      <c r="F4154" s="24"/>
      <c r="G4154" s="24"/>
      <c r="H4154" s="24"/>
      <c r="I4154" s="24"/>
      <c r="J4154" s="24"/>
      <c r="K4154" s="24"/>
    </row>
    <row r="4155" customFormat="false" ht="15" hidden="false" customHeight="false" outlineLevel="0" collapsed="false">
      <c r="A4155" s="5" t="s">
        <v>457</v>
      </c>
      <c r="C4155" s="26" t="n">
        <f aca="false">Assumptions!$M$53</f>
        <v>1</v>
      </c>
    </row>
    <row r="4156" customFormat="false" ht="15" hidden="false" customHeight="false" outlineLevel="0" collapsed="false">
      <c r="A4156" s="5" t="s">
        <v>458</v>
      </c>
      <c r="C4156" s="26" t="n">
        <f aca="false">Assumptions!$M$54</f>
        <v>2</v>
      </c>
    </row>
    <row r="4157" customFormat="false" ht="15" hidden="false" customHeight="false" outlineLevel="0" collapsed="false">
      <c r="A4157" s="5" t="s">
        <v>459</v>
      </c>
      <c r="C4157" s="26" t="n">
        <f aca="false">Assumptions!$M$55</f>
        <v>3</v>
      </c>
    </row>
    <row r="4158" customFormat="false" ht="15" hidden="false" customHeight="false" outlineLevel="0" collapsed="false">
      <c r="A4158" s="5" t="s">
        <v>460</v>
      </c>
      <c r="C4158" s="26" t="n">
        <f aca="false">Assumptions!$M$56</f>
        <v>4</v>
      </c>
    </row>
    <row r="4159" customFormat="false" ht="15" hidden="false" customHeight="false" outlineLevel="0" collapsed="false">
      <c r="A4159" s="23" t="s">
        <v>462</v>
      </c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</row>
    <row r="4160" customFormat="false" ht="15" hidden="false" customHeight="false" outlineLevel="0" collapsed="false">
      <c r="A4160" s="5" t="s">
        <v>457</v>
      </c>
      <c r="C4160" s="34" t="n">
        <f aca="false">Assumptions!$Q$53</f>
        <v>0</v>
      </c>
    </row>
    <row r="4161" customFormat="false" ht="15" hidden="false" customHeight="false" outlineLevel="0" collapsed="false">
      <c r="A4161" s="5" t="s">
        <v>458</v>
      </c>
      <c r="C4161" s="34" t="n">
        <f aca="false">Assumptions!$Q$54</f>
        <v>0</v>
      </c>
    </row>
    <row r="4162" customFormat="false" ht="15" hidden="false" customHeight="false" outlineLevel="0" collapsed="false">
      <c r="A4162" s="5" t="s">
        <v>459</v>
      </c>
      <c r="C4162" s="34" t="n">
        <f aca="false">Assumptions!$Q$55</f>
        <v>0</v>
      </c>
    </row>
    <row r="4163" customFormat="false" ht="15" hidden="false" customHeight="false" outlineLevel="0" collapsed="false">
      <c r="A4163" s="5" t="s">
        <v>460</v>
      </c>
      <c r="C4163" s="34" t="n">
        <f aca="false">Assumptions!$Q$56</f>
        <v>0</v>
      </c>
    </row>
    <row r="4164" customFormat="false" ht="15" hidden="false" customHeight="false" outlineLevel="0" collapsed="false">
      <c r="A4164" s="23" t="s">
        <v>463</v>
      </c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</row>
    <row r="4165" customFormat="false" ht="15" hidden="false" customHeight="false" outlineLevel="0" collapsed="false">
      <c r="A4165" s="5" t="s">
        <v>457</v>
      </c>
      <c r="C4165" s="25" t="n">
        <f aca="false">IF(C4160&gt;0,MIN(C4150,C4160*$C$4148),0)</f>
        <v>0</v>
      </c>
    </row>
    <row r="4166" customFormat="false" ht="15" hidden="false" customHeight="false" outlineLevel="0" collapsed="false">
      <c r="A4166" s="5" t="s">
        <v>458</v>
      </c>
      <c r="C4166" s="25" t="n">
        <f aca="false">IF(C4161&gt;0,MIN(C4151,C4161*$C$4148),0)</f>
        <v>0</v>
      </c>
    </row>
    <row r="4167" customFormat="false" ht="15" hidden="false" customHeight="false" outlineLevel="0" collapsed="false">
      <c r="A4167" s="5" t="s">
        <v>459</v>
      </c>
      <c r="C4167" s="25" t="n">
        <f aca="false">IF(C4162&gt;0,MIN(C4152,C4162*$C$4148),0)</f>
        <v>0</v>
      </c>
    </row>
    <row r="4168" customFormat="false" ht="15" hidden="false" customHeight="false" outlineLevel="0" collapsed="false">
      <c r="A4168" s="5" t="s">
        <v>460</v>
      </c>
      <c r="C4168" s="25" t="n">
        <f aca="false">IF(C4163&gt;0,MIN(C4153,C4163*$C$4148),0)</f>
        <v>0</v>
      </c>
    </row>
    <row r="4169" customFormat="false" ht="15" hidden="false" customHeight="false" outlineLevel="0" collapsed="false">
      <c r="A4169" s="23" t="s">
        <v>464</v>
      </c>
      <c r="B4169" s="24"/>
      <c r="C4169" s="24"/>
      <c r="D4169" s="24"/>
      <c r="E4169" s="24"/>
      <c r="F4169" s="24"/>
      <c r="G4169" s="24"/>
      <c r="H4169" s="24"/>
      <c r="I4169" s="24"/>
      <c r="J4169" s="24"/>
      <c r="K4169" s="24"/>
    </row>
    <row r="4170" customFormat="false" ht="15" hidden="false" customHeight="false" outlineLevel="0" collapsed="false">
      <c r="A4170" s="5" t="s">
        <v>457</v>
      </c>
      <c r="C4170" s="25" t="n">
        <f aca="false">IF(C4160&gt;0,C4150-C4165,0)</f>
        <v>0</v>
      </c>
    </row>
    <row r="4171" customFormat="false" ht="15" hidden="false" customHeight="false" outlineLevel="0" collapsed="false">
      <c r="A4171" s="5" t="s">
        <v>458</v>
      </c>
      <c r="C4171" s="25" t="n">
        <f aca="false">IF(C4161&gt;0,C4151-C4166,0)</f>
        <v>0</v>
      </c>
    </row>
    <row r="4172" customFormat="false" ht="15" hidden="false" customHeight="false" outlineLevel="0" collapsed="false">
      <c r="A4172" s="5" t="s">
        <v>459</v>
      </c>
      <c r="C4172" s="25" t="n">
        <f aca="false">IF(C4162&gt;0,C4152-C4167,0)</f>
        <v>0</v>
      </c>
    </row>
    <row r="4173" customFormat="false" ht="15" hidden="false" customHeight="false" outlineLevel="0" collapsed="false">
      <c r="A4173" s="5" t="s">
        <v>460</v>
      </c>
      <c r="C4173" s="25" t="n">
        <f aca="false">IF(C4163&gt;0,C4153-C4168,0)</f>
        <v>0</v>
      </c>
    </row>
    <row r="4174" customFormat="false" ht="15" hidden="false" customHeight="false" outlineLevel="0" collapsed="false">
      <c r="A4174" s="23" t="s">
        <v>465</v>
      </c>
      <c r="B4174" s="24"/>
      <c r="C4174" s="24"/>
      <c r="D4174" s="24"/>
      <c r="E4174" s="24"/>
      <c r="F4174" s="24"/>
      <c r="G4174" s="24"/>
      <c r="H4174" s="24"/>
      <c r="I4174" s="24"/>
      <c r="J4174" s="24"/>
      <c r="K4174" s="24"/>
    </row>
    <row r="4175" customFormat="false" ht="15" hidden="false" customHeight="false" outlineLevel="0" collapsed="false">
      <c r="A4175" s="5" t="s">
        <v>457</v>
      </c>
      <c r="C4175" s="25" t="n">
        <f aca="false">IF(C4160&gt;0,C4170,C4150)</f>
        <v>172.0408</v>
      </c>
    </row>
    <row r="4176" customFormat="false" ht="15" hidden="false" customHeight="false" outlineLevel="0" collapsed="false">
      <c r="A4176" s="5" t="s">
        <v>458</v>
      </c>
      <c r="C4176" s="25" t="n">
        <f aca="false">IF(C4161&gt;0,C4171,C4151)</f>
        <v>509.6</v>
      </c>
    </row>
    <row r="4177" customFormat="false" ht="15" hidden="false" customHeight="false" outlineLevel="0" collapsed="false">
      <c r="A4177" s="5" t="s">
        <v>459</v>
      </c>
      <c r="C4177" s="25" t="n">
        <f aca="false">IF(C4162&gt;0,C4172,C4152)</f>
        <v>250</v>
      </c>
    </row>
    <row r="4178" customFormat="false" ht="15" hidden="false" customHeight="false" outlineLevel="0" collapsed="false">
      <c r="A4178" s="5" t="s">
        <v>460</v>
      </c>
      <c r="C4178" s="25" t="n">
        <f aca="false">IF(C4163&gt;0,C4173,C4153)</f>
        <v>300</v>
      </c>
    </row>
    <row r="4179" customFormat="false" ht="15" hidden="false" customHeight="false" outlineLevel="0" collapsed="false">
      <c r="A4179" s="23" t="s">
        <v>466</v>
      </c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</row>
    <row r="4180" customFormat="false" ht="15" hidden="false" customHeight="false" outlineLevel="0" collapsed="false">
      <c r="A4180" s="5" t="s">
        <v>457</v>
      </c>
      <c r="C4180" s="20" t="n">
        <f aca="false">IF(C4160&gt;0,Assumptions!$C$17,C4155)</f>
        <v>1</v>
      </c>
    </row>
    <row r="4181" customFormat="false" ht="15" hidden="false" customHeight="false" outlineLevel="0" collapsed="false">
      <c r="A4181" s="5" t="s">
        <v>458</v>
      </c>
      <c r="C4181" s="20" t="n">
        <f aca="false">IF(C4161&gt;0,Assumptions!$C$17,C4156)</f>
        <v>2</v>
      </c>
    </row>
    <row r="4182" customFormat="false" ht="15" hidden="false" customHeight="false" outlineLevel="0" collapsed="false">
      <c r="A4182" s="5" t="s">
        <v>459</v>
      </c>
      <c r="C4182" s="20" t="n">
        <f aca="false">IF(C4162&gt;0,Assumptions!$C$17,C4157)</f>
        <v>3</v>
      </c>
    </row>
    <row r="4183" customFormat="false" ht="15" hidden="false" customHeight="false" outlineLevel="0" collapsed="false">
      <c r="A4183" s="5" t="s">
        <v>460</v>
      </c>
      <c r="C4183" s="20" t="n">
        <f aca="false">IF(C4163&gt;0,Assumptions!$C$17,C4158)</f>
        <v>4</v>
      </c>
    </row>
    <row r="4184" customFormat="false" ht="15" hidden="false" customHeight="false" outlineLevel="0" collapsed="false">
      <c r="A4184" s="23" t="s">
        <v>467</v>
      </c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</row>
    <row r="4185" customFormat="false" ht="15" hidden="false" customHeight="false" outlineLevel="0" collapsed="false">
      <c r="A4185" s="5" t="s">
        <v>457</v>
      </c>
      <c r="C4185" s="25" t="n">
        <f aca="false">SUMPRODUCT(($C$4180:$C$4183&lt;C4180)*$C$4175:$C$4178)</f>
        <v>0</v>
      </c>
    </row>
    <row r="4186" customFormat="false" ht="15" hidden="false" customHeight="false" outlineLevel="0" collapsed="false">
      <c r="A4186" s="5" t="s">
        <v>458</v>
      </c>
      <c r="C4186" s="25" t="n">
        <f aca="false">SUMPRODUCT(($C$4180:$C$4183&lt;C4181)*$C$4175:$C$4178)</f>
        <v>172.0408</v>
      </c>
    </row>
    <row r="4187" customFormat="false" ht="15" hidden="false" customHeight="false" outlineLevel="0" collapsed="false">
      <c r="A4187" s="5" t="s">
        <v>459</v>
      </c>
      <c r="C4187" s="25" t="n">
        <f aca="false">SUMPRODUCT(($C$4180:$C$4183&lt;C4182)*$C$4175:$C$4178)</f>
        <v>681.6408</v>
      </c>
    </row>
    <row r="4188" customFormat="false" ht="15" hidden="false" customHeight="false" outlineLevel="0" collapsed="false">
      <c r="A4188" s="5" t="s">
        <v>460</v>
      </c>
      <c r="C4188" s="25" t="n">
        <f aca="false">SUMPRODUCT(($C$4180:$C$4183&lt;C4183)*$C$4175:$C$4178)</f>
        <v>931.6408</v>
      </c>
    </row>
    <row r="4189" customFormat="false" ht="15" hidden="false" customHeight="false" outlineLevel="0" collapsed="false">
      <c r="A4189" s="23" t="s">
        <v>468</v>
      </c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</row>
    <row r="4190" customFormat="false" ht="15" hidden="false" customHeight="false" outlineLevel="0" collapsed="false">
      <c r="A4190" s="5" t="s">
        <v>457</v>
      </c>
      <c r="C4190" s="25" t="n">
        <f aca="false">SUMPRODUCT(($C$4180:$C$4183=C4180)*$C$4175:$C$4178)</f>
        <v>172.0408</v>
      </c>
    </row>
    <row r="4191" customFormat="false" ht="15" hidden="false" customHeight="false" outlineLevel="0" collapsed="false">
      <c r="A4191" s="5" t="s">
        <v>458</v>
      </c>
      <c r="C4191" s="25" t="n">
        <f aca="false">SUMPRODUCT(($C$4180:$C$4183=C4181)*$C$4175:$C$4178)</f>
        <v>509.6</v>
      </c>
    </row>
    <row r="4192" customFormat="false" ht="15" hidden="false" customHeight="false" outlineLevel="0" collapsed="false">
      <c r="A4192" s="5" t="s">
        <v>459</v>
      </c>
      <c r="C4192" s="25" t="n">
        <f aca="false">SUMPRODUCT(($C$4180:$C$4183=C4182)*$C$4175:$C$4178)</f>
        <v>250</v>
      </c>
    </row>
    <row r="4193" customFormat="false" ht="15" hidden="false" customHeight="false" outlineLevel="0" collapsed="false">
      <c r="A4193" s="5" t="s">
        <v>460</v>
      </c>
      <c r="C4193" s="25" t="n">
        <f aca="false">SUMPRODUCT(($C$4180:$C$4183=C4183)*$C$4175:$C$4178)</f>
        <v>300</v>
      </c>
    </row>
    <row r="4194" customFormat="false" ht="15" hidden="false" customHeight="false" outlineLevel="0" collapsed="false">
      <c r="A4194" s="23" t="s">
        <v>469</v>
      </c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</row>
    <row r="4195" customFormat="false" ht="15" hidden="false" customHeight="false" outlineLevel="0" collapsed="false">
      <c r="A4195" s="5" t="s">
        <v>457</v>
      </c>
      <c r="C4195" s="25" t="n">
        <f aca="false">IF(C4190=0,0,C4175/C4190*MAX(0,MIN(C4190,$C$4148-SUM($C$4165:$C$4168)-C4185)))</f>
        <v>172.0408</v>
      </c>
    </row>
    <row r="4196" customFormat="false" ht="15" hidden="false" customHeight="false" outlineLevel="0" collapsed="false">
      <c r="A4196" s="5" t="s">
        <v>458</v>
      </c>
      <c r="C4196" s="25" t="n">
        <f aca="false">IF(C4191=0,0,C4176/C4191*MAX(0,MIN(C4191,$C$4148-SUM($C$4165:$C$4168)-C4186)))</f>
        <v>285.156872</v>
      </c>
    </row>
    <row r="4197" customFormat="false" ht="15" hidden="false" customHeight="false" outlineLevel="0" collapsed="false">
      <c r="A4197" s="5" t="s">
        <v>459</v>
      </c>
      <c r="C4197" s="25" t="n">
        <f aca="false">IF(C4192=0,0,C4177/C4192*MAX(0,MIN(C4192,$C$4148-SUM($C$4165:$C$4168)-C4187)))</f>
        <v>0</v>
      </c>
    </row>
    <row r="4198" customFormat="false" ht="15" hidden="false" customHeight="false" outlineLevel="0" collapsed="false">
      <c r="A4198" s="5" t="s">
        <v>460</v>
      </c>
      <c r="C4198" s="25" t="n">
        <f aca="false">IF(C4193=0,0,C4178/C4193*MAX(0,MIN(C4193,$C$4148-SUM($C$4165:$C$4168)-C4188)))</f>
        <v>0</v>
      </c>
    </row>
    <row r="4199" customFormat="false" ht="15" hidden="false" customHeight="false" outlineLevel="0" collapsed="false">
      <c r="A4199" s="23" t="s">
        <v>470</v>
      </c>
      <c r="B4199" s="24"/>
      <c r="C4199" s="24"/>
      <c r="D4199" s="24"/>
      <c r="E4199" s="24"/>
      <c r="F4199" s="24"/>
      <c r="G4199" s="24"/>
      <c r="H4199" s="24"/>
      <c r="I4199" s="24"/>
      <c r="J4199" s="24"/>
      <c r="K4199" s="24"/>
    </row>
    <row r="4200" customFormat="false" ht="15" hidden="false" customHeight="false" outlineLevel="0" collapsed="false">
      <c r="A4200" s="2" t="s">
        <v>457</v>
      </c>
      <c r="C4200" s="16" t="n">
        <f aca="false">C4165+C4195</f>
        <v>172.0408</v>
      </c>
    </row>
    <row r="4201" customFormat="false" ht="15" hidden="false" customHeight="false" outlineLevel="0" collapsed="false">
      <c r="A4201" s="2" t="s">
        <v>458</v>
      </c>
      <c r="C4201" s="16" t="n">
        <f aca="false">C4166+C4196</f>
        <v>285.156872</v>
      </c>
    </row>
    <row r="4202" customFormat="false" ht="15" hidden="false" customHeight="false" outlineLevel="0" collapsed="false">
      <c r="A4202" s="2" t="s">
        <v>459</v>
      </c>
      <c r="C4202" s="16" t="n">
        <f aca="false">C4167+C4197</f>
        <v>0</v>
      </c>
    </row>
    <row r="4203" customFormat="false" ht="15" hidden="false" customHeight="false" outlineLevel="0" collapsed="false">
      <c r="A4203" s="2" t="s">
        <v>460</v>
      </c>
      <c r="C4203" s="16" t="n">
        <f aca="false">C4168+C4198</f>
        <v>0</v>
      </c>
    </row>
    <row r="4204" customFormat="false" ht="15" hidden="false" customHeight="false" outlineLevel="0" collapsed="false">
      <c r="A4204" s="23" t="s">
        <v>471</v>
      </c>
      <c r="B4204" s="24"/>
      <c r="C4204" s="24"/>
      <c r="D4204" s="24"/>
      <c r="E4204" s="24"/>
      <c r="F4204" s="24"/>
      <c r="G4204" s="24"/>
      <c r="H4204" s="24"/>
      <c r="I4204" s="24"/>
      <c r="J4204" s="24"/>
      <c r="K4204" s="24"/>
    </row>
    <row r="4205" customFormat="false" ht="15" hidden="false" customHeight="false" outlineLevel="0" collapsed="false">
      <c r="A4205" s="5" t="s">
        <v>457</v>
      </c>
      <c r="C4205" s="21" t="n">
        <f aca="false">IF(C4150=0,1,C4200/C4150)</f>
        <v>1</v>
      </c>
    </row>
    <row r="4206" customFormat="false" ht="15" hidden="false" customHeight="false" outlineLevel="0" collapsed="false">
      <c r="A4206" s="5" t="s">
        <v>458</v>
      </c>
      <c r="C4206" s="21" t="n">
        <f aca="false">IF(C4151=0,1,C4201/C4151)</f>
        <v>0.55957</v>
      </c>
    </row>
    <row r="4207" customFormat="false" ht="15" hidden="false" customHeight="false" outlineLevel="0" collapsed="false">
      <c r="A4207" s="5" t="s">
        <v>459</v>
      </c>
      <c r="C4207" s="21" t="n">
        <f aca="false">IF(C4152=0,1,C4202/C4152)</f>
        <v>0</v>
      </c>
    </row>
    <row r="4208" customFormat="false" ht="15" hidden="false" customHeight="false" outlineLevel="0" collapsed="false">
      <c r="A4208" s="5" t="s">
        <v>460</v>
      </c>
      <c r="C4208" s="21" t="n">
        <f aca="false">IF(C4153=0,1,C4203/C4153)</f>
        <v>0</v>
      </c>
    </row>
    <row r="4209" customFormat="false" ht="15" hidden="false" customHeight="false" outlineLevel="0" collapsed="false">
      <c r="A4209" s="23" t="s">
        <v>472</v>
      </c>
      <c r="B4209" s="24"/>
      <c r="C4209" s="24"/>
      <c r="D4209" s="24"/>
      <c r="E4209" s="24"/>
      <c r="F4209" s="24"/>
      <c r="G4209" s="24"/>
      <c r="H4209" s="24"/>
      <c r="I4209" s="24"/>
      <c r="J4209" s="24"/>
      <c r="K4209" s="24"/>
    </row>
    <row r="4210" customFormat="false" ht="15" hidden="false" customHeight="false" outlineLevel="0" collapsed="false">
      <c r="A4210" s="5" t="s">
        <v>457</v>
      </c>
      <c r="C4210" s="25" t="n">
        <f aca="false">C4150-C4200</f>
        <v>0</v>
      </c>
    </row>
    <row r="4211" customFormat="false" ht="15" hidden="false" customHeight="false" outlineLevel="0" collapsed="false">
      <c r="A4211" s="5" t="s">
        <v>458</v>
      </c>
      <c r="C4211" s="25" t="n">
        <f aca="false">C4151-C4201</f>
        <v>224.443128</v>
      </c>
    </row>
    <row r="4212" customFormat="false" ht="15" hidden="false" customHeight="false" outlineLevel="0" collapsed="false">
      <c r="A4212" s="5" t="s">
        <v>459</v>
      </c>
      <c r="C4212" s="25" t="n">
        <f aca="false">C4152-C4202</f>
        <v>250</v>
      </c>
    </row>
    <row r="4213" customFormat="false" ht="15" hidden="false" customHeight="false" outlineLevel="0" collapsed="false">
      <c r="A4213" s="5" t="s">
        <v>460</v>
      </c>
      <c r="C4213" s="25" t="n">
        <f aca="false">C4153-C4203</f>
        <v>300</v>
      </c>
    </row>
    <row r="4214" customFormat="false" ht="15" hidden="false" customHeight="false" outlineLevel="0" collapsed="false">
      <c r="A4214" s="23" t="s">
        <v>473</v>
      </c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</row>
    <row r="4215" customFormat="false" ht="15" hidden="false" customHeight="false" outlineLevel="0" collapsed="false">
      <c r="A4215" s="5" t="s">
        <v>457</v>
      </c>
      <c r="C4215" s="21" t="n">
        <f aca="false">IF(C4150=0,0,C4210/C4150)</f>
        <v>0</v>
      </c>
    </row>
    <row r="4216" customFormat="false" ht="15" hidden="false" customHeight="false" outlineLevel="0" collapsed="false">
      <c r="A4216" s="5" t="s">
        <v>458</v>
      </c>
      <c r="C4216" s="21" t="n">
        <f aca="false">IF(C4151=0,0,C4211/C4151)</f>
        <v>0.44043</v>
      </c>
    </row>
    <row r="4217" customFormat="false" ht="15" hidden="false" customHeight="false" outlineLevel="0" collapsed="false">
      <c r="A4217" s="5" t="s">
        <v>459</v>
      </c>
      <c r="C4217" s="21" t="n">
        <f aca="false">IF(C4152=0,0,C4212/C4152)</f>
        <v>1</v>
      </c>
    </row>
    <row r="4218" customFormat="false" ht="15" hidden="false" customHeight="false" outlineLevel="0" collapsed="false">
      <c r="A4218" s="5" t="s">
        <v>460</v>
      </c>
      <c r="C4218" s="21" t="n">
        <f aca="false">IF(C4153=0,0,C4213/C4153)</f>
        <v>1</v>
      </c>
    </row>
    <row r="4219" customFormat="false" ht="15" hidden="false" customHeight="false" outlineLevel="0" collapsed="false">
      <c r="A4219" s="2" t="s">
        <v>474</v>
      </c>
      <c r="C4219" s="16" t="n">
        <f aca="false">MAX(0,$C$4148-SUM($C$4165:$C$4168)-SUM($C$4175:$C$4178))</f>
        <v>0</v>
      </c>
    </row>
    <row r="4220" customFormat="false" ht="15" hidden="false" customHeight="false" outlineLevel="0" collapsed="false">
      <c r="A4220" s="5" t="s">
        <v>492</v>
      </c>
      <c r="C4220" s="33" t="n">
        <f aca="false">MIN(C4147,100*CHOOSE(C4137,C4205,C4206,C4207,C4208))</f>
        <v>55.957</v>
      </c>
    </row>
    <row r="4221" customFormat="false" ht="15" hidden="false" customHeight="false" outlineLevel="0" collapsed="false">
      <c r="A4221" s="5" t="s">
        <v>493</v>
      </c>
      <c r="C4221" s="20" t="n">
        <f aca="false">IF(C4053=1,C4142+Assumptions!$C$36,C4141)</f>
        <v>3</v>
      </c>
    </row>
    <row r="4222" customFormat="false" ht="15" hidden="false" customHeight="false" outlineLevel="0" collapsed="false">
      <c r="A4222" s="23" t="s">
        <v>494</v>
      </c>
      <c r="B4222" s="24"/>
      <c r="C4222" s="24"/>
      <c r="D4222" s="24"/>
      <c r="E4222" s="24"/>
      <c r="F4222" s="24"/>
      <c r="G4222" s="24"/>
      <c r="H4222" s="24"/>
      <c r="I4222" s="24"/>
      <c r="J4222" s="24"/>
      <c r="K4222" s="24"/>
    </row>
    <row r="4223" customFormat="false" ht="15" hidden="false" customHeight="false" outlineLevel="0" collapsed="false">
      <c r="A4223" s="5" t="s">
        <v>495</v>
      </c>
      <c r="C4223" s="20" t="n">
        <f aca="false">COLUMN()-COLUMN($C$1)</f>
        <v>0</v>
      </c>
      <c r="D4223" s="20" t="n">
        <f aca="false">COLUMN()-COLUMN($C$1)</f>
        <v>1</v>
      </c>
      <c r="E4223" s="20" t="n">
        <f aca="false">COLUMN()-COLUMN($C$1)</f>
        <v>2</v>
      </c>
      <c r="F4223" s="20" t="n">
        <f aca="false">COLUMN()-COLUMN($C$1)</f>
        <v>3</v>
      </c>
      <c r="G4223" s="20" t="n">
        <f aca="false">COLUMN()-COLUMN($C$1)</f>
        <v>4</v>
      </c>
      <c r="H4223" s="20" t="n">
        <f aca="false">COLUMN()-COLUMN($C$1)</f>
        <v>5</v>
      </c>
      <c r="I4223" s="20" t="n">
        <f aca="false">COLUMN()-COLUMN($C$1)</f>
        <v>6</v>
      </c>
    </row>
    <row r="4224" customFormat="false" ht="15" hidden="false" customHeight="false" outlineLevel="0" collapsed="false">
      <c r="A4224" s="5" t="s">
        <v>496</v>
      </c>
      <c r="D4224" s="30" t="n">
        <f aca="false">CHOOSE($C$4137,G3935,G3948,G3961,G3974)</f>
        <v>0.118</v>
      </c>
      <c r="E4224" s="30" t="n">
        <f aca="false">CHOOSE($C$4137,H3935,H3948,H3961,H3974)</f>
        <v>0.1155</v>
      </c>
      <c r="F4224" s="30" t="n">
        <f aca="false">CHOOSE($C$4137,I3935,I3948,I3961,I3974)</f>
        <v>0.113</v>
      </c>
      <c r="G4224" s="30" t="n">
        <f aca="false">CHOOSE($C$4137,J3935,J3948,J3961,J3974)</f>
        <v>0.113</v>
      </c>
      <c r="H4224" s="30" t="n">
        <f aca="false">CHOOSE($C$4137,K3935,K3948,K3961,K3974)</f>
        <v>0.113</v>
      </c>
    </row>
    <row r="4225" customFormat="false" ht="15" hidden="false" customHeight="false" outlineLevel="0" collapsed="false">
      <c r="A4225" s="5" t="s">
        <v>497</v>
      </c>
      <c r="D4225" s="25" t="n">
        <f aca="false">IF(D4223&lt;=$C$4146,$C$4138*D4224,0)</f>
        <v>11.8</v>
      </c>
      <c r="E4225" s="25" t="n">
        <f aca="false">IF(E4223&lt;=$C$4146,$C$4138*E4224,0)</f>
        <v>11.55</v>
      </c>
      <c r="F4225" s="25" t="n">
        <f aca="false">IF(F4223&lt;=$C$4146,$C$4138*F4224,0)</f>
        <v>0</v>
      </c>
      <c r="G4225" s="25" t="n">
        <f aca="false">IF(G4223&lt;=$C$4146,$C$4138*G4224,0)</f>
        <v>0</v>
      </c>
      <c r="H4225" s="25" t="n">
        <f aca="false">IF(H4223&lt;=$C$4146,$C$4138*H4224,0)</f>
        <v>0</v>
      </c>
    </row>
    <row r="4226" customFormat="false" ht="15" hidden="false" customHeight="false" outlineLevel="0" collapsed="false">
      <c r="A4226" s="5" t="s">
        <v>498</v>
      </c>
      <c r="D4226" s="25" t="n">
        <f aca="false">IF(AND($C$4053=0,D4223=$C$4141),$C$4138*$C$4220/100,0)+IF(AND($C$4053=1,D4223=$C$4221),$C$4144,0)</f>
        <v>0</v>
      </c>
      <c r="E4226" s="25" t="n">
        <f aca="false">IF(AND($C$4053=0,E4223=$C$4141),$C$4138*$C$4220/100,0)+IF(AND($C$4053=1,E4223=$C$4221),$C$4144,0)</f>
        <v>0</v>
      </c>
      <c r="F4226" s="25" t="n">
        <f aca="false">IF(AND($C$4053=0,F4223=$C$4141),$C$4138*$C$4220/100,0)+IF(AND($C$4053=1,F4223=$C$4221),$C$4144,0)</f>
        <v>65.3270595172684</v>
      </c>
      <c r="G4226" s="25" t="n">
        <f aca="false">IF(AND($C$4053=0,G4223=$C$4141),$C$4138*$C$4220/100,0)+IF(AND($C$4053=1,G4223=$C$4221),$C$4144,0)</f>
        <v>0</v>
      </c>
      <c r="H4226" s="25" t="n">
        <f aca="false">IF(AND($C$4053=0,H4223=$C$4141),$C$4138*$C$4220/100,0)+IF(AND($C$4053=1,H4223=$C$4221),$C$4144,0)</f>
        <v>0</v>
      </c>
      <c r="I4226" s="25" t="n">
        <f aca="false">IF(AND($C$4053=0,I4223=$C$4141),$C$4138*$C$4220/100,0)+IF(AND($C$4053=1,I4223=$C$4221),$C$4144,0)</f>
        <v>0</v>
      </c>
    </row>
    <row r="4227" customFormat="false" ht="15" hidden="false" customHeight="false" outlineLevel="0" collapsed="false">
      <c r="A4227" s="2" t="s">
        <v>499</v>
      </c>
      <c r="C4227" s="16" t="n">
        <f aca="false">-$C$4140</f>
        <v>-78.39</v>
      </c>
      <c r="D4227" s="16" t="n">
        <f aca="false">D4225+D4226</f>
        <v>11.8</v>
      </c>
      <c r="E4227" s="16" t="n">
        <f aca="false">E4225+E4226</f>
        <v>11.55</v>
      </c>
      <c r="F4227" s="16" t="n">
        <f aca="false">F4225+F4226</f>
        <v>65.3270595172684</v>
      </c>
      <c r="G4227" s="16" t="n">
        <f aca="false">G4225+G4226</f>
        <v>0</v>
      </c>
      <c r="H4227" s="16" t="n">
        <f aca="false">H4225+H4226</f>
        <v>0</v>
      </c>
      <c r="I4227" s="16" t="n">
        <f aca="false">I4225+I4226</f>
        <v>0</v>
      </c>
    </row>
    <row r="4228" customFormat="false" ht="15" hidden="false" customHeight="false" outlineLevel="0" collapsed="false">
      <c r="A4228" s="5" t="s">
        <v>500</v>
      </c>
      <c r="C4228" s="25" t="n">
        <f aca="false">SUM($C$4225:$I$4225)</f>
        <v>23.35</v>
      </c>
    </row>
    <row r="4229" customFormat="false" ht="15" hidden="false" customHeight="false" outlineLevel="0" collapsed="false">
      <c r="A4229" s="5" t="s">
        <v>501</v>
      </c>
      <c r="C4229" s="25" t="n">
        <f aca="false">SUM($C$4226:$I$4226)</f>
        <v>65.3270595172684</v>
      </c>
    </row>
    <row r="4230" customFormat="false" ht="15" hidden="false" customHeight="false" outlineLevel="0" collapsed="false">
      <c r="A4230" s="5" t="s">
        <v>502</v>
      </c>
      <c r="C4230" s="25" t="n">
        <f aca="false">C4228+C4229</f>
        <v>88.6770595172685</v>
      </c>
    </row>
    <row r="4231" customFormat="false" ht="15" hidden="false" customHeight="false" outlineLevel="0" collapsed="false">
      <c r="A4231" s="5" t="s">
        <v>503</v>
      </c>
      <c r="C4231" s="25" t="n">
        <f aca="false">C4229-C4138*C4139/100</f>
        <v>-12.6729404827316</v>
      </c>
    </row>
    <row r="4232" customFormat="false" ht="15" hidden="false" customHeight="false" outlineLevel="0" collapsed="false">
      <c r="A4232" s="5" t="s">
        <v>504</v>
      </c>
      <c r="C4232" s="25" t="n">
        <f aca="false">C4230-C4140</f>
        <v>10.2870595172685</v>
      </c>
    </row>
    <row r="4233" customFormat="false" ht="15" hidden="false" customHeight="false" outlineLevel="0" collapsed="false">
      <c r="A4233" s="2" t="s">
        <v>385</v>
      </c>
      <c r="C4233" s="43" t="n">
        <f aca="false">C4230/C4140</f>
        <v>1.13122923226519</v>
      </c>
    </row>
    <row r="4234" customFormat="false" ht="15" hidden="false" customHeight="false" outlineLevel="0" collapsed="false">
      <c r="A4234" s="2" t="s">
        <v>384</v>
      </c>
      <c r="C4234" s="41" t="n">
        <f aca="false">IF(C4230&lt;=0,-1,IFERROR(IRR($C$4227:$I$4227,MAX(-0.9,C4233^(1/C4221)-1)),IRR($C$4227:$I$4227,0.1)))</f>
        <v>0.0487326838196562</v>
      </c>
    </row>
    <row r="4235" customFormat="false" ht="15" hidden="false" customHeight="false" outlineLevel="0" collapsed="false">
      <c r="A4235" s="5" t="s">
        <v>505</v>
      </c>
      <c r="C4235" s="31" t="n">
        <f aca="false">MAX($G$4029:$K$4029)</f>
        <v>14.2838358240809</v>
      </c>
    </row>
    <row r="4236" customFormat="false" ht="15" hidden="false" customHeight="false" outlineLevel="0" collapsed="false">
      <c r="A4236" s="5" t="s">
        <v>506</v>
      </c>
      <c r="C4236" s="31" t="n">
        <f aca="false">MIN($G$4030:$K$4030)</f>
        <v>0.723383026361208</v>
      </c>
    </row>
    <row r="4237" customFormat="false" ht="15" hidden="false" customHeight="false" outlineLevel="0" collapsed="false">
      <c r="A4237" s="5" t="s">
        <v>507</v>
      </c>
      <c r="C4237" s="25" t="n">
        <f aca="false">SUM($G$3919:$K$3919)</f>
        <v>-251.903113821408</v>
      </c>
    </row>
    <row r="4241" customFormat="false" ht="15" hidden="false" customHeight="false" outlineLevel="0" collapsed="false">
      <c r="A4241" s="9" t="s">
        <v>638</v>
      </c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</row>
    <row r="4242" customFormat="false" ht="15" hidden="false" customHeight="false" outlineLevel="0" collapsed="false">
      <c r="A4242" s="5" t="s">
        <v>622</v>
      </c>
      <c r="C4242" s="11" t="n">
        <v>2</v>
      </c>
    </row>
    <row r="4243" customFormat="false" ht="15" hidden="false" customHeight="false" outlineLevel="0" collapsed="false">
      <c r="A4243" s="5" t="s">
        <v>623</v>
      </c>
      <c r="C4243" s="18" t="n">
        <v>0</v>
      </c>
    </row>
    <row r="4244" customFormat="false" ht="15" hidden="false" customHeight="false" outlineLevel="0" collapsed="false">
      <c r="A4244" s="5" t="s">
        <v>624</v>
      </c>
      <c r="C4244" s="29" t="n">
        <f aca="false">Sensitivities!$A$34</f>
        <v>0.04</v>
      </c>
    </row>
    <row r="4245" customFormat="false" ht="15" hidden="false" customHeight="false" outlineLevel="0" collapsed="false">
      <c r="A4245" s="5" t="s">
        <v>625</v>
      </c>
      <c r="C4245" s="18" t="n">
        <v>0</v>
      </c>
    </row>
    <row r="4246" customFormat="false" ht="15" hidden="false" customHeight="false" outlineLevel="0" collapsed="false">
      <c r="A4246" s="5" t="s">
        <v>626</v>
      </c>
      <c r="C4246" s="15" t="n">
        <v>0</v>
      </c>
    </row>
    <row r="4248" customFormat="false" ht="15" hidden="false" customHeight="false" outlineLevel="0" collapsed="false">
      <c r="A4248" s="23" t="s">
        <v>237</v>
      </c>
      <c r="B4248" s="24"/>
      <c r="C4248" s="24"/>
      <c r="D4248" s="24"/>
      <c r="E4248" s="24"/>
      <c r="F4248" s="24"/>
      <c r="G4248" s="24"/>
      <c r="H4248" s="24"/>
      <c r="I4248" s="24"/>
      <c r="J4248" s="24"/>
      <c r="K4248" s="24"/>
    </row>
    <row r="4249" customFormat="false" ht="15" hidden="false" customHeight="false" outlineLevel="0" collapsed="false">
      <c r="A4249" s="5" t="s">
        <v>238</v>
      </c>
      <c r="F4249" s="26" t="n">
        <f aca="false">Assumptions!$C$6</f>
        <v>2025</v>
      </c>
      <c r="G4249" s="20" t="n">
        <f aca="false">F4249+1</f>
        <v>2026</v>
      </c>
      <c r="H4249" s="20" t="n">
        <f aca="false">G4249+1</f>
        <v>2027</v>
      </c>
      <c r="I4249" s="20" t="n">
        <f aca="false">H4249+1</f>
        <v>2028</v>
      </c>
      <c r="J4249" s="20" t="n">
        <f aca="false">I4249+1</f>
        <v>2029</v>
      </c>
      <c r="K4249" s="20" t="n">
        <f aca="false">J4249+1</f>
        <v>2030</v>
      </c>
    </row>
    <row r="4250" customFormat="false" ht="15" hidden="false" customHeight="false" outlineLevel="0" collapsed="false">
      <c r="A4250" s="5" t="s">
        <v>239</v>
      </c>
      <c r="G4250" s="20" t="n">
        <f aca="false">G4249-Assumptions!$C$6</f>
        <v>1</v>
      </c>
      <c r="H4250" s="20" t="n">
        <f aca="false">H4249-Assumptions!$C$6</f>
        <v>2</v>
      </c>
      <c r="I4250" s="20" t="n">
        <f aca="false">I4249-Assumptions!$C$6</f>
        <v>3</v>
      </c>
      <c r="J4250" s="20" t="n">
        <f aca="false">J4249-Assumptions!$C$6</f>
        <v>4</v>
      </c>
      <c r="K4250" s="20" t="n">
        <f aca="false">K4249-Assumptions!$C$6</f>
        <v>5</v>
      </c>
    </row>
    <row r="4251" customFormat="false" ht="15" hidden="false" customHeight="false" outlineLevel="0" collapsed="false">
      <c r="A4251" s="5" t="s">
        <v>149</v>
      </c>
      <c r="G4251" s="21" t="n">
        <f aca="false">CHOOSE($C$4242,Assumptions!$G$65,Assumptions!$G$84,Assumptions!$G$103)+$C$4243</f>
        <v>-0.078</v>
      </c>
      <c r="H4251" s="21" t="n">
        <f aca="false">CHOOSE($C$4242,Assumptions!$H$65,Assumptions!$H$84,Assumptions!$H$103)+$C$4243</f>
        <v>-0.039</v>
      </c>
      <c r="I4251" s="21" t="n">
        <f aca="false">CHOOSE($C$4242,Assumptions!$I$65,Assumptions!$I$84,Assumptions!$I$103)+$C$4243</f>
        <v>-0.005</v>
      </c>
      <c r="J4251" s="21" t="n">
        <f aca="false">CHOOSE($C$4242,Assumptions!$J$65,Assumptions!$J$84,Assumptions!$J$103)+$C$4243</f>
        <v>-0.01</v>
      </c>
      <c r="K4251" s="21" t="n">
        <f aca="false">CHOOSE($C$4242,Assumptions!$K$65,Assumptions!$K$84,Assumptions!$K$103)+$C$4243</f>
        <v>-0.01</v>
      </c>
    </row>
    <row r="4252" customFormat="false" ht="15" hidden="false" customHeight="false" outlineLevel="0" collapsed="false">
      <c r="A4252" s="5" t="s">
        <v>150</v>
      </c>
      <c r="G4252" s="21" t="n">
        <f aca="false">CHOOSE($C$4242,Assumptions!$G$66,Assumptions!$G$85,Assumptions!$G$104)</f>
        <v>0.33</v>
      </c>
      <c r="H4252" s="21" t="n">
        <f aca="false">CHOOSE($C$4242,Assumptions!$H$66,Assumptions!$H$85,Assumptions!$H$104)</f>
        <v>0.318</v>
      </c>
      <c r="I4252" s="21" t="n">
        <f aca="false">CHOOSE($C$4242,Assumptions!$I$66,Assumptions!$I$85,Assumptions!$I$104)</f>
        <v>0.324</v>
      </c>
      <c r="J4252" s="21" t="n">
        <f aca="false">CHOOSE($C$4242,Assumptions!$J$66,Assumptions!$J$85,Assumptions!$J$104)</f>
        <v>0.33</v>
      </c>
      <c r="K4252" s="21" t="n">
        <f aca="false">CHOOSE($C$4242,Assumptions!$K$66,Assumptions!$K$85,Assumptions!$K$104)</f>
        <v>0.336</v>
      </c>
    </row>
    <row r="4253" customFormat="false" ht="15" hidden="false" customHeight="false" outlineLevel="0" collapsed="false">
      <c r="A4253" s="5" t="s">
        <v>151</v>
      </c>
      <c r="G4253" s="21" t="n">
        <f aca="false">CHOOSE($C$4242,Assumptions!$G$67,Assumptions!$G$86,Assumptions!$G$105)+$C$4244</f>
        <v>0.075</v>
      </c>
      <c r="H4253" s="21" t="n">
        <f aca="false">CHOOSE($C$4242,Assumptions!$H$67,Assumptions!$H$86,Assumptions!$H$105)+$C$4244</f>
        <v>0.063</v>
      </c>
      <c r="I4253" s="21" t="n">
        <f aca="false">CHOOSE($C$4242,Assumptions!$I$67,Assumptions!$I$86,Assumptions!$I$105)+$C$4244</f>
        <v>0.069</v>
      </c>
      <c r="J4253" s="21" t="n">
        <f aca="false">CHOOSE($C$4242,Assumptions!$J$67,Assumptions!$J$86,Assumptions!$J$105)+$C$4244</f>
        <v>0.075</v>
      </c>
      <c r="K4253" s="21" t="n">
        <f aca="false">CHOOSE($C$4242,Assumptions!$K$67,Assumptions!$K$86,Assumptions!$K$105)+$C$4244</f>
        <v>0.081</v>
      </c>
    </row>
    <row r="4254" customFormat="false" ht="15" hidden="false" customHeight="false" outlineLevel="0" collapsed="false">
      <c r="A4254" s="23" t="s">
        <v>240</v>
      </c>
      <c r="B4254" s="24"/>
      <c r="C4254" s="24"/>
      <c r="D4254" s="24"/>
      <c r="E4254" s="24"/>
      <c r="F4254" s="24"/>
      <c r="G4254" s="24"/>
      <c r="H4254" s="24"/>
      <c r="I4254" s="24"/>
      <c r="J4254" s="24"/>
      <c r="K4254" s="24"/>
    </row>
    <row r="4255" customFormat="false" ht="15" hidden="false" customHeight="false" outlineLevel="0" collapsed="false">
      <c r="A4255" s="2" t="s">
        <v>207</v>
      </c>
      <c r="F4255" s="27" t="n">
        <f aca="false">'Historical Financials'!E17</f>
        <v>2400</v>
      </c>
      <c r="G4255" s="16" t="n">
        <f aca="false">F4255*(1+G4251)</f>
        <v>2212.8</v>
      </c>
      <c r="H4255" s="16" t="n">
        <f aca="false">G4255*(1+H4251)</f>
        <v>2126.5008</v>
      </c>
      <c r="I4255" s="16" t="n">
        <f aca="false">H4255*(1+I4251)</f>
        <v>2115.868296</v>
      </c>
      <c r="J4255" s="16" t="n">
        <f aca="false">I4255*(1+J4251)</f>
        <v>2094.70961304</v>
      </c>
      <c r="K4255" s="16" t="n">
        <f aca="false">J4255*(1+K4251)</f>
        <v>2073.7625169096</v>
      </c>
    </row>
    <row r="4256" customFormat="false" ht="15" hidden="false" customHeight="false" outlineLevel="0" collapsed="false">
      <c r="A4256" s="5" t="s">
        <v>217</v>
      </c>
      <c r="G4256" s="25" t="n">
        <f aca="false">G4255*(1-G4252)</f>
        <v>1482.576</v>
      </c>
      <c r="H4256" s="25" t="n">
        <f aca="false">H4255*(1-H4252)</f>
        <v>1450.2735456</v>
      </c>
      <c r="I4256" s="25" t="n">
        <f aca="false">I4255*(1-I4252)</f>
        <v>1430.326968096</v>
      </c>
      <c r="J4256" s="25" t="n">
        <f aca="false">J4255*(1-J4252)</f>
        <v>1403.4554407368</v>
      </c>
      <c r="K4256" s="25" t="n">
        <f aca="false">K4255*(1-K4252)</f>
        <v>1376.97831122797</v>
      </c>
    </row>
    <row r="4257" customFormat="false" ht="15" hidden="false" customHeight="false" outlineLevel="0" collapsed="false">
      <c r="A4257" s="2" t="s">
        <v>218</v>
      </c>
      <c r="G4257" s="16" t="n">
        <f aca="false">G4255-G4256</f>
        <v>730.224</v>
      </c>
      <c r="H4257" s="16" t="n">
        <f aca="false">H4255-H4256</f>
        <v>676.2272544</v>
      </c>
      <c r="I4257" s="16" t="n">
        <f aca="false">I4255-I4256</f>
        <v>685.541327904</v>
      </c>
      <c r="J4257" s="16" t="n">
        <f aca="false">J4255-J4256</f>
        <v>691.2541723032</v>
      </c>
      <c r="K4257" s="16" t="n">
        <f aca="false">K4255-K4256</f>
        <v>696.784205681626</v>
      </c>
    </row>
    <row r="4258" customFormat="false" ht="15" hidden="false" customHeight="false" outlineLevel="0" collapsed="false">
      <c r="A4258" s="5" t="s">
        <v>241</v>
      </c>
      <c r="G4258" s="25" t="n">
        <f aca="false">G4257-G4259</f>
        <v>564.264</v>
      </c>
      <c r="H4258" s="25" t="n">
        <f aca="false">H4257-H4259</f>
        <v>542.257704</v>
      </c>
      <c r="I4258" s="25" t="n">
        <f aca="false">I4257-I4259</f>
        <v>539.54641548</v>
      </c>
      <c r="J4258" s="25" t="n">
        <f aca="false">J4257-J4259</f>
        <v>534.1509513252</v>
      </c>
      <c r="K4258" s="25" t="n">
        <f aca="false">K4257-K4259</f>
        <v>528.809441811948</v>
      </c>
    </row>
    <row r="4259" customFormat="false" ht="15" hidden="false" customHeight="false" outlineLevel="0" collapsed="false">
      <c r="A4259" s="2" t="s">
        <v>242</v>
      </c>
      <c r="G4259" s="16" t="n">
        <f aca="false">G4255*G4253</f>
        <v>165.96</v>
      </c>
      <c r="H4259" s="16" t="n">
        <f aca="false">H4255*H4253</f>
        <v>133.9695504</v>
      </c>
      <c r="I4259" s="16" t="n">
        <f aca="false">I4255*I4253</f>
        <v>145.994912424</v>
      </c>
      <c r="J4259" s="16" t="n">
        <f aca="false">J4255*J4253</f>
        <v>157.103220978</v>
      </c>
      <c r="K4259" s="16" t="n">
        <f aca="false">K4255*K4253</f>
        <v>167.974763869678</v>
      </c>
    </row>
    <row r="4260" customFormat="false" ht="15" hidden="false" customHeight="false" outlineLevel="0" collapsed="false">
      <c r="A4260" s="5" t="s">
        <v>243</v>
      </c>
      <c r="G4260" s="25" t="n">
        <f aca="false">G4255*'Historical Financials'!E22/'Historical Financials'!E17</f>
        <v>48.6816</v>
      </c>
      <c r="H4260" s="25" t="n">
        <f aca="false">H4255*'Historical Financials'!E22/'Historical Financials'!E17</f>
        <v>46.7830176</v>
      </c>
      <c r="I4260" s="25" t="n">
        <f aca="false">I4255*'Historical Financials'!E22/'Historical Financials'!E17</f>
        <v>46.549102512</v>
      </c>
      <c r="J4260" s="25" t="n">
        <f aca="false">J4255*'Historical Financials'!E22/'Historical Financials'!E17</f>
        <v>46.08361148688</v>
      </c>
      <c r="K4260" s="25" t="n">
        <f aca="false">K4255*'Historical Financials'!E22/'Historical Financials'!E17</f>
        <v>45.6227753720112</v>
      </c>
    </row>
    <row r="4261" customFormat="false" ht="15" hidden="false" customHeight="false" outlineLevel="0" collapsed="false">
      <c r="A4261" s="5" t="s">
        <v>244</v>
      </c>
      <c r="G4261" s="25" t="n">
        <f aca="false">G4255*'Historical Financials'!E23/'Historical Financials'!E17</f>
        <v>0</v>
      </c>
      <c r="H4261" s="25" t="n">
        <f aca="false">H4255*'Historical Financials'!E23/'Historical Financials'!E17</f>
        <v>0</v>
      </c>
      <c r="I4261" s="25" t="n">
        <f aca="false">I4255*'Historical Financials'!E23/'Historical Financials'!E17</f>
        <v>0</v>
      </c>
      <c r="J4261" s="25" t="n">
        <f aca="false">J4255*'Historical Financials'!E23/'Historical Financials'!E17</f>
        <v>0</v>
      </c>
      <c r="K4261" s="25" t="n">
        <f aca="false">K4255*'Historical Financials'!E23/'Historical Financials'!E17</f>
        <v>0</v>
      </c>
    </row>
    <row r="4262" customFormat="false" ht="15" hidden="false" customHeight="false" outlineLevel="0" collapsed="false">
      <c r="A4262" s="2" t="s">
        <v>245</v>
      </c>
      <c r="G4262" s="16" t="n">
        <f aca="false">G4259-G4260-G4261</f>
        <v>117.2784</v>
      </c>
      <c r="H4262" s="16" t="n">
        <f aca="false">H4259-H4260-H4261</f>
        <v>87.1865328</v>
      </c>
      <c r="I4262" s="16" t="n">
        <f aca="false">I4259-I4260-I4261</f>
        <v>99.445809912</v>
      </c>
      <c r="J4262" s="16" t="n">
        <f aca="false">J4259-J4260-J4261</f>
        <v>111.01960949112</v>
      </c>
      <c r="K4262" s="16" t="n">
        <f aca="false">K4259-K4260-K4261</f>
        <v>122.351988497666</v>
      </c>
    </row>
    <row r="4263" customFormat="false" ht="15" hidden="false" customHeight="false" outlineLevel="0" collapsed="false">
      <c r="A4263" s="5" t="s">
        <v>246</v>
      </c>
      <c r="G4263" s="25" t="n">
        <f aca="false">G4289+G4302+G4315+G4328</f>
        <v>129.54</v>
      </c>
      <c r="H4263" s="25" t="n">
        <f aca="false">H4289+H4302+H4315+H4328</f>
        <v>122.0462028</v>
      </c>
      <c r="I4263" s="25" t="n">
        <f aca="false">I4289+I4302+I4315+I4328</f>
        <v>119.8521408</v>
      </c>
      <c r="J4263" s="25" t="n">
        <f aca="false">J4289+J4302+J4315+J4328</f>
        <v>119.2645408</v>
      </c>
      <c r="K4263" s="25" t="n">
        <f aca="false">K4289+K4302+K4315+K4328</f>
        <v>118.6769408</v>
      </c>
    </row>
    <row r="4264" customFormat="false" ht="15" hidden="false" customHeight="false" outlineLevel="0" collapsed="false">
      <c r="A4264" s="5" t="s">
        <v>247</v>
      </c>
      <c r="G4264" s="25" t="n">
        <f aca="false">G4290+G4303+G4316+G4329</f>
        <v>0</v>
      </c>
      <c r="H4264" s="25" t="n">
        <f aca="false">H4290+H4303+H4316+H4329</f>
        <v>0</v>
      </c>
      <c r="I4264" s="25" t="n">
        <f aca="false">I4290+I4303+I4316+I4329</f>
        <v>0</v>
      </c>
      <c r="J4264" s="25" t="n">
        <f aca="false">J4290+J4303+J4316+J4329</f>
        <v>0</v>
      </c>
      <c r="K4264" s="25" t="n">
        <f aca="false">K4290+K4303+K4316+K4329</f>
        <v>0</v>
      </c>
    </row>
    <row r="4265" customFormat="false" ht="15" hidden="false" customHeight="false" outlineLevel="0" collapsed="false">
      <c r="A4265" s="5" t="s">
        <v>212</v>
      </c>
      <c r="G4265" s="25" t="n">
        <f aca="false">G4263+G4264</f>
        <v>129.54</v>
      </c>
      <c r="H4265" s="25" t="n">
        <f aca="false">H4263+H4264</f>
        <v>122.0462028</v>
      </c>
      <c r="I4265" s="25" t="n">
        <f aca="false">I4263+I4264</f>
        <v>119.8521408</v>
      </c>
      <c r="J4265" s="25" t="n">
        <f aca="false">J4263+J4264</f>
        <v>119.2645408</v>
      </c>
      <c r="K4265" s="25" t="n">
        <f aca="false">K4263+K4264</f>
        <v>118.6769408</v>
      </c>
    </row>
    <row r="4266" customFormat="false" ht="15" hidden="false" customHeight="false" outlineLevel="0" collapsed="false">
      <c r="A4266" s="2" t="s">
        <v>223</v>
      </c>
      <c r="G4266" s="16" t="n">
        <f aca="false">G4262-G4265</f>
        <v>-12.2616</v>
      </c>
      <c r="H4266" s="16" t="n">
        <f aca="false">H4262-H4265</f>
        <v>-34.85967</v>
      </c>
      <c r="I4266" s="16" t="n">
        <f aca="false">I4262-I4265</f>
        <v>-20.406330888</v>
      </c>
      <c r="J4266" s="16" t="n">
        <f aca="false">J4262-J4265</f>
        <v>-8.24493130887997</v>
      </c>
      <c r="K4266" s="16" t="n">
        <f aca="false">K4262-K4265</f>
        <v>3.67504769766639</v>
      </c>
    </row>
    <row r="4267" customFormat="false" ht="15" hidden="false" customHeight="false" outlineLevel="0" collapsed="false">
      <c r="A4267" s="5" t="s">
        <v>213</v>
      </c>
      <c r="G4267" s="25" t="n">
        <f aca="false">MAX(0,G4266)*Assumptions!$C$9</f>
        <v>0</v>
      </c>
      <c r="H4267" s="25" t="n">
        <f aca="false">MAX(0,H4266)*Assumptions!$C$9</f>
        <v>0</v>
      </c>
      <c r="I4267" s="25" t="n">
        <f aca="false">MAX(0,I4266)*Assumptions!$C$9</f>
        <v>0</v>
      </c>
      <c r="J4267" s="25" t="n">
        <f aca="false">MAX(0,J4266)*Assumptions!$C$9</f>
        <v>0</v>
      </c>
      <c r="K4267" s="25" t="n">
        <f aca="false">MAX(0,K4266)*Assumptions!$C$9</f>
        <v>0.918761924416597</v>
      </c>
    </row>
    <row r="4268" customFormat="false" ht="15" hidden="false" customHeight="false" outlineLevel="0" collapsed="false">
      <c r="A4268" s="2" t="s">
        <v>248</v>
      </c>
      <c r="G4268" s="16" t="n">
        <f aca="false">G4266-G4267</f>
        <v>-12.2616</v>
      </c>
      <c r="H4268" s="16" t="n">
        <f aca="false">H4266-H4267</f>
        <v>-34.85967</v>
      </c>
      <c r="I4268" s="16" t="n">
        <f aca="false">I4266-I4267</f>
        <v>-20.406330888</v>
      </c>
      <c r="J4268" s="16" t="n">
        <f aca="false">J4266-J4267</f>
        <v>-8.24493130887997</v>
      </c>
      <c r="K4268" s="16" t="n">
        <f aca="false">K4266-K4267</f>
        <v>2.75628577324979</v>
      </c>
    </row>
    <row r="4269" customFormat="false" ht="15" hidden="false" customHeight="false" outlineLevel="0" collapsed="false">
      <c r="A4269" s="23" t="s">
        <v>249</v>
      </c>
      <c r="B4269" s="24"/>
      <c r="C4269" s="24"/>
      <c r="D4269" s="24"/>
      <c r="E4269" s="24"/>
      <c r="F4269" s="24"/>
      <c r="G4269" s="24"/>
      <c r="H4269" s="24"/>
      <c r="I4269" s="24"/>
      <c r="J4269" s="24"/>
      <c r="K4269" s="24"/>
    </row>
    <row r="4270" customFormat="false" ht="15" hidden="false" customHeight="false" outlineLevel="0" collapsed="false">
      <c r="A4270" s="5" t="s">
        <v>153</v>
      </c>
      <c r="G4270" s="25" t="n">
        <f aca="false">G4255*CHOOSE($C$4242,Assumptions!$C$69,Assumptions!$C$88,Assumptions!$C$107)</f>
        <v>42.0432</v>
      </c>
      <c r="H4270" s="25" t="n">
        <f aca="false">H4255*CHOOSE($C$4242,Assumptions!$C$69,Assumptions!$C$88,Assumptions!$C$107)</f>
        <v>40.4035152</v>
      </c>
      <c r="I4270" s="25" t="n">
        <f aca="false">I4255*CHOOSE($C$4242,Assumptions!$C$69,Assumptions!$C$88,Assumptions!$C$107)</f>
        <v>40.201497624</v>
      </c>
      <c r="J4270" s="25" t="n">
        <f aca="false">J4255*CHOOSE($C$4242,Assumptions!$C$69,Assumptions!$C$88,Assumptions!$C$107)</f>
        <v>39.79948264776</v>
      </c>
      <c r="K4270" s="25" t="n">
        <f aca="false">K4255*CHOOSE($C$4242,Assumptions!$C$69,Assumptions!$C$88,Assumptions!$C$107)</f>
        <v>39.4014878212824</v>
      </c>
    </row>
    <row r="4271" customFormat="false" ht="15" hidden="false" customHeight="false" outlineLevel="0" collapsed="false">
      <c r="A4271" s="5" t="s">
        <v>250</v>
      </c>
      <c r="G4271" s="25" t="n">
        <f aca="false">CHOOSE($C$4242,Assumptions!$C$70,Assumptions!$C$89,Assumptions!$C$108)*(G4255-F4255)+CHOOSE($C$4242,Assumptions!$C$71,Assumptions!$C$90,Assumptions!$C$109)*G4255</f>
        <v>-18.0384</v>
      </c>
      <c r="H4271" s="25" t="n">
        <f aca="false">CHOOSE($C$4242,Assumptions!$C$70,Assumptions!$C$89,Assumptions!$C$108)*(H4255-G4255)+CHOOSE($C$4242,Assumptions!$C$71,Assumptions!$C$90,Assumptions!$C$109)*H4255</f>
        <v>-6.10290239999999</v>
      </c>
      <c r="I4271" s="25" t="n">
        <f aca="false">CHOOSE($C$4242,Assumptions!$C$70,Assumptions!$C$89,Assumptions!$C$108)*(I4255-H4255)+CHOOSE($C$4242,Assumptions!$C$71,Assumptions!$C$90,Assumptions!$C$109)*I4255</f>
        <v>2.95583611199998</v>
      </c>
      <c r="J4271" s="25" t="n">
        <f aca="false">CHOOSE($C$4242,Assumptions!$C$70,Assumptions!$C$89,Assumptions!$C$108)*(J4255-I4255)+CHOOSE($C$4242,Assumptions!$C$71,Assumptions!$C$90,Assumptions!$C$109)*J4255</f>
        <v>1.65037727087999</v>
      </c>
      <c r="K4271" s="25" t="n">
        <f aca="false">CHOOSE($C$4242,Assumptions!$C$70,Assumptions!$C$89,Assumptions!$C$108)*(K4255-J4255)+CHOOSE($C$4242,Assumptions!$C$71,Assumptions!$C$90,Assumptions!$C$109)*K4255</f>
        <v>1.63387349817119</v>
      </c>
    </row>
    <row r="4272" customFormat="false" ht="15" hidden="false" customHeight="false" outlineLevel="0" collapsed="false">
      <c r="A4272" s="2" t="s">
        <v>251</v>
      </c>
      <c r="G4272" s="16" t="n">
        <f aca="false">G4268+G4260+G4261+G4264-G4270-G4271</f>
        <v>12.4152</v>
      </c>
      <c r="H4272" s="16" t="n">
        <f aca="false">H4268+H4260+H4261+H4264-H4270-H4271</f>
        <v>-22.3772652</v>
      </c>
      <c r="I4272" s="16" t="n">
        <f aca="false">I4268+I4260+I4261+I4264-I4270-I4271</f>
        <v>-17.014562112</v>
      </c>
      <c r="J4272" s="16" t="n">
        <f aca="false">J4268+J4260+J4261+J4264-J4270-J4271</f>
        <v>-3.61117974063996</v>
      </c>
      <c r="K4272" s="16" t="n">
        <f aca="false">K4268+K4260+K4261+K4264-K4270-K4271</f>
        <v>7.3436998258074</v>
      </c>
    </row>
    <row r="4274" customFormat="false" ht="15" hidden="false" customHeight="false" outlineLevel="0" collapsed="false">
      <c r="A4274" s="23" t="s">
        <v>253</v>
      </c>
      <c r="B4274" s="24"/>
      <c r="C4274" s="24"/>
      <c r="D4274" s="24"/>
      <c r="E4274" s="24"/>
      <c r="F4274" s="24"/>
      <c r="G4274" s="24"/>
      <c r="H4274" s="24"/>
      <c r="I4274" s="24"/>
      <c r="J4274" s="24"/>
      <c r="K4274" s="24"/>
    </row>
    <row r="4275" customFormat="false" ht="15" hidden="false" customHeight="false" outlineLevel="0" collapsed="false">
      <c r="A4275" s="5" t="s">
        <v>254</v>
      </c>
      <c r="G4275" s="29" t="n">
        <f aca="false">Assumptions!$G$49</f>
        <v>0.0425</v>
      </c>
      <c r="H4275" s="29" t="n">
        <f aca="false">Assumptions!$H$49</f>
        <v>0.04</v>
      </c>
      <c r="I4275" s="29" t="n">
        <f aca="false">Assumptions!$I$49</f>
        <v>0.0375</v>
      </c>
      <c r="J4275" s="29" t="n">
        <f aca="false">Assumptions!$J$49</f>
        <v>0.0375</v>
      </c>
      <c r="K4275" s="29" t="n">
        <f aca="false">Assumptions!$K$49</f>
        <v>0.0375</v>
      </c>
    </row>
    <row r="4276" customFormat="false" ht="15" hidden="false" customHeight="false" outlineLevel="0" collapsed="false">
      <c r="A4276" s="5" t="s">
        <v>255</v>
      </c>
      <c r="C4276" s="30" t="n">
        <f aca="false">CHOOSE($C$4242,Assumptions!$C$72,Assumptions!$C$91,Assumptions!$C$110)+$C$4245</f>
        <v>0.015</v>
      </c>
    </row>
    <row r="4277" customFormat="false" ht="15" hidden="false" customHeight="false" outlineLevel="0" collapsed="false">
      <c r="A4277" s="5" t="s">
        <v>256</v>
      </c>
      <c r="C4277" s="30" t="n">
        <f aca="false">CHOOSE($C$4242,Assumptions!$C$73,Assumptions!$C$92,Assumptions!$C$111)</f>
        <v>0.135</v>
      </c>
    </row>
    <row r="4278" customFormat="false" ht="15" hidden="false" customHeight="false" outlineLevel="0" collapsed="false">
      <c r="A4278" s="5" t="s">
        <v>257</v>
      </c>
      <c r="C4278" s="31" t="n">
        <f aca="false">CHOOSE($C$4242,Assumptions!$C$74,Assumptions!$C$93,Assumptions!$C$112)</f>
        <v>5.5</v>
      </c>
    </row>
    <row r="4279" customFormat="false" ht="15" hidden="false" customHeight="false" outlineLevel="0" collapsed="false">
      <c r="A4279" s="5" t="s">
        <v>258</v>
      </c>
      <c r="C4279" s="31" t="n">
        <f aca="false">CHOOSE($C$4242,Assumptions!$C$75,Assumptions!$C$94,Assumptions!$C$113)</f>
        <v>1.8</v>
      </c>
    </row>
    <row r="4280" customFormat="false" ht="15" hidden="false" customHeight="false" outlineLevel="0" collapsed="false">
      <c r="A4280" s="5" t="s">
        <v>259</v>
      </c>
      <c r="G4280" s="25" t="n">
        <f aca="false">G4285+G4298+G4311+G4324</f>
        <v>1250</v>
      </c>
      <c r="H4280" s="25" t="n">
        <f aca="false">H4285+H4298+H4311+H4324</f>
        <v>1192.5848</v>
      </c>
      <c r="I4280" s="25" t="n">
        <f aca="false">I4285+I4298+I4311+I4324</f>
        <v>1187.3848</v>
      </c>
      <c r="J4280" s="25" t="n">
        <f aca="false">J4285+J4298+J4311+J4324</f>
        <v>1182.1848</v>
      </c>
      <c r="K4280" s="25" t="n">
        <f aca="false">K4285+K4298+K4311+K4324</f>
        <v>1176.9848</v>
      </c>
    </row>
    <row r="4281" customFormat="false" ht="15" hidden="false" customHeight="false" outlineLevel="0" collapsed="false">
      <c r="A4281" s="5" t="s">
        <v>260</v>
      </c>
      <c r="G4281" s="25" t="n">
        <f aca="false">F4371</f>
        <v>45</v>
      </c>
      <c r="H4281" s="25" t="n">
        <f aca="false">G4371</f>
        <v>0</v>
      </c>
      <c r="I4281" s="25" t="n">
        <f aca="false">H4371</f>
        <v>-27.5772652</v>
      </c>
      <c r="J4281" s="25" t="n">
        <f aca="false">I4371</f>
        <v>-49.791827312</v>
      </c>
      <c r="K4281" s="25" t="n">
        <f aca="false">J4371</f>
        <v>-58.60300705264</v>
      </c>
    </row>
    <row r="4282" customFormat="false" ht="15" hidden="false" customHeight="false" outlineLevel="0" collapsed="false">
      <c r="A4282" s="5" t="s">
        <v>261</v>
      </c>
      <c r="G4282" s="25" t="n">
        <f aca="false">G4285*IF(G4286=1,$C$4277,IF(Assumptions!$I$53=1,MAX(G4275,Assumptions!$G$53)+Assumptions!$F$53+$C$4276,Assumptions!$E$53))+G4298*IF(G4299=1,$C$4277,IF(Assumptions!$I$54=1,MAX(G4275,Assumptions!$G$54)+Assumptions!$F$54+$C$4276,Assumptions!$E$54))+G4311*IF(G4312=1,$C$4277,IF(Assumptions!$I$55=1,MAX(G4275,Assumptions!$G$55)+Assumptions!$F$55+$C$4276,Assumptions!$E$55))+G4324*IF(G4325=1,$C$4277,IF(Assumptions!$I$56=1,MAX(G4275,Assumptions!$G$56)+Assumptions!$F$56+$C$4276,Assumptions!$E$56))</f>
        <v>129.54</v>
      </c>
      <c r="H4282" s="25" t="n">
        <f aca="false">H4285*IF(OR(H4286=1,G4437=1),$C$4277,IF(Assumptions!$I$53=1,MAX(H4275,Assumptions!$G$53)+Assumptions!$F$53+$C$4276,Assumptions!$E$53))+H4298*IF(OR(H4299=1,G4438=1),$C$4277,IF(Assumptions!$I$54=1,MAX(H4275,Assumptions!$G$54)+Assumptions!$F$54+$C$4276,Assumptions!$E$54))+H4311*IF(OR(H4312=1,G4439=1),$C$4277,IF(Assumptions!$I$55=1,MAX(H4275,Assumptions!$G$55)+Assumptions!$F$55+$C$4276,Assumptions!$E$55))+H4324*IF(OR(H4325=1,G4440=1),$C$4277,IF(Assumptions!$I$56=1,MAX(H4275,Assumptions!$G$56)+Assumptions!$F$56+$C$4276,Assumptions!$E$56))</f>
        <v>144.710348</v>
      </c>
      <c r="I4282" s="25" t="n">
        <f aca="false">I4285*IF(OR(I4286=1,H4437=1),$C$4277,IF(Assumptions!$I$53=1,MAX(I4275,Assumptions!$G$53)+Assumptions!$F$53+$C$4276,Assumptions!$E$53))+I4298*IF(OR(I4299=1,H4438=1),$C$4277,IF(Assumptions!$I$54=1,MAX(I4275,Assumptions!$G$54)+Assumptions!$F$54+$C$4276,Assumptions!$E$54))+I4311*IF(OR(I4312=1,H4439=1),$C$4277,IF(Assumptions!$I$55=1,MAX(I4275,Assumptions!$G$55)+Assumptions!$F$55+$C$4276,Assumptions!$E$55))+I4324*IF(OR(I4325=1,H4440=1),$C$4277,IF(Assumptions!$I$56=1,MAX(I4275,Assumptions!$G$56)+Assumptions!$F$56+$C$4276,Assumptions!$E$56))</f>
        <v>131.0633408</v>
      </c>
      <c r="J4282" s="25" t="n">
        <f aca="false">J4285*IF(OR(J4286=1,I4437=1),$C$4277,IF(Assumptions!$I$53=1,MAX(J4275,Assumptions!$G$53)+Assumptions!$F$53+$C$4276,Assumptions!$E$53))+J4298*IF(OR(J4299=1,I4438=1),$C$4277,IF(Assumptions!$I$54=1,MAX(J4275,Assumptions!$G$54)+Assumptions!$F$54+$C$4276,Assumptions!$E$54))+J4311*IF(OR(J4312=1,I4439=1),$C$4277,IF(Assumptions!$I$55=1,MAX(J4275,Assumptions!$G$55)+Assumptions!$F$55+$C$4276,Assumptions!$E$55))+J4324*IF(OR(J4325=1,I4440=1),$C$4277,IF(Assumptions!$I$56=1,MAX(J4275,Assumptions!$G$56)+Assumptions!$F$56+$C$4276,Assumptions!$E$56))</f>
        <v>125.5145408</v>
      </c>
      <c r="K4282" s="25" t="n">
        <f aca="false">K4285*IF(OR(K4286=1,J4437=1),$C$4277,IF(Assumptions!$I$53=1,MAX(K4275,Assumptions!$G$53)+Assumptions!$F$53+$C$4276,Assumptions!$E$53))+K4298*IF(OR(K4299=1,J4438=1),$C$4277,IF(Assumptions!$I$54=1,MAX(K4275,Assumptions!$G$54)+Assumptions!$F$54+$C$4276,Assumptions!$E$54))+K4311*IF(OR(K4312=1,J4439=1),$C$4277,IF(Assumptions!$I$55=1,MAX(K4275,Assumptions!$G$55)+Assumptions!$F$55+$C$4276,Assumptions!$E$55))+K4324*IF(OR(K4325=1,J4440=1),$C$4277,IF(Assumptions!$I$56=1,MAX(K4275,Assumptions!$G$56)+Assumptions!$F$56+$C$4276,Assumptions!$E$56))</f>
        <v>118.6769408</v>
      </c>
    </row>
    <row r="4283" customFormat="false" ht="15" hidden="false" customHeight="false" outlineLevel="0" collapsed="false">
      <c r="A4283" s="5" t="s">
        <v>262</v>
      </c>
      <c r="G4283" s="20" t="n">
        <f aca="false">IF(G4259&lt;=0,0,IF(AND((G4280-G4281)/G4259&lt;=$C$4278,G4259/G4282&gt;=$C$4279),1,0))</f>
        <v>0</v>
      </c>
      <c r="H4283" s="20" t="n">
        <f aca="false">IF(H4259&lt;=0,0,IF(AND((H4280-H4281)/H4259&lt;=$C$4278,H4259/H4282&gt;=$C$4279),1,0))</f>
        <v>0</v>
      </c>
      <c r="I4283" s="20" t="n">
        <f aca="false">IF(I4259&lt;=0,0,IF(AND((I4280-I4281)/I4259&lt;=$C$4278,I4259/I4282&gt;=$C$4279),1,0))</f>
        <v>0</v>
      </c>
      <c r="J4283" s="20" t="n">
        <f aca="false">IF(J4259&lt;=0,0,IF(AND((J4280-J4281)/J4259&lt;=$C$4278,J4259/J4282&gt;=$C$4279),1,0))</f>
        <v>0</v>
      </c>
      <c r="K4283" s="20" t="n">
        <f aca="false">IF(K4259&lt;=0,0,IF(AND((K4280-K4281)/K4259&lt;=$C$4278,K4259/K4282&gt;=$C$4279),1,0))</f>
        <v>0</v>
      </c>
    </row>
    <row r="4284" customFormat="false" ht="15" hidden="false" customHeight="false" outlineLevel="0" collapsed="false">
      <c r="A4284" s="23" t="s">
        <v>263</v>
      </c>
      <c r="B4284" s="24"/>
      <c r="C4284" s="24"/>
      <c r="D4284" s="24"/>
      <c r="E4284" s="24"/>
      <c r="F4284" s="24"/>
      <c r="G4284" s="24"/>
      <c r="H4284" s="24"/>
      <c r="I4284" s="24"/>
      <c r="J4284" s="24"/>
      <c r="K4284" s="24"/>
    </row>
    <row r="4285" customFormat="false" ht="15" hidden="false" customHeight="false" outlineLevel="0" collapsed="false">
      <c r="A4285" s="5" t="s">
        <v>264</v>
      </c>
      <c r="G4285" s="25" t="n">
        <f aca="false">F4296</f>
        <v>180</v>
      </c>
      <c r="H4285" s="25" t="n">
        <f aca="false">G4296</f>
        <v>127.7848</v>
      </c>
      <c r="I4285" s="25" t="n">
        <f aca="false">H4296</f>
        <v>127.7848</v>
      </c>
      <c r="J4285" s="25" t="n">
        <f aca="false">I4296</f>
        <v>127.7848</v>
      </c>
      <c r="K4285" s="25" t="n">
        <f aca="false">J4296</f>
        <v>127.7848</v>
      </c>
    </row>
    <row r="4286" customFormat="false" ht="15" hidden="false" customHeight="false" outlineLevel="0" collapsed="false">
      <c r="A4286" s="5" t="s">
        <v>265</v>
      </c>
      <c r="G4286" s="20" t="n">
        <f aca="false">IF(G4249=Assumptions!$K$53,1,0)</f>
        <v>0</v>
      </c>
      <c r="H4286" s="20" t="n">
        <f aca="false">IF(H4249=Assumptions!$K$53,1,0)</f>
        <v>1</v>
      </c>
      <c r="I4286" s="20" t="n">
        <f aca="false">IF(I4249=Assumptions!$K$53,1,0)</f>
        <v>0</v>
      </c>
      <c r="J4286" s="20" t="n">
        <f aca="false">IF(J4249=Assumptions!$K$53,1,0)</f>
        <v>0</v>
      </c>
      <c r="K4286" s="20" t="n">
        <f aca="false">IF(K4249=Assumptions!$K$53,1,0)</f>
        <v>0</v>
      </c>
    </row>
    <row r="4288" customFormat="false" ht="15" hidden="false" customHeight="false" outlineLevel="0" collapsed="false">
      <c r="A4288" s="5" t="s">
        <v>266</v>
      </c>
      <c r="G4288" s="30" t="n">
        <f aca="false">IF(Assumptions!$I$53=1,MAX(G4275,Assumptions!$G$53)+Assumptions!$F$53+$C$4276,Assumptions!$E$53)</f>
        <v>0.101</v>
      </c>
      <c r="H4288" s="30" t="n">
        <f aca="false">IF(G4437=1,$C$4277,IF(Assumptions!$I$53=1,MAX(H4275,Assumptions!$G$53)+Assumptions!$F$53+$C$4276,Assumptions!$E$53))</f>
        <v>0.0985</v>
      </c>
      <c r="I4288" s="30" t="n">
        <f aca="false">IF(H4437=1,$C$4277,IF(Assumptions!$I$53=1,MAX(I4275,Assumptions!$G$53)+Assumptions!$F$53+$C$4276,Assumptions!$E$53))</f>
        <v>0.096</v>
      </c>
      <c r="J4288" s="30" t="n">
        <f aca="false">IF(I4437=1,$C$4277,IF(Assumptions!$I$53=1,MAX(J4275,Assumptions!$G$53)+Assumptions!$F$53+$C$4276,Assumptions!$E$53))</f>
        <v>0.096</v>
      </c>
      <c r="K4288" s="30" t="n">
        <f aca="false">IF(J4437=1,$C$4277,IF(Assumptions!$I$53=1,MAX(K4275,Assumptions!$G$53)+Assumptions!$F$53+$C$4276,Assumptions!$E$53))</f>
        <v>0.096</v>
      </c>
    </row>
    <row r="4289" customFormat="false" ht="15" hidden="false" customHeight="false" outlineLevel="0" collapsed="false">
      <c r="A4289" s="5" t="s">
        <v>267</v>
      </c>
      <c r="G4289" s="25" t="n">
        <f aca="false">G4285*G4288</f>
        <v>18.18</v>
      </c>
      <c r="H4289" s="25" t="n">
        <f aca="false">H4285*H4288</f>
        <v>12.5868028</v>
      </c>
      <c r="I4289" s="25" t="n">
        <f aca="false">I4285*I4288</f>
        <v>12.2673408</v>
      </c>
      <c r="J4289" s="25" t="n">
        <f aca="false">J4285*J4288</f>
        <v>12.2673408</v>
      </c>
      <c r="K4289" s="25" t="n">
        <f aca="false">K4285*K4288</f>
        <v>12.2673408</v>
      </c>
    </row>
    <row r="4290" customFormat="false" ht="15" hidden="false" customHeight="false" outlineLevel="0" collapsed="false">
      <c r="A4290" s="5" t="s">
        <v>268</v>
      </c>
      <c r="G4290" s="25" t="n">
        <f aca="false">G4285*Assumptions!$H$53</f>
        <v>0</v>
      </c>
      <c r="H4290" s="25" t="n">
        <f aca="false">H4285*Assumptions!$H$53</f>
        <v>0</v>
      </c>
      <c r="I4290" s="25" t="n">
        <f aca="false">I4285*Assumptions!$H$53</f>
        <v>0</v>
      </c>
      <c r="J4290" s="25" t="n">
        <f aca="false">J4285*Assumptions!$H$53</f>
        <v>0</v>
      </c>
      <c r="K4290" s="25" t="n">
        <f aca="false">K4285*Assumptions!$H$53</f>
        <v>0</v>
      </c>
    </row>
    <row r="4291" customFormat="false" ht="15" hidden="false" customHeight="false" outlineLevel="0" collapsed="false">
      <c r="A4291" s="5" t="s">
        <v>269</v>
      </c>
      <c r="G4291" s="25" t="n">
        <f aca="false">MIN(G4285,Assumptions!$L$53*Assumptions!$C$53)</f>
        <v>0</v>
      </c>
      <c r="H4291" s="25" t="n">
        <f aca="false">MIN(H4285,Assumptions!$L$53*Assumptions!$C$53)</f>
        <v>0</v>
      </c>
      <c r="I4291" s="25" t="n">
        <f aca="false">MIN(I4285,Assumptions!$L$53*Assumptions!$C$53)</f>
        <v>0</v>
      </c>
      <c r="J4291" s="25" t="n">
        <f aca="false">MIN(J4285,Assumptions!$L$53*Assumptions!$C$53)</f>
        <v>0</v>
      </c>
      <c r="K4291" s="25" t="n">
        <f aca="false">MIN(K4285,Assumptions!$L$53*Assumptions!$C$53)</f>
        <v>0</v>
      </c>
    </row>
    <row r="4292" customFormat="false" ht="15" hidden="false" customHeight="false" outlineLevel="0" collapsed="false">
      <c r="A4292" s="5" t="s">
        <v>270</v>
      </c>
      <c r="G4292" s="25" t="n">
        <f aca="false">IF(AND(Assumptions!$P$53=1,G4249&lt;Assumptions!$K$53),MIN(MAX(0,-G4363),MAX(0,Assumptions!$D$53-G4285)),0)</f>
        <v>0</v>
      </c>
      <c r="H4292" s="25" t="n">
        <f aca="false">IF(AND(Assumptions!$P$53=1,OR(H4249&lt;Assumptions!$K$53,G4437=1)),MIN(MAX(0,-H4363),MAX(0,Assumptions!$D$53-H4285)),0)</f>
        <v>0</v>
      </c>
      <c r="I4292" s="25" t="n">
        <f aca="false">IF(AND(Assumptions!$P$53=1,OR(I4249&lt;Assumptions!$K$53,H4437=1)),MIN(MAX(0,-I4363),MAX(0,Assumptions!$D$53-I4285)),0)</f>
        <v>0</v>
      </c>
      <c r="J4292" s="25" t="n">
        <f aca="false">IF(AND(Assumptions!$P$53=1,OR(J4249&lt;Assumptions!$K$53,I4437=1)),MIN(MAX(0,-J4363),MAX(0,Assumptions!$D$53-J4285)),0)</f>
        <v>0</v>
      </c>
      <c r="K4292" s="25" t="n">
        <f aca="false">IF(AND(Assumptions!$P$53=1,OR(K4249&lt;Assumptions!$K$53,J4437=1)),MIN(MAX(0,-K4363),MAX(0,Assumptions!$D$53-K4285)),0)</f>
        <v>0</v>
      </c>
    </row>
    <row r="4293" customFormat="false" ht="15" hidden="false" customHeight="false" outlineLevel="0" collapsed="false">
      <c r="A4293" s="5" t="s">
        <v>271</v>
      </c>
      <c r="G4293" s="25" t="n">
        <f aca="false">G4286*MIN(G4285-G4291+G4290,MAX(0,G4365-Assumptions!$C$12*G4283))</f>
        <v>0</v>
      </c>
      <c r="H4293" s="25" t="n">
        <f aca="false">H4286*MIN(H4285-H4291+H4290,MAX(0,H4365-Assumptions!$C$12*H4283))</f>
        <v>0</v>
      </c>
      <c r="I4293" s="25" t="n">
        <f aca="false">I4286*MIN(I4285-I4291+I4290,MAX(0,I4365-Assumptions!$C$12*I4283))</f>
        <v>0</v>
      </c>
      <c r="J4293" s="25" t="n">
        <f aca="false">J4286*MIN(J4285-J4291+J4290,MAX(0,J4365-Assumptions!$C$12*J4283))</f>
        <v>0</v>
      </c>
      <c r="K4293" s="25" t="n">
        <f aca="false">K4286*MIN(K4285-K4291+K4290,MAX(0,K4365-Assumptions!$C$12*K4283))</f>
        <v>0</v>
      </c>
    </row>
    <row r="4294" customFormat="false" ht="15" hidden="false" customHeight="false" outlineLevel="0" collapsed="false">
      <c r="A4294" s="5" t="s">
        <v>272</v>
      </c>
      <c r="G4294" s="25" t="n">
        <f aca="false">Assumptions!$N$53*MIN(G4285+G4292+G4290-G4291-G4293,MAX(0,G4369))</f>
        <v>52.2152</v>
      </c>
      <c r="H4294" s="25" t="n">
        <f aca="false">Assumptions!$N$53*MIN(H4285+H4292+H4290-H4291-H4293,MAX(0,H4369))</f>
        <v>0</v>
      </c>
      <c r="I4294" s="25" t="n">
        <f aca="false">Assumptions!$N$53*MIN(I4285+I4292+I4290-I4291-I4293,MAX(0,I4369))</f>
        <v>0</v>
      </c>
      <c r="J4294" s="25" t="n">
        <f aca="false">Assumptions!$N$53*MIN(J4285+J4292+J4290-J4291-J4293,MAX(0,J4369))</f>
        <v>0</v>
      </c>
      <c r="K4294" s="25" t="n">
        <f aca="false">Assumptions!$N$53*MIN(K4285+K4292+K4290-K4291-K4293,MAX(0,K4369))</f>
        <v>0</v>
      </c>
    </row>
    <row r="4295" customFormat="false" ht="15" hidden="false" customHeight="false" outlineLevel="0" collapsed="false">
      <c r="A4295" s="5" t="s">
        <v>273</v>
      </c>
      <c r="G4295" s="25" t="n">
        <f aca="false">G4286*(1-G4283)*(G4285-G4291+G4290-G4293)</f>
        <v>0</v>
      </c>
      <c r="H4295" s="25" t="n">
        <f aca="false">H4286*(1-H4283)*(H4285-H4291+H4290-H4293)</f>
        <v>127.7848</v>
      </c>
      <c r="I4295" s="25" t="n">
        <f aca="false">I4286*(1-I4283)*(I4285-I4291+I4290-I4293)</f>
        <v>0</v>
      </c>
      <c r="J4295" s="25" t="n">
        <f aca="false">J4286*(1-J4283)*(J4285-J4291+J4290-J4293)</f>
        <v>0</v>
      </c>
      <c r="K4295" s="25" t="n">
        <f aca="false">K4286*(1-K4283)*(K4285-K4291+K4290-K4293)</f>
        <v>0</v>
      </c>
    </row>
    <row r="4296" customFormat="false" ht="15" hidden="false" customHeight="false" outlineLevel="0" collapsed="false">
      <c r="A4296" s="2" t="s">
        <v>274</v>
      </c>
      <c r="F4296" s="27" t="n">
        <f aca="false">Assumptions!$C$53</f>
        <v>180</v>
      </c>
      <c r="G4296" s="16" t="n">
        <f aca="false">G4285+G4292+G4290-G4291-G4293-G4294</f>
        <v>127.7848</v>
      </c>
      <c r="H4296" s="16" t="n">
        <f aca="false">H4285+H4292+H4290-H4291-H4293-H4294</f>
        <v>127.7848</v>
      </c>
      <c r="I4296" s="16" t="n">
        <f aca="false">I4285+I4292+I4290-I4291-I4293-I4294</f>
        <v>127.7848</v>
      </c>
      <c r="J4296" s="16" t="n">
        <f aca="false">J4285+J4292+J4290-J4291-J4293-J4294</f>
        <v>127.7848</v>
      </c>
      <c r="K4296" s="16" t="n">
        <f aca="false">K4285+K4292+K4290-K4291-K4293-K4294</f>
        <v>127.7848</v>
      </c>
    </row>
    <row r="4297" customFormat="false" ht="15" hidden="false" customHeight="false" outlineLevel="0" collapsed="false">
      <c r="A4297" s="23" t="s">
        <v>275</v>
      </c>
      <c r="B4297" s="24"/>
      <c r="C4297" s="24"/>
      <c r="D4297" s="24"/>
      <c r="E4297" s="24"/>
      <c r="F4297" s="24"/>
      <c r="G4297" s="24"/>
      <c r="H4297" s="24"/>
      <c r="I4297" s="24"/>
      <c r="J4297" s="24"/>
      <c r="K4297" s="24"/>
    </row>
    <row r="4298" customFormat="false" ht="15" hidden="false" customHeight="false" outlineLevel="0" collapsed="false">
      <c r="A4298" s="5" t="s">
        <v>264</v>
      </c>
      <c r="G4298" s="25" t="n">
        <f aca="false">F4309</f>
        <v>520</v>
      </c>
      <c r="H4298" s="25" t="n">
        <f aca="false">G4309</f>
        <v>514.8</v>
      </c>
      <c r="I4298" s="25" t="n">
        <f aca="false">H4309</f>
        <v>509.6</v>
      </c>
      <c r="J4298" s="25" t="n">
        <f aca="false">I4309</f>
        <v>504.4</v>
      </c>
      <c r="K4298" s="25" t="n">
        <f aca="false">J4309</f>
        <v>499.2</v>
      </c>
    </row>
    <row r="4299" customFormat="false" ht="15" hidden="false" customHeight="false" outlineLevel="0" collapsed="false">
      <c r="A4299" s="5" t="s">
        <v>265</v>
      </c>
      <c r="G4299" s="20" t="n">
        <f aca="false">IF(G4249=Assumptions!$K$54,1,0)</f>
        <v>0</v>
      </c>
      <c r="H4299" s="20" t="n">
        <f aca="false">IF(H4249=Assumptions!$K$54,1,0)</f>
        <v>0</v>
      </c>
      <c r="I4299" s="20" t="n">
        <f aca="false">IF(I4249=Assumptions!$K$54,1,0)</f>
        <v>1</v>
      </c>
      <c r="J4299" s="20" t="n">
        <f aca="false">IF(J4249=Assumptions!$K$54,1,0)</f>
        <v>0</v>
      </c>
      <c r="K4299" s="20" t="n">
        <f aca="false">IF(K4249=Assumptions!$K$54,1,0)</f>
        <v>0</v>
      </c>
    </row>
    <row r="4301" customFormat="false" ht="15" hidden="false" customHeight="false" outlineLevel="0" collapsed="false">
      <c r="A4301" s="5" t="s">
        <v>266</v>
      </c>
      <c r="G4301" s="30" t="n">
        <f aca="false">IF(Assumptions!$I$54=1,MAX(G4275,Assumptions!$G$54)+Assumptions!$F$54+$C$4276,Assumptions!$E$54)</f>
        <v>0.118</v>
      </c>
      <c r="H4301" s="30" t="n">
        <f aca="false">IF(G4438=1,$C$4277,IF(Assumptions!$I$54=1,MAX(H4275,Assumptions!$G$54)+Assumptions!$F$54+$C$4276,Assumptions!$E$54))</f>
        <v>0.1155</v>
      </c>
      <c r="I4301" s="30" t="n">
        <f aca="false">IF(H4438=1,$C$4277,IF(Assumptions!$I$54=1,MAX(I4275,Assumptions!$G$54)+Assumptions!$F$54+$C$4276,Assumptions!$E$54))</f>
        <v>0.113</v>
      </c>
      <c r="J4301" s="30" t="n">
        <f aca="false">IF(I4438=1,$C$4277,IF(Assumptions!$I$54=1,MAX(J4275,Assumptions!$G$54)+Assumptions!$F$54+$C$4276,Assumptions!$E$54))</f>
        <v>0.113</v>
      </c>
      <c r="K4301" s="30" t="n">
        <f aca="false">IF(J4438=1,$C$4277,IF(Assumptions!$I$54=1,MAX(K4275,Assumptions!$G$54)+Assumptions!$F$54+$C$4276,Assumptions!$E$54))</f>
        <v>0.113</v>
      </c>
    </row>
    <row r="4302" customFormat="false" ht="15" hidden="false" customHeight="false" outlineLevel="0" collapsed="false">
      <c r="A4302" s="5" t="s">
        <v>267</v>
      </c>
      <c r="G4302" s="25" t="n">
        <f aca="false">G4298*G4301</f>
        <v>61.36</v>
      </c>
      <c r="H4302" s="25" t="n">
        <f aca="false">H4298*H4301</f>
        <v>59.4594</v>
      </c>
      <c r="I4302" s="25" t="n">
        <f aca="false">I4298*I4301</f>
        <v>57.5848</v>
      </c>
      <c r="J4302" s="25" t="n">
        <f aca="false">J4298*J4301</f>
        <v>56.9972</v>
      </c>
      <c r="K4302" s="25" t="n">
        <f aca="false">K4298*K4301</f>
        <v>56.4096</v>
      </c>
    </row>
    <row r="4303" customFormat="false" ht="15" hidden="false" customHeight="false" outlineLevel="0" collapsed="false">
      <c r="A4303" s="5" t="s">
        <v>268</v>
      </c>
      <c r="G4303" s="25" t="n">
        <f aca="false">G4298*Assumptions!$H$54</f>
        <v>0</v>
      </c>
      <c r="H4303" s="25" t="n">
        <f aca="false">H4298*Assumptions!$H$54</f>
        <v>0</v>
      </c>
      <c r="I4303" s="25" t="n">
        <f aca="false">I4298*Assumptions!$H$54</f>
        <v>0</v>
      </c>
      <c r="J4303" s="25" t="n">
        <f aca="false">J4298*Assumptions!$H$54</f>
        <v>0</v>
      </c>
      <c r="K4303" s="25" t="n">
        <f aca="false">K4298*Assumptions!$H$54</f>
        <v>0</v>
      </c>
    </row>
    <row r="4304" customFormat="false" ht="15" hidden="false" customHeight="false" outlineLevel="0" collapsed="false">
      <c r="A4304" s="5" t="s">
        <v>269</v>
      </c>
      <c r="G4304" s="25" t="n">
        <f aca="false">MIN(G4298,Assumptions!$L$54*Assumptions!$C$54)</f>
        <v>5.2</v>
      </c>
      <c r="H4304" s="25" t="n">
        <f aca="false">MIN(H4298,Assumptions!$L$54*Assumptions!$C$54)</f>
        <v>5.2</v>
      </c>
      <c r="I4304" s="25" t="n">
        <f aca="false">MIN(I4298,Assumptions!$L$54*Assumptions!$C$54)</f>
        <v>5.2</v>
      </c>
      <c r="J4304" s="25" t="n">
        <f aca="false">MIN(J4298,Assumptions!$L$54*Assumptions!$C$54)</f>
        <v>5.2</v>
      </c>
      <c r="K4304" s="25" t="n">
        <f aca="false">MIN(K4298,Assumptions!$L$54*Assumptions!$C$54)</f>
        <v>5.2</v>
      </c>
    </row>
    <row r="4305" customFormat="false" ht="15" hidden="false" customHeight="false" outlineLevel="0" collapsed="false">
      <c r="A4305" s="5" t="s">
        <v>270</v>
      </c>
      <c r="G4305" s="25" t="n">
        <f aca="false">IF(AND(Assumptions!$P$54=1,G4249&lt;Assumptions!$K$54),MIN(MAX(0,-G4363),MAX(0,Assumptions!$D$54-G4298)),0)</f>
        <v>0</v>
      </c>
      <c r="H4305" s="25" t="n">
        <f aca="false">IF(AND(Assumptions!$P$54=1,OR(H4249&lt;Assumptions!$K$54,G4438=1)),MIN(MAX(0,-H4363),MAX(0,Assumptions!$D$54-H4298)),0)</f>
        <v>0</v>
      </c>
      <c r="I4305" s="25" t="n">
        <f aca="false">IF(AND(Assumptions!$P$54=1,OR(I4249&lt;Assumptions!$K$54,H4438=1)),MIN(MAX(0,-I4363),MAX(0,Assumptions!$D$54-I4298)),0)</f>
        <v>0</v>
      </c>
      <c r="J4305" s="25" t="n">
        <f aca="false">IF(AND(Assumptions!$P$54=1,OR(J4249&lt;Assumptions!$K$54,I4438=1)),MIN(MAX(0,-J4363),MAX(0,Assumptions!$D$54-J4298)),0)</f>
        <v>0</v>
      </c>
      <c r="K4305" s="25" t="n">
        <f aca="false">IF(AND(Assumptions!$P$54=1,OR(K4249&lt;Assumptions!$K$54,J4438=1)),MIN(MAX(0,-K4363),MAX(0,Assumptions!$D$54-K4298)),0)</f>
        <v>0</v>
      </c>
    </row>
    <row r="4306" customFormat="false" ht="15" hidden="false" customHeight="false" outlineLevel="0" collapsed="false">
      <c r="A4306" s="5" t="s">
        <v>271</v>
      </c>
      <c r="G4306" s="25" t="n">
        <f aca="false">G4299*MIN(G4298-G4304+G4303,MAX(0,G4365-Assumptions!$C$12*G4283-G4293))</f>
        <v>0</v>
      </c>
      <c r="H4306" s="25" t="n">
        <f aca="false">H4299*MIN(H4298-H4304+H4303,MAX(0,H4365-Assumptions!$C$12*H4283-H4293))</f>
        <v>0</v>
      </c>
      <c r="I4306" s="25" t="n">
        <f aca="false">I4299*MIN(I4298-I4304+I4303,MAX(0,I4365-Assumptions!$C$12*I4283-I4293))</f>
        <v>0</v>
      </c>
      <c r="J4306" s="25" t="n">
        <f aca="false">J4299*MIN(J4298-J4304+J4303,MAX(0,J4365-Assumptions!$C$12*J4283-J4293))</f>
        <v>0</v>
      </c>
      <c r="K4306" s="25" t="n">
        <f aca="false">K4299*MIN(K4298-K4304+K4303,MAX(0,K4365-Assumptions!$C$12*K4283-K4293))</f>
        <v>0</v>
      </c>
    </row>
    <row r="4307" customFormat="false" ht="15" hidden="false" customHeight="false" outlineLevel="0" collapsed="false">
      <c r="A4307" s="5" t="s">
        <v>272</v>
      </c>
      <c r="G4307" s="25" t="n">
        <f aca="false">Assumptions!$N$54*MIN(G4298+G4305+G4303-G4304-G4306,MAX(0,G4369-G4294))</f>
        <v>0</v>
      </c>
      <c r="H4307" s="25" t="n">
        <f aca="false">Assumptions!$N$54*MIN(H4298+H4305+H4303-H4304-H4306,MAX(0,H4369-H4294))</f>
        <v>0</v>
      </c>
      <c r="I4307" s="25" t="n">
        <f aca="false">Assumptions!$N$54*MIN(I4298+I4305+I4303-I4304-I4306,MAX(0,I4369-I4294))</f>
        <v>0</v>
      </c>
      <c r="J4307" s="25" t="n">
        <f aca="false">Assumptions!$N$54*MIN(J4298+J4305+J4303-J4304-J4306,MAX(0,J4369-J4294))</f>
        <v>0</v>
      </c>
      <c r="K4307" s="25" t="n">
        <f aca="false">Assumptions!$N$54*MIN(K4298+K4305+K4303-K4304-K4306,MAX(0,K4369-K4294))</f>
        <v>0</v>
      </c>
    </row>
    <row r="4308" customFormat="false" ht="15" hidden="false" customHeight="false" outlineLevel="0" collapsed="false">
      <c r="A4308" s="5" t="s">
        <v>273</v>
      </c>
      <c r="G4308" s="25" t="n">
        <f aca="false">G4299*(1-G4283)*(G4298-G4304+G4303-G4306)</f>
        <v>0</v>
      </c>
      <c r="H4308" s="25" t="n">
        <f aca="false">H4299*(1-H4283)*(H4298-H4304+H4303-H4306)</f>
        <v>0</v>
      </c>
      <c r="I4308" s="25" t="n">
        <f aca="false">I4299*(1-I4283)*(I4298-I4304+I4303-I4306)</f>
        <v>504.4</v>
      </c>
      <c r="J4308" s="25" t="n">
        <f aca="false">J4299*(1-J4283)*(J4298-J4304+J4303-J4306)</f>
        <v>0</v>
      </c>
      <c r="K4308" s="25" t="n">
        <f aca="false">K4299*(1-K4283)*(K4298-K4304+K4303-K4306)</f>
        <v>0</v>
      </c>
    </row>
    <row r="4309" customFormat="false" ht="15" hidden="false" customHeight="false" outlineLevel="0" collapsed="false">
      <c r="A4309" s="2" t="s">
        <v>274</v>
      </c>
      <c r="F4309" s="27" t="n">
        <f aca="false">Assumptions!$C$54</f>
        <v>520</v>
      </c>
      <c r="G4309" s="16" t="n">
        <f aca="false">G4298+G4305+G4303-G4304-G4306-G4307</f>
        <v>514.8</v>
      </c>
      <c r="H4309" s="16" t="n">
        <f aca="false">H4298+H4305+H4303-H4304-H4306-H4307</f>
        <v>509.6</v>
      </c>
      <c r="I4309" s="16" t="n">
        <f aca="false">I4298+I4305+I4303-I4304-I4306-I4307</f>
        <v>504.4</v>
      </c>
      <c r="J4309" s="16" t="n">
        <f aca="false">J4298+J4305+J4303-J4304-J4306-J4307</f>
        <v>499.2</v>
      </c>
      <c r="K4309" s="16" t="n">
        <f aca="false">K4298+K4305+K4303-K4304-K4306-K4307</f>
        <v>494</v>
      </c>
    </row>
    <row r="4310" customFormat="false" ht="15" hidden="false" customHeight="false" outlineLevel="0" collapsed="false">
      <c r="A4310" s="23" t="s">
        <v>276</v>
      </c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</row>
    <row r="4311" customFormat="false" ht="15" hidden="false" customHeight="false" outlineLevel="0" collapsed="false">
      <c r="A4311" s="5" t="s">
        <v>264</v>
      </c>
      <c r="G4311" s="25" t="n">
        <f aca="false">F4322</f>
        <v>250</v>
      </c>
      <c r="H4311" s="25" t="n">
        <f aca="false">G4322</f>
        <v>250</v>
      </c>
      <c r="I4311" s="25" t="n">
        <f aca="false">H4322</f>
        <v>250</v>
      </c>
      <c r="J4311" s="25" t="n">
        <f aca="false">I4322</f>
        <v>250</v>
      </c>
      <c r="K4311" s="25" t="n">
        <f aca="false">J4322</f>
        <v>250</v>
      </c>
    </row>
    <row r="4312" customFormat="false" ht="15" hidden="false" customHeight="false" outlineLevel="0" collapsed="false">
      <c r="A4312" s="5" t="s">
        <v>265</v>
      </c>
      <c r="G4312" s="20" t="n">
        <f aca="false">IF(G4249=Assumptions!$K$55,1,0)</f>
        <v>0</v>
      </c>
      <c r="H4312" s="20" t="n">
        <f aca="false">IF(H4249=Assumptions!$K$55,1,0)</f>
        <v>0</v>
      </c>
      <c r="I4312" s="20" t="n">
        <f aca="false">IF(I4249=Assumptions!$K$55,1,0)</f>
        <v>0</v>
      </c>
      <c r="J4312" s="20" t="n">
        <f aca="false">IF(J4249=Assumptions!$K$55,1,0)</f>
        <v>1</v>
      </c>
      <c r="K4312" s="20" t="n">
        <f aca="false">IF(K4249=Assumptions!$K$55,1,0)</f>
        <v>0</v>
      </c>
    </row>
    <row r="4314" customFormat="false" ht="15" hidden="false" customHeight="false" outlineLevel="0" collapsed="false">
      <c r="A4314" s="5" t="s">
        <v>266</v>
      </c>
      <c r="G4314" s="30" t="n">
        <f aca="false">IF(Assumptions!$I$55=1,MAX(G4275,Assumptions!$G$55)+Assumptions!$F$55+$C$4276,Assumptions!$E$55)</f>
        <v>0.11</v>
      </c>
      <c r="H4314" s="30" t="n">
        <f aca="false">IF(G4439=1,$C$4277,IF(Assumptions!$I$55=1,MAX(H4275,Assumptions!$G$55)+Assumptions!$F$55+$C$4276,Assumptions!$E$55))</f>
        <v>0.11</v>
      </c>
      <c r="I4314" s="30" t="n">
        <f aca="false">IF(H4439=1,$C$4277,IF(Assumptions!$I$55=1,MAX(I4275,Assumptions!$G$55)+Assumptions!$F$55+$C$4276,Assumptions!$E$55))</f>
        <v>0.11</v>
      </c>
      <c r="J4314" s="30" t="n">
        <f aca="false">IF(I4439=1,$C$4277,IF(Assumptions!$I$55=1,MAX(J4275,Assumptions!$G$55)+Assumptions!$F$55+$C$4276,Assumptions!$E$55))</f>
        <v>0.11</v>
      </c>
      <c r="K4314" s="30" t="n">
        <f aca="false">IF(J4439=1,$C$4277,IF(Assumptions!$I$55=1,MAX(K4275,Assumptions!$G$55)+Assumptions!$F$55+$C$4276,Assumptions!$E$55))</f>
        <v>0.11</v>
      </c>
    </row>
    <row r="4315" customFormat="false" ht="15" hidden="false" customHeight="false" outlineLevel="0" collapsed="false">
      <c r="A4315" s="5" t="s">
        <v>267</v>
      </c>
      <c r="G4315" s="25" t="n">
        <f aca="false">G4311*G4314</f>
        <v>27.5</v>
      </c>
      <c r="H4315" s="25" t="n">
        <f aca="false">H4311*H4314</f>
        <v>27.5</v>
      </c>
      <c r="I4315" s="25" t="n">
        <f aca="false">I4311*I4314</f>
        <v>27.5</v>
      </c>
      <c r="J4315" s="25" t="n">
        <f aca="false">J4311*J4314</f>
        <v>27.5</v>
      </c>
      <c r="K4315" s="25" t="n">
        <f aca="false">K4311*K4314</f>
        <v>27.5</v>
      </c>
    </row>
    <row r="4316" customFormat="false" ht="15" hidden="false" customHeight="false" outlineLevel="0" collapsed="false">
      <c r="A4316" s="5" t="s">
        <v>268</v>
      </c>
      <c r="G4316" s="25" t="n">
        <f aca="false">G4311*Assumptions!$H$55</f>
        <v>0</v>
      </c>
      <c r="H4316" s="25" t="n">
        <f aca="false">H4311*Assumptions!$H$55</f>
        <v>0</v>
      </c>
      <c r="I4316" s="25" t="n">
        <f aca="false">I4311*Assumptions!$H$55</f>
        <v>0</v>
      </c>
      <c r="J4316" s="25" t="n">
        <f aca="false">J4311*Assumptions!$H$55</f>
        <v>0</v>
      </c>
      <c r="K4316" s="25" t="n">
        <f aca="false">K4311*Assumptions!$H$55</f>
        <v>0</v>
      </c>
    </row>
    <row r="4317" customFormat="false" ht="15" hidden="false" customHeight="false" outlineLevel="0" collapsed="false">
      <c r="A4317" s="5" t="s">
        <v>269</v>
      </c>
      <c r="G4317" s="25" t="n">
        <f aca="false">MIN(G4311,Assumptions!$L$55*Assumptions!$C$55)</f>
        <v>0</v>
      </c>
      <c r="H4317" s="25" t="n">
        <f aca="false">MIN(H4311,Assumptions!$L$55*Assumptions!$C$55)</f>
        <v>0</v>
      </c>
      <c r="I4317" s="25" t="n">
        <f aca="false">MIN(I4311,Assumptions!$L$55*Assumptions!$C$55)</f>
        <v>0</v>
      </c>
      <c r="J4317" s="25" t="n">
        <f aca="false">MIN(J4311,Assumptions!$L$55*Assumptions!$C$55)</f>
        <v>0</v>
      </c>
      <c r="K4317" s="25" t="n">
        <f aca="false">MIN(K4311,Assumptions!$L$55*Assumptions!$C$55)</f>
        <v>0</v>
      </c>
    </row>
    <row r="4318" customFormat="false" ht="15" hidden="false" customHeight="false" outlineLevel="0" collapsed="false">
      <c r="A4318" s="5" t="s">
        <v>270</v>
      </c>
      <c r="G4318" s="25" t="n">
        <f aca="false">IF(AND(Assumptions!$P$55=1,G4249&lt;Assumptions!$K$55),MIN(MAX(0,-G4363),MAX(0,Assumptions!$D$55-G4311)),0)</f>
        <v>0</v>
      </c>
      <c r="H4318" s="25" t="n">
        <f aca="false">IF(AND(Assumptions!$P$55=1,OR(H4249&lt;Assumptions!$K$55,G4439=1)),MIN(MAX(0,-H4363),MAX(0,Assumptions!$D$55-H4311)),0)</f>
        <v>0</v>
      </c>
      <c r="I4318" s="25" t="n">
        <f aca="false">IF(AND(Assumptions!$P$55=1,OR(I4249&lt;Assumptions!$K$55,H4439=1)),MIN(MAX(0,-I4363),MAX(0,Assumptions!$D$55-I4311)),0)</f>
        <v>0</v>
      </c>
      <c r="J4318" s="25" t="n">
        <f aca="false">IF(AND(Assumptions!$P$55=1,OR(J4249&lt;Assumptions!$K$55,I4439=1)),MIN(MAX(0,-J4363),MAX(0,Assumptions!$D$55-J4311)),0)</f>
        <v>0</v>
      </c>
      <c r="K4318" s="25" t="n">
        <f aca="false">IF(AND(Assumptions!$P$55=1,OR(K4249&lt;Assumptions!$K$55,J4439=1)),MIN(MAX(0,-K4363),MAX(0,Assumptions!$D$55-K4311)),0)</f>
        <v>0</v>
      </c>
    </row>
    <row r="4319" customFormat="false" ht="15" hidden="false" customHeight="false" outlineLevel="0" collapsed="false">
      <c r="A4319" s="5" t="s">
        <v>271</v>
      </c>
      <c r="G4319" s="25" t="n">
        <f aca="false">G4312*MIN(G4311-G4317+G4316,MAX(0,G4365-Assumptions!$C$12*G4283-G4293-G4306))</f>
        <v>0</v>
      </c>
      <c r="H4319" s="25" t="n">
        <f aca="false">H4312*MIN(H4311-H4317+H4316,MAX(0,H4365-Assumptions!$C$12*H4283-H4293-H4306))</f>
        <v>0</v>
      </c>
      <c r="I4319" s="25" t="n">
        <f aca="false">I4312*MIN(I4311-I4317+I4316,MAX(0,I4365-Assumptions!$C$12*I4283-I4293-I4306))</f>
        <v>0</v>
      </c>
      <c r="J4319" s="25" t="n">
        <f aca="false">J4312*MIN(J4311-J4317+J4316,MAX(0,J4365-Assumptions!$C$12*J4283-J4293-J4306))</f>
        <v>0</v>
      </c>
      <c r="K4319" s="25" t="n">
        <f aca="false">K4312*MIN(K4311-K4317+K4316,MAX(0,K4365-Assumptions!$C$12*K4283-K4293-K4306))</f>
        <v>0</v>
      </c>
    </row>
    <row r="4320" customFormat="false" ht="15" hidden="false" customHeight="false" outlineLevel="0" collapsed="false">
      <c r="A4320" s="5" t="s">
        <v>272</v>
      </c>
      <c r="G4320" s="25" t="n">
        <f aca="false">Assumptions!$N$55*MIN(G4311+G4318+G4316-G4317-G4319,MAX(0,G4369-G4294-G4307))</f>
        <v>0</v>
      </c>
      <c r="H4320" s="25" t="n">
        <f aca="false">Assumptions!$N$55*MIN(H4311+H4318+H4316-H4317-H4319,MAX(0,H4369-H4294-H4307))</f>
        <v>0</v>
      </c>
      <c r="I4320" s="25" t="n">
        <f aca="false">Assumptions!$N$55*MIN(I4311+I4318+I4316-I4317-I4319,MAX(0,I4369-I4294-I4307))</f>
        <v>0</v>
      </c>
      <c r="J4320" s="25" t="n">
        <f aca="false">Assumptions!$N$55*MIN(J4311+J4318+J4316-J4317-J4319,MAX(0,J4369-J4294-J4307))</f>
        <v>0</v>
      </c>
      <c r="K4320" s="25" t="n">
        <f aca="false">Assumptions!$N$55*MIN(K4311+K4318+K4316-K4317-K4319,MAX(0,K4369-K4294-K4307))</f>
        <v>0</v>
      </c>
    </row>
    <row r="4321" customFormat="false" ht="15" hidden="false" customHeight="false" outlineLevel="0" collapsed="false">
      <c r="A4321" s="5" t="s">
        <v>273</v>
      </c>
      <c r="G4321" s="25" t="n">
        <f aca="false">G4312*(1-G4283)*(G4311-G4317+G4316-G4319)</f>
        <v>0</v>
      </c>
      <c r="H4321" s="25" t="n">
        <f aca="false">H4312*(1-H4283)*(H4311-H4317+H4316-H4319)</f>
        <v>0</v>
      </c>
      <c r="I4321" s="25" t="n">
        <f aca="false">I4312*(1-I4283)*(I4311-I4317+I4316-I4319)</f>
        <v>0</v>
      </c>
      <c r="J4321" s="25" t="n">
        <f aca="false">J4312*(1-J4283)*(J4311-J4317+J4316-J4319)</f>
        <v>250</v>
      </c>
      <c r="K4321" s="25" t="n">
        <f aca="false">K4312*(1-K4283)*(K4311-K4317+K4316-K4319)</f>
        <v>0</v>
      </c>
    </row>
    <row r="4322" customFormat="false" ht="15" hidden="false" customHeight="false" outlineLevel="0" collapsed="false">
      <c r="A4322" s="2" t="s">
        <v>274</v>
      </c>
      <c r="F4322" s="27" t="n">
        <f aca="false">Assumptions!$C$55</f>
        <v>250</v>
      </c>
      <c r="G4322" s="16" t="n">
        <f aca="false">G4311+G4318+G4316-G4317-G4319-G4320</f>
        <v>250</v>
      </c>
      <c r="H4322" s="16" t="n">
        <f aca="false">H4311+H4318+H4316-H4317-H4319-H4320</f>
        <v>250</v>
      </c>
      <c r="I4322" s="16" t="n">
        <f aca="false">I4311+I4318+I4316-I4317-I4319-I4320</f>
        <v>250</v>
      </c>
      <c r="J4322" s="16" t="n">
        <f aca="false">J4311+J4318+J4316-J4317-J4319-J4320</f>
        <v>250</v>
      </c>
      <c r="K4322" s="16" t="n">
        <f aca="false">K4311+K4318+K4316-K4317-K4319-K4320</f>
        <v>250</v>
      </c>
    </row>
    <row r="4323" customFormat="false" ht="15" hidden="false" customHeight="false" outlineLevel="0" collapsed="false">
      <c r="A4323" s="23" t="s">
        <v>277</v>
      </c>
      <c r="B4323" s="24"/>
      <c r="C4323" s="24"/>
      <c r="D4323" s="24"/>
      <c r="E4323" s="24"/>
      <c r="F4323" s="24"/>
      <c r="G4323" s="24"/>
      <c r="H4323" s="24"/>
      <c r="I4323" s="24"/>
      <c r="J4323" s="24"/>
      <c r="K4323" s="24"/>
    </row>
    <row r="4324" customFormat="false" ht="15" hidden="false" customHeight="false" outlineLevel="0" collapsed="false">
      <c r="A4324" s="5" t="s">
        <v>264</v>
      </c>
      <c r="G4324" s="25" t="n">
        <f aca="false">F4335</f>
        <v>300</v>
      </c>
      <c r="H4324" s="25" t="n">
        <f aca="false">G4335</f>
        <v>300</v>
      </c>
      <c r="I4324" s="25" t="n">
        <f aca="false">H4335</f>
        <v>300</v>
      </c>
      <c r="J4324" s="25" t="n">
        <f aca="false">I4335</f>
        <v>300</v>
      </c>
      <c r="K4324" s="25" t="n">
        <f aca="false">J4335</f>
        <v>300</v>
      </c>
    </row>
    <row r="4325" customFormat="false" ht="15" hidden="false" customHeight="false" outlineLevel="0" collapsed="false">
      <c r="A4325" s="5" t="s">
        <v>265</v>
      </c>
      <c r="G4325" s="20" t="n">
        <f aca="false">IF(G4249=Assumptions!$K$56,1,0)</f>
        <v>0</v>
      </c>
      <c r="H4325" s="20" t="n">
        <f aca="false">IF(H4249=Assumptions!$K$56,1,0)</f>
        <v>1</v>
      </c>
      <c r="I4325" s="20" t="n">
        <f aca="false">IF(I4249=Assumptions!$K$56,1,0)</f>
        <v>0</v>
      </c>
      <c r="J4325" s="20" t="n">
        <f aca="false">IF(J4249=Assumptions!$K$56,1,0)</f>
        <v>0</v>
      </c>
      <c r="K4325" s="20" t="n">
        <f aca="false">IF(K4249=Assumptions!$K$56,1,0)</f>
        <v>0</v>
      </c>
    </row>
    <row r="4327" customFormat="false" ht="15" hidden="false" customHeight="false" outlineLevel="0" collapsed="false">
      <c r="A4327" s="5" t="s">
        <v>266</v>
      </c>
      <c r="G4327" s="30" t="n">
        <f aca="false">IF(Assumptions!$I$56=1,MAX(G4275,Assumptions!$G$56)+Assumptions!$F$56+$C$4276,Assumptions!$E$56)</f>
        <v>0.075</v>
      </c>
      <c r="H4327" s="30" t="n">
        <f aca="false">IF(G4440=1,$C$4277,IF(Assumptions!$I$56=1,MAX(H4275,Assumptions!$G$56)+Assumptions!$F$56+$C$4276,Assumptions!$E$56))</f>
        <v>0.075</v>
      </c>
      <c r="I4327" s="30" t="n">
        <f aca="false">IF(H4440=1,$C$4277,IF(Assumptions!$I$56=1,MAX(I4275,Assumptions!$G$56)+Assumptions!$F$56+$C$4276,Assumptions!$E$56))</f>
        <v>0.075</v>
      </c>
      <c r="J4327" s="30" t="n">
        <f aca="false">IF(I4440=1,$C$4277,IF(Assumptions!$I$56=1,MAX(J4275,Assumptions!$G$56)+Assumptions!$F$56+$C$4276,Assumptions!$E$56))</f>
        <v>0.075</v>
      </c>
      <c r="K4327" s="30" t="n">
        <f aca="false">IF(J4440=1,$C$4277,IF(Assumptions!$I$56=1,MAX(K4275,Assumptions!$G$56)+Assumptions!$F$56+$C$4276,Assumptions!$E$56))</f>
        <v>0.075</v>
      </c>
    </row>
    <row r="4328" customFormat="false" ht="15" hidden="false" customHeight="false" outlineLevel="0" collapsed="false">
      <c r="A4328" s="5" t="s">
        <v>267</v>
      </c>
      <c r="G4328" s="25" t="n">
        <f aca="false">G4324*G4327</f>
        <v>22.5</v>
      </c>
      <c r="H4328" s="25" t="n">
        <f aca="false">H4324*H4327</f>
        <v>22.5</v>
      </c>
      <c r="I4328" s="25" t="n">
        <f aca="false">I4324*I4327</f>
        <v>22.5</v>
      </c>
      <c r="J4328" s="25" t="n">
        <f aca="false">J4324*J4327</f>
        <v>22.5</v>
      </c>
      <c r="K4328" s="25" t="n">
        <f aca="false">K4324*K4327</f>
        <v>22.5</v>
      </c>
    </row>
    <row r="4329" customFormat="false" ht="15" hidden="false" customHeight="false" outlineLevel="0" collapsed="false">
      <c r="A4329" s="5" t="s">
        <v>268</v>
      </c>
      <c r="G4329" s="25" t="n">
        <f aca="false">G4324*Assumptions!$H$56</f>
        <v>0</v>
      </c>
      <c r="H4329" s="25" t="n">
        <f aca="false">H4324*Assumptions!$H$56</f>
        <v>0</v>
      </c>
      <c r="I4329" s="25" t="n">
        <f aca="false">I4324*Assumptions!$H$56</f>
        <v>0</v>
      </c>
      <c r="J4329" s="25" t="n">
        <f aca="false">J4324*Assumptions!$H$56</f>
        <v>0</v>
      </c>
      <c r="K4329" s="25" t="n">
        <f aca="false">K4324*Assumptions!$H$56</f>
        <v>0</v>
      </c>
    </row>
    <row r="4330" customFormat="false" ht="15" hidden="false" customHeight="false" outlineLevel="0" collapsed="false">
      <c r="A4330" s="5" t="s">
        <v>269</v>
      </c>
      <c r="G4330" s="25" t="n">
        <f aca="false">MIN(G4324,Assumptions!$L$56*Assumptions!$C$56)</f>
        <v>0</v>
      </c>
      <c r="H4330" s="25" t="n">
        <f aca="false">MIN(H4324,Assumptions!$L$56*Assumptions!$C$56)</f>
        <v>0</v>
      </c>
      <c r="I4330" s="25" t="n">
        <f aca="false">MIN(I4324,Assumptions!$L$56*Assumptions!$C$56)</f>
        <v>0</v>
      </c>
      <c r="J4330" s="25" t="n">
        <f aca="false">MIN(J4324,Assumptions!$L$56*Assumptions!$C$56)</f>
        <v>0</v>
      </c>
      <c r="K4330" s="25" t="n">
        <f aca="false">MIN(K4324,Assumptions!$L$56*Assumptions!$C$56)</f>
        <v>0</v>
      </c>
    </row>
    <row r="4331" customFormat="false" ht="15" hidden="false" customHeight="false" outlineLevel="0" collapsed="false">
      <c r="A4331" s="5" t="s">
        <v>270</v>
      </c>
      <c r="G4331" s="25" t="n">
        <f aca="false">IF(AND(Assumptions!$P$56=1,G4249&lt;Assumptions!$K$56),MIN(MAX(0,-G4363),MAX(0,Assumptions!$D$56-G4324)),0)</f>
        <v>0</v>
      </c>
      <c r="H4331" s="25" t="n">
        <f aca="false">IF(AND(Assumptions!$P$56=1,OR(H4249&lt;Assumptions!$K$56,G4440=1)),MIN(MAX(0,-H4363),MAX(0,Assumptions!$D$56-H4324)),0)</f>
        <v>0</v>
      </c>
      <c r="I4331" s="25" t="n">
        <f aca="false">IF(AND(Assumptions!$P$56=1,OR(I4249&lt;Assumptions!$K$56,H4440=1)),MIN(MAX(0,-I4363),MAX(0,Assumptions!$D$56-I4324)),0)</f>
        <v>0</v>
      </c>
      <c r="J4331" s="25" t="n">
        <f aca="false">IF(AND(Assumptions!$P$56=1,OR(J4249&lt;Assumptions!$K$56,I4440=1)),MIN(MAX(0,-J4363),MAX(0,Assumptions!$D$56-J4324)),0)</f>
        <v>0</v>
      </c>
      <c r="K4331" s="25" t="n">
        <f aca="false">IF(AND(Assumptions!$P$56=1,OR(K4249&lt;Assumptions!$K$56,J4440=1)),MIN(MAX(0,-K4363),MAX(0,Assumptions!$D$56-K4324)),0)</f>
        <v>0</v>
      </c>
    </row>
    <row r="4332" customFormat="false" ht="15" hidden="false" customHeight="false" outlineLevel="0" collapsed="false">
      <c r="A4332" s="5" t="s">
        <v>271</v>
      </c>
      <c r="G4332" s="25" t="n">
        <f aca="false">G4325*MIN(G4324-G4330+G4329,MAX(0,G4365-Assumptions!$C$12*G4283-G4293-G4306-G4319))</f>
        <v>0</v>
      </c>
      <c r="H4332" s="25" t="n">
        <f aca="false">H4325*MIN(H4324-H4330+H4329,MAX(0,H4365-Assumptions!$C$12*H4283-H4293-H4306-H4319))</f>
        <v>0</v>
      </c>
      <c r="I4332" s="25" t="n">
        <f aca="false">I4325*MIN(I4324-I4330+I4329,MAX(0,I4365-Assumptions!$C$12*I4283-I4293-I4306-I4319))</f>
        <v>0</v>
      </c>
      <c r="J4332" s="25" t="n">
        <f aca="false">J4325*MIN(J4324-J4330+J4329,MAX(0,J4365-Assumptions!$C$12*J4283-J4293-J4306-J4319))</f>
        <v>0</v>
      </c>
      <c r="K4332" s="25" t="n">
        <f aca="false">K4325*MIN(K4324-K4330+K4329,MAX(0,K4365-Assumptions!$C$12*K4283-K4293-K4306-K4319))</f>
        <v>0</v>
      </c>
    </row>
    <row r="4333" customFormat="false" ht="15" hidden="false" customHeight="false" outlineLevel="0" collapsed="false">
      <c r="A4333" s="5" t="s">
        <v>272</v>
      </c>
      <c r="G4333" s="25" t="n">
        <f aca="false">Assumptions!$N$56*MIN(G4324+G4331+G4329-G4330-G4332,MAX(0,G4369-G4294-G4307-G4320))</f>
        <v>0</v>
      </c>
      <c r="H4333" s="25" t="n">
        <f aca="false">Assumptions!$N$56*MIN(H4324+H4331+H4329-H4330-H4332,MAX(0,H4369-H4294-H4307-H4320))</f>
        <v>0</v>
      </c>
      <c r="I4333" s="25" t="n">
        <f aca="false">Assumptions!$N$56*MIN(I4324+I4331+I4329-I4330-I4332,MAX(0,I4369-I4294-I4307-I4320))</f>
        <v>0</v>
      </c>
      <c r="J4333" s="25" t="n">
        <f aca="false">Assumptions!$N$56*MIN(J4324+J4331+J4329-J4330-J4332,MAX(0,J4369-J4294-J4307-J4320))</f>
        <v>0</v>
      </c>
      <c r="K4333" s="25" t="n">
        <f aca="false">Assumptions!$N$56*MIN(K4324+K4331+K4329-K4330-K4332,MAX(0,K4369-K4294-K4307-K4320))</f>
        <v>0</v>
      </c>
    </row>
    <row r="4334" customFormat="false" ht="15" hidden="false" customHeight="false" outlineLevel="0" collapsed="false">
      <c r="A4334" s="5" t="s">
        <v>273</v>
      </c>
      <c r="G4334" s="25" t="n">
        <f aca="false">G4325*(1-G4283)*(G4324-G4330+G4329-G4332)</f>
        <v>0</v>
      </c>
      <c r="H4334" s="25" t="n">
        <f aca="false">H4325*(1-H4283)*(H4324-H4330+H4329-H4332)</f>
        <v>300</v>
      </c>
      <c r="I4334" s="25" t="n">
        <f aca="false">I4325*(1-I4283)*(I4324-I4330+I4329-I4332)</f>
        <v>0</v>
      </c>
      <c r="J4334" s="25" t="n">
        <f aca="false">J4325*(1-J4283)*(J4324-J4330+J4329-J4332)</f>
        <v>0</v>
      </c>
      <c r="K4334" s="25" t="n">
        <f aca="false">K4325*(1-K4283)*(K4324-K4330+K4329-K4332)</f>
        <v>0</v>
      </c>
    </row>
    <row r="4335" customFormat="false" ht="15" hidden="false" customHeight="false" outlineLevel="0" collapsed="false">
      <c r="A4335" s="2" t="s">
        <v>274</v>
      </c>
      <c r="F4335" s="27" t="n">
        <f aca="false">Assumptions!$C$56</f>
        <v>300</v>
      </c>
      <c r="G4335" s="16" t="n">
        <f aca="false">G4324+G4331+G4329-G4330-G4332-G4333</f>
        <v>300</v>
      </c>
      <c r="H4335" s="16" t="n">
        <f aca="false">H4324+H4331+H4329-H4330-H4332-H4333</f>
        <v>300</v>
      </c>
      <c r="I4335" s="16" t="n">
        <f aca="false">I4324+I4331+I4329-I4330-I4332-I4333</f>
        <v>300</v>
      </c>
      <c r="J4335" s="16" t="n">
        <f aca="false">J4324+J4331+J4329-J4330-J4332-J4333</f>
        <v>300</v>
      </c>
      <c r="K4335" s="16" t="n">
        <f aca="false">K4324+K4331+K4329-K4330-K4332-K4333</f>
        <v>300</v>
      </c>
    </row>
    <row r="4336" customFormat="false" ht="15" hidden="false" customHeight="false" outlineLevel="0" collapsed="false">
      <c r="A4336" s="23" t="s">
        <v>278</v>
      </c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</row>
    <row r="4337" customFormat="false" ht="15" hidden="false" customHeight="false" outlineLevel="0" collapsed="false">
      <c r="A4337" s="2" t="s">
        <v>279</v>
      </c>
      <c r="F4337" s="16" t="n">
        <f aca="false">F4296+F4309+F4322+F4335</f>
        <v>1250</v>
      </c>
      <c r="G4337" s="16" t="n">
        <f aca="false">G4296+G4309+G4322+G4335</f>
        <v>1192.5848</v>
      </c>
      <c r="H4337" s="16" t="n">
        <f aca="false">H4296+H4309+H4322+H4335</f>
        <v>1187.3848</v>
      </c>
      <c r="I4337" s="16" t="n">
        <f aca="false">I4296+I4309+I4322+I4335</f>
        <v>1182.1848</v>
      </c>
      <c r="J4337" s="16" t="n">
        <f aca="false">J4296+J4309+J4322+J4335</f>
        <v>1176.9848</v>
      </c>
      <c r="K4337" s="16" t="n">
        <f aca="false">K4296+K4309+K4322+K4335</f>
        <v>1171.7848</v>
      </c>
    </row>
    <row r="4338" customFormat="false" ht="15" hidden="false" customHeight="false" outlineLevel="0" collapsed="false">
      <c r="A4338" s="5" t="s">
        <v>280</v>
      </c>
      <c r="G4338" s="25" t="n">
        <f aca="false">G4286*Assumptions!$C$53+G4299*Assumptions!$C$54+G4312*Assumptions!$C$55+G4325*Assumptions!$C$56</f>
        <v>0</v>
      </c>
      <c r="H4338" s="25" t="n">
        <f aca="false">H4286*Assumptions!$C$53+H4299*Assumptions!$C$54+H4312*Assumptions!$C$55+H4325*Assumptions!$C$56</f>
        <v>480</v>
      </c>
      <c r="I4338" s="25" t="n">
        <f aca="false">I4286*Assumptions!$C$53+I4299*Assumptions!$C$54+I4312*Assumptions!$C$55+I4325*Assumptions!$C$56</f>
        <v>520</v>
      </c>
      <c r="J4338" s="25" t="n">
        <f aca="false">J4286*Assumptions!$C$53+J4299*Assumptions!$C$54+J4312*Assumptions!$C$55+J4325*Assumptions!$C$56</f>
        <v>250</v>
      </c>
      <c r="K4338" s="25" t="n">
        <f aca="false">K4286*Assumptions!$C$53+K4299*Assumptions!$C$54+K4312*Assumptions!$C$55+K4325*Assumptions!$C$56</f>
        <v>0</v>
      </c>
    </row>
    <row r="4339" customFormat="false" ht="15" hidden="false" customHeight="false" outlineLevel="0" collapsed="false">
      <c r="A4339" s="23" t="s">
        <v>281</v>
      </c>
      <c r="B4339" s="24"/>
      <c r="C4339" s="24"/>
      <c r="D4339" s="24"/>
      <c r="E4339" s="24"/>
      <c r="F4339" s="24"/>
      <c r="G4339" s="24"/>
      <c r="H4339" s="24"/>
      <c r="I4339" s="24"/>
      <c r="J4339" s="24"/>
      <c r="K4339" s="24"/>
    </row>
    <row r="4340" customFormat="false" ht="15" hidden="false" customHeight="false" outlineLevel="0" collapsed="false">
      <c r="A4340" s="5" t="s">
        <v>282</v>
      </c>
      <c r="C4340" s="25" t="n">
        <f aca="false">SUMPRODUCT($G$4286:$K$4286,$G$4285:$K$4285-$G$4291:$K$4291+$G$4290:$K$4290)</f>
        <v>127.7848</v>
      </c>
    </row>
    <row r="4341" customFormat="false" ht="15" hidden="false" customHeight="false" outlineLevel="0" collapsed="false">
      <c r="A4341" s="5" t="s">
        <v>283</v>
      </c>
      <c r="C4341" s="25" t="n">
        <f aca="false">SUMPRODUCT($G$4286:$K$4286,$G$4293:$K$4293)</f>
        <v>0</v>
      </c>
    </row>
    <row r="4342" customFormat="false" ht="15" hidden="false" customHeight="false" outlineLevel="0" collapsed="false">
      <c r="A4342" s="5" t="s">
        <v>284</v>
      </c>
      <c r="C4342" s="5" t="str">
        <f aca="false">IF(SUM($G$4286:$K$4286)=0,"n/a (beyond horizon)",IF(SUMPRODUCT($G$4286:$K$4286,$G$4283:$K$4283)&gt;0,"REFINANCING PASS","REFINANCING FAILURE"))</f>
        <v>REFINANCING FAILURE</v>
      </c>
    </row>
    <row r="4343" customFormat="false" ht="15" hidden="false" customHeight="false" outlineLevel="0" collapsed="false">
      <c r="A4343" s="5" t="s">
        <v>285</v>
      </c>
      <c r="C4343" s="5" t="str">
        <f aca="false">IF(SUM($G$4286:$K$4286)=0,"n/a",IF(C4341&gt;=C4340-0.001,"Repaid from cash",IF(SUMPRODUCT($G$4286:$K$4286,$G$4283:$K$4283)&gt;0,IF(C4341&gt;0,"Partly repaid; remainder refinanced","Refinanced"),IF(SUM($G$4295:$K$4295)&gt;0.001,IF(C4341&gt;0,"Partial repayment; PAYMENT DEFAULT","PAYMENT DEFAULT"),"Repaid from cash"))))</f>
        <v>PAYMENT DEFAULT</v>
      </c>
    </row>
    <row r="4344" customFormat="false" ht="15" hidden="false" customHeight="false" outlineLevel="0" collapsed="false">
      <c r="A4344" s="5" t="s">
        <v>286</v>
      </c>
      <c r="C4344" s="25" t="n">
        <f aca="false">SUMPRODUCT($G$4299:$K$4299,$G$4298:$K$4298-$G$4304:$K$4304+$G$4303:$K$4303)</f>
        <v>504.4</v>
      </c>
    </row>
    <row r="4345" customFormat="false" ht="15" hidden="false" customHeight="false" outlineLevel="0" collapsed="false">
      <c r="A4345" s="5" t="s">
        <v>287</v>
      </c>
      <c r="C4345" s="25" t="n">
        <f aca="false">SUMPRODUCT($G$4299:$K$4299,$G$4306:$K$4306)</f>
        <v>0</v>
      </c>
    </row>
    <row r="4346" customFormat="false" ht="15" hidden="false" customHeight="false" outlineLevel="0" collapsed="false">
      <c r="A4346" s="5" t="s">
        <v>288</v>
      </c>
      <c r="C4346" s="5" t="str">
        <f aca="false">IF(SUM($G$4299:$K$4299)=0,"n/a (beyond horizon)",IF(SUMPRODUCT($G$4299:$K$4299,$G$4283:$K$4283)&gt;0,"REFINANCING PASS","REFINANCING FAILURE"))</f>
        <v>REFINANCING FAILURE</v>
      </c>
    </row>
    <row r="4347" customFormat="false" ht="15" hidden="false" customHeight="false" outlineLevel="0" collapsed="false">
      <c r="A4347" s="5" t="s">
        <v>289</v>
      </c>
      <c r="C4347" s="5" t="str">
        <f aca="false">IF(SUM($G$4299:$K$4299)=0,"n/a",IF(C4345&gt;=C4344-0.001,"Repaid from cash",IF(SUMPRODUCT($G$4299:$K$4299,$G$4283:$K$4283)&gt;0,IF(C4345&gt;0,"Partly repaid; remainder refinanced","Refinanced"),IF(SUM($G$4308:$K$4308)&gt;0.001,IF(C4345&gt;0,"Partial repayment; PAYMENT DEFAULT","PAYMENT DEFAULT"),"Repaid from cash"))))</f>
        <v>PAYMENT DEFAULT</v>
      </c>
    </row>
    <row r="4348" customFormat="false" ht="15" hidden="false" customHeight="false" outlineLevel="0" collapsed="false">
      <c r="A4348" s="5" t="s">
        <v>290</v>
      </c>
      <c r="C4348" s="25" t="n">
        <f aca="false">SUMPRODUCT($G$4312:$K$4312,$G$4311:$K$4311-$G$4317:$K$4317+$G$4316:$K$4316)</f>
        <v>250</v>
      </c>
    </row>
    <row r="4349" customFormat="false" ht="15" hidden="false" customHeight="false" outlineLevel="0" collapsed="false">
      <c r="A4349" s="5" t="s">
        <v>291</v>
      </c>
      <c r="C4349" s="25" t="n">
        <f aca="false">SUMPRODUCT($G$4312:$K$4312,$G$4319:$K$4319)</f>
        <v>0</v>
      </c>
    </row>
    <row r="4350" customFormat="false" ht="15" hidden="false" customHeight="false" outlineLevel="0" collapsed="false">
      <c r="A4350" s="5" t="s">
        <v>292</v>
      </c>
      <c r="C4350" s="5" t="str">
        <f aca="false">IF(SUM($G$4312:$K$4312)=0,"n/a (beyond horizon)",IF(SUMPRODUCT($G$4312:$K$4312,$G$4283:$K$4283)&gt;0,"REFINANCING PASS","REFINANCING FAILURE"))</f>
        <v>REFINANCING FAILURE</v>
      </c>
    </row>
    <row r="4351" customFormat="false" ht="15" hidden="false" customHeight="false" outlineLevel="0" collapsed="false">
      <c r="A4351" s="5" t="s">
        <v>293</v>
      </c>
      <c r="C4351" s="5" t="str">
        <f aca="false">IF(SUM($G$4312:$K$4312)=0,"n/a",IF(C4349&gt;=C4348-0.001,"Repaid from cash",IF(SUMPRODUCT($G$4312:$K$4312,$G$4283:$K$4283)&gt;0,IF(C4349&gt;0,"Partly repaid; remainder refinanced","Refinanced"),IF(SUM($G$4321:$K$4321)&gt;0.001,IF(C4349&gt;0,"Partial repayment; PAYMENT DEFAULT","PAYMENT DEFAULT"),"Repaid from cash"))))</f>
        <v>PAYMENT DEFAULT</v>
      </c>
    </row>
    <row r="4352" customFormat="false" ht="15" hidden="false" customHeight="false" outlineLevel="0" collapsed="false">
      <c r="A4352" s="5" t="s">
        <v>294</v>
      </c>
      <c r="C4352" s="25" t="n">
        <f aca="false">SUMPRODUCT($G$4325:$K$4325,$G$4324:$K$4324-$G$4330:$K$4330+$G$4329:$K$4329)</f>
        <v>300</v>
      </c>
    </row>
    <row r="4353" customFormat="false" ht="15" hidden="false" customHeight="false" outlineLevel="0" collapsed="false">
      <c r="A4353" s="5" t="s">
        <v>295</v>
      </c>
      <c r="C4353" s="25" t="n">
        <f aca="false">SUMPRODUCT($G$4325:$K$4325,$G$4332:$K$4332)</f>
        <v>0</v>
      </c>
    </row>
    <row r="4354" customFormat="false" ht="15" hidden="false" customHeight="false" outlineLevel="0" collapsed="false">
      <c r="A4354" s="5" t="s">
        <v>296</v>
      </c>
      <c r="C4354" s="5" t="str">
        <f aca="false">IF(SUM($G$4325:$K$4325)=0,"n/a (beyond horizon)",IF(SUMPRODUCT($G$4325:$K$4325,$G$4283:$K$4283)&gt;0,"REFINANCING PASS","REFINANCING FAILURE"))</f>
        <v>REFINANCING FAILURE</v>
      </c>
    </row>
    <row r="4355" customFormat="false" ht="15" hidden="false" customHeight="false" outlineLevel="0" collapsed="false">
      <c r="A4355" s="5" t="s">
        <v>297</v>
      </c>
      <c r="C4355" s="5" t="str">
        <f aca="false">IF(SUM($G$4325:$K$4325)=0,"n/a",IF(C4353&gt;=C4352-0.001,"Repaid from cash",IF(SUMPRODUCT($G$4325:$K$4325,$G$4283:$K$4283)&gt;0,IF(C4353&gt;0,"Partly repaid; remainder refinanced","Refinanced"),IF(SUM($G$4334:$K$4334)&gt;0.001,IF(C4353&gt;0,"Partial repayment; PAYMENT DEFAULT","PAYMENT DEFAULT"),"Repaid from cash"))))</f>
        <v>PAYMENT DEFAULT</v>
      </c>
    </row>
    <row r="4356" customFormat="false" ht="15" hidden="false" customHeight="false" outlineLevel="0" collapsed="false">
      <c r="A4356" s="5" t="s">
        <v>298</v>
      </c>
      <c r="C4356" s="20" t="n">
        <f aca="false">IF(C4342="REFINANCING FAILURE",1,0)+IF(C4346="REFINANCING FAILURE",1,0)+IF(C4350="REFINANCING FAILURE",1,0)+IF(C4354="REFINANCING FAILURE",1,0)</f>
        <v>4</v>
      </c>
    </row>
    <row r="4358" customFormat="false" ht="15" hidden="false" customHeight="false" outlineLevel="0" collapsed="false">
      <c r="A4358" s="23" t="s">
        <v>300</v>
      </c>
      <c r="B4358" s="24"/>
      <c r="C4358" s="24"/>
      <c r="D4358" s="24"/>
      <c r="E4358" s="24"/>
      <c r="F4358" s="24"/>
      <c r="G4358" s="24"/>
      <c r="H4358" s="24"/>
      <c r="I4358" s="24"/>
      <c r="J4358" s="24"/>
      <c r="K4358" s="24"/>
    </row>
    <row r="4359" customFormat="false" ht="15" hidden="false" customHeight="false" outlineLevel="0" collapsed="false">
      <c r="A4359" s="5" t="s">
        <v>260</v>
      </c>
      <c r="G4359" s="25" t="n">
        <f aca="false">F4371</f>
        <v>45</v>
      </c>
      <c r="H4359" s="25" t="n">
        <f aca="false">G4371</f>
        <v>0</v>
      </c>
      <c r="I4359" s="25" t="n">
        <f aca="false">H4371</f>
        <v>-27.5772652</v>
      </c>
      <c r="J4359" s="25" t="n">
        <f aca="false">I4371</f>
        <v>-49.791827312</v>
      </c>
      <c r="K4359" s="25" t="n">
        <f aca="false">J4371</f>
        <v>-58.60300705264</v>
      </c>
    </row>
    <row r="4360" customFormat="false" ht="15" hidden="false" customHeight="false" outlineLevel="0" collapsed="false">
      <c r="A4360" s="5" t="s">
        <v>301</v>
      </c>
      <c r="G4360" s="25" t="n">
        <f aca="false">G4272</f>
        <v>12.4152</v>
      </c>
      <c r="H4360" s="25" t="n">
        <f aca="false">H4272</f>
        <v>-22.3772652</v>
      </c>
      <c r="I4360" s="25" t="n">
        <f aca="false">I4272</f>
        <v>-17.014562112</v>
      </c>
      <c r="J4360" s="25" t="n">
        <f aca="false">J4272</f>
        <v>-3.61117974063996</v>
      </c>
      <c r="K4360" s="25" t="n">
        <f aca="false">K4272</f>
        <v>7.3436998258074</v>
      </c>
    </row>
    <row r="4361" customFormat="false" ht="15" hidden="false" customHeight="false" outlineLevel="0" collapsed="false">
      <c r="A4361" s="5" t="s">
        <v>302</v>
      </c>
      <c r="G4361" s="25" t="n">
        <f aca="false">CHOOSE($C$4242,Assumptions!$G$68,Assumptions!$G$87,Assumptions!$G$106)</f>
        <v>0</v>
      </c>
      <c r="H4361" s="25" t="n">
        <f aca="false">CHOOSE($C$4242,Assumptions!$H$68,Assumptions!$H$87,Assumptions!$H$106)</f>
        <v>0</v>
      </c>
      <c r="I4361" s="25" t="n">
        <f aca="false">CHOOSE($C$4242,Assumptions!$I$68,Assumptions!$I$87,Assumptions!$I$106)</f>
        <v>0</v>
      </c>
      <c r="J4361" s="25" t="n">
        <f aca="false">CHOOSE($C$4242,Assumptions!$J$68,Assumptions!$J$87,Assumptions!$J$106)</f>
        <v>0</v>
      </c>
      <c r="K4361" s="25" t="n">
        <f aca="false">CHOOSE($C$4242,Assumptions!$K$68,Assumptions!$K$87,Assumptions!$K$106)</f>
        <v>0</v>
      </c>
    </row>
    <row r="4362" customFormat="false" ht="15" hidden="false" customHeight="false" outlineLevel="0" collapsed="false">
      <c r="A4362" s="5" t="s">
        <v>303</v>
      </c>
      <c r="G4362" s="25" t="n">
        <f aca="false">G4291+G4304+G4317+G4330</f>
        <v>5.2</v>
      </c>
      <c r="H4362" s="25" t="n">
        <f aca="false">H4291+H4304+H4317+H4330</f>
        <v>5.2</v>
      </c>
      <c r="I4362" s="25" t="n">
        <f aca="false">I4291+I4304+I4317+I4330</f>
        <v>5.2</v>
      </c>
      <c r="J4362" s="25" t="n">
        <f aca="false">J4291+J4304+J4317+J4330</f>
        <v>5.2</v>
      </c>
      <c r="K4362" s="25" t="n">
        <f aca="false">K4291+K4304+K4317+K4330</f>
        <v>5.2</v>
      </c>
    </row>
    <row r="4363" customFormat="false" ht="15" hidden="false" customHeight="false" outlineLevel="0" collapsed="false">
      <c r="A4363" s="2" t="s">
        <v>304</v>
      </c>
      <c r="G4363" s="16" t="n">
        <f aca="false">G4359+G4360+G4361-G4362</f>
        <v>52.2152</v>
      </c>
      <c r="H4363" s="16" t="n">
        <f aca="false">H4359+H4360+H4361-H4362</f>
        <v>-27.5772652</v>
      </c>
      <c r="I4363" s="16" t="n">
        <f aca="false">I4359+I4360+I4361-I4362</f>
        <v>-49.791827312</v>
      </c>
      <c r="J4363" s="16" t="n">
        <f aca="false">J4359+J4360+J4361-J4362</f>
        <v>-58.60300705264</v>
      </c>
      <c r="K4363" s="16" t="n">
        <f aca="false">K4359+K4360+K4361-K4362</f>
        <v>-56.4593072268326</v>
      </c>
    </row>
    <row r="4364" customFormat="false" ht="15" hidden="false" customHeight="false" outlineLevel="0" collapsed="false">
      <c r="A4364" s="5" t="s">
        <v>305</v>
      </c>
      <c r="G4364" s="25" t="n">
        <f aca="false">G4292+G4305+G4318+G4331</f>
        <v>0</v>
      </c>
      <c r="H4364" s="25" t="n">
        <f aca="false">H4292+H4305+H4318+H4331</f>
        <v>0</v>
      </c>
      <c r="I4364" s="25" t="n">
        <f aca="false">I4292+I4305+I4318+I4331</f>
        <v>0</v>
      </c>
      <c r="J4364" s="25" t="n">
        <f aca="false">J4292+J4305+J4318+J4331</f>
        <v>0</v>
      </c>
      <c r="K4364" s="25" t="n">
        <f aca="false">K4292+K4305+K4318+K4331</f>
        <v>0</v>
      </c>
    </row>
    <row r="4365" customFormat="false" ht="15" hidden="false" customHeight="false" outlineLevel="0" collapsed="false">
      <c r="A4365" s="2" t="s">
        <v>306</v>
      </c>
      <c r="G4365" s="16" t="n">
        <f aca="false">G4363+G4364</f>
        <v>52.2152</v>
      </c>
      <c r="H4365" s="16" t="n">
        <f aca="false">H4363+H4364</f>
        <v>-27.5772652</v>
      </c>
      <c r="I4365" s="16" t="n">
        <f aca="false">I4363+I4364</f>
        <v>-49.791827312</v>
      </c>
      <c r="J4365" s="16" t="n">
        <f aca="false">J4363+J4364</f>
        <v>-58.60300705264</v>
      </c>
      <c r="K4365" s="16" t="n">
        <f aca="false">K4363+K4364</f>
        <v>-56.4593072268326</v>
      </c>
    </row>
    <row r="4366" customFormat="false" ht="15" hidden="false" customHeight="false" outlineLevel="0" collapsed="false">
      <c r="A4366" s="5" t="s">
        <v>307</v>
      </c>
      <c r="G4366" s="25" t="n">
        <f aca="false">G4293+G4306+G4319+G4332</f>
        <v>0</v>
      </c>
      <c r="H4366" s="25" t="n">
        <f aca="false">H4293+H4306+H4319+H4332</f>
        <v>0</v>
      </c>
      <c r="I4366" s="25" t="n">
        <f aca="false">I4293+I4306+I4319+I4332</f>
        <v>0</v>
      </c>
      <c r="J4366" s="25" t="n">
        <f aca="false">J4293+J4306+J4319+J4332</f>
        <v>0</v>
      </c>
      <c r="K4366" s="25" t="n">
        <f aca="false">K4293+K4306+K4319+K4332</f>
        <v>0</v>
      </c>
    </row>
    <row r="4367" customFormat="false" ht="15" hidden="false" customHeight="false" outlineLevel="0" collapsed="false">
      <c r="A4367" s="2" t="s">
        <v>308</v>
      </c>
      <c r="G4367" s="16" t="n">
        <f aca="false">G4365-G4366</f>
        <v>52.2152</v>
      </c>
      <c r="H4367" s="16" t="n">
        <f aca="false">H4365-H4366</f>
        <v>-27.5772652</v>
      </c>
      <c r="I4367" s="16" t="n">
        <f aca="false">I4365-I4366</f>
        <v>-49.791827312</v>
      </c>
      <c r="J4367" s="16" t="n">
        <f aca="false">J4365-J4366</f>
        <v>-58.60300705264</v>
      </c>
      <c r="K4367" s="16" t="n">
        <f aca="false">K4365-K4366</f>
        <v>-56.4593072268326</v>
      </c>
    </row>
    <row r="4368" customFormat="false" ht="15" hidden="false" customHeight="false" outlineLevel="0" collapsed="false">
      <c r="A4368" s="5" t="s">
        <v>309</v>
      </c>
      <c r="G4368" s="25" t="n">
        <f aca="false">MAX(0,-G4367)</f>
        <v>0</v>
      </c>
      <c r="H4368" s="25" t="n">
        <f aca="false">MAX(0,-H4367)</f>
        <v>27.5772652</v>
      </c>
      <c r="I4368" s="25" t="n">
        <f aca="false">MAX(0,-I4367)</f>
        <v>49.791827312</v>
      </c>
      <c r="J4368" s="25" t="n">
        <f aca="false">MAX(0,-J4367)</f>
        <v>58.60300705264</v>
      </c>
      <c r="K4368" s="25" t="n">
        <f aca="false">MAX(0,-K4367)</f>
        <v>56.4593072268326</v>
      </c>
    </row>
    <row r="4369" customFormat="false" ht="15" hidden="false" customHeight="false" outlineLevel="0" collapsed="false">
      <c r="A4369" s="5" t="s">
        <v>310</v>
      </c>
      <c r="G4369" s="25" t="n">
        <f aca="false">MAX(0,G4367-Assumptions!$C$12)*Assumptions!$C$13</f>
        <v>52.2152</v>
      </c>
      <c r="H4369" s="25" t="n">
        <f aca="false">MAX(0,H4367-Assumptions!$C$12)*Assumptions!$C$13</f>
        <v>0</v>
      </c>
      <c r="I4369" s="25" t="n">
        <f aca="false">MAX(0,I4367-Assumptions!$C$12)*Assumptions!$C$13</f>
        <v>0</v>
      </c>
      <c r="J4369" s="25" t="n">
        <f aca="false">MAX(0,J4367-Assumptions!$C$12)*Assumptions!$C$13</f>
        <v>0</v>
      </c>
      <c r="K4369" s="25" t="n">
        <f aca="false">MAX(0,K4367-Assumptions!$C$12)*Assumptions!$C$13</f>
        <v>0</v>
      </c>
    </row>
    <row r="4370" customFormat="false" ht="15" hidden="false" customHeight="false" outlineLevel="0" collapsed="false">
      <c r="A4370" s="5" t="s">
        <v>311</v>
      </c>
      <c r="G4370" s="25" t="n">
        <f aca="false">G4294+G4307+G4320+G4333</f>
        <v>52.2152</v>
      </c>
      <c r="H4370" s="25" t="n">
        <f aca="false">H4294+H4307+H4320+H4333</f>
        <v>0</v>
      </c>
      <c r="I4370" s="25" t="n">
        <f aca="false">I4294+I4307+I4320+I4333</f>
        <v>0</v>
      </c>
      <c r="J4370" s="25" t="n">
        <f aca="false">J4294+J4307+J4320+J4333</f>
        <v>0</v>
      </c>
      <c r="K4370" s="25" t="n">
        <f aca="false">K4294+K4307+K4320+K4333</f>
        <v>0</v>
      </c>
    </row>
    <row r="4371" customFormat="false" ht="15" hidden="false" customHeight="false" outlineLevel="0" collapsed="false">
      <c r="A4371" s="2" t="s">
        <v>312</v>
      </c>
      <c r="F4371" s="27" t="n">
        <f aca="false">Assumptions!$C$11</f>
        <v>45</v>
      </c>
      <c r="G4371" s="16" t="n">
        <f aca="false">G4367-G4370</f>
        <v>0</v>
      </c>
      <c r="H4371" s="16" t="n">
        <f aca="false">H4367-H4370</f>
        <v>-27.5772652</v>
      </c>
      <c r="I4371" s="16" t="n">
        <f aca="false">I4367-I4370</f>
        <v>-49.791827312</v>
      </c>
      <c r="J4371" s="16" t="n">
        <f aca="false">J4367-J4370</f>
        <v>-58.60300705264</v>
      </c>
      <c r="K4371" s="16" t="n">
        <f aca="false">K4367-K4370</f>
        <v>-56.4593072268326</v>
      </c>
    </row>
    <row r="4372" customFormat="false" ht="15" hidden="false" customHeight="false" outlineLevel="0" collapsed="false">
      <c r="A4372" s="5" t="s">
        <v>313</v>
      </c>
      <c r="G4372" s="25" t="n">
        <f aca="false">G4295+G4308+G4321+G4334</f>
        <v>0</v>
      </c>
      <c r="H4372" s="25" t="n">
        <f aca="false">H4295+H4308+H4321+H4334</f>
        <v>427.7848</v>
      </c>
      <c r="I4372" s="25" t="n">
        <f aca="false">I4295+I4308+I4321+I4334</f>
        <v>504.4</v>
      </c>
      <c r="J4372" s="25" t="n">
        <f aca="false">J4295+J4308+J4321+J4334</f>
        <v>250</v>
      </c>
      <c r="K4372" s="25" t="n">
        <f aca="false">K4295+K4308+K4321+K4334</f>
        <v>0</v>
      </c>
    </row>
    <row r="4373" customFormat="false" ht="15" hidden="false" customHeight="false" outlineLevel="0" collapsed="false">
      <c r="A4373" s="5" t="s">
        <v>314</v>
      </c>
      <c r="G4373" s="20" t="n">
        <f aca="false">IF(OR(G4368&gt;0.001,G4372&gt;0.001),1,0)</f>
        <v>0</v>
      </c>
      <c r="H4373" s="20" t="n">
        <f aca="false">IF(OR(H4368&gt;0.001,H4372&gt;0.001),1,0)</f>
        <v>1</v>
      </c>
      <c r="I4373" s="20" t="n">
        <f aca="false">IF(OR(I4368&gt;0.001,I4372&gt;0.001),1,0)</f>
        <v>1</v>
      </c>
      <c r="J4373" s="20" t="n">
        <f aca="false">IF(OR(J4368&gt;0.001,J4372&gt;0.001),1,0)</f>
        <v>1</v>
      </c>
      <c r="K4373" s="20" t="n">
        <f aca="false">IF(OR(K4368&gt;0.001,K4372&gt;0.001),1,0)</f>
        <v>1</v>
      </c>
    </row>
    <row r="4374" customFormat="false" ht="15" hidden="false" customHeight="false" outlineLevel="0" collapsed="false">
      <c r="A4374" s="5" t="s">
        <v>315</v>
      </c>
      <c r="G4374" s="20" t="n">
        <f aca="false">IF(G4373=1,1,0)</f>
        <v>0</v>
      </c>
      <c r="H4374" s="20" t="n">
        <f aca="false">IF(AND(H4373=1,SUM($G$4373:G4373)=0),1,0)</f>
        <v>1</v>
      </c>
      <c r="I4374" s="20" t="n">
        <f aca="false">IF(AND(I4373=1,SUM($G$4373:H4373)=0),1,0)</f>
        <v>0</v>
      </c>
      <c r="J4374" s="20" t="n">
        <f aca="false">IF(AND(J4373=1,SUM($G$4373:I4373)=0),1,0)</f>
        <v>0</v>
      </c>
      <c r="K4374" s="20" t="n">
        <f aca="false">IF(AND(K4373=1,SUM($G$4373:J4373)=0),1,0)</f>
        <v>0</v>
      </c>
    </row>
    <row r="4375" customFormat="false" ht="15" hidden="false" customHeight="false" outlineLevel="0" collapsed="false">
      <c r="A4375" s="5" t="s">
        <v>316</v>
      </c>
      <c r="G4375" s="25" t="n">
        <f aca="false">(G4337-F4337)-(G4364+G4264-G4362-G4366-G4370)</f>
        <v>0</v>
      </c>
      <c r="H4375" s="25" t="n">
        <f aca="false">(H4337-G4337)-(H4364+H4264-H4362-H4366-H4370)</f>
        <v>-4.52970994047064E-014</v>
      </c>
      <c r="I4375" s="25" t="n">
        <f aca="false">(I4337-H4337)-(I4364+I4264-I4362-I4366-I4370)</f>
        <v>-4.52970994047064E-014</v>
      </c>
      <c r="J4375" s="25" t="n">
        <f aca="false">(J4337-I4337)-(J4364+J4264-J4362-J4366-J4370)</f>
        <v>-4.52970994047064E-014</v>
      </c>
      <c r="K4375" s="25" t="n">
        <f aca="false">(K4337-J4337)-(K4364+K4264-K4362-K4366-K4370)</f>
        <v>-4.52970994047064E-014</v>
      </c>
    </row>
    <row r="4377" customFormat="false" ht="15" hidden="false" customHeight="false" outlineLevel="0" collapsed="false">
      <c r="A4377" s="23" t="s">
        <v>318</v>
      </c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</row>
    <row r="4378" customFormat="false" ht="15" hidden="false" customHeight="false" outlineLevel="0" collapsed="false">
      <c r="A4378" s="5" t="s">
        <v>319</v>
      </c>
      <c r="G4378" s="25" t="n">
        <f aca="false">G4337</f>
        <v>1192.5848</v>
      </c>
      <c r="H4378" s="25" t="n">
        <f aca="false">H4337</f>
        <v>1187.3848</v>
      </c>
      <c r="I4378" s="25" t="n">
        <f aca="false">I4337</f>
        <v>1182.1848</v>
      </c>
      <c r="J4378" s="25" t="n">
        <f aca="false">J4337</f>
        <v>1176.9848</v>
      </c>
      <c r="K4378" s="25" t="n">
        <f aca="false">K4337</f>
        <v>1171.7848</v>
      </c>
    </row>
    <row r="4379" customFormat="false" ht="15" hidden="false" customHeight="false" outlineLevel="0" collapsed="false">
      <c r="A4379" s="5" t="s">
        <v>320</v>
      </c>
      <c r="G4379" s="25" t="n">
        <f aca="false">Assumptions!$O$53*G4296+Assumptions!$O$54*G4309+Assumptions!$O$55*G4322+Assumptions!$O$56*G4335</f>
        <v>892.5848</v>
      </c>
      <c r="H4379" s="25" t="n">
        <f aca="false">Assumptions!$O$53*H4296+Assumptions!$O$54*H4309+Assumptions!$O$55*H4322+Assumptions!$O$56*H4335</f>
        <v>887.3848</v>
      </c>
      <c r="I4379" s="25" t="n">
        <f aca="false">Assumptions!$O$53*I4296+Assumptions!$O$54*I4309+Assumptions!$O$55*I4322+Assumptions!$O$56*I4335</f>
        <v>882.1848</v>
      </c>
      <c r="J4379" s="25" t="n">
        <f aca="false">Assumptions!$O$53*J4296+Assumptions!$O$54*J4309+Assumptions!$O$55*J4322+Assumptions!$O$56*J4335</f>
        <v>876.9848</v>
      </c>
      <c r="K4379" s="25" t="n">
        <f aca="false">Assumptions!$O$53*K4296+Assumptions!$O$54*K4309+Assumptions!$O$55*K4322+Assumptions!$O$56*K4335</f>
        <v>871.7848</v>
      </c>
    </row>
    <row r="4380" customFormat="false" ht="15" hidden="false" customHeight="false" outlineLevel="0" collapsed="false">
      <c r="A4380" s="5" t="s">
        <v>321</v>
      </c>
      <c r="G4380" s="25" t="n">
        <f aca="false">G4378-G4371</f>
        <v>1192.5848</v>
      </c>
      <c r="H4380" s="25" t="n">
        <f aca="false">H4378-H4371</f>
        <v>1214.9620652</v>
      </c>
      <c r="I4380" s="25" t="n">
        <f aca="false">I4378-I4371</f>
        <v>1231.976627312</v>
      </c>
      <c r="J4380" s="25" t="n">
        <f aca="false">J4378-J4371</f>
        <v>1235.58780705264</v>
      </c>
      <c r="K4380" s="25" t="n">
        <f aca="false">K4378-K4371</f>
        <v>1228.24410722683</v>
      </c>
    </row>
    <row r="4381" customFormat="false" ht="15" hidden="false" customHeight="false" outlineLevel="0" collapsed="false">
      <c r="A4381" s="5" t="s">
        <v>322</v>
      </c>
      <c r="G4381" s="31" t="n">
        <f aca="false">IF(G4259&gt;0,G4378/G4259,0)</f>
        <v>7.1859773439383</v>
      </c>
      <c r="H4381" s="31" t="n">
        <f aca="false">IF(H4259&gt;0,H4378/H4259,0)</f>
        <v>8.86309460959421</v>
      </c>
      <c r="I4381" s="31" t="n">
        <f aca="false">IF(I4259&gt;0,I4378/I4259,0)</f>
        <v>8.09743833104736</v>
      </c>
      <c r="J4381" s="31" t="n">
        <f aca="false">IF(J4259&gt;0,J4378/J4259,0)</f>
        <v>7.49179292870653</v>
      </c>
      <c r="K4381" s="31" t="n">
        <f aca="false">IF(K4259&gt;0,K4378/K4259,0)</f>
        <v>6.97595741768164</v>
      </c>
    </row>
    <row r="4382" customFormat="false" ht="15" hidden="false" customHeight="false" outlineLevel="0" collapsed="false">
      <c r="A4382" s="5" t="s">
        <v>323</v>
      </c>
      <c r="G4382" s="31" t="n">
        <f aca="false">IF(G4259&gt;0,G4380/G4259,0)</f>
        <v>7.1859773439383</v>
      </c>
      <c r="H4382" s="31" t="n">
        <f aca="false">IF(H4259&gt;0,H4380/H4259,0)</f>
        <v>9.06894187203304</v>
      </c>
      <c r="I4382" s="31" t="n">
        <f aca="false">IF(I4259&gt;0,I4380/I4259,0)</f>
        <v>8.43849012857434</v>
      </c>
      <c r="J4382" s="31" t="n">
        <f aca="false">IF(J4259&gt;0,J4380/J4259,0)</f>
        <v>7.86481524287567</v>
      </c>
      <c r="K4382" s="31" t="n">
        <f aca="false">IF(K4259&gt;0,K4380/K4259,0)</f>
        <v>7.31207521255848</v>
      </c>
    </row>
    <row r="4383" customFormat="false" ht="15" hidden="false" customHeight="false" outlineLevel="0" collapsed="false">
      <c r="A4383" s="5" t="s">
        <v>324</v>
      </c>
      <c r="G4383" s="31" t="n">
        <f aca="false">IF(G4263&gt;0,G4259/G4263,0)</f>
        <v>1.28114867994442</v>
      </c>
      <c r="H4383" s="31" t="n">
        <f aca="false">IF(H4263&gt;0,H4259/H4263,0)</f>
        <v>1.09769535902349</v>
      </c>
      <c r="I4383" s="31" t="n">
        <f aca="false">IF(I4263&gt;0,I4259/I4263,0)</f>
        <v>1.21812519534069</v>
      </c>
      <c r="J4383" s="31" t="n">
        <f aca="false">IF(J4263&gt;0,J4259/J4263,0)</f>
        <v>1.31726680809054</v>
      </c>
      <c r="K4383" s="31" t="n">
        <f aca="false">IF(K4263&gt;0,K4259/K4263,0)</f>
        <v>1.41539512846692</v>
      </c>
    </row>
    <row r="4384" customFormat="false" ht="15" hidden="false" customHeight="false" outlineLevel="0" collapsed="false">
      <c r="A4384" s="5" t="s">
        <v>325</v>
      </c>
      <c r="G4384" s="31" t="n">
        <f aca="false">IF(G4263&gt;0,G4262/G4263,0)</f>
        <v>0.905345067160723</v>
      </c>
      <c r="H4384" s="31" t="n">
        <f aca="false">IF(H4263&gt;0,H4262/H4263,0)</f>
        <v>0.714373170158146</v>
      </c>
      <c r="I4384" s="31" t="n">
        <f aca="false">IF(I4263&gt;0,I4262/I4263,0)</f>
        <v>0.829737451898732</v>
      </c>
      <c r="J4384" s="31" t="n">
        <f aca="false">IF(J4263&gt;0,J4262/J4263,0)</f>
        <v>0.930868544383982</v>
      </c>
      <c r="K4384" s="31" t="n">
        <f aca="false">IF(K4263&gt;0,K4262/K4263,0)</f>
        <v>1.03096682196974</v>
      </c>
    </row>
    <row r="4385" customFormat="false" ht="15" hidden="false" customHeight="false" outlineLevel="0" collapsed="false">
      <c r="A4385" s="5" t="s">
        <v>182</v>
      </c>
      <c r="G4385" s="21" t="n">
        <f aca="false">IF(G4378&gt;0,G4272/G4378,0)</f>
        <v>0.0104103288923354</v>
      </c>
      <c r="H4385" s="21" t="n">
        <f aca="false">IF(H4378&gt;0,H4272/H4378,0)</f>
        <v>-0.0188458410449587</v>
      </c>
      <c r="I4385" s="21" t="n">
        <f aca="false">IF(I4378&gt;0,I4272/I4378,0)</f>
        <v>-0.0143924724053295</v>
      </c>
      <c r="J4385" s="21" t="n">
        <f aca="false">IF(J4378&gt;0,J4272/J4378,0)</f>
        <v>-0.00306816174740741</v>
      </c>
      <c r="K4385" s="21" t="n">
        <f aca="false">IF(K4378&gt;0,K4272/K4378,0)</f>
        <v>0.0062671062347006</v>
      </c>
    </row>
    <row r="4386" customFormat="false" ht="15" hidden="false" customHeight="false" outlineLevel="0" collapsed="false">
      <c r="A4386" s="5" t="s">
        <v>326</v>
      </c>
      <c r="G4386" s="31" t="n">
        <f aca="false">IF(G4263+G4362&gt;0,(G4259-G4270-G4267)/(G4263+G4362),0)</f>
        <v>0.919673445153629</v>
      </c>
      <c r="H4386" s="31" t="n">
        <f aca="false">IF(H4263+H4362&gt;0,(H4259-H4270-H4267)/(H4263+H4362),0)</f>
        <v>0.735314949610425</v>
      </c>
      <c r="I4386" s="31" t="n">
        <f aca="false">IF(I4263+I4362&gt;0,(I4259-I4270-I4267)/(I4263+I4362),0)</f>
        <v>0.845994431788248</v>
      </c>
      <c r="J4386" s="31" t="n">
        <f aca="false">IF(J4263+J4362&gt;0,(J4259-J4270-J4267)/(J4263+J4362),0)</f>
        <v>0.942467128197849</v>
      </c>
      <c r="K4386" s="31" t="n">
        <f aca="false">IF(K4263+K4362&gt;0,(K4259-K4270-K4267)/(K4263+K4362),0)</f>
        <v>1.03049456419882</v>
      </c>
    </row>
    <row r="4387" customFormat="false" ht="15" hidden="false" customHeight="false" outlineLevel="0" collapsed="false">
      <c r="A4387" s="5" t="s">
        <v>327</v>
      </c>
      <c r="G4387" s="25" t="n">
        <f aca="false">MAX(0,G4371)+Assumptions!$P$53*MAX(0,Assumptions!$D$53-G4296)+Assumptions!$P$54*MAX(0,Assumptions!$D$54-G4309)+Assumptions!$P$55*MAX(0,Assumptions!$D$55-G4322)+Assumptions!$P$56*MAX(0,Assumptions!$D$56-G4335)</f>
        <v>172.2152</v>
      </c>
      <c r="H4387" s="25" t="n">
        <f aca="false">MAX(0,H4371)+Assumptions!$P$53*MAX(0,Assumptions!$D$53-H4296)+Assumptions!$P$54*MAX(0,Assumptions!$D$54-H4309)+Assumptions!$P$55*MAX(0,Assumptions!$D$55-H4322)+Assumptions!$P$56*MAX(0,Assumptions!$D$56-H4335)</f>
        <v>172.2152</v>
      </c>
      <c r="I4387" s="25" t="n">
        <f aca="false">MAX(0,I4371)+Assumptions!$P$53*MAX(0,Assumptions!$D$53-I4296)+Assumptions!$P$54*MAX(0,Assumptions!$D$54-I4309)+Assumptions!$P$55*MAX(0,Assumptions!$D$55-I4322)+Assumptions!$P$56*MAX(0,Assumptions!$D$56-I4335)</f>
        <v>172.2152</v>
      </c>
      <c r="J4387" s="25" t="n">
        <f aca="false">MAX(0,J4371)+Assumptions!$P$53*MAX(0,Assumptions!$D$53-J4296)+Assumptions!$P$54*MAX(0,Assumptions!$D$54-J4309)+Assumptions!$P$55*MAX(0,Assumptions!$D$55-J4322)+Assumptions!$P$56*MAX(0,Assumptions!$D$56-J4335)</f>
        <v>172.2152</v>
      </c>
      <c r="K4387" s="25" t="n">
        <f aca="false">MAX(0,K4371)+Assumptions!$P$53*MAX(0,Assumptions!$D$53-K4296)+Assumptions!$P$54*MAX(0,Assumptions!$D$54-K4309)+Assumptions!$P$55*MAX(0,Assumptions!$D$55-K4322)+Assumptions!$P$56*MAX(0,Assumptions!$D$56-K4335)</f>
        <v>172.2152</v>
      </c>
    </row>
    <row r="4388" customFormat="false" ht="15" hidden="false" customHeight="false" outlineLevel="0" collapsed="false">
      <c r="A4388" s="5" t="s">
        <v>328</v>
      </c>
      <c r="G4388" s="21" t="n">
        <f aca="false">IF(G4378&gt;0,G4378/(G4378+MAX(0,G4259*CHOOSE($C$4242,Assumptions!$C$76,Assumptions!$C$95,Assumptions!$C$114)-G4380)),0)</f>
        <v>1</v>
      </c>
      <c r="H4388" s="21" t="n">
        <f aca="false">IF(H4378&gt;0,H4378/(H4378+MAX(0,H4259*CHOOSE($C$4242,Assumptions!$C$76,Assumptions!$C$95,Assumptions!$C$114)-H4380)),0)</f>
        <v>1</v>
      </c>
      <c r="I4388" s="21" t="n">
        <f aca="false">IF(I4378&gt;0,I4378/(I4378+MAX(0,I4259*CHOOSE($C$4242,Assumptions!$C$76,Assumptions!$C$95,Assumptions!$C$114)-I4380)),0)</f>
        <v>1</v>
      </c>
      <c r="J4388" s="21" t="n">
        <f aca="false">IF(J4378&gt;0,J4378/(J4378+MAX(0,J4259*CHOOSE($C$4242,Assumptions!$C$76,Assumptions!$C$95,Assumptions!$C$114)-J4380)),0)</f>
        <v>1</v>
      </c>
      <c r="K4388" s="21" t="n">
        <f aca="false">IF(K4378&gt;0,K4378/(K4378+MAX(0,K4259*CHOOSE($C$4242,Assumptions!$C$76,Assumptions!$C$95,Assumptions!$C$114)-K4380)),0)</f>
        <v>1</v>
      </c>
    </row>
    <row r="4389" customFormat="false" ht="15" hidden="false" customHeight="false" outlineLevel="0" collapsed="false">
      <c r="A4389" s="5" t="s">
        <v>329</v>
      </c>
      <c r="G4389" s="21" t="n">
        <f aca="false">IF(G4378&gt;0,MAX(0,G4371)/G4378,0)</f>
        <v>0</v>
      </c>
      <c r="H4389" s="21" t="n">
        <f aca="false">IF(H4378&gt;0,MAX(0,H4371)/H4378,0)</f>
        <v>0</v>
      </c>
      <c r="I4389" s="21" t="n">
        <f aca="false">IF(I4378&gt;0,MAX(0,I4371)/I4378,0)</f>
        <v>0</v>
      </c>
      <c r="J4389" s="21" t="n">
        <f aca="false">IF(J4378&gt;0,MAX(0,J4371)/J4378,0)</f>
        <v>0</v>
      </c>
      <c r="K4389" s="21" t="n">
        <f aca="false">IF(K4378&gt;0,MAX(0,K4371)/K4378,0)</f>
        <v>0</v>
      </c>
    </row>
    <row r="4390" customFormat="false" ht="15" hidden="false" customHeight="false" outlineLevel="0" collapsed="false">
      <c r="A4390" s="5" t="s">
        <v>330</v>
      </c>
      <c r="G4390" s="25" t="n">
        <f aca="false">Assumptions!$C$27*(1-CHOOSE($C$4242,Assumptions!$C$79,Assumptions!$C$98,Assumptions!$C$117))</f>
        <v>884</v>
      </c>
      <c r="H4390" s="25" t="n">
        <f aca="false">Assumptions!$C$27*(1-CHOOSE($C$4242,Assumptions!$C$79,Assumptions!$C$98,Assumptions!$C$117))</f>
        <v>884</v>
      </c>
      <c r="I4390" s="25" t="n">
        <f aca="false">Assumptions!$C$27*(1-CHOOSE($C$4242,Assumptions!$C$79,Assumptions!$C$98,Assumptions!$C$117))</f>
        <v>884</v>
      </c>
      <c r="J4390" s="25" t="n">
        <f aca="false">Assumptions!$C$27*(1-CHOOSE($C$4242,Assumptions!$C$79,Assumptions!$C$98,Assumptions!$C$117))</f>
        <v>884</v>
      </c>
      <c r="K4390" s="25" t="n">
        <f aca="false">Assumptions!$C$27*(1-CHOOSE($C$4242,Assumptions!$C$79,Assumptions!$C$98,Assumptions!$C$117))</f>
        <v>884</v>
      </c>
    </row>
    <row r="4391" customFormat="false" ht="15" hidden="false" customHeight="false" outlineLevel="0" collapsed="false">
      <c r="A4391" s="23" t="s">
        <v>331</v>
      </c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</row>
    <row r="4392" customFormat="false" ht="15" hidden="false" customHeight="false" outlineLevel="0" collapsed="false">
      <c r="A4392" s="23" t="s">
        <v>332</v>
      </c>
      <c r="B4392" s="24"/>
      <c r="C4392" s="24"/>
      <c r="D4392" s="24"/>
      <c r="E4392" s="24"/>
      <c r="F4392" s="24"/>
      <c r="G4392" s="24"/>
      <c r="H4392" s="24"/>
      <c r="I4392" s="24"/>
      <c r="J4392" s="24"/>
      <c r="K4392" s="24"/>
    </row>
    <row r="4393" customFormat="false" ht="15" hidden="false" customHeight="false" outlineLevel="0" collapsed="false">
      <c r="A4393" s="5" t="s">
        <v>333</v>
      </c>
      <c r="G4393" s="31" t="n">
        <f aca="false">IF(G4259&gt;0,G4380/G4259,99)</f>
        <v>7.1859773439383</v>
      </c>
      <c r="H4393" s="31" t="n">
        <f aca="false">IF(H4259&gt;0,H4380/H4259,99)</f>
        <v>9.06894187203304</v>
      </c>
      <c r="I4393" s="31" t="n">
        <f aca="false">IF(I4259&gt;0,I4380/I4259,99)</f>
        <v>8.43849012857434</v>
      </c>
      <c r="J4393" s="31" t="n">
        <f aca="false">IF(J4259&gt;0,J4380/J4259,99)</f>
        <v>7.86481524287567</v>
      </c>
      <c r="K4393" s="31" t="n">
        <f aca="false">IF(K4259&gt;0,K4380/K4259,99)</f>
        <v>7.31207521255848</v>
      </c>
    </row>
    <row r="4394" customFormat="false" ht="15" hidden="false" customHeight="false" outlineLevel="0" collapsed="false">
      <c r="A4394" s="5" t="s">
        <v>334</v>
      </c>
      <c r="G4394" s="32" t="n">
        <f aca="false">Assumptions!$G$61</f>
        <v>8.5</v>
      </c>
      <c r="H4394" s="32" t="n">
        <f aca="false">Assumptions!$H$61</f>
        <v>8.5</v>
      </c>
      <c r="I4394" s="32" t="n">
        <f aca="false">Assumptions!$I$61</f>
        <v>8.5</v>
      </c>
      <c r="J4394" s="32" t="n">
        <f aca="false">Assumptions!$J$61</f>
        <v>8.5</v>
      </c>
      <c r="K4394" s="32" t="n">
        <f aca="false">Assumptions!$K$61</f>
        <v>8.5</v>
      </c>
    </row>
    <row r="4395" customFormat="false" ht="15" hidden="false" customHeight="false" outlineLevel="0" collapsed="false">
      <c r="A4395" s="5" t="s">
        <v>335</v>
      </c>
      <c r="G4395" s="31" t="n">
        <f aca="false">G4394-G4393</f>
        <v>1.3140226560617</v>
      </c>
      <c r="H4395" s="31" t="n">
        <f aca="false">H4394-H4393</f>
        <v>-0.568941872033037</v>
      </c>
      <c r="I4395" s="31" t="n">
        <f aca="false">I4394-I4393</f>
        <v>0.0615098714256561</v>
      </c>
      <c r="J4395" s="31" t="n">
        <f aca="false">J4394-J4393</f>
        <v>0.635184757124327</v>
      </c>
      <c r="K4395" s="31" t="n">
        <f aca="false">K4394-K4393</f>
        <v>1.18792478744152</v>
      </c>
    </row>
    <row r="4396" customFormat="false" ht="15" hidden="false" customHeight="false" outlineLevel="0" collapsed="false">
      <c r="A4396" s="5" t="s">
        <v>336</v>
      </c>
      <c r="G4396" s="21" t="n">
        <f aca="false">IF(G4394=0,0,G4395/ABS(G4394))</f>
        <v>0.154590900713141</v>
      </c>
      <c r="H4396" s="21" t="n">
        <f aca="false">IF(H4394=0,0,H4395/ABS(H4394))</f>
        <v>-0.0669343378862396</v>
      </c>
      <c r="I4396" s="21" t="n">
        <f aca="false">IF(I4394=0,0,I4395/ABS(I4394))</f>
        <v>0.0072364554618419</v>
      </c>
      <c r="J4396" s="21" t="n">
        <f aca="false">IF(J4394=0,0,J4395/ABS(J4394))</f>
        <v>0.0747276184852149</v>
      </c>
      <c r="K4396" s="21" t="n">
        <f aca="false">IF(K4394=0,0,K4395/ABS(K4394))</f>
        <v>0.139755857346062</v>
      </c>
    </row>
    <row r="4397" customFormat="false" ht="15" hidden="false" customHeight="false" outlineLevel="0" collapsed="false">
      <c r="A4397" s="5" t="s">
        <v>337</v>
      </c>
      <c r="G4397" s="20" t="n">
        <f aca="false">IF(G4395&lt;0,1,0)</f>
        <v>0</v>
      </c>
      <c r="H4397" s="20" t="n">
        <f aca="false">IF(H4395&lt;0,1,0)</f>
        <v>1</v>
      </c>
      <c r="I4397" s="20" t="n">
        <f aca="false">IF(I4395&lt;0,1,0)</f>
        <v>0</v>
      </c>
      <c r="J4397" s="20" t="n">
        <f aca="false">IF(J4395&lt;0,1,0)</f>
        <v>0</v>
      </c>
      <c r="K4397" s="20" t="n">
        <f aca="false">IF(K4395&lt;0,1,0)</f>
        <v>0</v>
      </c>
    </row>
    <row r="4398" customFormat="false" ht="15" hidden="false" customHeight="false" outlineLevel="0" collapsed="false">
      <c r="A4398" s="5" t="s">
        <v>338</v>
      </c>
      <c r="C4398" s="20" t="n">
        <f aca="false">IFERROR(INDEX($G$4249:$K$4249,MATCH(1,$G$4397:$K$4397,0)),0)</f>
        <v>2027</v>
      </c>
    </row>
    <row r="4399" customFormat="false" ht="15" hidden="false" customHeight="false" outlineLevel="0" collapsed="false">
      <c r="A4399" s="5" t="s">
        <v>339</v>
      </c>
      <c r="C4399" s="21" t="n">
        <f aca="false">MIN($G$4396:$K$4396)</f>
        <v>-0.0669343378862396</v>
      </c>
    </row>
    <row r="4400" customFormat="false" ht="15" hidden="false" customHeight="false" outlineLevel="0" collapsed="false">
      <c r="A4400" s="5" t="s">
        <v>340</v>
      </c>
      <c r="G4400" s="20" t="n">
        <f aca="false">G4397</f>
        <v>0</v>
      </c>
      <c r="H4400" s="20" t="n">
        <f aca="false">H4397</f>
        <v>1</v>
      </c>
      <c r="I4400" s="20" t="n">
        <f aca="false">I4397</f>
        <v>0</v>
      </c>
      <c r="J4400" s="20" t="n">
        <f aca="false">J4397</f>
        <v>0</v>
      </c>
      <c r="K4400" s="20" t="n">
        <f aca="false">K4397</f>
        <v>0</v>
      </c>
    </row>
    <row r="4401" customFormat="false" ht="15" hidden="false" customHeight="false" outlineLevel="0" collapsed="false">
      <c r="A4401" s="5" t="s">
        <v>341</v>
      </c>
      <c r="C4401" s="20" t="n">
        <f aca="false">SUM($G$4400:$K$4400)</f>
        <v>1</v>
      </c>
    </row>
    <row r="4402" customFormat="false" ht="15" hidden="false" customHeight="false" outlineLevel="0" collapsed="false">
      <c r="A4402" s="5" t="s">
        <v>342</v>
      </c>
      <c r="C4402" s="21" t="n">
        <f aca="false">MIN(C4399)</f>
        <v>-0.0669343378862396</v>
      </c>
    </row>
    <row r="4404" customFormat="false" ht="15" hidden="false" customHeight="false" outlineLevel="0" collapsed="false">
      <c r="A4404" s="23" t="s">
        <v>444</v>
      </c>
      <c r="B4404" s="24"/>
      <c r="C4404" s="24"/>
      <c r="D4404" s="24"/>
      <c r="E4404" s="24"/>
      <c r="F4404" s="24"/>
      <c r="G4404" s="24"/>
      <c r="H4404" s="24"/>
      <c r="I4404" s="24"/>
      <c r="J4404" s="24"/>
      <c r="K4404" s="24"/>
    </row>
    <row r="4405" customFormat="false" ht="15" hidden="false" customHeight="false" outlineLevel="0" collapsed="false">
      <c r="A4405" s="5" t="s">
        <v>445</v>
      </c>
      <c r="G4405" s="20" t="n">
        <f aca="false">IF($C$4406=1,G4374,IF(G4259=MIN($G$4259:$K$4259),1,0))</f>
        <v>0</v>
      </c>
      <c r="H4405" s="20" t="n">
        <f aca="false">IF($C$4406=1,H4374,IF(AND(H4259=MIN($G$4259:$K$4259),SUM($G$4405:G4405)=0),1,0))</f>
        <v>1</v>
      </c>
      <c r="I4405" s="20" t="n">
        <f aca="false">IF($C$4406=1,I4374,IF(AND(I4259=MIN($G$4259:$K$4259),SUM($G$4405:H4405)=0),1,0))</f>
        <v>0</v>
      </c>
      <c r="J4405" s="20" t="n">
        <f aca="false">IF($C$4406=1,J4374,IF(AND(J4259=MIN($G$4259:$K$4259),SUM($G$4405:I4405)=0),1,0))</f>
        <v>0</v>
      </c>
      <c r="K4405" s="20" t="n">
        <f aca="false">IF($C$4406=1,K4374,IF(AND(K4259=MIN($G$4259:$K$4259),SUM($G$4405:J4405)=0),1,0))</f>
        <v>0</v>
      </c>
    </row>
    <row r="4406" customFormat="false" ht="15" hidden="false" customHeight="false" outlineLevel="0" collapsed="false">
      <c r="A4406" s="5" t="s">
        <v>446</v>
      </c>
      <c r="C4406" s="20" t="n">
        <f aca="false">IF(SUM($G$4374:$K$4374)&gt;0,1,0)</f>
        <v>1</v>
      </c>
    </row>
    <row r="4407" customFormat="false" ht="15" hidden="false" customHeight="false" outlineLevel="0" collapsed="false">
      <c r="A4407" s="5" t="s">
        <v>447</v>
      </c>
      <c r="C4407" s="20" t="n">
        <f aca="false">SUMPRODUCT($G$4405:$K$4405,$G$4249:$K$4249)</f>
        <v>2027</v>
      </c>
    </row>
    <row r="4408" customFormat="false" ht="15" hidden="false" customHeight="false" outlineLevel="0" collapsed="false">
      <c r="A4408" s="5" t="s">
        <v>448</v>
      </c>
      <c r="C4408" s="25" t="n">
        <f aca="false">SUMPRODUCT($G$4405:$K$4405,$G$4259:$K$4259)</f>
        <v>133.9695504</v>
      </c>
    </row>
    <row r="4409" customFormat="false" ht="15" hidden="false" customHeight="false" outlineLevel="0" collapsed="false">
      <c r="A4409" s="5" t="s">
        <v>449</v>
      </c>
      <c r="C4409" s="25" t="n">
        <f aca="false">MAX(0,SUMPRODUCT($G$4405:$K$4405,$G$4371:$K$4371))</f>
        <v>0</v>
      </c>
    </row>
    <row r="4410" customFormat="false" ht="15" hidden="false" customHeight="false" outlineLevel="0" collapsed="false">
      <c r="A4410" s="5" t="s">
        <v>450</v>
      </c>
      <c r="C4410" s="25" t="n">
        <f aca="false">(CHOOSE($C$4242,Assumptions!$C$78,Assumptions!$C$97,Assumptions!$C$116)+$C$4246)*C4408</f>
        <v>535.8782016</v>
      </c>
    </row>
    <row r="4411" customFormat="false" ht="15" hidden="false" customHeight="false" outlineLevel="0" collapsed="false">
      <c r="A4411" s="5" t="s">
        <v>451</v>
      </c>
      <c r="C4411" s="25" t="n">
        <f aca="false">Assumptions!$C$27*(1-CHOOSE($C$4242,Assumptions!$C$79,Assumptions!$C$98,Assumptions!$C$117))*CHOOSE($C$4242,Assumptions!$C$80,Assumptions!$C$99,Assumptions!$C$118)</f>
        <v>530.4</v>
      </c>
    </row>
    <row r="4412" customFormat="false" ht="15" hidden="false" customHeight="false" outlineLevel="0" collapsed="false">
      <c r="A4412" s="5" t="s">
        <v>452</v>
      </c>
      <c r="C4412" s="25" t="n">
        <f aca="false">MAX(C4410,C4411)+C4409</f>
        <v>535.8782016</v>
      </c>
    </row>
    <row r="4413" customFormat="false" ht="15" hidden="false" customHeight="false" outlineLevel="0" collapsed="false">
      <c r="A4413" s="2" t="s">
        <v>453</v>
      </c>
      <c r="C4413" s="16" t="n">
        <f aca="false">IF(ISNUMBER(Assumptions!$C$14),Assumptions!$C$14,C4412)</f>
        <v>535.8782016</v>
      </c>
    </row>
    <row r="4414" customFormat="false" ht="15" hidden="false" customHeight="false" outlineLevel="0" collapsed="false">
      <c r="A4414" s="5" t="s">
        <v>454</v>
      </c>
      <c r="C4414" s="25" t="n">
        <f aca="false">C4413*Assumptions!$C$15</f>
        <v>21.435128064</v>
      </c>
    </row>
    <row r="4415" customFormat="false" ht="15" hidden="false" customHeight="false" outlineLevel="0" collapsed="false">
      <c r="A4415" s="2" t="s">
        <v>455</v>
      </c>
      <c r="C4415" s="16" t="n">
        <f aca="false">C4413-C4414</f>
        <v>514.443073536</v>
      </c>
    </row>
    <row r="4416" customFormat="false" ht="15" hidden="false" customHeight="false" outlineLevel="0" collapsed="false">
      <c r="A4416" s="23" t="s">
        <v>456</v>
      </c>
      <c r="B4416" s="24"/>
      <c r="C4416" s="24"/>
      <c r="D4416" s="24"/>
      <c r="E4416" s="24"/>
      <c r="F4416" s="24"/>
      <c r="G4416" s="24"/>
      <c r="H4416" s="24"/>
      <c r="I4416" s="24"/>
      <c r="J4416" s="24"/>
      <c r="K4416" s="24"/>
    </row>
    <row r="4417" customFormat="false" ht="15" hidden="false" customHeight="false" outlineLevel="0" collapsed="false">
      <c r="A4417" s="5" t="s">
        <v>457</v>
      </c>
      <c r="C4417" s="25" t="n">
        <f aca="false">SUMPRODUCT($G$4405:$K$4405,$G$4296:$K$4296)*(1+SUMPRODUCT($G$4405:$K$4405,$G$4288:$K$4288)*Assumptions!$C$16/12)</f>
        <v>130.9315007</v>
      </c>
    </row>
    <row r="4418" customFormat="false" ht="15" hidden="false" customHeight="false" outlineLevel="0" collapsed="false">
      <c r="A4418" s="5" t="s">
        <v>458</v>
      </c>
      <c r="C4418" s="25" t="n">
        <f aca="false">SUMPRODUCT($G$4405:$K$4405,$G$4309:$K$4309)*(1+SUMPRODUCT($G$4405:$K$4405,$G$4301:$K$4301)*Assumptions!$C$16/12)</f>
        <v>524.3147</v>
      </c>
    </row>
    <row r="4419" customFormat="false" ht="15" hidden="false" customHeight="false" outlineLevel="0" collapsed="false">
      <c r="A4419" s="5" t="s">
        <v>459</v>
      </c>
      <c r="C4419" s="25" t="n">
        <f aca="false">SUMPRODUCT($G$4405:$K$4405,$G$4322:$K$4322)*(1+SUMPRODUCT($G$4405:$K$4405,$G$4314:$K$4314)*Assumptions!$C$16/12)</f>
        <v>256.875</v>
      </c>
    </row>
    <row r="4420" customFormat="false" ht="15" hidden="false" customHeight="false" outlineLevel="0" collapsed="false">
      <c r="A4420" s="5" t="s">
        <v>460</v>
      </c>
      <c r="C4420" s="25" t="n">
        <f aca="false">SUMPRODUCT($G$4405:$K$4405,$G$4335:$K$4335)*(1+SUMPRODUCT($G$4405:$K$4405,$G$4327:$K$4327)*Assumptions!$C$16/12)</f>
        <v>305.625</v>
      </c>
    </row>
    <row r="4421" customFormat="false" ht="15" hidden="false" customHeight="false" outlineLevel="0" collapsed="false">
      <c r="A4421" s="23" t="s">
        <v>461</v>
      </c>
      <c r="B4421" s="24"/>
      <c r="C4421" s="24"/>
      <c r="D4421" s="24"/>
      <c r="E4421" s="24"/>
      <c r="F4421" s="24"/>
      <c r="G4421" s="24"/>
      <c r="H4421" s="24"/>
      <c r="I4421" s="24"/>
      <c r="J4421" s="24"/>
      <c r="K4421" s="24"/>
    </row>
    <row r="4422" customFormat="false" ht="15" hidden="false" customHeight="false" outlineLevel="0" collapsed="false">
      <c r="A4422" s="5" t="s">
        <v>457</v>
      </c>
      <c r="C4422" s="26" t="n">
        <f aca="false">Assumptions!$M$53</f>
        <v>1</v>
      </c>
    </row>
    <row r="4423" customFormat="false" ht="15" hidden="false" customHeight="false" outlineLevel="0" collapsed="false">
      <c r="A4423" s="5" t="s">
        <v>458</v>
      </c>
      <c r="C4423" s="26" t="n">
        <f aca="false">Assumptions!$M$54</f>
        <v>2</v>
      </c>
    </row>
    <row r="4424" customFormat="false" ht="15" hidden="false" customHeight="false" outlineLevel="0" collapsed="false">
      <c r="A4424" s="5" t="s">
        <v>459</v>
      </c>
      <c r="C4424" s="26" t="n">
        <f aca="false">Assumptions!$M$55</f>
        <v>3</v>
      </c>
    </row>
    <row r="4425" customFormat="false" ht="15" hidden="false" customHeight="false" outlineLevel="0" collapsed="false">
      <c r="A4425" s="5" t="s">
        <v>460</v>
      </c>
      <c r="C4425" s="26" t="n">
        <f aca="false">Assumptions!$M$56</f>
        <v>4</v>
      </c>
    </row>
    <row r="4426" customFormat="false" ht="15" hidden="false" customHeight="false" outlineLevel="0" collapsed="false">
      <c r="A4426" s="23" t="s">
        <v>462</v>
      </c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</row>
    <row r="4427" customFormat="false" ht="15" hidden="false" customHeight="false" outlineLevel="0" collapsed="false">
      <c r="A4427" s="5" t="s">
        <v>457</v>
      </c>
      <c r="C4427" s="34" t="n">
        <f aca="false">Assumptions!$Q$53</f>
        <v>0</v>
      </c>
    </row>
    <row r="4428" customFormat="false" ht="15" hidden="false" customHeight="false" outlineLevel="0" collapsed="false">
      <c r="A4428" s="5" t="s">
        <v>458</v>
      </c>
      <c r="C4428" s="34" t="n">
        <f aca="false">Assumptions!$Q$54</f>
        <v>0</v>
      </c>
    </row>
    <row r="4429" customFormat="false" ht="15" hidden="false" customHeight="false" outlineLevel="0" collapsed="false">
      <c r="A4429" s="5" t="s">
        <v>459</v>
      </c>
      <c r="C4429" s="34" t="n">
        <f aca="false">Assumptions!$Q$55</f>
        <v>0</v>
      </c>
    </row>
    <row r="4430" customFormat="false" ht="15" hidden="false" customHeight="false" outlineLevel="0" collapsed="false">
      <c r="A4430" s="5" t="s">
        <v>460</v>
      </c>
      <c r="C4430" s="34" t="n">
        <f aca="false">Assumptions!$Q$56</f>
        <v>0</v>
      </c>
    </row>
    <row r="4431" customFormat="false" ht="15" hidden="false" customHeight="false" outlineLevel="0" collapsed="false">
      <c r="A4431" s="23" t="s">
        <v>463</v>
      </c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</row>
    <row r="4432" customFormat="false" ht="15" hidden="false" customHeight="false" outlineLevel="0" collapsed="false">
      <c r="A4432" s="5" t="s">
        <v>457</v>
      </c>
      <c r="C4432" s="25" t="n">
        <f aca="false">IF(C4427&gt;0,MIN(C4417,C4427*$C$4415),0)</f>
        <v>0</v>
      </c>
    </row>
    <row r="4433" customFormat="false" ht="15" hidden="false" customHeight="false" outlineLevel="0" collapsed="false">
      <c r="A4433" s="5" t="s">
        <v>458</v>
      </c>
      <c r="C4433" s="25" t="n">
        <f aca="false">IF(C4428&gt;0,MIN(C4418,C4428*$C$4415),0)</f>
        <v>0</v>
      </c>
    </row>
    <row r="4434" customFormat="false" ht="15" hidden="false" customHeight="false" outlineLevel="0" collapsed="false">
      <c r="A4434" s="5" t="s">
        <v>459</v>
      </c>
      <c r="C4434" s="25" t="n">
        <f aca="false">IF(C4429&gt;0,MIN(C4419,C4429*$C$4415),0)</f>
        <v>0</v>
      </c>
    </row>
    <row r="4435" customFormat="false" ht="15" hidden="false" customHeight="false" outlineLevel="0" collapsed="false">
      <c r="A4435" s="5" t="s">
        <v>460</v>
      </c>
      <c r="C4435" s="25" t="n">
        <f aca="false">IF(C4430&gt;0,MIN(C4420,C4430*$C$4415),0)</f>
        <v>0</v>
      </c>
    </row>
    <row r="4436" customFormat="false" ht="15" hidden="false" customHeight="false" outlineLevel="0" collapsed="false">
      <c r="A4436" s="23" t="s">
        <v>464</v>
      </c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</row>
    <row r="4437" customFormat="false" ht="15" hidden="false" customHeight="false" outlineLevel="0" collapsed="false">
      <c r="A4437" s="5" t="s">
        <v>457</v>
      </c>
      <c r="C4437" s="25" t="n">
        <f aca="false">IF(C4427&gt;0,C4417-C4432,0)</f>
        <v>0</v>
      </c>
      <c r="G4437" s="20" t="n">
        <f aca="false">IF(AND(G4286=1,G4283=1),1,0)</f>
        <v>0</v>
      </c>
      <c r="H4437" s="20" t="n">
        <f aca="false">IF(G4437=1,1,IF(AND(H4286=1,H4283=1),1,0))</f>
        <v>0</v>
      </c>
      <c r="I4437" s="20" t="n">
        <f aca="false">IF(H4437=1,1,IF(AND(I4286=1,I4283=1),1,0))</f>
        <v>0</v>
      </c>
      <c r="J4437" s="20" t="n">
        <f aca="false">IF(I4437=1,1,IF(AND(J4286=1,J4283=1),1,0))</f>
        <v>0</v>
      </c>
      <c r="K4437" s="20" t="n">
        <f aca="false">IF(J4437=1,1,IF(AND(K4286=1,K4283=1),1,0))</f>
        <v>0</v>
      </c>
    </row>
    <row r="4438" customFormat="false" ht="15" hidden="false" customHeight="false" outlineLevel="0" collapsed="false">
      <c r="A4438" s="5" t="s">
        <v>458</v>
      </c>
      <c r="C4438" s="25" t="n">
        <f aca="false">IF(C4428&gt;0,C4418-C4433,0)</f>
        <v>0</v>
      </c>
      <c r="G4438" s="20" t="n">
        <f aca="false">IF(AND(G4299=1,G4283=1),1,0)</f>
        <v>0</v>
      </c>
      <c r="H4438" s="20" t="n">
        <f aca="false">IF(G4438=1,1,IF(AND(H4299=1,H4283=1),1,0))</f>
        <v>0</v>
      </c>
      <c r="I4438" s="20" t="n">
        <f aca="false">IF(H4438=1,1,IF(AND(I4299=1,I4283=1),1,0))</f>
        <v>0</v>
      </c>
      <c r="J4438" s="20" t="n">
        <f aca="false">IF(I4438=1,1,IF(AND(J4299=1,J4283=1),1,0))</f>
        <v>0</v>
      </c>
      <c r="K4438" s="20" t="n">
        <f aca="false">IF(J4438=1,1,IF(AND(K4299=1,K4283=1),1,0))</f>
        <v>0</v>
      </c>
    </row>
    <row r="4439" customFormat="false" ht="15" hidden="false" customHeight="false" outlineLevel="0" collapsed="false">
      <c r="A4439" s="5" t="s">
        <v>459</v>
      </c>
      <c r="C4439" s="25" t="n">
        <f aca="false">IF(C4429&gt;0,C4419-C4434,0)</f>
        <v>0</v>
      </c>
      <c r="G4439" s="20" t="n">
        <f aca="false">IF(AND(G4312=1,G4283=1),1,0)</f>
        <v>0</v>
      </c>
      <c r="H4439" s="20" t="n">
        <f aca="false">IF(G4439=1,1,IF(AND(H4312=1,H4283=1),1,0))</f>
        <v>0</v>
      </c>
      <c r="I4439" s="20" t="n">
        <f aca="false">IF(H4439=1,1,IF(AND(I4312=1,I4283=1),1,0))</f>
        <v>0</v>
      </c>
      <c r="J4439" s="20" t="n">
        <f aca="false">IF(I4439=1,1,IF(AND(J4312=1,J4283=1),1,0))</f>
        <v>0</v>
      </c>
      <c r="K4439" s="20" t="n">
        <f aca="false">IF(J4439=1,1,IF(AND(K4312=1,K4283=1),1,0))</f>
        <v>0</v>
      </c>
    </row>
    <row r="4440" customFormat="false" ht="15" hidden="false" customHeight="false" outlineLevel="0" collapsed="false">
      <c r="A4440" s="5" t="s">
        <v>460</v>
      </c>
      <c r="C4440" s="25" t="n">
        <f aca="false">IF(C4430&gt;0,C4420-C4435,0)</f>
        <v>0</v>
      </c>
      <c r="G4440" s="20" t="n">
        <f aca="false">IF(AND(G4325=1,G4283=1),1,0)</f>
        <v>0</v>
      </c>
      <c r="H4440" s="20" t="n">
        <f aca="false">IF(G4440=1,1,IF(AND(H4325=1,H4283=1),1,0))</f>
        <v>0</v>
      </c>
      <c r="I4440" s="20" t="n">
        <f aca="false">IF(H4440=1,1,IF(AND(I4325=1,I4283=1),1,0))</f>
        <v>0</v>
      </c>
      <c r="J4440" s="20" t="n">
        <f aca="false">IF(I4440=1,1,IF(AND(J4325=1,J4283=1),1,0))</f>
        <v>0</v>
      </c>
      <c r="K4440" s="20" t="n">
        <f aca="false">IF(J4440=1,1,IF(AND(K4325=1,K4283=1),1,0))</f>
        <v>0</v>
      </c>
    </row>
    <row r="4441" customFormat="false" ht="15" hidden="false" customHeight="false" outlineLevel="0" collapsed="false">
      <c r="A4441" s="23" t="s">
        <v>465</v>
      </c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</row>
    <row r="4442" customFormat="false" ht="15" hidden="false" customHeight="false" outlineLevel="0" collapsed="false">
      <c r="A4442" s="5" t="s">
        <v>457</v>
      </c>
      <c r="C4442" s="25" t="n">
        <f aca="false">IF(C4427&gt;0,C4437,C4417)</f>
        <v>130.9315007</v>
      </c>
    </row>
    <row r="4443" customFormat="false" ht="15" hidden="false" customHeight="false" outlineLevel="0" collapsed="false">
      <c r="A4443" s="5" t="s">
        <v>458</v>
      </c>
      <c r="C4443" s="25" t="n">
        <f aca="false">IF(C4428&gt;0,C4438,C4418)</f>
        <v>524.3147</v>
      </c>
    </row>
    <row r="4444" customFormat="false" ht="15" hidden="false" customHeight="false" outlineLevel="0" collapsed="false">
      <c r="A4444" s="5" t="s">
        <v>459</v>
      </c>
      <c r="C4444" s="25" t="n">
        <f aca="false">IF(C4429&gt;0,C4439,C4419)</f>
        <v>256.875</v>
      </c>
    </row>
    <row r="4445" customFormat="false" ht="15" hidden="false" customHeight="false" outlineLevel="0" collapsed="false">
      <c r="A4445" s="5" t="s">
        <v>460</v>
      </c>
      <c r="C4445" s="25" t="n">
        <f aca="false">IF(C4430&gt;0,C4440,C4420)</f>
        <v>305.625</v>
      </c>
    </row>
    <row r="4446" customFormat="false" ht="15" hidden="false" customHeight="false" outlineLevel="0" collapsed="false">
      <c r="A4446" s="23" t="s">
        <v>466</v>
      </c>
      <c r="B4446" s="24"/>
      <c r="C4446" s="24"/>
      <c r="D4446" s="24"/>
      <c r="E4446" s="24"/>
      <c r="F4446" s="24"/>
      <c r="G4446" s="24"/>
      <c r="H4446" s="24"/>
      <c r="I4446" s="24"/>
      <c r="J4446" s="24"/>
      <c r="K4446" s="24"/>
    </row>
    <row r="4447" customFormat="false" ht="15" hidden="false" customHeight="false" outlineLevel="0" collapsed="false">
      <c r="A4447" s="5" t="s">
        <v>457</v>
      </c>
      <c r="C4447" s="20" t="n">
        <f aca="false">IF(C4427&gt;0,Assumptions!$C$17,C4422)</f>
        <v>1</v>
      </c>
    </row>
    <row r="4448" customFormat="false" ht="15" hidden="false" customHeight="false" outlineLevel="0" collapsed="false">
      <c r="A4448" s="5" t="s">
        <v>458</v>
      </c>
      <c r="C4448" s="20" t="n">
        <f aca="false">IF(C4428&gt;0,Assumptions!$C$17,C4423)</f>
        <v>2</v>
      </c>
    </row>
    <row r="4449" customFormat="false" ht="15" hidden="false" customHeight="false" outlineLevel="0" collapsed="false">
      <c r="A4449" s="5" t="s">
        <v>459</v>
      </c>
      <c r="C4449" s="20" t="n">
        <f aca="false">IF(C4429&gt;0,Assumptions!$C$17,C4424)</f>
        <v>3</v>
      </c>
    </row>
    <row r="4450" customFormat="false" ht="15" hidden="false" customHeight="false" outlineLevel="0" collapsed="false">
      <c r="A4450" s="5" t="s">
        <v>460</v>
      </c>
      <c r="C4450" s="20" t="n">
        <f aca="false">IF(C4430&gt;0,Assumptions!$C$17,C4425)</f>
        <v>4</v>
      </c>
    </row>
    <row r="4451" customFormat="false" ht="15" hidden="false" customHeight="false" outlineLevel="0" collapsed="false">
      <c r="A4451" s="23" t="s">
        <v>467</v>
      </c>
      <c r="B4451" s="24"/>
      <c r="C4451" s="24"/>
      <c r="D4451" s="24"/>
      <c r="E4451" s="24"/>
      <c r="F4451" s="24"/>
      <c r="G4451" s="24"/>
      <c r="H4451" s="24"/>
      <c r="I4451" s="24"/>
      <c r="J4451" s="24"/>
      <c r="K4451" s="24"/>
    </row>
    <row r="4452" customFormat="false" ht="15" hidden="false" customHeight="false" outlineLevel="0" collapsed="false">
      <c r="A4452" s="5" t="s">
        <v>457</v>
      </c>
      <c r="C4452" s="25" t="n">
        <f aca="false">SUMPRODUCT(($C$4447:$C$4450&lt;C4447)*$C$4442:$C$4445)</f>
        <v>0</v>
      </c>
    </row>
    <row r="4453" customFormat="false" ht="15" hidden="false" customHeight="false" outlineLevel="0" collapsed="false">
      <c r="A4453" s="5" t="s">
        <v>458</v>
      </c>
      <c r="C4453" s="25" t="n">
        <f aca="false">SUMPRODUCT(($C$4447:$C$4450&lt;C4448)*$C$4442:$C$4445)</f>
        <v>130.9315007</v>
      </c>
    </row>
    <row r="4454" customFormat="false" ht="15" hidden="false" customHeight="false" outlineLevel="0" collapsed="false">
      <c r="A4454" s="5" t="s">
        <v>459</v>
      </c>
      <c r="C4454" s="25" t="n">
        <f aca="false">SUMPRODUCT(($C$4447:$C$4450&lt;C4449)*$C$4442:$C$4445)</f>
        <v>655.2462007</v>
      </c>
    </row>
    <row r="4455" customFormat="false" ht="15" hidden="false" customHeight="false" outlineLevel="0" collapsed="false">
      <c r="A4455" s="5" t="s">
        <v>460</v>
      </c>
      <c r="C4455" s="25" t="n">
        <f aca="false">SUMPRODUCT(($C$4447:$C$4450&lt;C4450)*$C$4442:$C$4445)</f>
        <v>912.1212007</v>
      </c>
    </row>
    <row r="4456" customFormat="false" ht="15" hidden="false" customHeight="false" outlineLevel="0" collapsed="false">
      <c r="A4456" s="23" t="s">
        <v>468</v>
      </c>
      <c r="B4456" s="24"/>
      <c r="C4456" s="24"/>
      <c r="D4456" s="24"/>
      <c r="E4456" s="24"/>
      <c r="F4456" s="24"/>
      <c r="G4456" s="24"/>
      <c r="H4456" s="24"/>
      <c r="I4456" s="24"/>
      <c r="J4456" s="24"/>
      <c r="K4456" s="24"/>
    </row>
    <row r="4457" customFormat="false" ht="15" hidden="false" customHeight="false" outlineLevel="0" collapsed="false">
      <c r="A4457" s="5" t="s">
        <v>457</v>
      </c>
      <c r="C4457" s="25" t="n">
        <f aca="false">SUMPRODUCT(($C$4447:$C$4450=C4447)*$C$4442:$C$4445)</f>
        <v>130.9315007</v>
      </c>
    </row>
    <row r="4458" customFormat="false" ht="15" hidden="false" customHeight="false" outlineLevel="0" collapsed="false">
      <c r="A4458" s="5" t="s">
        <v>458</v>
      </c>
      <c r="C4458" s="25" t="n">
        <f aca="false">SUMPRODUCT(($C$4447:$C$4450=C4448)*$C$4442:$C$4445)</f>
        <v>524.3147</v>
      </c>
    </row>
    <row r="4459" customFormat="false" ht="15" hidden="false" customHeight="false" outlineLevel="0" collapsed="false">
      <c r="A4459" s="5" t="s">
        <v>459</v>
      </c>
      <c r="C4459" s="25" t="n">
        <f aca="false">SUMPRODUCT(($C$4447:$C$4450=C4449)*$C$4442:$C$4445)</f>
        <v>256.875</v>
      </c>
    </row>
    <row r="4460" customFormat="false" ht="15" hidden="false" customHeight="false" outlineLevel="0" collapsed="false">
      <c r="A4460" s="5" t="s">
        <v>460</v>
      </c>
      <c r="C4460" s="25" t="n">
        <f aca="false">SUMPRODUCT(($C$4447:$C$4450=C4450)*$C$4442:$C$4445)</f>
        <v>305.625</v>
      </c>
    </row>
    <row r="4461" customFormat="false" ht="15" hidden="false" customHeight="false" outlineLevel="0" collapsed="false">
      <c r="A4461" s="23" t="s">
        <v>469</v>
      </c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</row>
    <row r="4462" customFormat="false" ht="15" hidden="false" customHeight="false" outlineLevel="0" collapsed="false">
      <c r="A4462" s="5" t="s">
        <v>457</v>
      </c>
      <c r="C4462" s="25" t="n">
        <f aca="false">IF(C4457=0,0,C4442/C4457*MAX(0,MIN(C4457,$C$4415-SUM($C$4432:$C$4435)-C4452)))</f>
        <v>130.9315007</v>
      </c>
    </row>
    <row r="4463" customFormat="false" ht="15" hidden="false" customHeight="false" outlineLevel="0" collapsed="false">
      <c r="A4463" s="5" t="s">
        <v>458</v>
      </c>
      <c r="C4463" s="25" t="n">
        <f aca="false">IF(C4458=0,0,C4443/C4458*MAX(0,MIN(C4458,$C$4415-SUM($C$4432:$C$4435)-C4453)))</f>
        <v>383.511572836</v>
      </c>
    </row>
    <row r="4464" customFormat="false" ht="15" hidden="false" customHeight="false" outlineLevel="0" collapsed="false">
      <c r="A4464" s="5" t="s">
        <v>459</v>
      </c>
      <c r="C4464" s="25" t="n">
        <f aca="false">IF(C4459=0,0,C4444/C4459*MAX(0,MIN(C4459,$C$4415-SUM($C$4432:$C$4435)-C4454)))</f>
        <v>0</v>
      </c>
    </row>
    <row r="4465" customFormat="false" ht="15" hidden="false" customHeight="false" outlineLevel="0" collapsed="false">
      <c r="A4465" s="5" t="s">
        <v>460</v>
      </c>
      <c r="C4465" s="25" t="n">
        <f aca="false">IF(C4460=0,0,C4445/C4460*MAX(0,MIN(C4460,$C$4415-SUM($C$4432:$C$4435)-C4455)))</f>
        <v>0</v>
      </c>
    </row>
    <row r="4466" customFormat="false" ht="15" hidden="false" customHeight="false" outlineLevel="0" collapsed="false">
      <c r="A4466" s="23" t="s">
        <v>470</v>
      </c>
      <c r="B4466" s="24"/>
      <c r="C4466" s="24"/>
      <c r="D4466" s="24"/>
      <c r="E4466" s="24"/>
      <c r="F4466" s="24"/>
      <c r="G4466" s="24"/>
      <c r="H4466" s="24"/>
      <c r="I4466" s="24"/>
      <c r="J4466" s="24"/>
      <c r="K4466" s="24"/>
    </row>
    <row r="4467" customFormat="false" ht="15" hidden="false" customHeight="false" outlineLevel="0" collapsed="false">
      <c r="A4467" s="2" t="s">
        <v>457</v>
      </c>
      <c r="C4467" s="16" t="n">
        <f aca="false">C4432+C4462</f>
        <v>130.9315007</v>
      </c>
    </row>
    <row r="4468" customFormat="false" ht="15" hidden="false" customHeight="false" outlineLevel="0" collapsed="false">
      <c r="A4468" s="2" t="s">
        <v>458</v>
      </c>
      <c r="C4468" s="16" t="n">
        <f aca="false">C4433+C4463</f>
        <v>383.511572836</v>
      </c>
    </row>
    <row r="4469" customFormat="false" ht="15" hidden="false" customHeight="false" outlineLevel="0" collapsed="false">
      <c r="A4469" s="2" t="s">
        <v>459</v>
      </c>
      <c r="C4469" s="16" t="n">
        <f aca="false">C4434+C4464</f>
        <v>0</v>
      </c>
    </row>
    <row r="4470" customFormat="false" ht="15" hidden="false" customHeight="false" outlineLevel="0" collapsed="false">
      <c r="A4470" s="2" t="s">
        <v>460</v>
      </c>
      <c r="C4470" s="16" t="n">
        <f aca="false">C4435+C4465</f>
        <v>0</v>
      </c>
    </row>
    <row r="4471" customFormat="false" ht="15" hidden="false" customHeight="false" outlineLevel="0" collapsed="false">
      <c r="A4471" s="23" t="s">
        <v>471</v>
      </c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</row>
    <row r="4472" customFormat="false" ht="15" hidden="false" customHeight="false" outlineLevel="0" collapsed="false">
      <c r="A4472" s="5" t="s">
        <v>457</v>
      </c>
      <c r="C4472" s="21" t="n">
        <f aca="false">IF(C4417=0,1,C4467/C4417)</f>
        <v>1</v>
      </c>
    </row>
    <row r="4473" customFormat="false" ht="15" hidden="false" customHeight="false" outlineLevel="0" collapsed="false">
      <c r="A4473" s="5" t="s">
        <v>458</v>
      </c>
      <c r="C4473" s="21" t="n">
        <f aca="false">IF(C4418=0,1,C4468/C4418)</f>
        <v>0.731453023987311</v>
      </c>
    </row>
    <row r="4474" customFormat="false" ht="15" hidden="false" customHeight="false" outlineLevel="0" collapsed="false">
      <c r="A4474" s="5" t="s">
        <v>459</v>
      </c>
      <c r="C4474" s="21" t="n">
        <f aca="false">IF(C4419=0,1,C4469/C4419)</f>
        <v>0</v>
      </c>
    </row>
    <row r="4475" customFormat="false" ht="15" hidden="false" customHeight="false" outlineLevel="0" collapsed="false">
      <c r="A4475" s="5" t="s">
        <v>460</v>
      </c>
      <c r="C4475" s="21" t="n">
        <f aca="false">IF(C4420=0,1,C4470/C4420)</f>
        <v>0</v>
      </c>
    </row>
    <row r="4476" customFormat="false" ht="15" hidden="false" customHeight="false" outlineLevel="0" collapsed="false">
      <c r="A4476" s="23" t="s">
        <v>472</v>
      </c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</row>
    <row r="4477" customFormat="false" ht="15" hidden="false" customHeight="false" outlineLevel="0" collapsed="false">
      <c r="A4477" s="5" t="s">
        <v>457</v>
      </c>
      <c r="C4477" s="25" t="n">
        <f aca="false">C4417-C4467</f>
        <v>0</v>
      </c>
    </row>
    <row r="4478" customFormat="false" ht="15" hidden="false" customHeight="false" outlineLevel="0" collapsed="false">
      <c r="A4478" s="5" t="s">
        <v>458</v>
      </c>
      <c r="C4478" s="25" t="n">
        <f aca="false">C4418-C4468</f>
        <v>140.803127164</v>
      </c>
    </row>
    <row r="4479" customFormat="false" ht="15" hidden="false" customHeight="false" outlineLevel="0" collapsed="false">
      <c r="A4479" s="5" t="s">
        <v>459</v>
      </c>
      <c r="C4479" s="25" t="n">
        <f aca="false">C4419-C4469</f>
        <v>256.875</v>
      </c>
    </row>
    <row r="4480" customFormat="false" ht="15" hidden="false" customHeight="false" outlineLevel="0" collapsed="false">
      <c r="A4480" s="5" t="s">
        <v>460</v>
      </c>
      <c r="C4480" s="25" t="n">
        <f aca="false">C4420-C4470</f>
        <v>305.625</v>
      </c>
    </row>
    <row r="4481" customFormat="false" ht="15" hidden="false" customHeight="false" outlineLevel="0" collapsed="false">
      <c r="A4481" s="23" t="s">
        <v>473</v>
      </c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</row>
    <row r="4482" customFormat="false" ht="15" hidden="false" customHeight="false" outlineLevel="0" collapsed="false">
      <c r="A4482" s="5" t="s">
        <v>457</v>
      </c>
      <c r="C4482" s="21" t="n">
        <f aca="false">IF(C4417=0,0,C4477/C4417)</f>
        <v>0</v>
      </c>
    </row>
    <row r="4483" customFormat="false" ht="15" hidden="false" customHeight="false" outlineLevel="0" collapsed="false">
      <c r="A4483" s="5" t="s">
        <v>458</v>
      </c>
      <c r="C4483" s="21" t="n">
        <f aca="false">IF(C4418=0,0,C4478/C4418)</f>
        <v>0.268546976012689</v>
      </c>
    </row>
    <row r="4484" customFormat="false" ht="15" hidden="false" customHeight="false" outlineLevel="0" collapsed="false">
      <c r="A4484" s="5" t="s">
        <v>459</v>
      </c>
      <c r="C4484" s="21" t="n">
        <f aca="false">IF(C4419=0,0,C4479/C4419)</f>
        <v>1</v>
      </c>
    </row>
    <row r="4485" customFormat="false" ht="15" hidden="false" customHeight="false" outlineLevel="0" collapsed="false">
      <c r="A4485" s="5" t="s">
        <v>460</v>
      </c>
      <c r="C4485" s="21" t="n">
        <f aca="false">IF(C4420=0,0,C4480/C4420)</f>
        <v>1</v>
      </c>
    </row>
    <row r="4486" customFormat="false" ht="15" hidden="false" customHeight="false" outlineLevel="0" collapsed="false">
      <c r="A4486" s="2" t="s">
        <v>474</v>
      </c>
      <c r="C4486" s="16" t="n">
        <f aca="false">MAX(0,$C$4415-SUM($C$4432:$C$4435)-SUM($C$4442:$C$4445))</f>
        <v>0</v>
      </c>
    </row>
    <row r="4487" customFormat="false" ht="15" hidden="false" customHeight="false" outlineLevel="0" collapsed="false">
      <c r="A4487" s="5" t="s">
        <v>475</v>
      </c>
      <c r="C4487" s="25" t="n">
        <f aca="false">SUM($C$4467:$C$4470)+C4486+C4414-C4413</f>
        <v>0</v>
      </c>
    </row>
    <row r="4489" customFormat="false" ht="15" hidden="false" customHeight="false" outlineLevel="0" collapsed="false">
      <c r="A4489" s="23" t="s">
        <v>478</v>
      </c>
      <c r="B4489" s="24"/>
      <c r="C4489" s="24"/>
      <c r="D4489" s="24"/>
      <c r="E4489" s="24"/>
      <c r="F4489" s="24"/>
      <c r="G4489" s="24"/>
      <c r="H4489" s="24"/>
      <c r="I4489" s="24"/>
      <c r="J4489" s="24"/>
      <c r="K4489" s="24"/>
    </row>
    <row r="4490" customFormat="false" ht="15" hidden="false" customHeight="false" outlineLevel="0" collapsed="false">
      <c r="A4490" s="5" t="s">
        <v>479</v>
      </c>
      <c r="C4490" s="26" t="n">
        <f aca="false">Assumptions!$C$30</f>
        <v>2</v>
      </c>
    </row>
    <row r="4491" customFormat="false" ht="15" hidden="false" customHeight="false" outlineLevel="0" collapsed="false">
      <c r="A4491" s="5" t="s">
        <v>480</v>
      </c>
      <c r="C4491" s="28" t="n">
        <f aca="false">Assumptions!$C$31</f>
        <v>100</v>
      </c>
    </row>
    <row r="4492" customFormat="false" ht="15" hidden="false" customHeight="false" outlineLevel="0" collapsed="false">
      <c r="A4492" s="5" t="s">
        <v>481</v>
      </c>
      <c r="C4492" s="39" t="n">
        <f aca="false">Assumptions!$C$32</f>
        <v>78</v>
      </c>
    </row>
    <row r="4493" customFormat="false" ht="15" hidden="false" customHeight="false" outlineLevel="0" collapsed="false">
      <c r="A4493" s="5" t="s">
        <v>482</v>
      </c>
      <c r="C4493" s="25" t="n">
        <f aca="false">C4491*C4492/100*(1+Assumptions!$C$33)</f>
        <v>78.39</v>
      </c>
    </row>
    <row r="4494" customFormat="false" ht="15" hidden="false" customHeight="false" outlineLevel="0" collapsed="false">
      <c r="A4494" s="5" t="s">
        <v>483</v>
      </c>
      <c r="C4494" s="26" t="n">
        <f aca="false">Assumptions!$C$34</f>
        <v>2</v>
      </c>
    </row>
    <row r="4495" customFormat="false" ht="15" hidden="false" customHeight="false" outlineLevel="0" collapsed="false">
      <c r="A4495" s="5" t="s">
        <v>484</v>
      </c>
      <c r="C4495" s="20" t="n">
        <f aca="false">IF(C4406=1,SUMPRODUCT($G$4374:$K$4374,$G$4250:$K$4250),0)</f>
        <v>2</v>
      </c>
    </row>
    <row r="4496" customFormat="false" ht="15" hidden="false" customHeight="false" outlineLevel="0" collapsed="false">
      <c r="A4496" s="5" t="s">
        <v>485</v>
      </c>
      <c r="C4496" s="21" t="n">
        <f aca="false">IFERROR(C4491/CHOOSE(C4490,SUMPRODUCT($G$4405:$K$4405,$G$4296:$K$4296),SUMPRODUCT($G$4405:$K$4405,$G$4309:$K$4309),SUMPRODUCT($G$4405:$K$4405,$G$4322:$K$4322),SUMPRODUCT($G$4405:$K$4405,$G$4335:$K$4335)),0)</f>
        <v>0.196232339089482</v>
      </c>
    </row>
    <row r="4497" customFormat="false" ht="15" hidden="false" customHeight="false" outlineLevel="0" collapsed="false">
      <c r="A4497" s="5" t="s">
        <v>486</v>
      </c>
      <c r="C4497" s="25" t="n">
        <f aca="false">CHOOSE(C4490,C4467,C4468,C4469,C4470)*C4496</f>
        <v>75.2573730054945</v>
      </c>
    </row>
    <row r="4498" customFormat="false" ht="15" hidden="false" customHeight="false" outlineLevel="0" collapsed="false">
      <c r="A4498" s="5" t="s">
        <v>487</v>
      </c>
      <c r="C4498" s="21" t="n">
        <f aca="false">CHOOSE(C4490,C4472,C4473,C4474,C4475)</f>
        <v>0.731453023987311</v>
      </c>
    </row>
    <row r="4499" customFormat="false" ht="15" hidden="false" customHeight="false" outlineLevel="0" collapsed="false">
      <c r="A4499" s="5" t="s">
        <v>488</v>
      </c>
      <c r="C4499" s="20" t="n">
        <f aca="false">IF(C4406=1,C4495,C4494)</f>
        <v>2</v>
      </c>
    </row>
    <row r="4500" customFormat="false" ht="15" hidden="false" customHeight="false" outlineLevel="0" collapsed="false">
      <c r="A4500" s="5" t="s">
        <v>489</v>
      </c>
      <c r="C4500" s="33" t="n">
        <f aca="false">CHOOSE($C$4242,Assumptions!$C$77,Assumptions!$C$96,Assumptions!$C$115)</f>
        <v>90</v>
      </c>
    </row>
    <row r="4501" customFormat="false" ht="15" hidden="false" customHeight="false" outlineLevel="0" collapsed="false">
      <c r="A4501" s="5" t="s">
        <v>490</v>
      </c>
      <c r="C4501" s="25" t="n">
        <f aca="false">INDEX($G$4259:$K$4259,C4494)*CHOOSE($C$4242,Assumptions!$C$76,Assumptions!$C$95,Assumptions!$C$114)+MAX(0,INDEX($G$4371:$K$4371,C4494))</f>
        <v>669.847752</v>
      </c>
    </row>
    <row r="4502" customFormat="false" ht="15" hidden="false" customHeight="false" outlineLevel="0" collapsed="false">
      <c r="A4502" s="23" t="s">
        <v>491</v>
      </c>
      <c r="B4502" s="24"/>
      <c r="C4502" s="24"/>
      <c r="D4502" s="24"/>
      <c r="E4502" s="24"/>
      <c r="F4502" s="24"/>
      <c r="G4502" s="24"/>
      <c r="H4502" s="24"/>
      <c r="I4502" s="24"/>
      <c r="J4502" s="24"/>
      <c r="K4502" s="24"/>
    </row>
    <row r="4503" customFormat="false" ht="15" hidden="false" customHeight="false" outlineLevel="0" collapsed="false">
      <c r="A4503" s="5" t="s">
        <v>457</v>
      </c>
      <c r="C4503" s="25" t="n">
        <f aca="false">INDEX($G$4296:$K$4296,C4494)</f>
        <v>127.7848</v>
      </c>
    </row>
    <row r="4504" customFormat="false" ht="15" hidden="false" customHeight="false" outlineLevel="0" collapsed="false">
      <c r="A4504" s="5" t="s">
        <v>458</v>
      </c>
      <c r="C4504" s="25" t="n">
        <f aca="false">INDEX($G$4309:$K$4309,C4494)</f>
        <v>509.6</v>
      </c>
    </row>
    <row r="4505" customFormat="false" ht="15" hidden="false" customHeight="false" outlineLevel="0" collapsed="false">
      <c r="A4505" s="5" t="s">
        <v>459</v>
      </c>
      <c r="C4505" s="25" t="n">
        <f aca="false">INDEX($G$4322:$K$4322,C4494)</f>
        <v>250</v>
      </c>
    </row>
    <row r="4506" customFormat="false" ht="15" hidden="false" customHeight="false" outlineLevel="0" collapsed="false">
      <c r="A4506" s="5" t="s">
        <v>460</v>
      </c>
      <c r="C4506" s="25" t="n">
        <f aca="false">INDEX($G$4335:$K$4335,C4494)</f>
        <v>300</v>
      </c>
    </row>
    <row r="4507" customFormat="false" ht="15" hidden="false" customHeight="false" outlineLevel="0" collapsed="false">
      <c r="A4507" s="23" t="s">
        <v>461</v>
      </c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</row>
    <row r="4508" customFormat="false" ht="15" hidden="false" customHeight="false" outlineLevel="0" collapsed="false">
      <c r="A4508" s="5" t="s">
        <v>457</v>
      </c>
      <c r="C4508" s="26" t="n">
        <f aca="false">Assumptions!$M$53</f>
        <v>1</v>
      </c>
    </row>
    <row r="4509" customFormat="false" ht="15" hidden="false" customHeight="false" outlineLevel="0" collapsed="false">
      <c r="A4509" s="5" t="s">
        <v>458</v>
      </c>
      <c r="C4509" s="26" t="n">
        <f aca="false">Assumptions!$M$54</f>
        <v>2</v>
      </c>
    </row>
    <row r="4510" customFormat="false" ht="15" hidden="false" customHeight="false" outlineLevel="0" collapsed="false">
      <c r="A4510" s="5" t="s">
        <v>459</v>
      </c>
      <c r="C4510" s="26" t="n">
        <f aca="false">Assumptions!$M$55</f>
        <v>3</v>
      </c>
    </row>
    <row r="4511" customFormat="false" ht="15" hidden="false" customHeight="false" outlineLevel="0" collapsed="false">
      <c r="A4511" s="5" t="s">
        <v>460</v>
      </c>
      <c r="C4511" s="26" t="n">
        <f aca="false">Assumptions!$M$56</f>
        <v>4</v>
      </c>
    </row>
    <row r="4512" customFormat="false" ht="15" hidden="false" customHeight="false" outlineLevel="0" collapsed="false">
      <c r="A4512" s="23" t="s">
        <v>462</v>
      </c>
      <c r="B4512" s="24"/>
      <c r="C4512" s="24"/>
      <c r="D4512" s="24"/>
      <c r="E4512" s="24"/>
      <c r="F4512" s="24"/>
      <c r="G4512" s="24"/>
      <c r="H4512" s="24"/>
      <c r="I4512" s="24"/>
      <c r="J4512" s="24"/>
      <c r="K4512" s="24"/>
    </row>
    <row r="4513" customFormat="false" ht="15" hidden="false" customHeight="false" outlineLevel="0" collapsed="false">
      <c r="A4513" s="5" t="s">
        <v>457</v>
      </c>
      <c r="C4513" s="34" t="n">
        <f aca="false">Assumptions!$Q$53</f>
        <v>0</v>
      </c>
    </row>
    <row r="4514" customFormat="false" ht="15" hidden="false" customHeight="false" outlineLevel="0" collapsed="false">
      <c r="A4514" s="5" t="s">
        <v>458</v>
      </c>
      <c r="C4514" s="34" t="n">
        <f aca="false">Assumptions!$Q$54</f>
        <v>0</v>
      </c>
    </row>
    <row r="4515" customFormat="false" ht="15" hidden="false" customHeight="false" outlineLevel="0" collapsed="false">
      <c r="A4515" s="5" t="s">
        <v>459</v>
      </c>
      <c r="C4515" s="34" t="n">
        <f aca="false">Assumptions!$Q$55</f>
        <v>0</v>
      </c>
    </row>
    <row r="4516" customFormat="false" ht="15" hidden="false" customHeight="false" outlineLevel="0" collapsed="false">
      <c r="A4516" s="5" t="s">
        <v>460</v>
      </c>
      <c r="C4516" s="34" t="n">
        <f aca="false">Assumptions!$Q$56</f>
        <v>0</v>
      </c>
    </row>
    <row r="4517" customFormat="false" ht="15" hidden="false" customHeight="false" outlineLevel="0" collapsed="false">
      <c r="A4517" s="23" t="s">
        <v>463</v>
      </c>
      <c r="B4517" s="24"/>
      <c r="C4517" s="24"/>
      <c r="D4517" s="24"/>
      <c r="E4517" s="24"/>
      <c r="F4517" s="24"/>
      <c r="G4517" s="24"/>
      <c r="H4517" s="24"/>
      <c r="I4517" s="24"/>
      <c r="J4517" s="24"/>
      <c r="K4517" s="24"/>
    </row>
    <row r="4518" customFormat="false" ht="15" hidden="false" customHeight="false" outlineLevel="0" collapsed="false">
      <c r="A4518" s="5" t="s">
        <v>457</v>
      </c>
      <c r="C4518" s="25" t="n">
        <f aca="false">IF(C4513&gt;0,MIN(C4503,C4513*$C$4501),0)</f>
        <v>0</v>
      </c>
    </row>
    <row r="4519" customFormat="false" ht="15" hidden="false" customHeight="false" outlineLevel="0" collapsed="false">
      <c r="A4519" s="5" t="s">
        <v>458</v>
      </c>
      <c r="C4519" s="25" t="n">
        <f aca="false">IF(C4514&gt;0,MIN(C4504,C4514*$C$4501),0)</f>
        <v>0</v>
      </c>
    </row>
    <row r="4520" customFormat="false" ht="15" hidden="false" customHeight="false" outlineLevel="0" collapsed="false">
      <c r="A4520" s="5" t="s">
        <v>459</v>
      </c>
      <c r="C4520" s="25" t="n">
        <f aca="false">IF(C4515&gt;0,MIN(C4505,C4515*$C$4501),0)</f>
        <v>0</v>
      </c>
    </row>
    <row r="4521" customFormat="false" ht="15" hidden="false" customHeight="false" outlineLevel="0" collapsed="false">
      <c r="A4521" s="5" t="s">
        <v>460</v>
      </c>
      <c r="C4521" s="25" t="n">
        <f aca="false">IF(C4516&gt;0,MIN(C4506,C4516*$C$4501),0)</f>
        <v>0</v>
      </c>
    </row>
    <row r="4522" customFormat="false" ht="15" hidden="false" customHeight="false" outlineLevel="0" collapsed="false">
      <c r="A4522" s="23" t="s">
        <v>464</v>
      </c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</row>
    <row r="4523" customFormat="false" ht="15" hidden="false" customHeight="false" outlineLevel="0" collapsed="false">
      <c r="A4523" s="5" t="s">
        <v>457</v>
      </c>
      <c r="C4523" s="25" t="n">
        <f aca="false">IF(C4513&gt;0,C4503-C4518,0)</f>
        <v>0</v>
      </c>
    </row>
    <row r="4524" customFormat="false" ht="15" hidden="false" customHeight="false" outlineLevel="0" collapsed="false">
      <c r="A4524" s="5" t="s">
        <v>458</v>
      </c>
      <c r="C4524" s="25" t="n">
        <f aca="false">IF(C4514&gt;0,C4504-C4519,0)</f>
        <v>0</v>
      </c>
    </row>
    <row r="4525" customFormat="false" ht="15" hidden="false" customHeight="false" outlineLevel="0" collapsed="false">
      <c r="A4525" s="5" t="s">
        <v>459</v>
      </c>
      <c r="C4525" s="25" t="n">
        <f aca="false">IF(C4515&gt;0,C4505-C4520,0)</f>
        <v>0</v>
      </c>
    </row>
    <row r="4526" customFormat="false" ht="15" hidden="false" customHeight="false" outlineLevel="0" collapsed="false">
      <c r="A4526" s="5" t="s">
        <v>460</v>
      </c>
      <c r="C4526" s="25" t="n">
        <f aca="false">IF(C4516&gt;0,C4506-C4521,0)</f>
        <v>0</v>
      </c>
    </row>
    <row r="4527" customFormat="false" ht="15" hidden="false" customHeight="false" outlineLevel="0" collapsed="false">
      <c r="A4527" s="23" t="s">
        <v>465</v>
      </c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</row>
    <row r="4528" customFormat="false" ht="15" hidden="false" customHeight="false" outlineLevel="0" collapsed="false">
      <c r="A4528" s="5" t="s">
        <v>457</v>
      </c>
      <c r="C4528" s="25" t="n">
        <f aca="false">IF(C4513&gt;0,C4523,C4503)</f>
        <v>127.7848</v>
      </c>
    </row>
    <row r="4529" customFormat="false" ht="15" hidden="false" customHeight="false" outlineLevel="0" collapsed="false">
      <c r="A4529" s="5" t="s">
        <v>458</v>
      </c>
      <c r="C4529" s="25" t="n">
        <f aca="false">IF(C4514&gt;0,C4524,C4504)</f>
        <v>509.6</v>
      </c>
    </row>
    <row r="4530" customFormat="false" ht="15" hidden="false" customHeight="false" outlineLevel="0" collapsed="false">
      <c r="A4530" s="5" t="s">
        <v>459</v>
      </c>
      <c r="C4530" s="25" t="n">
        <f aca="false">IF(C4515&gt;0,C4525,C4505)</f>
        <v>250</v>
      </c>
    </row>
    <row r="4531" customFormat="false" ht="15" hidden="false" customHeight="false" outlineLevel="0" collapsed="false">
      <c r="A4531" s="5" t="s">
        <v>460</v>
      </c>
      <c r="C4531" s="25" t="n">
        <f aca="false">IF(C4516&gt;0,C4526,C4506)</f>
        <v>300</v>
      </c>
    </row>
    <row r="4532" customFormat="false" ht="15" hidden="false" customHeight="false" outlineLevel="0" collapsed="false">
      <c r="A4532" s="23" t="s">
        <v>466</v>
      </c>
      <c r="B4532" s="24"/>
      <c r="C4532" s="24"/>
      <c r="D4532" s="24"/>
      <c r="E4532" s="24"/>
      <c r="F4532" s="24"/>
      <c r="G4532" s="24"/>
      <c r="H4532" s="24"/>
      <c r="I4532" s="24"/>
      <c r="J4532" s="24"/>
      <c r="K4532" s="24"/>
    </row>
    <row r="4533" customFormat="false" ht="15" hidden="false" customHeight="false" outlineLevel="0" collapsed="false">
      <c r="A4533" s="5" t="s">
        <v>457</v>
      </c>
      <c r="C4533" s="20" t="n">
        <f aca="false">IF(C4513&gt;0,Assumptions!$C$17,C4508)</f>
        <v>1</v>
      </c>
    </row>
    <row r="4534" customFormat="false" ht="15" hidden="false" customHeight="false" outlineLevel="0" collapsed="false">
      <c r="A4534" s="5" t="s">
        <v>458</v>
      </c>
      <c r="C4534" s="20" t="n">
        <f aca="false">IF(C4514&gt;0,Assumptions!$C$17,C4509)</f>
        <v>2</v>
      </c>
    </row>
    <row r="4535" customFormat="false" ht="15" hidden="false" customHeight="false" outlineLevel="0" collapsed="false">
      <c r="A4535" s="5" t="s">
        <v>459</v>
      </c>
      <c r="C4535" s="20" t="n">
        <f aca="false">IF(C4515&gt;0,Assumptions!$C$17,C4510)</f>
        <v>3</v>
      </c>
    </row>
    <row r="4536" customFormat="false" ht="15" hidden="false" customHeight="false" outlineLevel="0" collapsed="false">
      <c r="A4536" s="5" t="s">
        <v>460</v>
      </c>
      <c r="C4536" s="20" t="n">
        <f aca="false">IF(C4516&gt;0,Assumptions!$C$17,C4511)</f>
        <v>4</v>
      </c>
    </row>
    <row r="4537" customFormat="false" ht="15" hidden="false" customHeight="false" outlineLevel="0" collapsed="false">
      <c r="A4537" s="23" t="s">
        <v>467</v>
      </c>
      <c r="B4537" s="24"/>
      <c r="C4537" s="24"/>
      <c r="D4537" s="24"/>
      <c r="E4537" s="24"/>
      <c r="F4537" s="24"/>
      <c r="G4537" s="24"/>
      <c r="H4537" s="24"/>
      <c r="I4537" s="24"/>
      <c r="J4537" s="24"/>
      <c r="K4537" s="24"/>
    </row>
    <row r="4538" customFormat="false" ht="15" hidden="false" customHeight="false" outlineLevel="0" collapsed="false">
      <c r="A4538" s="5" t="s">
        <v>457</v>
      </c>
      <c r="C4538" s="25" t="n">
        <f aca="false">SUMPRODUCT(($C$4533:$C$4536&lt;C4533)*$C$4528:$C$4531)</f>
        <v>0</v>
      </c>
    </row>
    <row r="4539" customFormat="false" ht="15" hidden="false" customHeight="false" outlineLevel="0" collapsed="false">
      <c r="A4539" s="5" t="s">
        <v>458</v>
      </c>
      <c r="C4539" s="25" t="n">
        <f aca="false">SUMPRODUCT(($C$4533:$C$4536&lt;C4534)*$C$4528:$C$4531)</f>
        <v>127.7848</v>
      </c>
    </row>
    <row r="4540" customFormat="false" ht="15" hidden="false" customHeight="false" outlineLevel="0" collapsed="false">
      <c r="A4540" s="5" t="s">
        <v>459</v>
      </c>
      <c r="C4540" s="25" t="n">
        <f aca="false">SUMPRODUCT(($C$4533:$C$4536&lt;C4535)*$C$4528:$C$4531)</f>
        <v>637.3848</v>
      </c>
    </row>
    <row r="4541" customFormat="false" ht="15" hidden="false" customHeight="false" outlineLevel="0" collapsed="false">
      <c r="A4541" s="5" t="s">
        <v>460</v>
      </c>
      <c r="C4541" s="25" t="n">
        <f aca="false">SUMPRODUCT(($C$4533:$C$4536&lt;C4536)*$C$4528:$C$4531)</f>
        <v>887.3848</v>
      </c>
    </row>
    <row r="4542" customFormat="false" ht="15" hidden="false" customHeight="false" outlineLevel="0" collapsed="false">
      <c r="A4542" s="23" t="s">
        <v>468</v>
      </c>
      <c r="B4542" s="24"/>
      <c r="C4542" s="24"/>
      <c r="D4542" s="24"/>
      <c r="E4542" s="24"/>
      <c r="F4542" s="24"/>
      <c r="G4542" s="24"/>
      <c r="H4542" s="24"/>
      <c r="I4542" s="24"/>
      <c r="J4542" s="24"/>
      <c r="K4542" s="24"/>
    </row>
    <row r="4543" customFormat="false" ht="15" hidden="false" customHeight="false" outlineLevel="0" collapsed="false">
      <c r="A4543" s="5" t="s">
        <v>457</v>
      </c>
      <c r="C4543" s="25" t="n">
        <f aca="false">SUMPRODUCT(($C$4533:$C$4536=C4533)*$C$4528:$C$4531)</f>
        <v>127.7848</v>
      </c>
    </row>
    <row r="4544" customFormat="false" ht="15" hidden="false" customHeight="false" outlineLevel="0" collapsed="false">
      <c r="A4544" s="5" t="s">
        <v>458</v>
      </c>
      <c r="C4544" s="25" t="n">
        <f aca="false">SUMPRODUCT(($C$4533:$C$4536=C4534)*$C$4528:$C$4531)</f>
        <v>509.6</v>
      </c>
    </row>
    <row r="4545" customFormat="false" ht="15" hidden="false" customHeight="false" outlineLevel="0" collapsed="false">
      <c r="A4545" s="5" t="s">
        <v>459</v>
      </c>
      <c r="C4545" s="25" t="n">
        <f aca="false">SUMPRODUCT(($C$4533:$C$4536=C4535)*$C$4528:$C$4531)</f>
        <v>250</v>
      </c>
    </row>
    <row r="4546" customFormat="false" ht="15" hidden="false" customHeight="false" outlineLevel="0" collapsed="false">
      <c r="A4546" s="5" t="s">
        <v>460</v>
      </c>
      <c r="C4546" s="25" t="n">
        <f aca="false">SUMPRODUCT(($C$4533:$C$4536=C4536)*$C$4528:$C$4531)</f>
        <v>300</v>
      </c>
    </row>
    <row r="4547" customFormat="false" ht="15" hidden="false" customHeight="false" outlineLevel="0" collapsed="false">
      <c r="A4547" s="23" t="s">
        <v>469</v>
      </c>
      <c r="B4547" s="24"/>
      <c r="C4547" s="24"/>
      <c r="D4547" s="24"/>
      <c r="E4547" s="24"/>
      <c r="F4547" s="24"/>
      <c r="G4547" s="24"/>
      <c r="H4547" s="24"/>
      <c r="I4547" s="24"/>
      <c r="J4547" s="24"/>
      <c r="K4547" s="24"/>
    </row>
    <row r="4548" customFormat="false" ht="15" hidden="false" customHeight="false" outlineLevel="0" collapsed="false">
      <c r="A4548" s="5" t="s">
        <v>457</v>
      </c>
      <c r="C4548" s="25" t="n">
        <f aca="false">IF(C4543=0,0,C4528/C4543*MAX(0,MIN(C4543,$C$4501-SUM($C$4518:$C$4521)-C4538)))</f>
        <v>127.7848</v>
      </c>
    </row>
    <row r="4549" customFormat="false" ht="15" hidden="false" customHeight="false" outlineLevel="0" collapsed="false">
      <c r="A4549" s="5" t="s">
        <v>458</v>
      </c>
      <c r="C4549" s="25" t="n">
        <f aca="false">IF(C4544=0,0,C4529/C4544*MAX(0,MIN(C4544,$C$4501-SUM($C$4518:$C$4521)-C4539)))</f>
        <v>509.6</v>
      </c>
    </row>
    <row r="4550" customFormat="false" ht="15" hidden="false" customHeight="false" outlineLevel="0" collapsed="false">
      <c r="A4550" s="5" t="s">
        <v>459</v>
      </c>
      <c r="C4550" s="25" t="n">
        <f aca="false">IF(C4545=0,0,C4530/C4545*MAX(0,MIN(C4545,$C$4501-SUM($C$4518:$C$4521)-C4540)))</f>
        <v>32.4629519999999</v>
      </c>
    </row>
    <row r="4551" customFormat="false" ht="15" hidden="false" customHeight="false" outlineLevel="0" collapsed="false">
      <c r="A4551" s="5" t="s">
        <v>460</v>
      </c>
      <c r="C4551" s="25" t="n">
        <f aca="false">IF(C4546=0,0,C4531/C4546*MAX(0,MIN(C4546,$C$4501-SUM($C$4518:$C$4521)-C4541)))</f>
        <v>0</v>
      </c>
    </row>
    <row r="4552" customFormat="false" ht="15" hidden="false" customHeight="false" outlineLevel="0" collapsed="false">
      <c r="A4552" s="23" t="s">
        <v>470</v>
      </c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</row>
    <row r="4553" customFormat="false" ht="15" hidden="false" customHeight="false" outlineLevel="0" collapsed="false">
      <c r="A4553" s="2" t="s">
        <v>457</v>
      </c>
      <c r="C4553" s="16" t="n">
        <f aca="false">C4518+C4548</f>
        <v>127.7848</v>
      </c>
    </row>
    <row r="4554" customFormat="false" ht="15" hidden="false" customHeight="false" outlineLevel="0" collapsed="false">
      <c r="A4554" s="2" t="s">
        <v>458</v>
      </c>
      <c r="C4554" s="16" t="n">
        <f aca="false">C4519+C4549</f>
        <v>509.6</v>
      </c>
    </row>
    <row r="4555" customFormat="false" ht="15" hidden="false" customHeight="false" outlineLevel="0" collapsed="false">
      <c r="A4555" s="2" t="s">
        <v>459</v>
      </c>
      <c r="C4555" s="16" t="n">
        <f aca="false">C4520+C4550</f>
        <v>32.4629519999999</v>
      </c>
    </row>
    <row r="4556" customFormat="false" ht="15" hidden="false" customHeight="false" outlineLevel="0" collapsed="false">
      <c r="A4556" s="2" t="s">
        <v>460</v>
      </c>
      <c r="C4556" s="16" t="n">
        <f aca="false">C4521+C4551</f>
        <v>0</v>
      </c>
    </row>
    <row r="4557" customFormat="false" ht="15" hidden="false" customHeight="false" outlineLevel="0" collapsed="false">
      <c r="A4557" s="23" t="s">
        <v>471</v>
      </c>
      <c r="B4557" s="24"/>
      <c r="C4557" s="24"/>
      <c r="D4557" s="24"/>
      <c r="E4557" s="24"/>
      <c r="F4557" s="24"/>
      <c r="G4557" s="24"/>
      <c r="H4557" s="24"/>
      <c r="I4557" s="24"/>
      <c r="J4557" s="24"/>
      <c r="K4557" s="24"/>
    </row>
    <row r="4558" customFormat="false" ht="15" hidden="false" customHeight="false" outlineLevel="0" collapsed="false">
      <c r="A4558" s="5" t="s">
        <v>457</v>
      </c>
      <c r="C4558" s="21" t="n">
        <f aca="false">IF(C4503=0,1,C4553/C4503)</f>
        <v>1</v>
      </c>
    </row>
    <row r="4559" customFormat="false" ht="15" hidden="false" customHeight="false" outlineLevel="0" collapsed="false">
      <c r="A4559" s="5" t="s">
        <v>458</v>
      </c>
      <c r="C4559" s="21" t="n">
        <f aca="false">IF(C4504=0,1,C4554/C4504)</f>
        <v>1</v>
      </c>
    </row>
    <row r="4560" customFormat="false" ht="15" hidden="false" customHeight="false" outlineLevel="0" collapsed="false">
      <c r="A4560" s="5" t="s">
        <v>459</v>
      </c>
      <c r="C4560" s="21" t="n">
        <f aca="false">IF(C4505=0,1,C4555/C4505)</f>
        <v>0.129851807999999</v>
      </c>
    </row>
    <row r="4561" customFormat="false" ht="15" hidden="false" customHeight="false" outlineLevel="0" collapsed="false">
      <c r="A4561" s="5" t="s">
        <v>460</v>
      </c>
      <c r="C4561" s="21" t="n">
        <f aca="false">IF(C4506=0,1,C4556/C4506)</f>
        <v>0</v>
      </c>
    </row>
    <row r="4562" customFormat="false" ht="15" hidden="false" customHeight="false" outlineLevel="0" collapsed="false">
      <c r="A4562" s="23" t="s">
        <v>472</v>
      </c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</row>
    <row r="4563" customFormat="false" ht="15" hidden="false" customHeight="false" outlineLevel="0" collapsed="false">
      <c r="A4563" s="5" t="s">
        <v>457</v>
      </c>
      <c r="C4563" s="25" t="n">
        <f aca="false">C4503-C4553</f>
        <v>0</v>
      </c>
    </row>
    <row r="4564" customFormat="false" ht="15" hidden="false" customHeight="false" outlineLevel="0" collapsed="false">
      <c r="A4564" s="5" t="s">
        <v>458</v>
      </c>
      <c r="C4564" s="25" t="n">
        <f aca="false">C4504-C4554</f>
        <v>0</v>
      </c>
    </row>
    <row r="4565" customFormat="false" ht="15" hidden="false" customHeight="false" outlineLevel="0" collapsed="false">
      <c r="A4565" s="5" t="s">
        <v>459</v>
      </c>
      <c r="C4565" s="25" t="n">
        <f aca="false">C4505-C4555</f>
        <v>217.537048</v>
      </c>
    </row>
    <row r="4566" customFormat="false" ht="15" hidden="false" customHeight="false" outlineLevel="0" collapsed="false">
      <c r="A4566" s="5" t="s">
        <v>460</v>
      </c>
      <c r="C4566" s="25" t="n">
        <f aca="false">C4506-C4556</f>
        <v>300</v>
      </c>
    </row>
    <row r="4567" customFormat="false" ht="15" hidden="false" customHeight="false" outlineLevel="0" collapsed="false">
      <c r="A4567" s="23" t="s">
        <v>473</v>
      </c>
      <c r="B4567" s="24"/>
      <c r="C4567" s="24"/>
      <c r="D4567" s="24"/>
      <c r="E4567" s="24"/>
      <c r="F4567" s="24"/>
      <c r="G4567" s="24"/>
      <c r="H4567" s="24"/>
      <c r="I4567" s="24"/>
      <c r="J4567" s="24"/>
      <c r="K4567" s="24"/>
    </row>
    <row r="4568" customFormat="false" ht="15" hidden="false" customHeight="false" outlineLevel="0" collapsed="false">
      <c r="A4568" s="5" t="s">
        <v>457</v>
      </c>
      <c r="C4568" s="21" t="n">
        <f aca="false">IF(C4503=0,0,C4563/C4503)</f>
        <v>0</v>
      </c>
    </row>
    <row r="4569" customFormat="false" ht="15" hidden="false" customHeight="false" outlineLevel="0" collapsed="false">
      <c r="A4569" s="5" t="s">
        <v>458</v>
      </c>
      <c r="C4569" s="21" t="n">
        <f aca="false">IF(C4504=0,0,C4564/C4504)</f>
        <v>0</v>
      </c>
    </row>
    <row r="4570" customFormat="false" ht="15" hidden="false" customHeight="false" outlineLevel="0" collapsed="false">
      <c r="A4570" s="5" t="s">
        <v>459</v>
      </c>
      <c r="C4570" s="21" t="n">
        <f aca="false">IF(C4505=0,0,C4565/C4505)</f>
        <v>0.870148192000001</v>
      </c>
    </row>
    <row r="4571" customFormat="false" ht="15" hidden="false" customHeight="false" outlineLevel="0" collapsed="false">
      <c r="A4571" s="5" t="s">
        <v>460</v>
      </c>
      <c r="C4571" s="21" t="n">
        <f aca="false">IF(C4506=0,0,C4566/C4506)</f>
        <v>1</v>
      </c>
    </row>
    <row r="4572" customFormat="false" ht="15" hidden="false" customHeight="false" outlineLevel="0" collapsed="false">
      <c r="A4572" s="2" t="s">
        <v>474</v>
      </c>
      <c r="C4572" s="16" t="n">
        <f aca="false">MAX(0,$C$4501-SUM($C$4518:$C$4521)-SUM($C$4528:$C$4531))</f>
        <v>0</v>
      </c>
    </row>
    <row r="4573" customFormat="false" ht="15" hidden="false" customHeight="false" outlineLevel="0" collapsed="false">
      <c r="A4573" s="5" t="s">
        <v>492</v>
      </c>
      <c r="C4573" s="33" t="n">
        <f aca="false">MIN(C4500,100*CHOOSE(C4490,C4558,C4559,C4560,C4561))</f>
        <v>90</v>
      </c>
    </row>
    <row r="4574" customFormat="false" ht="15" hidden="false" customHeight="false" outlineLevel="0" collapsed="false">
      <c r="A4574" s="5" t="s">
        <v>493</v>
      </c>
      <c r="C4574" s="20" t="n">
        <f aca="false">IF(C4406=1,C4495+Assumptions!$C$36,C4494)</f>
        <v>3</v>
      </c>
    </row>
    <row r="4575" customFormat="false" ht="15" hidden="false" customHeight="false" outlineLevel="0" collapsed="false">
      <c r="A4575" s="23" t="s">
        <v>494</v>
      </c>
      <c r="B4575" s="24"/>
      <c r="C4575" s="24"/>
      <c r="D4575" s="24"/>
      <c r="E4575" s="24"/>
      <c r="F4575" s="24"/>
      <c r="G4575" s="24"/>
      <c r="H4575" s="24"/>
      <c r="I4575" s="24"/>
      <c r="J4575" s="24"/>
      <c r="K4575" s="24"/>
    </row>
    <row r="4576" customFormat="false" ht="15" hidden="false" customHeight="false" outlineLevel="0" collapsed="false">
      <c r="A4576" s="5" t="s">
        <v>495</v>
      </c>
      <c r="C4576" s="20" t="n">
        <f aca="false">COLUMN()-COLUMN($C$1)</f>
        <v>0</v>
      </c>
      <c r="D4576" s="20" t="n">
        <f aca="false">COLUMN()-COLUMN($C$1)</f>
        <v>1</v>
      </c>
      <c r="E4576" s="20" t="n">
        <f aca="false">COLUMN()-COLUMN($C$1)</f>
        <v>2</v>
      </c>
      <c r="F4576" s="20" t="n">
        <f aca="false">COLUMN()-COLUMN($C$1)</f>
        <v>3</v>
      </c>
      <c r="G4576" s="20" t="n">
        <f aca="false">COLUMN()-COLUMN($C$1)</f>
        <v>4</v>
      </c>
      <c r="H4576" s="20" t="n">
        <f aca="false">COLUMN()-COLUMN($C$1)</f>
        <v>5</v>
      </c>
      <c r="I4576" s="20" t="n">
        <f aca="false">COLUMN()-COLUMN($C$1)</f>
        <v>6</v>
      </c>
    </row>
    <row r="4577" customFormat="false" ht="15" hidden="false" customHeight="false" outlineLevel="0" collapsed="false">
      <c r="A4577" s="5" t="s">
        <v>496</v>
      </c>
      <c r="D4577" s="30" t="n">
        <f aca="false">CHOOSE($C$4490,G4288,G4301,G4314,G4327)</f>
        <v>0.118</v>
      </c>
      <c r="E4577" s="30" t="n">
        <f aca="false">CHOOSE($C$4490,H4288,H4301,H4314,H4327)</f>
        <v>0.1155</v>
      </c>
      <c r="F4577" s="30" t="n">
        <f aca="false">CHOOSE($C$4490,I4288,I4301,I4314,I4327)</f>
        <v>0.113</v>
      </c>
      <c r="G4577" s="30" t="n">
        <f aca="false">CHOOSE($C$4490,J4288,J4301,J4314,J4327)</f>
        <v>0.113</v>
      </c>
      <c r="H4577" s="30" t="n">
        <f aca="false">CHOOSE($C$4490,K4288,K4301,K4314,K4327)</f>
        <v>0.113</v>
      </c>
    </row>
    <row r="4578" customFormat="false" ht="15" hidden="false" customHeight="false" outlineLevel="0" collapsed="false">
      <c r="A4578" s="5" t="s">
        <v>497</v>
      </c>
      <c r="D4578" s="25" t="n">
        <f aca="false">IF(D4576&lt;=$C$4499,$C$4491*D4577,0)</f>
        <v>11.8</v>
      </c>
      <c r="E4578" s="25" t="n">
        <f aca="false">IF(E4576&lt;=$C$4499,$C$4491*E4577,0)</f>
        <v>11.55</v>
      </c>
      <c r="F4578" s="25" t="n">
        <f aca="false">IF(F4576&lt;=$C$4499,$C$4491*F4577,0)</f>
        <v>0</v>
      </c>
      <c r="G4578" s="25" t="n">
        <f aca="false">IF(G4576&lt;=$C$4499,$C$4491*G4577,0)</f>
        <v>0</v>
      </c>
      <c r="H4578" s="25" t="n">
        <f aca="false">IF(H4576&lt;=$C$4499,$C$4491*H4577,0)</f>
        <v>0</v>
      </c>
    </row>
    <row r="4579" customFormat="false" ht="15" hidden="false" customHeight="false" outlineLevel="0" collapsed="false">
      <c r="A4579" s="5" t="s">
        <v>498</v>
      </c>
      <c r="D4579" s="25" t="n">
        <f aca="false">IF(AND($C$4406=0,D4576=$C$4494),$C$4491*$C$4573/100,0)+IF(AND($C$4406=1,D4576=$C$4574),$C$4497,0)</f>
        <v>0</v>
      </c>
      <c r="E4579" s="25" t="n">
        <f aca="false">IF(AND($C$4406=0,E4576=$C$4494),$C$4491*$C$4573/100,0)+IF(AND($C$4406=1,E4576=$C$4574),$C$4497,0)</f>
        <v>0</v>
      </c>
      <c r="F4579" s="25" t="n">
        <f aca="false">IF(AND($C$4406=0,F4576=$C$4494),$C$4491*$C$4573/100,0)+IF(AND($C$4406=1,F4576=$C$4574),$C$4497,0)</f>
        <v>75.2573730054945</v>
      </c>
      <c r="G4579" s="25" t="n">
        <f aca="false">IF(AND($C$4406=0,G4576=$C$4494),$C$4491*$C$4573/100,0)+IF(AND($C$4406=1,G4576=$C$4574),$C$4497,0)</f>
        <v>0</v>
      </c>
      <c r="H4579" s="25" t="n">
        <f aca="false">IF(AND($C$4406=0,H4576=$C$4494),$C$4491*$C$4573/100,0)+IF(AND($C$4406=1,H4576=$C$4574),$C$4497,0)</f>
        <v>0</v>
      </c>
      <c r="I4579" s="25" t="n">
        <f aca="false">IF(AND($C$4406=0,I4576=$C$4494),$C$4491*$C$4573/100,0)+IF(AND($C$4406=1,I4576=$C$4574),$C$4497,0)</f>
        <v>0</v>
      </c>
    </row>
    <row r="4580" customFormat="false" ht="15" hidden="false" customHeight="false" outlineLevel="0" collapsed="false">
      <c r="A4580" s="2" t="s">
        <v>499</v>
      </c>
      <c r="C4580" s="16" t="n">
        <f aca="false">-$C$4493</f>
        <v>-78.39</v>
      </c>
      <c r="D4580" s="16" t="n">
        <f aca="false">D4578+D4579</f>
        <v>11.8</v>
      </c>
      <c r="E4580" s="16" t="n">
        <f aca="false">E4578+E4579</f>
        <v>11.55</v>
      </c>
      <c r="F4580" s="16" t="n">
        <f aca="false">F4578+F4579</f>
        <v>75.2573730054945</v>
      </c>
      <c r="G4580" s="16" t="n">
        <f aca="false">G4578+G4579</f>
        <v>0</v>
      </c>
      <c r="H4580" s="16" t="n">
        <f aca="false">H4578+H4579</f>
        <v>0</v>
      </c>
      <c r="I4580" s="16" t="n">
        <f aca="false">I4578+I4579</f>
        <v>0</v>
      </c>
    </row>
    <row r="4581" customFormat="false" ht="15" hidden="false" customHeight="false" outlineLevel="0" collapsed="false">
      <c r="A4581" s="5" t="s">
        <v>500</v>
      </c>
      <c r="C4581" s="25" t="n">
        <f aca="false">SUM($C$4578:$I$4578)</f>
        <v>23.35</v>
      </c>
    </row>
    <row r="4582" customFormat="false" ht="15" hidden="false" customHeight="false" outlineLevel="0" collapsed="false">
      <c r="A4582" s="5" t="s">
        <v>501</v>
      </c>
      <c r="C4582" s="25" t="n">
        <f aca="false">SUM($C$4579:$I$4579)</f>
        <v>75.2573730054945</v>
      </c>
    </row>
    <row r="4583" customFormat="false" ht="15" hidden="false" customHeight="false" outlineLevel="0" collapsed="false">
      <c r="A4583" s="5" t="s">
        <v>502</v>
      </c>
      <c r="C4583" s="25" t="n">
        <f aca="false">C4581+C4582</f>
        <v>98.6073730054945</v>
      </c>
    </row>
    <row r="4584" customFormat="false" ht="15" hidden="false" customHeight="false" outlineLevel="0" collapsed="false">
      <c r="A4584" s="5" t="s">
        <v>503</v>
      </c>
      <c r="C4584" s="25" t="n">
        <f aca="false">C4582-C4491*C4492/100</f>
        <v>-2.74262699450551</v>
      </c>
    </row>
    <row r="4585" customFormat="false" ht="15" hidden="false" customHeight="false" outlineLevel="0" collapsed="false">
      <c r="A4585" s="5" t="s">
        <v>504</v>
      </c>
      <c r="C4585" s="25" t="n">
        <f aca="false">C4583-C4493</f>
        <v>20.2173730054945</v>
      </c>
    </row>
    <row r="4586" customFormat="false" ht="15" hidden="false" customHeight="false" outlineLevel="0" collapsed="false">
      <c r="A4586" s="2" t="s">
        <v>385</v>
      </c>
      <c r="C4586" s="43" t="n">
        <f aca="false">C4583/C4493</f>
        <v>1.25790755205376</v>
      </c>
    </row>
    <row r="4587" customFormat="false" ht="15" hidden="false" customHeight="false" outlineLevel="0" collapsed="false">
      <c r="A4587" s="2" t="s">
        <v>384</v>
      </c>
      <c r="C4587" s="41" t="n">
        <f aca="false">IF(C4583&lt;=0,-1,IFERROR(IRR($C$4580:$I$4580,MAX(-0.9,C4586^(1/C4574)-1)),IRR($C$4580:$I$4580,0.1)))</f>
        <v>0.0914398067262669</v>
      </c>
    </row>
    <row r="4588" customFormat="false" ht="15" hidden="false" customHeight="false" outlineLevel="0" collapsed="false">
      <c r="A4588" s="5" t="s">
        <v>505</v>
      </c>
      <c r="C4588" s="31" t="n">
        <f aca="false">MAX($G$4382:$K$4382)</f>
        <v>9.06894187203304</v>
      </c>
    </row>
    <row r="4589" customFormat="false" ht="15" hidden="false" customHeight="false" outlineLevel="0" collapsed="false">
      <c r="A4589" s="5" t="s">
        <v>506</v>
      </c>
      <c r="C4589" s="31" t="n">
        <f aca="false">MIN($G$4383:$K$4383)</f>
        <v>1.09769535902349</v>
      </c>
    </row>
    <row r="4590" customFormat="false" ht="15" hidden="false" customHeight="false" outlineLevel="0" collapsed="false">
      <c r="A4590" s="5" t="s">
        <v>507</v>
      </c>
      <c r="C4590" s="25" t="n">
        <f aca="false">SUM($G$4272:$K$4272)</f>
        <v>-23.2441072268326</v>
      </c>
    </row>
    <row r="4594" customFormat="false" ht="15" hidden="false" customHeight="false" outlineLevel="0" collapsed="false">
      <c r="A4594" s="9" t="s">
        <v>639</v>
      </c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</row>
    <row r="4595" customFormat="false" ht="15" hidden="false" customHeight="false" outlineLevel="0" collapsed="false">
      <c r="A4595" s="5" t="s">
        <v>622</v>
      </c>
      <c r="C4595" s="11" t="n">
        <v>3</v>
      </c>
    </row>
    <row r="4596" customFormat="false" ht="15" hidden="false" customHeight="false" outlineLevel="0" collapsed="false">
      <c r="A4596" s="5" t="s">
        <v>623</v>
      </c>
      <c r="C4596" s="18" t="n">
        <v>0</v>
      </c>
    </row>
    <row r="4597" customFormat="false" ht="15" hidden="false" customHeight="false" outlineLevel="0" collapsed="false">
      <c r="A4597" s="5" t="s">
        <v>624</v>
      </c>
      <c r="C4597" s="29" t="n">
        <f aca="false">Sensitivities!$A$30</f>
        <v>-0.04</v>
      </c>
    </row>
    <row r="4598" customFormat="false" ht="15" hidden="false" customHeight="false" outlineLevel="0" collapsed="false">
      <c r="A4598" s="5" t="s">
        <v>625</v>
      </c>
      <c r="C4598" s="18" t="n">
        <v>0</v>
      </c>
    </row>
    <row r="4599" customFormat="false" ht="15" hidden="false" customHeight="false" outlineLevel="0" collapsed="false">
      <c r="A4599" s="5" t="s">
        <v>626</v>
      </c>
      <c r="C4599" s="15" t="n">
        <v>0</v>
      </c>
    </row>
    <row r="4601" customFormat="false" ht="15" hidden="false" customHeight="false" outlineLevel="0" collapsed="false">
      <c r="A4601" s="23" t="s">
        <v>237</v>
      </c>
      <c r="B4601" s="24"/>
      <c r="C4601" s="24"/>
      <c r="D4601" s="24"/>
      <c r="E4601" s="24"/>
      <c r="F4601" s="24"/>
      <c r="G4601" s="24"/>
      <c r="H4601" s="24"/>
      <c r="I4601" s="24"/>
      <c r="J4601" s="24"/>
      <c r="K4601" s="24"/>
    </row>
    <row r="4602" customFormat="false" ht="15" hidden="false" customHeight="false" outlineLevel="0" collapsed="false">
      <c r="A4602" s="5" t="s">
        <v>238</v>
      </c>
      <c r="F4602" s="26" t="n">
        <f aca="false">Assumptions!$C$6</f>
        <v>2025</v>
      </c>
      <c r="G4602" s="20" t="n">
        <f aca="false">F4602+1</f>
        <v>2026</v>
      </c>
      <c r="H4602" s="20" t="n">
        <f aca="false">G4602+1</f>
        <v>2027</v>
      </c>
      <c r="I4602" s="20" t="n">
        <f aca="false">H4602+1</f>
        <v>2028</v>
      </c>
      <c r="J4602" s="20" t="n">
        <f aca="false">I4602+1</f>
        <v>2029</v>
      </c>
      <c r="K4602" s="20" t="n">
        <f aca="false">J4602+1</f>
        <v>2030</v>
      </c>
    </row>
    <row r="4603" customFormat="false" ht="15" hidden="false" customHeight="false" outlineLevel="0" collapsed="false">
      <c r="A4603" s="5" t="s">
        <v>239</v>
      </c>
      <c r="G4603" s="20" t="n">
        <f aca="false">G4602-Assumptions!$C$6</f>
        <v>1</v>
      </c>
      <c r="H4603" s="20" t="n">
        <f aca="false">H4602-Assumptions!$C$6</f>
        <v>2</v>
      </c>
      <c r="I4603" s="20" t="n">
        <f aca="false">I4602-Assumptions!$C$6</f>
        <v>3</v>
      </c>
      <c r="J4603" s="20" t="n">
        <f aca="false">J4602-Assumptions!$C$6</f>
        <v>4</v>
      </c>
      <c r="K4603" s="20" t="n">
        <f aca="false">K4602-Assumptions!$C$6</f>
        <v>5</v>
      </c>
    </row>
    <row r="4604" customFormat="false" ht="15" hidden="false" customHeight="false" outlineLevel="0" collapsed="false">
      <c r="A4604" s="5" t="s">
        <v>149</v>
      </c>
      <c r="G4604" s="21" t="n">
        <f aca="false">CHOOSE($C$4595,Assumptions!$G$65,Assumptions!$G$84,Assumptions!$G$103)+$C$4596</f>
        <v>-0.234</v>
      </c>
      <c r="H4604" s="21" t="n">
        <f aca="false">CHOOSE($C$4595,Assumptions!$H$65,Assumptions!$H$84,Assumptions!$H$103)+$C$4596</f>
        <v>-0.13</v>
      </c>
      <c r="I4604" s="21" t="n">
        <f aca="false">CHOOSE($C$4595,Assumptions!$I$65,Assumptions!$I$84,Assumptions!$I$103)+$C$4596</f>
        <v>-0.026</v>
      </c>
      <c r="J4604" s="21" t="n">
        <f aca="false">CHOOSE($C$4595,Assumptions!$J$65,Assumptions!$J$84,Assumptions!$J$103)+$C$4596</f>
        <v>-0.01</v>
      </c>
      <c r="K4604" s="21" t="n">
        <f aca="false">CHOOSE($C$4595,Assumptions!$K$65,Assumptions!$K$84,Assumptions!$K$103)+$C$4596</f>
        <v>-0.01</v>
      </c>
    </row>
    <row r="4605" customFormat="false" ht="15" hidden="false" customHeight="false" outlineLevel="0" collapsed="false">
      <c r="A4605" s="5" t="s">
        <v>150</v>
      </c>
      <c r="G4605" s="21" t="n">
        <f aca="false">CHOOSE($C$4595,Assumptions!$G$66,Assumptions!$G$85,Assumptions!$G$104)</f>
        <v>0.305</v>
      </c>
      <c r="H4605" s="21" t="n">
        <f aca="false">CHOOSE($C$4595,Assumptions!$H$66,Assumptions!$H$85,Assumptions!$H$104)</f>
        <v>0.305</v>
      </c>
      <c r="I4605" s="21" t="n">
        <f aca="false">CHOOSE($C$4595,Assumptions!$I$66,Assumptions!$I$85,Assumptions!$I$104)</f>
        <v>0.305</v>
      </c>
      <c r="J4605" s="21" t="n">
        <f aca="false">CHOOSE($C$4595,Assumptions!$J$66,Assumptions!$J$85,Assumptions!$J$104)</f>
        <v>0.305</v>
      </c>
      <c r="K4605" s="21" t="n">
        <f aca="false">CHOOSE($C$4595,Assumptions!$K$66,Assumptions!$K$85,Assumptions!$K$104)</f>
        <v>0.305</v>
      </c>
    </row>
    <row r="4606" customFormat="false" ht="15" hidden="false" customHeight="false" outlineLevel="0" collapsed="false">
      <c r="A4606" s="5" t="s">
        <v>151</v>
      </c>
      <c r="G4606" s="21" t="n">
        <f aca="false">CHOOSE($C$4595,Assumptions!$G$67,Assumptions!$G$86,Assumptions!$G$105)+$C$4597</f>
        <v>-0.03</v>
      </c>
      <c r="H4606" s="21" t="n">
        <f aca="false">CHOOSE($C$4595,Assumptions!$H$67,Assumptions!$H$86,Assumptions!$H$105)+$C$4597</f>
        <v>-0.03</v>
      </c>
      <c r="I4606" s="21" t="n">
        <f aca="false">CHOOSE($C$4595,Assumptions!$I$67,Assumptions!$I$86,Assumptions!$I$105)+$C$4597</f>
        <v>-0.03</v>
      </c>
      <c r="J4606" s="21" t="n">
        <f aca="false">CHOOSE($C$4595,Assumptions!$J$67,Assumptions!$J$86,Assumptions!$J$105)+$C$4597</f>
        <v>-0.03</v>
      </c>
      <c r="K4606" s="21" t="n">
        <f aca="false">CHOOSE($C$4595,Assumptions!$K$67,Assumptions!$K$86,Assumptions!$K$105)+$C$4597</f>
        <v>-0.03</v>
      </c>
    </row>
    <row r="4607" customFormat="false" ht="15" hidden="false" customHeight="false" outlineLevel="0" collapsed="false">
      <c r="A4607" s="23" t="s">
        <v>240</v>
      </c>
      <c r="B4607" s="24"/>
      <c r="C4607" s="24"/>
      <c r="D4607" s="24"/>
      <c r="E4607" s="24"/>
      <c r="F4607" s="24"/>
      <c r="G4607" s="24"/>
      <c r="H4607" s="24"/>
      <c r="I4607" s="24"/>
      <c r="J4607" s="24"/>
      <c r="K4607" s="24"/>
    </row>
    <row r="4608" customFormat="false" ht="15" hidden="false" customHeight="false" outlineLevel="0" collapsed="false">
      <c r="A4608" s="2" t="s">
        <v>207</v>
      </c>
      <c r="F4608" s="27" t="n">
        <f aca="false">'Historical Financials'!E17</f>
        <v>2400</v>
      </c>
      <c r="G4608" s="16" t="n">
        <f aca="false">F4608*(1+G4604)</f>
        <v>1838.4</v>
      </c>
      <c r="H4608" s="16" t="n">
        <f aca="false">G4608*(1+H4604)</f>
        <v>1599.408</v>
      </c>
      <c r="I4608" s="16" t="n">
        <f aca="false">H4608*(1+I4604)</f>
        <v>1557.823392</v>
      </c>
      <c r="J4608" s="16" t="n">
        <f aca="false">I4608*(1+J4604)</f>
        <v>1542.24515808</v>
      </c>
      <c r="K4608" s="16" t="n">
        <f aca="false">J4608*(1+K4604)</f>
        <v>1526.8227064992</v>
      </c>
    </row>
    <row r="4609" customFormat="false" ht="15" hidden="false" customHeight="false" outlineLevel="0" collapsed="false">
      <c r="A4609" s="5" t="s">
        <v>217</v>
      </c>
      <c r="G4609" s="25" t="n">
        <f aca="false">G4608*(1-G4605)</f>
        <v>1277.688</v>
      </c>
      <c r="H4609" s="25" t="n">
        <f aca="false">H4608*(1-H4605)</f>
        <v>1111.58856</v>
      </c>
      <c r="I4609" s="25" t="n">
        <f aca="false">I4608*(1-I4605)</f>
        <v>1082.68725744</v>
      </c>
      <c r="J4609" s="25" t="n">
        <f aca="false">J4608*(1-J4605)</f>
        <v>1071.8603848656</v>
      </c>
      <c r="K4609" s="25" t="n">
        <f aca="false">K4608*(1-K4605)</f>
        <v>1061.14178101694</v>
      </c>
    </row>
    <row r="4610" customFormat="false" ht="15" hidden="false" customHeight="false" outlineLevel="0" collapsed="false">
      <c r="A4610" s="2" t="s">
        <v>218</v>
      </c>
      <c r="G4610" s="16" t="n">
        <f aca="false">G4608-G4609</f>
        <v>560.712</v>
      </c>
      <c r="H4610" s="16" t="n">
        <f aca="false">H4608-H4609</f>
        <v>487.81944</v>
      </c>
      <c r="I4610" s="16" t="n">
        <f aca="false">I4608-I4609</f>
        <v>475.13613456</v>
      </c>
      <c r="J4610" s="16" t="n">
        <f aca="false">J4608-J4609</f>
        <v>470.3847732144</v>
      </c>
      <c r="K4610" s="16" t="n">
        <f aca="false">K4608-K4609</f>
        <v>465.680925482256</v>
      </c>
    </row>
    <row r="4611" customFormat="false" ht="15" hidden="false" customHeight="false" outlineLevel="0" collapsed="false">
      <c r="A4611" s="5" t="s">
        <v>241</v>
      </c>
      <c r="G4611" s="25" t="n">
        <f aca="false">G4610-G4612</f>
        <v>615.864</v>
      </c>
      <c r="H4611" s="25" t="n">
        <f aca="false">H4610-H4612</f>
        <v>535.80168</v>
      </c>
      <c r="I4611" s="25" t="n">
        <f aca="false">I4610-I4612</f>
        <v>521.87083632</v>
      </c>
      <c r="J4611" s="25" t="n">
        <f aca="false">J4610-J4612</f>
        <v>516.6521279568</v>
      </c>
      <c r="K4611" s="25" t="n">
        <f aca="false">K4610-K4612</f>
        <v>511.485606677232</v>
      </c>
    </row>
    <row r="4612" customFormat="false" ht="15" hidden="false" customHeight="false" outlineLevel="0" collapsed="false">
      <c r="A4612" s="2" t="s">
        <v>242</v>
      </c>
      <c r="G4612" s="16" t="n">
        <f aca="false">G4608*G4606</f>
        <v>-55.152</v>
      </c>
      <c r="H4612" s="16" t="n">
        <f aca="false">H4608*H4606</f>
        <v>-47.98224</v>
      </c>
      <c r="I4612" s="16" t="n">
        <f aca="false">I4608*I4606</f>
        <v>-46.73470176</v>
      </c>
      <c r="J4612" s="16" t="n">
        <f aca="false">J4608*J4606</f>
        <v>-46.2673547424</v>
      </c>
      <c r="K4612" s="16" t="n">
        <f aca="false">K4608*K4606</f>
        <v>-45.804681194976</v>
      </c>
    </row>
    <row r="4613" customFormat="false" ht="15" hidden="false" customHeight="false" outlineLevel="0" collapsed="false">
      <c r="A4613" s="5" t="s">
        <v>243</v>
      </c>
      <c r="G4613" s="25" t="n">
        <f aca="false">G4608*'Historical Financials'!E22/'Historical Financials'!E17</f>
        <v>40.4448</v>
      </c>
      <c r="H4613" s="25" t="n">
        <f aca="false">H4608*'Historical Financials'!E22/'Historical Financials'!E17</f>
        <v>35.186976</v>
      </c>
      <c r="I4613" s="25" t="n">
        <f aca="false">I4608*'Historical Financials'!E22/'Historical Financials'!E17</f>
        <v>34.272114624</v>
      </c>
      <c r="J4613" s="25" t="n">
        <f aca="false">J4608*'Historical Financials'!E22/'Historical Financials'!E17</f>
        <v>33.92939347776</v>
      </c>
      <c r="K4613" s="25" t="n">
        <f aca="false">K4608*'Historical Financials'!E22/'Historical Financials'!E17</f>
        <v>33.5900995429824</v>
      </c>
    </row>
    <row r="4614" customFormat="false" ht="15" hidden="false" customHeight="false" outlineLevel="0" collapsed="false">
      <c r="A4614" s="5" t="s">
        <v>244</v>
      </c>
      <c r="G4614" s="25" t="n">
        <f aca="false">G4608*'Historical Financials'!E23/'Historical Financials'!E17</f>
        <v>0</v>
      </c>
      <c r="H4614" s="25" t="n">
        <f aca="false">H4608*'Historical Financials'!E23/'Historical Financials'!E17</f>
        <v>0</v>
      </c>
      <c r="I4614" s="25" t="n">
        <f aca="false">I4608*'Historical Financials'!E23/'Historical Financials'!E17</f>
        <v>0</v>
      </c>
      <c r="J4614" s="25" t="n">
        <f aca="false">J4608*'Historical Financials'!E23/'Historical Financials'!E17</f>
        <v>0</v>
      </c>
      <c r="K4614" s="25" t="n">
        <f aca="false">K4608*'Historical Financials'!E23/'Historical Financials'!E17</f>
        <v>0</v>
      </c>
    </row>
    <row r="4615" customFormat="false" ht="15" hidden="false" customHeight="false" outlineLevel="0" collapsed="false">
      <c r="A4615" s="2" t="s">
        <v>245</v>
      </c>
      <c r="G4615" s="16" t="n">
        <f aca="false">G4612-G4613-G4614</f>
        <v>-95.5968</v>
      </c>
      <c r="H4615" s="16" t="n">
        <f aca="false">H4612-H4613-H4614</f>
        <v>-83.169216</v>
      </c>
      <c r="I4615" s="16" t="n">
        <f aca="false">I4612-I4613-I4614</f>
        <v>-81.006816384</v>
      </c>
      <c r="J4615" s="16" t="n">
        <f aca="false">J4612-J4613-J4614</f>
        <v>-80.19674822016</v>
      </c>
      <c r="K4615" s="16" t="n">
        <f aca="false">K4612-K4613-K4614</f>
        <v>-79.3947807379584</v>
      </c>
    </row>
    <row r="4616" customFormat="false" ht="15" hidden="false" customHeight="false" outlineLevel="0" collapsed="false">
      <c r="A4616" s="5" t="s">
        <v>246</v>
      </c>
      <c r="G4616" s="25" t="n">
        <f aca="false">G4642+G4655+G4668+G4681</f>
        <v>140.04</v>
      </c>
      <c r="H4616" s="25" t="n">
        <f aca="false">H4642+H4655+H4668+H4681</f>
        <v>151.2314</v>
      </c>
      <c r="I4616" s="25" t="n">
        <f aca="false">I4642+I4655+I4668+I4681</f>
        <v>148.5288</v>
      </c>
      <c r="J4616" s="25" t="n">
        <f aca="false">J4642+J4655+J4668+J4681</f>
        <v>147.8632</v>
      </c>
      <c r="K4616" s="25" t="n">
        <f aca="false">K4642+K4655+K4668+K4681</f>
        <v>147.1976</v>
      </c>
    </row>
    <row r="4617" customFormat="false" ht="15" hidden="false" customHeight="false" outlineLevel="0" collapsed="false">
      <c r="A4617" s="5" t="s">
        <v>247</v>
      </c>
      <c r="G4617" s="25" t="n">
        <f aca="false">G4643+G4656+G4669+G4682</f>
        <v>0</v>
      </c>
      <c r="H4617" s="25" t="n">
        <f aca="false">H4643+H4656+H4669+H4682</f>
        <v>0</v>
      </c>
      <c r="I4617" s="25" t="n">
        <f aca="false">I4643+I4656+I4669+I4682</f>
        <v>0</v>
      </c>
      <c r="J4617" s="25" t="n">
        <f aca="false">J4643+J4656+J4669+J4682</f>
        <v>0</v>
      </c>
      <c r="K4617" s="25" t="n">
        <f aca="false">K4643+K4656+K4669+K4682</f>
        <v>0</v>
      </c>
    </row>
    <row r="4618" customFormat="false" ht="15" hidden="false" customHeight="false" outlineLevel="0" collapsed="false">
      <c r="A4618" s="5" t="s">
        <v>212</v>
      </c>
      <c r="G4618" s="25" t="n">
        <f aca="false">G4616+G4617</f>
        <v>140.04</v>
      </c>
      <c r="H4618" s="25" t="n">
        <f aca="false">H4616+H4617</f>
        <v>151.2314</v>
      </c>
      <c r="I4618" s="25" t="n">
        <f aca="false">I4616+I4617</f>
        <v>148.5288</v>
      </c>
      <c r="J4618" s="25" t="n">
        <f aca="false">J4616+J4617</f>
        <v>147.8632</v>
      </c>
      <c r="K4618" s="25" t="n">
        <f aca="false">K4616+K4617</f>
        <v>147.1976</v>
      </c>
    </row>
    <row r="4619" customFormat="false" ht="15" hidden="false" customHeight="false" outlineLevel="0" collapsed="false">
      <c r="A4619" s="2" t="s">
        <v>223</v>
      </c>
      <c r="G4619" s="16" t="n">
        <f aca="false">G4615-G4618</f>
        <v>-235.6368</v>
      </c>
      <c r="H4619" s="16" t="n">
        <f aca="false">H4615-H4618</f>
        <v>-234.400616</v>
      </c>
      <c r="I4619" s="16" t="n">
        <f aca="false">I4615-I4618</f>
        <v>-229.535616384</v>
      </c>
      <c r="J4619" s="16" t="n">
        <f aca="false">J4615-J4618</f>
        <v>-228.05994822016</v>
      </c>
      <c r="K4619" s="16" t="n">
        <f aca="false">K4615-K4618</f>
        <v>-226.592380737958</v>
      </c>
    </row>
    <row r="4620" customFormat="false" ht="15" hidden="false" customHeight="false" outlineLevel="0" collapsed="false">
      <c r="A4620" s="5" t="s">
        <v>213</v>
      </c>
      <c r="G4620" s="25" t="n">
        <f aca="false">MAX(0,G4619)*Assumptions!$C$9</f>
        <v>0</v>
      </c>
      <c r="H4620" s="25" t="n">
        <f aca="false">MAX(0,H4619)*Assumptions!$C$9</f>
        <v>0</v>
      </c>
      <c r="I4620" s="25" t="n">
        <f aca="false">MAX(0,I4619)*Assumptions!$C$9</f>
        <v>0</v>
      </c>
      <c r="J4620" s="25" t="n">
        <f aca="false">MAX(0,J4619)*Assumptions!$C$9</f>
        <v>0</v>
      </c>
      <c r="K4620" s="25" t="n">
        <f aca="false">MAX(0,K4619)*Assumptions!$C$9</f>
        <v>0</v>
      </c>
    </row>
    <row r="4621" customFormat="false" ht="15" hidden="false" customHeight="false" outlineLevel="0" collapsed="false">
      <c r="A4621" s="2" t="s">
        <v>248</v>
      </c>
      <c r="G4621" s="16" t="n">
        <f aca="false">G4619-G4620</f>
        <v>-235.6368</v>
      </c>
      <c r="H4621" s="16" t="n">
        <f aca="false">H4619-H4620</f>
        <v>-234.400616</v>
      </c>
      <c r="I4621" s="16" t="n">
        <f aca="false">I4619-I4620</f>
        <v>-229.535616384</v>
      </c>
      <c r="J4621" s="16" t="n">
        <f aca="false">J4619-J4620</f>
        <v>-228.05994822016</v>
      </c>
      <c r="K4621" s="16" t="n">
        <f aca="false">K4619-K4620</f>
        <v>-226.592380737958</v>
      </c>
    </row>
    <row r="4622" customFormat="false" ht="15" hidden="false" customHeight="false" outlineLevel="0" collapsed="false">
      <c r="A4622" s="23" t="s">
        <v>249</v>
      </c>
      <c r="B4622" s="24"/>
      <c r="C4622" s="24"/>
      <c r="D4622" s="24"/>
      <c r="E4622" s="24"/>
      <c r="F4622" s="24"/>
      <c r="G4622" s="24"/>
      <c r="H4622" s="24"/>
      <c r="I4622" s="24"/>
      <c r="J4622" s="24"/>
      <c r="K4622" s="24"/>
    </row>
    <row r="4623" customFormat="false" ht="15" hidden="false" customHeight="false" outlineLevel="0" collapsed="false">
      <c r="A4623" s="5" t="s">
        <v>153</v>
      </c>
      <c r="G4623" s="25" t="n">
        <f aca="false">G4608*CHOOSE($C$4595,Assumptions!$C$69,Assumptions!$C$88,Assumptions!$C$107)</f>
        <v>29.4144</v>
      </c>
      <c r="H4623" s="25" t="n">
        <f aca="false">H4608*CHOOSE($C$4595,Assumptions!$C$69,Assumptions!$C$88,Assumptions!$C$107)</f>
        <v>25.590528</v>
      </c>
      <c r="I4623" s="25" t="n">
        <f aca="false">I4608*CHOOSE($C$4595,Assumptions!$C$69,Assumptions!$C$88,Assumptions!$C$107)</f>
        <v>24.925174272</v>
      </c>
      <c r="J4623" s="25" t="n">
        <f aca="false">J4608*CHOOSE($C$4595,Assumptions!$C$69,Assumptions!$C$88,Assumptions!$C$107)</f>
        <v>24.67592252928</v>
      </c>
      <c r="K4623" s="25" t="n">
        <f aca="false">K4608*CHOOSE($C$4595,Assumptions!$C$69,Assumptions!$C$88,Assumptions!$C$107)</f>
        <v>24.4291633039872</v>
      </c>
    </row>
    <row r="4624" customFormat="false" ht="15" hidden="false" customHeight="false" outlineLevel="0" collapsed="false">
      <c r="A4624" s="5" t="s">
        <v>250</v>
      </c>
      <c r="G4624" s="25" t="n">
        <f aca="false">CHOOSE($C$4595,Assumptions!$C$70,Assumptions!$C$89,Assumptions!$C$108)*(G4608-F4608)+CHOOSE($C$4595,Assumptions!$C$71,Assumptions!$C$90,Assumptions!$C$109)*G4608</f>
        <v>-56.3616</v>
      </c>
      <c r="H4624" s="25" t="n">
        <f aca="false">CHOOSE($C$4595,Assumptions!$C$70,Assumptions!$C$89,Assumptions!$C$108)*(H4608-G4608)+CHOOSE($C$4595,Assumptions!$C$71,Assumptions!$C$90,Assumptions!$C$109)*H4608</f>
        <v>-19.082592</v>
      </c>
      <c r="I4624" s="25" t="n">
        <f aca="false">CHOOSE($C$4595,Assumptions!$C$70,Assumptions!$C$89,Assumptions!$C$108)*(I4608-H4608)+CHOOSE($C$4595,Assumptions!$C$71,Assumptions!$C$90,Assumptions!$C$109)*I4608</f>
        <v>4.35678739199999</v>
      </c>
      <c r="J4624" s="25" t="n">
        <f aca="false">CHOOSE($C$4595,Assumptions!$C$70,Assumptions!$C$89,Assumptions!$C$108)*(J4608-I4608)+CHOOSE($C$4595,Assumptions!$C$71,Assumptions!$C$90,Assumptions!$C$109)*J4608</f>
        <v>7.38408287808</v>
      </c>
      <c r="K4624" s="25" t="n">
        <f aca="false">CHOOSE($C$4595,Assumptions!$C$70,Assumptions!$C$89,Assumptions!$C$108)*(K4608-J4608)+CHOOSE($C$4595,Assumptions!$C$71,Assumptions!$C$90,Assumptions!$C$109)*K4608</f>
        <v>7.3102420492992</v>
      </c>
    </row>
    <row r="4625" customFormat="false" ht="15" hidden="false" customHeight="false" outlineLevel="0" collapsed="false">
      <c r="A4625" s="2" t="s">
        <v>251</v>
      </c>
      <c r="G4625" s="16" t="n">
        <f aca="false">G4621+G4613+G4614+G4617-G4623-G4624</f>
        <v>-168.2448</v>
      </c>
      <c r="H4625" s="16" t="n">
        <f aca="false">H4621+H4613+H4614+H4617-H4623-H4624</f>
        <v>-205.721576</v>
      </c>
      <c r="I4625" s="16" t="n">
        <f aca="false">I4621+I4613+I4614+I4617-I4623-I4624</f>
        <v>-224.545463424</v>
      </c>
      <c r="J4625" s="16" t="n">
        <f aca="false">J4621+J4613+J4614+J4617-J4623-J4624</f>
        <v>-226.19056014976</v>
      </c>
      <c r="K4625" s="16" t="n">
        <f aca="false">K4621+K4613+K4614+K4617-K4623-K4624</f>
        <v>-224.741686548262</v>
      </c>
    </row>
    <row r="4627" customFormat="false" ht="15" hidden="false" customHeight="false" outlineLevel="0" collapsed="false">
      <c r="A4627" s="23" t="s">
        <v>253</v>
      </c>
      <c r="B4627" s="24"/>
      <c r="C4627" s="24"/>
      <c r="D4627" s="24"/>
      <c r="E4627" s="24"/>
      <c r="F4627" s="24"/>
      <c r="G4627" s="24"/>
      <c r="H4627" s="24"/>
      <c r="I4627" s="24"/>
      <c r="J4627" s="24"/>
      <c r="K4627" s="24"/>
    </row>
    <row r="4628" customFormat="false" ht="15" hidden="false" customHeight="false" outlineLevel="0" collapsed="false">
      <c r="A4628" s="5" t="s">
        <v>254</v>
      </c>
      <c r="G4628" s="29" t="n">
        <f aca="false">Assumptions!$G$49</f>
        <v>0.0425</v>
      </c>
      <c r="H4628" s="29" t="n">
        <f aca="false">Assumptions!$H$49</f>
        <v>0.04</v>
      </c>
      <c r="I4628" s="29" t="n">
        <f aca="false">Assumptions!$I$49</f>
        <v>0.0375</v>
      </c>
      <c r="J4628" s="29" t="n">
        <f aca="false">Assumptions!$J$49</f>
        <v>0.0375</v>
      </c>
      <c r="K4628" s="29" t="n">
        <f aca="false">Assumptions!$K$49</f>
        <v>0.0375</v>
      </c>
    </row>
    <row r="4629" customFormat="false" ht="15" hidden="false" customHeight="false" outlineLevel="0" collapsed="false">
      <c r="A4629" s="5" t="s">
        <v>255</v>
      </c>
      <c r="C4629" s="30" t="n">
        <f aca="false">CHOOSE($C$4595,Assumptions!$C$72,Assumptions!$C$91,Assumptions!$C$110)+$C$4598</f>
        <v>0.03</v>
      </c>
    </row>
    <row r="4630" customFormat="false" ht="15" hidden="false" customHeight="false" outlineLevel="0" collapsed="false">
      <c r="A4630" s="5" t="s">
        <v>256</v>
      </c>
      <c r="C4630" s="30" t="n">
        <f aca="false">CHOOSE($C$4595,Assumptions!$C$73,Assumptions!$C$92,Assumptions!$C$111)</f>
        <v>0.16</v>
      </c>
    </row>
    <row r="4631" customFormat="false" ht="15" hidden="false" customHeight="false" outlineLevel="0" collapsed="false">
      <c r="A4631" s="5" t="s">
        <v>257</v>
      </c>
      <c r="C4631" s="31" t="n">
        <f aca="false">CHOOSE($C$4595,Assumptions!$C$74,Assumptions!$C$93,Assumptions!$C$112)</f>
        <v>5</v>
      </c>
    </row>
    <row r="4632" customFormat="false" ht="15" hidden="false" customHeight="false" outlineLevel="0" collapsed="false">
      <c r="A4632" s="5" t="s">
        <v>258</v>
      </c>
      <c r="C4632" s="31" t="n">
        <f aca="false">CHOOSE($C$4595,Assumptions!$C$75,Assumptions!$C$94,Assumptions!$C$113)</f>
        <v>2</v>
      </c>
    </row>
    <row r="4633" customFormat="false" ht="15" hidden="false" customHeight="false" outlineLevel="0" collapsed="false">
      <c r="A4633" s="5" t="s">
        <v>259</v>
      </c>
      <c r="G4633" s="25" t="n">
        <f aca="false">G4638+G4651+G4664+G4677</f>
        <v>1250</v>
      </c>
      <c r="H4633" s="25" t="n">
        <f aca="false">H4638+H4651+H4664+H4677</f>
        <v>1364.8</v>
      </c>
      <c r="I4633" s="25" t="n">
        <f aca="false">I4638+I4651+I4664+I4677</f>
        <v>1359.6</v>
      </c>
      <c r="J4633" s="25" t="n">
        <f aca="false">J4638+J4651+J4664+J4677</f>
        <v>1354.4</v>
      </c>
      <c r="K4633" s="25" t="n">
        <f aca="false">K4638+K4651+K4664+K4677</f>
        <v>1349.2</v>
      </c>
    </row>
    <row r="4634" customFormat="false" ht="15" hidden="false" customHeight="false" outlineLevel="0" collapsed="false">
      <c r="A4634" s="5" t="s">
        <v>260</v>
      </c>
      <c r="G4634" s="25" t="n">
        <f aca="false">F4724</f>
        <v>45</v>
      </c>
      <c r="H4634" s="25" t="n">
        <f aca="false">G4724</f>
        <v>-8.44480000000002</v>
      </c>
      <c r="I4634" s="25" t="n">
        <f aca="false">H4724</f>
        <v>-219.366376</v>
      </c>
      <c r="J4634" s="25" t="n">
        <f aca="false">I4724</f>
        <v>-449.111839424</v>
      </c>
      <c r="K4634" s="25" t="n">
        <f aca="false">J4724</f>
        <v>-680.50239957376</v>
      </c>
    </row>
    <row r="4635" customFormat="false" ht="15" hidden="false" customHeight="false" outlineLevel="0" collapsed="false">
      <c r="A4635" s="5" t="s">
        <v>261</v>
      </c>
      <c r="G4635" s="25" t="n">
        <f aca="false">G4638*IF(G4639=1,$C$4630,IF(Assumptions!$I$53=1,MAX(G4628,Assumptions!$G$53)+Assumptions!$F$53+$C$4629,Assumptions!$E$53))+G4651*IF(G4652=1,$C$4630,IF(Assumptions!$I$54=1,MAX(G4628,Assumptions!$G$54)+Assumptions!$F$54+$C$4629,Assumptions!$E$54))+G4664*IF(G4665=1,$C$4630,IF(Assumptions!$I$55=1,MAX(G4628,Assumptions!$G$55)+Assumptions!$F$55+$C$4629,Assumptions!$E$55))+G4677*IF(G4678=1,$C$4630,IF(Assumptions!$I$56=1,MAX(G4628,Assumptions!$G$56)+Assumptions!$F$56+$C$4629,Assumptions!$E$56))</f>
        <v>140.04</v>
      </c>
      <c r="H4635" s="25" t="n">
        <f aca="false">H4638*IF(OR(H4639=1,G4790=1),$C$4630,IF(Assumptions!$I$53=1,MAX(H4628,Assumptions!$G$53)+Assumptions!$F$53+$C$4629,Assumptions!$E$53))+H4651*IF(OR(H4652=1,G4791=1),$C$4630,IF(Assumptions!$I$54=1,MAX(H4628,Assumptions!$G$54)+Assumptions!$F$54+$C$4629,Assumptions!$E$54))+H4664*IF(OR(H4665=1,G4792=1),$C$4630,IF(Assumptions!$I$55=1,MAX(H4628,Assumptions!$G$55)+Assumptions!$F$55+$C$4629,Assumptions!$E$55))+H4677*IF(OR(H4678=1,G4793=1),$C$4630,IF(Assumptions!$I$56=1,MAX(H4628,Assumptions!$G$56)+Assumptions!$F$56+$C$4629,Assumptions!$E$56))</f>
        <v>190.6814</v>
      </c>
      <c r="I4635" s="25" t="n">
        <f aca="false">I4638*IF(OR(I4639=1,H4790=1),$C$4630,IF(Assumptions!$I$53=1,MAX(I4628,Assumptions!$G$53)+Assumptions!$F$53+$C$4629,Assumptions!$E$53))+I4651*IF(OR(I4652=1,H4791=1),$C$4630,IF(Assumptions!$I$54=1,MAX(I4628,Assumptions!$G$54)+Assumptions!$F$54+$C$4629,Assumptions!$E$54))+I4664*IF(OR(I4665=1,H4792=1),$C$4630,IF(Assumptions!$I$55=1,MAX(I4628,Assumptions!$G$55)+Assumptions!$F$55+$C$4629,Assumptions!$E$55))+I4677*IF(OR(I4678=1,H4793=1),$C$4630,IF(Assumptions!$I$56=1,MAX(I4628,Assumptions!$G$56)+Assumptions!$F$56+$C$4629,Assumptions!$E$56))</f>
        <v>164.836</v>
      </c>
      <c r="J4635" s="25" t="n">
        <f aca="false">J4638*IF(OR(J4639=1,I4790=1),$C$4630,IF(Assumptions!$I$53=1,MAX(J4628,Assumptions!$G$53)+Assumptions!$F$53+$C$4629,Assumptions!$E$53))+J4651*IF(OR(J4652=1,I4791=1),$C$4630,IF(Assumptions!$I$54=1,MAX(J4628,Assumptions!$G$54)+Assumptions!$F$54+$C$4629,Assumptions!$E$54))+J4664*IF(OR(J4665=1,I4792=1),$C$4630,IF(Assumptions!$I$55=1,MAX(J4628,Assumptions!$G$55)+Assumptions!$F$55+$C$4629,Assumptions!$E$55))+J4677*IF(OR(J4678=1,I4793=1),$C$4630,IF(Assumptions!$I$56=1,MAX(J4628,Assumptions!$G$56)+Assumptions!$F$56+$C$4629,Assumptions!$E$56))</f>
        <v>160.3632</v>
      </c>
      <c r="K4635" s="25" t="n">
        <f aca="false">K4638*IF(OR(K4639=1,J4790=1),$C$4630,IF(Assumptions!$I$53=1,MAX(K4628,Assumptions!$G$53)+Assumptions!$F$53+$C$4629,Assumptions!$E$53))+K4651*IF(OR(K4652=1,J4791=1),$C$4630,IF(Assumptions!$I$54=1,MAX(K4628,Assumptions!$G$54)+Assumptions!$F$54+$C$4629,Assumptions!$E$54))+K4664*IF(OR(K4665=1,J4792=1),$C$4630,IF(Assumptions!$I$55=1,MAX(K4628,Assumptions!$G$55)+Assumptions!$F$55+$C$4629,Assumptions!$E$55))+K4677*IF(OR(K4678=1,J4793=1),$C$4630,IF(Assumptions!$I$56=1,MAX(K4628,Assumptions!$G$56)+Assumptions!$F$56+$C$4629,Assumptions!$E$56))</f>
        <v>147.1976</v>
      </c>
    </row>
    <row r="4636" customFormat="false" ht="15" hidden="false" customHeight="false" outlineLevel="0" collapsed="false">
      <c r="A4636" s="5" t="s">
        <v>262</v>
      </c>
      <c r="G4636" s="20" t="n">
        <f aca="false">IF(G4612&lt;=0,0,IF(AND((G4633-G4634)/G4612&lt;=$C$4631,G4612/G4635&gt;=$C$4632),1,0))</f>
        <v>0</v>
      </c>
      <c r="H4636" s="20" t="n">
        <f aca="false">IF(H4612&lt;=0,0,IF(AND((H4633-H4634)/H4612&lt;=$C$4631,H4612/H4635&gt;=$C$4632),1,0))</f>
        <v>0</v>
      </c>
      <c r="I4636" s="20" t="n">
        <f aca="false">IF(I4612&lt;=0,0,IF(AND((I4633-I4634)/I4612&lt;=$C$4631,I4612/I4635&gt;=$C$4632),1,0))</f>
        <v>0</v>
      </c>
      <c r="J4636" s="20" t="n">
        <f aca="false">IF(J4612&lt;=0,0,IF(AND((J4633-J4634)/J4612&lt;=$C$4631,J4612/J4635&gt;=$C$4632),1,0))</f>
        <v>0</v>
      </c>
      <c r="K4636" s="20" t="n">
        <f aca="false">IF(K4612&lt;=0,0,IF(AND((K4633-K4634)/K4612&lt;=$C$4631,K4612/K4635&gt;=$C$4632),1,0))</f>
        <v>0</v>
      </c>
    </row>
    <row r="4637" customFormat="false" ht="15" hidden="false" customHeight="false" outlineLevel="0" collapsed="false">
      <c r="A4637" s="23" t="s">
        <v>263</v>
      </c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</row>
    <row r="4638" customFormat="false" ht="15" hidden="false" customHeight="false" outlineLevel="0" collapsed="false">
      <c r="A4638" s="5" t="s">
        <v>264</v>
      </c>
      <c r="G4638" s="25" t="n">
        <f aca="false">F4649</f>
        <v>180</v>
      </c>
      <c r="H4638" s="25" t="n">
        <f aca="false">G4649</f>
        <v>300</v>
      </c>
      <c r="I4638" s="25" t="n">
        <f aca="false">H4649</f>
        <v>300</v>
      </c>
      <c r="J4638" s="25" t="n">
        <f aca="false">I4649</f>
        <v>300</v>
      </c>
      <c r="K4638" s="25" t="n">
        <f aca="false">J4649</f>
        <v>300</v>
      </c>
    </row>
    <row r="4639" customFormat="false" ht="15" hidden="false" customHeight="false" outlineLevel="0" collapsed="false">
      <c r="A4639" s="5" t="s">
        <v>265</v>
      </c>
      <c r="G4639" s="20" t="n">
        <f aca="false">IF(G4602=Assumptions!$K$53,1,0)</f>
        <v>0</v>
      </c>
      <c r="H4639" s="20" t="n">
        <f aca="false">IF(H4602=Assumptions!$K$53,1,0)</f>
        <v>1</v>
      </c>
      <c r="I4639" s="20" t="n">
        <f aca="false">IF(I4602=Assumptions!$K$53,1,0)</f>
        <v>0</v>
      </c>
      <c r="J4639" s="20" t="n">
        <f aca="false">IF(J4602=Assumptions!$K$53,1,0)</f>
        <v>0</v>
      </c>
      <c r="K4639" s="20" t="n">
        <f aca="false">IF(K4602=Assumptions!$K$53,1,0)</f>
        <v>0</v>
      </c>
    </row>
    <row r="4641" customFormat="false" ht="15" hidden="false" customHeight="false" outlineLevel="0" collapsed="false">
      <c r="A4641" s="5" t="s">
        <v>266</v>
      </c>
      <c r="G4641" s="30" t="n">
        <f aca="false">IF(Assumptions!$I$53=1,MAX(G4628,Assumptions!$G$53)+Assumptions!$F$53+$C$4629,Assumptions!$E$53)</f>
        <v>0.116</v>
      </c>
      <c r="H4641" s="30" t="n">
        <f aca="false">IF(G4790=1,$C$4630,IF(Assumptions!$I$53=1,MAX(H4628,Assumptions!$G$53)+Assumptions!$F$53+$C$4629,Assumptions!$E$53))</f>
        <v>0.1135</v>
      </c>
      <c r="I4641" s="30" t="n">
        <f aca="false">IF(H4790=1,$C$4630,IF(Assumptions!$I$53=1,MAX(I4628,Assumptions!$G$53)+Assumptions!$F$53+$C$4629,Assumptions!$E$53))</f>
        <v>0.111</v>
      </c>
      <c r="J4641" s="30" t="n">
        <f aca="false">IF(I4790=1,$C$4630,IF(Assumptions!$I$53=1,MAX(J4628,Assumptions!$G$53)+Assumptions!$F$53+$C$4629,Assumptions!$E$53))</f>
        <v>0.111</v>
      </c>
      <c r="K4641" s="30" t="n">
        <f aca="false">IF(J4790=1,$C$4630,IF(Assumptions!$I$53=1,MAX(K4628,Assumptions!$G$53)+Assumptions!$F$53+$C$4629,Assumptions!$E$53))</f>
        <v>0.111</v>
      </c>
    </row>
    <row r="4642" customFormat="false" ht="15" hidden="false" customHeight="false" outlineLevel="0" collapsed="false">
      <c r="A4642" s="5" t="s">
        <v>267</v>
      </c>
      <c r="G4642" s="25" t="n">
        <f aca="false">G4638*G4641</f>
        <v>20.88</v>
      </c>
      <c r="H4642" s="25" t="n">
        <f aca="false">H4638*H4641</f>
        <v>34.05</v>
      </c>
      <c r="I4642" s="25" t="n">
        <f aca="false">I4638*I4641</f>
        <v>33.3</v>
      </c>
      <c r="J4642" s="25" t="n">
        <f aca="false">J4638*J4641</f>
        <v>33.3</v>
      </c>
      <c r="K4642" s="25" t="n">
        <f aca="false">K4638*K4641</f>
        <v>33.3</v>
      </c>
    </row>
    <row r="4643" customFormat="false" ht="15" hidden="false" customHeight="false" outlineLevel="0" collapsed="false">
      <c r="A4643" s="5" t="s">
        <v>268</v>
      </c>
      <c r="G4643" s="25" t="n">
        <f aca="false">G4638*Assumptions!$H$53</f>
        <v>0</v>
      </c>
      <c r="H4643" s="25" t="n">
        <f aca="false">H4638*Assumptions!$H$53</f>
        <v>0</v>
      </c>
      <c r="I4643" s="25" t="n">
        <f aca="false">I4638*Assumptions!$H$53</f>
        <v>0</v>
      </c>
      <c r="J4643" s="25" t="n">
        <f aca="false">J4638*Assumptions!$H$53</f>
        <v>0</v>
      </c>
      <c r="K4643" s="25" t="n">
        <f aca="false">K4638*Assumptions!$H$53</f>
        <v>0</v>
      </c>
    </row>
    <row r="4644" customFormat="false" ht="15" hidden="false" customHeight="false" outlineLevel="0" collapsed="false">
      <c r="A4644" s="5" t="s">
        <v>269</v>
      </c>
      <c r="G4644" s="25" t="n">
        <f aca="false">MIN(G4638,Assumptions!$L$53*Assumptions!$C$53)</f>
        <v>0</v>
      </c>
      <c r="H4644" s="25" t="n">
        <f aca="false">MIN(H4638,Assumptions!$L$53*Assumptions!$C$53)</f>
        <v>0</v>
      </c>
      <c r="I4644" s="25" t="n">
        <f aca="false">MIN(I4638,Assumptions!$L$53*Assumptions!$C$53)</f>
        <v>0</v>
      </c>
      <c r="J4644" s="25" t="n">
        <f aca="false">MIN(J4638,Assumptions!$L$53*Assumptions!$C$53)</f>
        <v>0</v>
      </c>
      <c r="K4644" s="25" t="n">
        <f aca="false">MIN(K4638,Assumptions!$L$53*Assumptions!$C$53)</f>
        <v>0</v>
      </c>
    </row>
    <row r="4645" customFormat="false" ht="15" hidden="false" customHeight="false" outlineLevel="0" collapsed="false">
      <c r="A4645" s="5" t="s">
        <v>270</v>
      </c>
      <c r="G4645" s="25" t="n">
        <f aca="false">IF(AND(Assumptions!$P$53=1,G4602&lt;Assumptions!$K$53),MIN(MAX(0,-G4716),MAX(0,Assumptions!$D$53-G4638)),0)</f>
        <v>120</v>
      </c>
      <c r="H4645" s="25" t="n">
        <f aca="false">IF(AND(Assumptions!$P$53=1,OR(H4602&lt;Assumptions!$K$53,G4790=1)),MIN(MAX(0,-H4716),MAX(0,Assumptions!$D$53-H4638)),0)</f>
        <v>0</v>
      </c>
      <c r="I4645" s="25" t="n">
        <f aca="false">IF(AND(Assumptions!$P$53=1,OR(I4602&lt;Assumptions!$K$53,H4790=1)),MIN(MAX(0,-I4716),MAX(0,Assumptions!$D$53-I4638)),0)</f>
        <v>0</v>
      </c>
      <c r="J4645" s="25" t="n">
        <f aca="false">IF(AND(Assumptions!$P$53=1,OR(J4602&lt;Assumptions!$K$53,I4790=1)),MIN(MAX(0,-J4716),MAX(0,Assumptions!$D$53-J4638)),0)</f>
        <v>0</v>
      </c>
      <c r="K4645" s="25" t="n">
        <f aca="false">IF(AND(Assumptions!$P$53=1,OR(K4602&lt;Assumptions!$K$53,J4790=1)),MIN(MAX(0,-K4716),MAX(0,Assumptions!$D$53-K4638)),0)</f>
        <v>0</v>
      </c>
    </row>
    <row r="4646" customFormat="false" ht="15" hidden="false" customHeight="false" outlineLevel="0" collapsed="false">
      <c r="A4646" s="5" t="s">
        <v>271</v>
      </c>
      <c r="G4646" s="25" t="n">
        <f aca="false">G4639*MIN(G4638-G4644+G4643,MAX(0,G4718-Assumptions!$C$12*G4636))</f>
        <v>0</v>
      </c>
      <c r="H4646" s="25" t="n">
        <f aca="false">H4639*MIN(H4638-H4644+H4643,MAX(0,H4718-Assumptions!$C$12*H4636))</f>
        <v>0</v>
      </c>
      <c r="I4646" s="25" t="n">
        <f aca="false">I4639*MIN(I4638-I4644+I4643,MAX(0,I4718-Assumptions!$C$12*I4636))</f>
        <v>0</v>
      </c>
      <c r="J4646" s="25" t="n">
        <f aca="false">J4639*MIN(J4638-J4644+J4643,MAX(0,J4718-Assumptions!$C$12*J4636))</f>
        <v>0</v>
      </c>
      <c r="K4646" s="25" t="n">
        <f aca="false">K4639*MIN(K4638-K4644+K4643,MAX(0,K4718-Assumptions!$C$12*K4636))</f>
        <v>0</v>
      </c>
    </row>
    <row r="4647" customFormat="false" ht="15" hidden="false" customHeight="false" outlineLevel="0" collapsed="false">
      <c r="A4647" s="5" t="s">
        <v>272</v>
      </c>
      <c r="G4647" s="25" t="n">
        <f aca="false">Assumptions!$N$53*MIN(G4638+G4645+G4643-G4644-G4646,MAX(0,G4722))</f>
        <v>0</v>
      </c>
      <c r="H4647" s="25" t="n">
        <f aca="false">Assumptions!$N$53*MIN(H4638+H4645+H4643-H4644-H4646,MAX(0,H4722))</f>
        <v>0</v>
      </c>
      <c r="I4647" s="25" t="n">
        <f aca="false">Assumptions!$N$53*MIN(I4638+I4645+I4643-I4644-I4646,MAX(0,I4722))</f>
        <v>0</v>
      </c>
      <c r="J4647" s="25" t="n">
        <f aca="false">Assumptions!$N$53*MIN(J4638+J4645+J4643-J4644-J4646,MAX(0,J4722))</f>
        <v>0</v>
      </c>
      <c r="K4647" s="25" t="n">
        <f aca="false">Assumptions!$N$53*MIN(K4638+K4645+K4643-K4644-K4646,MAX(0,K4722))</f>
        <v>0</v>
      </c>
    </row>
    <row r="4648" customFormat="false" ht="15" hidden="false" customHeight="false" outlineLevel="0" collapsed="false">
      <c r="A4648" s="5" t="s">
        <v>273</v>
      </c>
      <c r="G4648" s="25" t="n">
        <f aca="false">G4639*(1-G4636)*(G4638-G4644+G4643-G4646)</f>
        <v>0</v>
      </c>
      <c r="H4648" s="25" t="n">
        <f aca="false">H4639*(1-H4636)*(H4638-H4644+H4643-H4646)</f>
        <v>300</v>
      </c>
      <c r="I4648" s="25" t="n">
        <f aca="false">I4639*(1-I4636)*(I4638-I4644+I4643-I4646)</f>
        <v>0</v>
      </c>
      <c r="J4648" s="25" t="n">
        <f aca="false">J4639*(1-J4636)*(J4638-J4644+J4643-J4646)</f>
        <v>0</v>
      </c>
      <c r="K4648" s="25" t="n">
        <f aca="false">K4639*(1-K4636)*(K4638-K4644+K4643-K4646)</f>
        <v>0</v>
      </c>
    </row>
    <row r="4649" customFormat="false" ht="15" hidden="false" customHeight="false" outlineLevel="0" collapsed="false">
      <c r="A4649" s="2" t="s">
        <v>274</v>
      </c>
      <c r="F4649" s="27" t="n">
        <f aca="false">Assumptions!$C$53</f>
        <v>180</v>
      </c>
      <c r="G4649" s="16" t="n">
        <f aca="false">G4638+G4645+G4643-G4644-G4646-G4647</f>
        <v>300</v>
      </c>
      <c r="H4649" s="16" t="n">
        <f aca="false">H4638+H4645+H4643-H4644-H4646-H4647</f>
        <v>300</v>
      </c>
      <c r="I4649" s="16" t="n">
        <f aca="false">I4638+I4645+I4643-I4644-I4646-I4647</f>
        <v>300</v>
      </c>
      <c r="J4649" s="16" t="n">
        <f aca="false">J4638+J4645+J4643-J4644-J4646-J4647</f>
        <v>300</v>
      </c>
      <c r="K4649" s="16" t="n">
        <f aca="false">K4638+K4645+K4643-K4644-K4646-K4647</f>
        <v>300</v>
      </c>
    </row>
    <row r="4650" customFormat="false" ht="15" hidden="false" customHeight="false" outlineLevel="0" collapsed="false">
      <c r="A4650" s="23" t="s">
        <v>275</v>
      </c>
      <c r="B4650" s="24"/>
      <c r="C4650" s="24"/>
      <c r="D4650" s="24"/>
      <c r="E4650" s="24"/>
      <c r="F4650" s="24"/>
      <c r="G4650" s="24"/>
      <c r="H4650" s="24"/>
      <c r="I4650" s="24"/>
      <c r="J4650" s="24"/>
      <c r="K4650" s="24"/>
    </row>
    <row r="4651" customFormat="false" ht="15" hidden="false" customHeight="false" outlineLevel="0" collapsed="false">
      <c r="A4651" s="5" t="s">
        <v>264</v>
      </c>
      <c r="G4651" s="25" t="n">
        <f aca="false">F4662</f>
        <v>520</v>
      </c>
      <c r="H4651" s="25" t="n">
        <f aca="false">G4662</f>
        <v>514.8</v>
      </c>
      <c r="I4651" s="25" t="n">
        <f aca="false">H4662</f>
        <v>509.6</v>
      </c>
      <c r="J4651" s="25" t="n">
        <f aca="false">I4662</f>
        <v>504.4</v>
      </c>
      <c r="K4651" s="25" t="n">
        <f aca="false">J4662</f>
        <v>499.2</v>
      </c>
    </row>
    <row r="4652" customFormat="false" ht="15" hidden="false" customHeight="false" outlineLevel="0" collapsed="false">
      <c r="A4652" s="5" t="s">
        <v>265</v>
      </c>
      <c r="G4652" s="20" t="n">
        <f aca="false">IF(G4602=Assumptions!$K$54,1,0)</f>
        <v>0</v>
      </c>
      <c r="H4652" s="20" t="n">
        <f aca="false">IF(H4602=Assumptions!$K$54,1,0)</f>
        <v>0</v>
      </c>
      <c r="I4652" s="20" t="n">
        <f aca="false">IF(I4602=Assumptions!$K$54,1,0)</f>
        <v>1</v>
      </c>
      <c r="J4652" s="20" t="n">
        <f aca="false">IF(J4602=Assumptions!$K$54,1,0)</f>
        <v>0</v>
      </c>
      <c r="K4652" s="20" t="n">
        <f aca="false">IF(K4602=Assumptions!$K$54,1,0)</f>
        <v>0</v>
      </c>
    </row>
    <row r="4654" customFormat="false" ht="15" hidden="false" customHeight="false" outlineLevel="0" collapsed="false">
      <c r="A4654" s="5" t="s">
        <v>266</v>
      </c>
      <c r="G4654" s="30" t="n">
        <f aca="false">IF(Assumptions!$I$54=1,MAX(G4628,Assumptions!$G$54)+Assumptions!$F$54+$C$4629,Assumptions!$E$54)</f>
        <v>0.133</v>
      </c>
      <c r="H4654" s="30" t="n">
        <f aca="false">IF(G4791=1,$C$4630,IF(Assumptions!$I$54=1,MAX(H4628,Assumptions!$G$54)+Assumptions!$F$54+$C$4629,Assumptions!$E$54))</f>
        <v>0.1305</v>
      </c>
      <c r="I4654" s="30" t="n">
        <f aca="false">IF(H4791=1,$C$4630,IF(Assumptions!$I$54=1,MAX(I4628,Assumptions!$G$54)+Assumptions!$F$54+$C$4629,Assumptions!$E$54))</f>
        <v>0.128</v>
      </c>
      <c r="J4654" s="30" t="n">
        <f aca="false">IF(I4791=1,$C$4630,IF(Assumptions!$I$54=1,MAX(J4628,Assumptions!$G$54)+Assumptions!$F$54+$C$4629,Assumptions!$E$54))</f>
        <v>0.128</v>
      </c>
      <c r="K4654" s="30" t="n">
        <f aca="false">IF(J4791=1,$C$4630,IF(Assumptions!$I$54=1,MAX(K4628,Assumptions!$G$54)+Assumptions!$F$54+$C$4629,Assumptions!$E$54))</f>
        <v>0.128</v>
      </c>
    </row>
    <row r="4655" customFormat="false" ht="15" hidden="false" customHeight="false" outlineLevel="0" collapsed="false">
      <c r="A4655" s="5" t="s">
        <v>267</v>
      </c>
      <c r="G4655" s="25" t="n">
        <f aca="false">G4651*G4654</f>
        <v>69.16</v>
      </c>
      <c r="H4655" s="25" t="n">
        <f aca="false">H4651*H4654</f>
        <v>67.1814</v>
      </c>
      <c r="I4655" s="25" t="n">
        <f aca="false">I4651*I4654</f>
        <v>65.2288</v>
      </c>
      <c r="J4655" s="25" t="n">
        <f aca="false">J4651*J4654</f>
        <v>64.5632</v>
      </c>
      <c r="K4655" s="25" t="n">
        <f aca="false">K4651*K4654</f>
        <v>63.8976</v>
      </c>
    </row>
    <row r="4656" customFormat="false" ht="15" hidden="false" customHeight="false" outlineLevel="0" collapsed="false">
      <c r="A4656" s="5" t="s">
        <v>268</v>
      </c>
      <c r="G4656" s="25" t="n">
        <f aca="false">G4651*Assumptions!$H$54</f>
        <v>0</v>
      </c>
      <c r="H4656" s="25" t="n">
        <f aca="false">H4651*Assumptions!$H$54</f>
        <v>0</v>
      </c>
      <c r="I4656" s="25" t="n">
        <f aca="false">I4651*Assumptions!$H$54</f>
        <v>0</v>
      </c>
      <c r="J4656" s="25" t="n">
        <f aca="false">J4651*Assumptions!$H$54</f>
        <v>0</v>
      </c>
      <c r="K4656" s="25" t="n">
        <f aca="false">K4651*Assumptions!$H$54</f>
        <v>0</v>
      </c>
    </row>
    <row r="4657" customFormat="false" ht="15" hidden="false" customHeight="false" outlineLevel="0" collapsed="false">
      <c r="A4657" s="5" t="s">
        <v>269</v>
      </c>
      <c r="G4657" s="25" t="n">
        <f aca="false">MIN(G4651,Assumptions!$L$54*Assumptions!$C$54)</f>
        <v>5.2</v>
      </c>
      <c r="H4657" s="25" t="n">
        <f aca="false">MIN(H4651,Assumptions!$L$54*Assumptions!$C$54)</f>
        <v>5.2</v>
      </c>
      <c r="I4657" s="25" t="n">
        <f aca="false">MIN(I4651,Assumptions!$L$54*Assumptions!$C$54)</f>
        <v>5.2</v>
      </c>
      <c r="J4657" s="25" t="n">
        <f aca="false">MIN(J4651,Assumptions!$L$54*Assumptions!$C$54)</f>
        <v>5.2</v>
      </c>
      <c r="K4657" s="25" t="n">
        <f aca="false">MIN(K4651,Assumptions!$L$54*Assumptions!$C$54)</f>
        <v>5.2</v>
      </c>
    </row>
    <row r="4658" customFormat="false" ht="15" hidden="false" customHeight="false" outlineLevel="0" collapsed="false">
      <c r="A4658" s="5" t="s">
        <v>270</v>
      </c>
      <c r="G4658" s="25" t="n">
        <f aca="false">IF(AND(Assumptions!$P$54=1,G4602&lt;Assumptions!$K$54),MIN(MAX(0,-G4716),MAX(0,Assumptions!$D$54-G4651)),0)</f>
        <v>0</v>
      </c>
      <c r="H4658" s="25" t="n">
        <f aca="false">IF(AND(Assumptions!$P$54=1,OR(H4602&lt;Assumptions!$K$54,G4791=1)),MIN(MAX(0,-H4716),MAX(0,Assumptions!$D$54-H4651)),0)</f>
        <v>0</v>
      </c>
      <c r="I4658" s="25" t="n">
        <f aca="false">IF(AND(Assumptions!$P$54=1,OR(I4602&lt;Assumptions!$K$54,H4791=1)),MIN(MAX(0,-I4716),MAX(0,Assumptions!$D$54-I4651)),0)</f>
        <v>0</v>
      </c>
      <c r="J4658" s="25" t="n">
        <f aca="false">IF(AND(Assumptions!$P$54=1,OR(J4602&lt;Assumptions!$K$54,I4791=1)),MIN(MAX(0,-J4716),MAX(0,Assumptions!$D$54-J4651)),0)</f>
        <v>0</v>
      </c>
      <c r="K4658" s="25" t="n">
        <f aca="false">IF(AND(Assumptions!$P$54=1,OR(K4602&lt;Assumptions!$K$54,J4791=1)),MIN(MAX(0,-K4716),MAX(0,Assumptions!$D$54-K4651)),0)</f>
        <v>0</v>
      </c>
    </row>
    <row r="4659" customFormat="false" ht="15" hidden="false" customHeight="false" outlineLevel="0" collapsed="false">
      <c r="A4659" s="5" t="s">
        <v>271</v>
      </c>
      <c r="G4659" s="25" t="n">
        <f aca="false">G4652*MIN(G4651-G4657+G4656,MAX(0,G4718-Assumptions!$C$12*G4636-G4646))</f>
        <v>0</v>
      </c>
      <c r="H4659" s="25" t="n">
        <f aca="false">H4652*MIN(H4651-H4657+H4656,MAX(0,H4718-Assumptions!$C$12*H4636-H4646))</f>
        <v>0</v>
      </c>
      <c r="I4659" s="25" t="n">
        <f aca="false">I4652*MIN(I4651-I4657+I4656,MAX(0,I4718-Assumptions!$C$12*I4636-I4646))</f>
        <v>0</v>
      </c>
      <c r="J4659" s="25" t="n">
        <f aca="false">J4652*MIN(J4651-J4657+J4656,MAX(0,J4718-Assumptions!$C$12*J4636-J4646))</f>
        <v>0</v>
      </c>
      <c r="K4659" s="25" t="n">
        <f aca="false">K4652*MIN(K4651-K4657+K4656,MAX(0,K4718-Assumptions!$C$12*K4636-K4646))</f>
        <v>0</v>
      </c>
    </row>
    <row r="4660" customFormat="false" ht="15" hidden="false" customHeight="false" outlineLevel="0" collapsed="false">
      <c r="A4660" s="5" t="s">
        <v>272</v>
      </c>
      <c r="G4660" s="25" t="n">
        <f aca="false">Assumptions!$N$54*MIN(G4651+G4658+G4656-G4657-G4659,MAX(0,G4722-G4647))</f>
        <v>0</v>
      </c>
      <c r="H4660" s="25" t="n">
        <f aca="false">Assumptions!$N$54*MIN(H4651+H4658+H4656-H4657-H4659,MAX(0,H4722-H4647))</f>
        <v>0</v>
      </c>
      <c r="I4660" s="25" t="n">
        <f aca="false">Assumptions!$N$54*MIN(I4651+I4658+I4656-I4657-I4659,MAX(0,I4722-I4647))</f>
        <v>0</v>
      </c>
      <c r="J4660" s="25" t="n">
        <f aca="false">Assumptions!$N$54*MIN(J4651+J4658+J4656-J4657-J4659,MAX(0,J4722-J4647))</f>
        <v>0</v>
      </c>
      <c r="K4660" s="25" t="n">
        <f aca="false">Assumptions!$N$54*MIN(K4651+K4658+K4656-K4657-K4659,MAX(0,K4722-K4647))</f>
        <v>0</v>
      </c>
    </row>
    <row r="4661" customFormat="false" ht="15" hidden="false" customHeight="false" outlineLevel="0" collapsed="false">
      <c r="A4661" s="5" t="s">
        <v>273</v>
      </c>
      <c r="G4661" s="25" t="n">
        <f aca="false">G4652*(1-G4636)*(G4651-G4657+G4656-G4659)</f>
        <v>0</v>
      </c>
      <c r="H4661" s="25" t="n">
        <f aca="false">H4652*(1-H4636)*(H4651-H4657+H4656-H4659)</f>
        <v>0</v>
      </c>
      <c r="I4661" s="25" t="n">
        <f aca="false">I4652*(1-I4636)*(I4651-I4657+I4656-I4659)</f>
        <v>504.4</v>
      </c>
      <c r="J4661" s="25" t="n">
        <f aca="false">J4652*(1-J4636)*(J4651-J4657+J4656-J4659)</f>
        <v>0</v>
      </c>
      <c r="K4661" s="25" t="n">
        <f aca="false">K4652*(1-K4636)*(K4651-K4657+K4656-K4659)</f>
        <v>0</v>
      </c>
    </row>
    <row r="4662" customFormat="false" ht="15" hidden="false" customHeight="false" outlineLevel="0" collapsed="false">
      <c r="A4662" s="2" t="s">
        <v>274</v>
      </c>
      <c r="F4662" s="27" t="n">
        <f aca="false">Assumptions!$C$54</f>
        <v>520</v>
      </c>
      <c r="G4662" s="16" t="n">
        <f aca="false">G4651+G4658+G4656-G4657-G4659-G4660</f>
        <v>514.8</v>
      </c>
      <c r="H4662" s="16" t="n">
        <f aca="false">H4651+H4658+H4656-H4657-H4659-H4660</f>
        <v>509.6</v>
      </c>
      <c r="I4662" s="16" t="n">
        <f aca="false">I4651+I4658+I4656-I4657-I4659-I4660</f>
        <v>504.4</v>
      </c>
      <c r="J4662" s="16" t="n">
        <f aca="false">J4651+J4658+J4656-J4657-J4659-J4660</f>
        <v>499.2</v>
      </c>
      <c r="K4662" s="16" t="n">
        <f aca="false">K4651+K4658+K4656-K4657-K4659-K4660</f>
        <v>494</v>
      </c>
    </row>
    <row r="4663" customFormat="false" ht="15" hidden="false" customHeight="false" outlineLevel="0" collapsed="false">
      <c r="A4663" s="23" t="s">
        <v>276</v>
      </c>
      <c r="B4663" s="24"/>
      <c r="C4663" s="24"/>
      <c r="D4663" s="24"/>
      <c r="E4663" s="24"/>
      <c r="F4663" s="24"/>
      <c r="G4663" s="24"/>
      <c r="H4663" s="24"/>
      <c r="I4663" s="24"/>
      <c r="J4663" s="24"/>
      <c r="K4663" s="24"/>
    </row>
    <row r="4664" customFormat="false" ht="15" hidden="false" customHeight="false" outlineLevel="0" collapsed="false">
      <c r="A4664" s="5" t="s">
        <v>264</v>
      </c>
      <c r="G4664" s="25" t="n">
        <f aca="false">F4675</f>
        <v>250</v>
      </c>
      <c r="H4664" s="25" t="n">
        <f aca="false">G4675</f>
        <v>250</v>
      </c>
      <c r="I4664" s="25" t="n">
        <f aca="false">H4675</f>
        <v>250</v>
      </c>
      <c r="J4664" s="25" t="n">
        <f aca="false">I4675</f>
        <v>250</v>
      </c>
      <c r="K4664" s="25" t="n">
        <f aca="false">J4675</f>
        <v>250</v>
      </c>
    </row>
    <row r="4665" customFormat="false" ht="15" hidden="false" customHeight="false" outlineLevel="0" collapsed="false">
      <c r="A4665" s="5" t="s">
        <v>265</v>
      </c>
      <c r="G4665" s="20" t="n">
        <f aca="false">IF(G4602=Assumptions!$K$55,1,0)</f>
        <v>0</v>
      </c>
      <c r="H4665" s="20" t="n">
        <f aca="false">IF(H4602=Assumptions!$K$55,1,0)</f>
        <v>0</v>
      </c>
      <c r="I4665" s="20" t="n">
        <f aca="false">IF(I4602=Assumptions!$K$55,1,0)</f>
        <v>0</v>
      </c>
      <c r="J4665" s="20" t="n">
        <f aca="false">IF(J4602=Assumptions!$K$55,1,0)</f>
        <v>1</v>
      </c>
      <c r="K4665" s="20" t="n">
        <f aca="false">IF(K4602=Assumptions!$K$55,1,0)</f>
        <v>0</v>
      </c>
    </row>
    <row r="4667" customFormat="false" ht="15" hidden="false" customHeight="false" outlineLevel="0" collapsed="false">
      <c r="A4667" s="5" t="s">
        <v>266</v>
      </c>
      <c r="G4667" s="30" t="n">
        <f aca="false">IF(Assumptions!$I$55=1,MAX(G4628,Assumptions!$G$55)+Assumptions!$F$55+$C$4629,Assumptions!$E$55)</f>
        <v>0.11</v>
      </c>
      <c r="H4667" s="30" t="n">
        <f aca="false">IF(G4792=1,$C$4630,IF(Assumptions!$I$55=1,MAX(H4628,Assumptions!$G$55)+Assumptions!$F$55+$C$4629,Assumptions!$E$55))</f>
        <v>0.11</v>
      </c>
      <c r="I4667" s="30" t="n">
        <f aca="false">IF(H4792=1,$C$4630,IF(Assumptions!$I$55=1,MAX(I4628,Assumptions!$G$55)+Assumptions!$F$55+$C$4629,Assumptions!$E$55))</f>
        <v>0.11</v>
      </c>
      <c r="J4667" s="30" t="n">
        <f aca="false">IF(I4792=1,$C$4630,IF(Assumptions!$I$55=1,MAX(J4628,Assumptions!$G$55)+Assumptions!$F$55+$C$4629,Assumptions!$E$55))</f>
        <v>0.11</v>
      </c>
      <c r="K4667" s="30" t="n">
        <f aca="false">IF(J4792=1,$C$4630,IF(Assumptions!$I$55=1,MAX(K4628,Assumptions!$G$55)+Assumptions!$F$55+$C$4629,Assumptions!$E$55))</f>
        <v>0.11</v>
      </c>
    </row>
    <row r="4668" customFormat="false" ht="15" hidden="false" customHeight="false" outlineLevel="0" collapsed="false">
      <c r="A4668" s="5" t="s">
        <v>267</v>
      </c>
      <c r="G4668" s="25" t="n">
        <f aca="false">G4664*G4667</f>
        <v>27.5</v>
      </c>
      <c r="H4668" s="25" t="n">
        <f aca="false">H4664*H4667</f>
        <v>27.5</v>
      </c>
      <c r="I4668" s="25" t="n">
        <f aca="false">I4664*I4667</f>
        <v>27.5</v>
      </c>
      <c r="J4668" s="25" t="n">
        <f aca="false">J4664*J4667</f>
        <v>27.5</v>
      </c>
      <c r="K4668" s="25" t="n">
        <f aca="false">K4664*K4667</f>
        <v>27.5</v>
      </c>
    </row>
    <row r="4669" customFormat="false" ht="15" hidden="false" customHeight="false" outlineLevel="0" collapsed="false">
      <c r="A4669" s="5" t="s">
        <v>268</v>
      </c>
      <c r="G4669" s="25" t="n">
        <f aca="false">G4664*Assumptions!$H$55</f>
        <v>0</v>
      </c>
      <c r="H4669" s="25" t="n">
        <f aca="false">H4664*Assumptions!$H$55</f>
        <v>0</v>
      </c>
      <c r="I4669" s="25" t="n">
        <f aca="false">I4664*Assumptions!$H$55</f>
        <v>0</v>
      </c>
      <c r="J4669" s="25" t="n">
        <f aca="false">J4664*Assumptions!$H$55</f>
        <v>0</v>
      </c>
      <c r="K4669" s="25" t="n">
        <f aca="false">K4664*Assumptions!$H$55</f>
        <v>0</v>
      </c>
    </row>
    <row r="4670" customFormat="false" ht="15" hidden="false" customHeight="false" outlineLevel="0" collapsed="false">
      <c r="A4670" s="5" t="s">
        <v>269</v>
      </c>
      <c r="G4670" s="25" t="n">
        <f aca="false">MIN(G4664,Assumptions!$L$55*Assumptions!$C$55)</f>
        <v>0</v>
      </c>
      <c r="H4670" s="25" t="n">
        <f aca="false">MIN(H4664,Assumptions!$L$55*Assumptions!$C$55)</f>
        <v>0</v>
      </c>
      <c r="I4670" s="25" t="n">
        <f aca="false">MIN(I4664,Assumptions!$L$55*Assumptions!$C$55)</f>
        <v>0</v>
      </c>
      <c r="J4670" s="25" t="n">
        <f aca="false">MIN(J4664,Assumptions!$L$55*Assumptions!$C$55)</f>
        <v>0</v>
      </c>
      <c r="K4670" s="25" t="n">
        <f aca="false">MIN(K4664,Assumptions!$L$55*Assumptions!$C$55)</f>
        <v>0</v>
      </c>
    </row>
    <row r="4671" customFormat="false" ht="15" hidden="false" customHeight="false" outlineLevel="0" collapsed="false">
      <c r="A4671" s="5" t="s">
        <v>270</v>
      </c>
      <c r="G4671" s="25" t="n">
        <f aca="false">IF(AND(Assumptions!$P$55=1,G4602&lt;Assumptions!$K$55),MIN(MAX(0,-G4716),MAX(0,Assumptions!$D$55-G4664)),0)</f>
        <v>0</v>
      </c>
      <c r="H4671" s="25" t="n">
        <f aca="false">IF(AND(Assumptions!$P$55=1,OR(H4602&lt;Assumptions!$K$55,G4792=1)),MIN(MAX(0,-H4716),MAX(0,Assumptions!$D$55-H4664)),0)</f>
        <v>0</v>
      </c>
      <c r="I4671" s="25" t="n">
        <f aca="false">IF(AND(Assumptions!$P$55=1,OR(I4602&lt;Assumptions!$K$55,H4792=1)),MIN(MAX(0,-I4716),MAX(0,Assumptions!$D$55-I4664)),0)</f>
        <v>0</v>
      </c>
      <c r="J4671" s="25" t="n">
        <f aca="false">IF(AND(Assumptions!$P$55=1,OR(J4602&lt;Assumptions!$K$55,I4792=1)),MIN(MAX(0,-J4716),MAX(0,Assumptions!$D$55-J4664)),0)</f>
        <v>0</v>
      </c>
      <c r="K4671" s="25" t="n">
        <f aca="false">IF(AND(Assumptions!$P$55=1,OR(K4602&lt;Assumptions!$K$55,J4792=1)),MIN(MAX(0,-K4716),MAX(0,Assumptions!$D$55-K4664)),0)</f>
        <v>0</v>
      </c>
    </row>
    <row r="4672" customFormat="false" ht="15" hidden="false" customHeight="false" outlineLevel="0" collapsed="false">
      <c r="A4672" s="5" t="s">
        <v>271</v>
      </c>
      <c r="G4672" s="25" t="n">
        <f aca="false">G4665*MIN(G4664-G4670+G4669,MAX(0,G4718-Assumptions!$C$12*G4636-G4646-G4659))</f>
        <v>0</v>
      </c>
      <c r="H4672" s="25" t="n">
        <f aca="false">H4665*MIN(H4664-H4670+H4669,MAX(0,H4718-Assumptions!$C$12*H4636-H4646-H4659))</f>
        <v>0</v>
      </c>
      <c r="I4672" s="25" t="n">
        <f aca="false">I4665*MIN(I4664-I4670+I4669,MAX(0,I4718-Assumptions!$C$12*I4636-I4646-I4659))</f>
        <v>0</v>
      </c>
      <c r="J4672" s="25" t="n">
        <f aca="false">J4665*MIN(J4664-J4670+J4669,MAX(0,J4718-Assumptions!$C$12*J4636-J4646-J4659))</f>
        <v>0</v>
      </c>
      <c r="K4672" s="25" t="n">
        <f aca="false">K4665*MIN(K4664-K4670+K4669,MAX(0,K4718-Assumptions!$C$12*K4636-K4646-K4659))</f>
        <v>0</v>
      </c>
    </row>
    <row r="4673" customFormat="false" ht="15" hidden="false" customHeight="false" outlineLevel="0" collapsed="false">
      <c r="A4673" s="5" t="s">
        <v>272</v>
      </c>
      <c r="G4673" s="25" t="n">
        <f aca="false">Assumptions!$N$55*MIN(G4664+G4671+G4669-G4670-G4672,MAX(0,G4722-G4647-G4660))</f>
        <v>0</v>
      </c>
      <c r="H4673" s="25" t="n">
        <f aca="false">Assumptions!$N$55*MIN(H4664+H4671+H4669-H4670-H4672,MAX(0,H4722-H4647-H4660))</f>
        <v>0</v>
      </c>
      <c r="I4673" s="25" t="n">
        <f aca="false">Assumptions!$N$55*MIN(I4664+I4671+I4669-I4670-I4672,MAX(0,I4722-I4647-I4660))</f>
        <v>0</v>
      </c>
      <c r="J4673" s="25" t="n">
        <f aca="false">Assumptions!$N$55*MIN(J4664+J4671+J4669-J4670-J4672,MAX(0,J4722-J4647-J4660))</f>
        <v>0</v>
      </c>
      <c r="K4673" s="25" t="n">
        <f aca="false">Assumptions!$N$55*MIN(K4664+K4671+K4669-K4670-K4672,MAX(0,K4722-K4647-K4660))</f>
        <v>0</v>
      </c>
    </row>
    <row r="4674" customFormat="false" ht="15" hidden="false" customHeight="false" outlineLevel="0" collapsed="false">
      <c r="A4674" s="5" t="s">
        <v>273</v>
      </c>
      <c r="G4674" s="25" t="n">
        <f aca="false">G4665*(1-G4636)*(G4664-G4670+G4669-G4672)</f>
        <v>0</v>
      </c>
      <c r="H4674" s="25" t="n">
        <f aca="false">H4665*(1-H4636)*(H4664-H4670+H4669-H4672)</f>
        <v>0</v>
      </c>
      <c r="I4674" s="25" t="n">
        <f aca="false">I4665*(1-I4636)*(I4664-I4670+I4669-I4672)</f>
        <v>0</v>
      </c>
      <c r="J4674" s="25" t="n">
        <f aca="false">J4665*(1-J4636)*(J4664-J4670+J4669-J4672)</f>
        <v>250</v>
      </c>
      <c r="K4674" s="25" t="n">
        <f aca="false">K4665*(1-K4636)*(K4664-K4670+K4669-K4672)</f>
        <v>0</v>
      </c>
    </row>
    <row r="4675" customFormat="false" ht="15" hidden="false" customHeight="false" outlineLevel="0" collapsed="false">
      <c r="A4675" s="2" t="s">
        <v>274</v>
      </c>
      <c r="F4675" s="27" t="n">
        <f aca="false">Assumptions!$C$55</f>
        <v>250</v>
      </c>
      <c r="G4675" s="16" t="n">
        <f aca="false">G4664+G4671+G4669-G4670-G4672-G4673</f>
        <v>250</v>
      </c>
      <c r="H4675" s="16" t="n">
        <f aca="false">H4664+H4671+H4669-H4670-H4672-H4673</f>
        <v>250</v>
      </c>
      <c r="I4675" s="16" t="n">
        <f aca="false">I4664+I4671+I4669-I4670-I4672-I4673</f>
        <v>250</v>
      </c>
      <c r="J4675" s="16" t="n">
        <f aca="false">J4664+J4671+J4669-J4670-J4672-J4673</f>
        <v>250</v>
      </c>
      <c r="K4675" s="16" t="n">
        <f aca="false">K4664+K4671+K4669-K4670-K4672-K4673</f>
        <v>250</v>
      </c>
    </row>
    <row r="4676" customFormat="false" ht="15" hidden="false" customHeight="false" outlineLevel="0" collapsed="false">
      <c r="A4676" s="23" t="s">
        <v>277</v>
      </c>
      <c r="B4676" s="24"/>
      <c r="C4676" s="24"/>
      <c r="D4676" s="24"/>
      <c r="E4676" s="24"/>
      <c r="F4676" s="24"/>
      <c r="G4676" s="24"/>
      <c r="H4676" s="24"/>
      <c r="I4676" s="24"/>
      <c r="J4676" s="24"/>
      <c r="K4676" s="24"/>
    </row>
    <row r="4677" customFormat="false" ht="15" hidden="false" customHeight="false" outlineLevel="0" collapsed="false">
      <c r="A4677" s="5" t="s">
        <v>264</v>
      </c>
      <c r="G4677" s="25" t="n">
        <f aca="false">F4688</f>
        <v>300</v>
      </c>
      <c r="H4677" s="25" t="n">
        <f aca="false">G4688</f>
        <v>300</v>
      </c>
      <c r="I4677" s="25" t="n">
        <f aca="false">H4688</f>
        <v>300</v>
      </c>
      <c r="J4677" s="25" t="n">
        <f aca="false">I4688</f>
        <v>300</v>
      </c>
      <c r="K4677" s="25" t="n">
        <f aca="false">J4688</f>
        <v>300</v>
      </c>
    </row>
    <row r="4678" customFormat="false" ht="15" hidden="false" customHeight="false" outlineLevel="0" collapsed="false">
      <c r="A4678" s="5" t="s">
        <v>265</v>
      </c>
      <c r="G4678" s="20" t="n">
        <f aca="false">IF(G4602=Assumptions!$K$56,1,0)</f>
        <v>0</v>
      </c>
      <c r="H4678" s="20" t="n">
        <f aca="false">IF(H4602=Assumptions!$K$56,1,0)</f>
        <v>1</v>
      </c>
      <c r="I4678" s="20" t="n">
        <f aca="false">IF(I4602=Assumptions!$K$56,1,0)</f>
        <v>0</v>
      </c>
      <c r="J4678" s="20" t="n">
        <f aca="false">IF(J4602=Assumptions!$K$56,1,0)</f>
        <v>0</v>
      </c>
      <c r="K4678" s="20" t="n">
        <f aca="false">IF(K4602=Assumptions!$K$56,1,0)</f>
        <v>0</v>
      </c>
    </row>
    <row r="4680" customFormat="false" ht="15" hidden="false" customHeight="false" outlineLevel="0" collapsed="false">
      <c r="A4680" s="5" t="s">
        <v>266</v>
      </c>
      <c r="G4680" s="30" t="n">
        <f aca="false">IF(Assumptions!$I$56=1,MAX(G4628,Assumptions!$G$56)+Assumptions!$F$56+$C$4629,Assumptions!$E$56)</f>
        <v>0.075</v>
      </c>
      <c r="H4680" s="30" t="n">
        <f aca="false">IF(G4793=1,$C$4630,IF(Assumptions!$I$56=1,MAX(H4628,Assumptions!$G$56)+Assumptions!$F$56+$C$4629,Assumptions!$E$56))</f>
        <v>0.075</v>
      </c>
      <c r="I4680" s="30" t="n">
        <f aca="false">IF(H4793=1,$C$4630,IF(Assumptions!$I$56=1,MAX(I4628,Assumptions!$G$56)+Assumptions!$F$56+$C$4629,Assumptions!$E$56))</f>
        <v>0.075</v>
      </c>
      <c r="J4680" s="30" t="n">
        <f aca="false">IF(I4793=1,$C$4630,IF(Assumptions!$I$56=1,MAX(J4628,Assumptions!$G$56)+Assumptions!$F$56+$C$4629,Assumptions!$E$56))</f>
        <v>0.075</v>
      </c>
      <c r="K4680" s="30" t="n">
        <f aca="false">IF(J4793=1,$C$4630,IF(Assumptions!$I$56=1,MAX(K4628,Assumptions!$G$56)+Assumptions!$F$56+$C$4629,Assumptions!$E$56))</f>
        <v>0.075</v>
      </c>
    </row>
    <row r="4681" customFormat="false" ht="15" hidden="false" customHeight="false" outlineLevel="0" collapsed="false">
      <c r="A4681" s="5" t="s">
        <v>267</v>
      </c>
      <c r="G4681" s="25" t="n">
        <f aca="false">G4677*G4680</f>
        <v>22.5</v>
      </c>
      <c r="H4681" s="25" t="n">
        <f aca="false">H4677*H4680</f>
        <v>22.5</v>
      </c>
      <c r="I4681" s="25" t="n">
        <f aca="false">I4677*I4680</f>
        <v>22.5</v>
      </c>
      <c r="J4681" s="25" t="n">
        <f aca="false">J4677*J4680</f>
        <v>22.5</v>
      </c>
      <c r="K4681" s="25" t="n">
        <f aca="false">K4677*K4680</f>
        <v>22.5</v>
      </c>
    </row>
    <row r="4682" customFormat="false" ht="15" hidden="false" customHeight="false" outlineLevel="0" collapsed="false">
      <c r="A4682" s="5" t="s">
        <v>268</v>
      </c>
      <c r="G4682" s="25" t="n">
        <f aca="false">G4677*Assumptions!$H$56</f>
        <v>0</v>
      </c>
      <c r="H4682" s="25" t="n">
        <f aca="false">H4677*Assumptions!$H$56</f>
        <v>0</v>
      </c>
      <c r="I4682" s="25" t="n">
        <f aca="false">I4677*Assumptions!$H$56</f>
        <v>0</v>
      </c>
      <c r="J4682" s="25" t="n">
        <f aca="false">J4677*Assumptions!$H$56</f>
        <v>0</v>
      </c>
      <c r="K4682" s="25" t="n">
        <f aca="false">K4677*Assumptions!$H$56</f>
        <v>0</v>
      </c>
    </row>
    <row r="4683" customFormat="false" ht="15" hidden="false" customHeight="false" outlineLevel="0" collapsed="false">
      <c r="A4683" s="5" t="s">
        <v>269</v>
      </c>
      <c r="G4683" s="25" t="n">
        <f aca="false">MIN(G4677,Assumptions!$L$56*Assumptions!$C$56)</f>
        <v>0</v>
      </c>
      <c r="H4683" s="25" t="n">
        <f aca="false">MIN(H4677,Assumptions!$L$56*Assumptions!$C$56)</f>
        <v>0</v>
      </c>
      <c r="I4683" s="25" t="n">
        <f aca="false">MIN(I4677,Assumptions!$L$56*Assumptions!$C$56)</f>
        <v>0</v>
      </c>
      <c r="J4683" s="25" t="n">
        <f aca="false">MIN(J4677,Assumptions!$L$56*Assumptions!$C$56)</f>
        <v>0</v>
      </c>
      <c r="K4683" s="25" t="n">
        <f aca="false">MIN(K4677,Assumptions!$L$56*Assumptions!$C$56)</f>
        <v>0</v>
      </c>
    </row>
    <row r="4684" customFormat="false" ht="15" hidden="false" customHeight="false" outlineLevel="0" collapsed="false">
      <c r="A4684" s="5" t="s">
        <v>270</v>
      </c>
      <c r="G4684" s="25" t="n">
        <f aca="false">IF(AND(Assumptions!$P$56=1,G4602&lt;Assumptions!$K$56),MIN(MAX(0,-G4716),MAX(0,Assumptions!$D$56-G4677)),0)</f>
        <v>0</v>
      </c>
      <c r="H4684" s="25" t="n">
        <f aca="false">IF(AND(Assumptions!$P$56=1,OR(H4602&lt;Assumptions!$K$56,G4793=1)),MIN(MAX(0,-H4716),MAX(0,Assumptions!$D$56-H4677)),0)</f>
        <v>0</v>
      </c>
      <c r="I4684" s="25" t="n">
        <f aca="false">IF(AND(Assumptions!$P$56=1,OR(I4602&lt;Assumptions!$K$56,H4793=1)),MIN(MAX(0,-I4716),MAX(0,Assumptions!$D$56-I4677)),0)</f>
        <v>0</v>
      </c>
      <c r="J4684" s="25" t="n">
        <f aca="false">IF(AND(Assumptions!$P$56=1,OR(J4602&lt;Assumptions!$K$56,I4793=1)),MIN(MAX(0,-J4716),MAX(0,Assumptions!$D$56-J4677)),0)</f>
        <v>0</v>
      </c>
      <c r="K4684" s="25" t="n">
        <f aca="false">IF(AND(Assumptions!$P$56=1,OR(K4602&lt;Assumptions!$K$56,J4793=1)),MIN(MAX(0,-K4716),MAX(0,Assumptions!$D$56-K4677)),0)</f>
        <v>0</v>
      </c>
    </row>
    <row r="4685" customFormat="false" ht="15" hidden="false" customHeight="false" outlineLevel="0" collapsed="false">
      <c r="A4685" s="5" t="s">
        <v>271</v>
      </c>
      <c r="G4685" s="25" t="n">
        <f aca="false">G4678*MIN(G4677-G4683+G4682,MAX(0,G4718-Assumptions!$C$12*G4636-G4646-G4659-G4672))</f>
        <v>0</v>
      </c>
      <c r="H4685" s="25" t="n">
        <f aca="false">H4678*MIN(H4677-H4683+H4682,MAX(0,H4718-Assumptions!$C$12*H4636-H4646-H4659-H4672))</f>
        <v>0</v>
      </c>
      <c r="I4685" s="25" t="n">
        <f aca="false">I4678*MIN(I4677-I4683+I4682,MAX(0,I4718-Assumptions!$C$12*I4636-I4646-I4659-I4672))</f>
        <v>0</v>
      </c>
      <c r="J4685" s="25" t="n">
        <f aca="false">J4678*MIN(J4677-J4683+J4682,MAX(0,J4718-Assumptions!$C$12*J4636-J4646-J4659-J4672))</f>
        <v>0</v>
      </c>
      <c r="K4685" s="25" t="n">
        <f aca="false">K4678*MIN(K4677-K4683+K4682,MAX(0,K4718-Assumptions!$C$12*K4636-K4646-K4659-K4672))</f>
        <v>0</v>
      </c>
    </row>
    <row r="4686" customFormat="false" ht="15" hidden="false" customHeight="false" outlineLevel="0" collapsed="false">
      <c r="A4686" s="5" t="s">
        <v>272</v>
      </c>
      <c r="G4686" s="25" t="n">
        <f aca="false">Assumptions!$N$56*MIN(G4677+G4684+G4682-G4683-G4685,MAX(0,G4722-G4647-G4660-G4673))</f>
        <v>0</v>
      </c>
      <c r="H4686" s="25" t="n">
        <f aca="false">Assumptions!$N$56*MIN(H4677+H4684+H4682-H4683-H4685,MAX(0,H4722-H4647-H4660-H4673))</f>
        <v>0</v>
      </c>
      <c r="I4686" s="25" t="n">
        <f aca="false">Assumptions!$N$56*MIN(I4677+I4684+I4682-I4683-I4685,MAX(0,I4722-I4647-I4660-I4673))</f>
        <v>0</v>
      </c>
      <c r="J4686" s="25" t="n">
        <f aca="false">Assumptions!$N$56*MIN(J4677+J4684+J4682-J4683-J4685,MAX(0,J4722-J4647-J4660-J4673))</f>
        <v>0</v>
      </c>
      <c r="K4686" s="25" t="n">
        <f aca="false">Assumptions!$N$56*MIN(K4677+K4684+K4682-K4683-K4685,MAX(0,K4722-K4647-K4660-K4673))</f>
        <v>0</v>
      </c>
    </row>
    <row r="4687" customFormat="false" ht="15" hidden="false" customHeight="false" outlineLevel="0" collapsed="false">
      <c r="A4687" s="5" t="s">
        <v>273</v>
      </c>
      <c r="G4687" s="25" t="n">
        <f aca="false">G4678*(1-G4636)*(G4677-G4683+G4682-G4685)</f>
        <v>0</v>
      </c>
      <c r="H4687" s="25" t="n">
        <f aca="false">H4678*(1-H4636)*(H4677-H4683+H4682-H4685)</f>
        <v>300</v>
      </c>
      <c r="I4687" s="25" t="n">
        <f aca="false">I4678*(1-I4636)*(I4677-I4683+I4682-I4685)</f>
        <v>0</v>
      </c>
      <c r="J4687" s="25" t="n">
        <f aca="false">J4678*(1-J4636)*(J4677-J4683+J4682-J4685)</f>
        <v>0</v>
      </c>
      <c r="K4687" s="25" t="n">
        <f aca="false">K4678*(1-K4636)*(K4677-K4683+K4682-K4685)</f>
        <v>0</v>
      </c>
    </row>
    <row r="4688" customFormat="false" ht="15" hidden="false" customHeight="false" outlineLevel="0" collapsed="false">
      <c r="A4688" s="2" t="s">
        <v>274</v>
      </c>
      <c r="F4688" s="27" t="n">
        <f aca="false">Assumptions!$C$56</f>
        <v>300</v>
      </c>
      <c r="G4688" s="16" t="n">
        <f aca="false">G4677+G4684+G4682-G4683-G4685-G4686</f>
        <v>300</v>
      </c>
      <c r="H4688" s="16" t="n">
        <f aca="false">H4677+H4684+H4682-H4683-H4685-H4686</f>
        <v>300</v>
      </c>
      <c r="I4688" s="16" t="n">
        <f aca="false">I4677+I4684+I4682-I4683-I4685-I4686</f>
        <v>300</v>
      </c>
      <c r="J4688" s="16" t="n">
        <f aca="false">J4677+J4684+J4682-J4683-J4685-J4686</f>
        <v>300</v>
      </c>
      <c r="K4688" s="16" t="n">
        <f aca="false">K4677+K4684+K4682-K4683-K4685-K4686</f>
        <v>300</v>
      </c>
    </row>
    <row r="4689" customFormat="false" ht="15" hidden="false" customHeight="false" outlineLevel="0" collapsed="false">
      <c r="A4689" s="23" t="s">
        <v>278</v>
      </c>
      <c r="B4689" s="24"/>
      <c r="C4689" s="24"/>
      <c r="D4689" s="24"/>
      <c r="E4689" s="24"/>
      <c r="F4689" s="24"/>
      <c r="G4689" s="24"/>
      <c r="H4689" s="24"/>
      <c r="I4689" s="24"/>
      <c r="J4689" s="24"/>
      <c r="K4689" s="24"/>
    </row>
    <row r="4690" customFormat="false" ht="15" hidden="false" customHeight="false" outlineLevel="0" collapsed="false">
      <c r="A4690" s="2" t="s">
        <v>279</v>
      </c>
      <c r="F4690" s="16" t="n">
        <f aca="false">F4649+F4662+F4675+F4688</f>
        <v>1250</v>
      </c>
      <c r="G4690" s="16" t="n">
        <f aca="false">G4649+G4662+G4675+G4688</f>
        <v>1364.8</v>
      </c>
      <c r="H4690" s="16" t="n">
        <f aca="false">H4649+H4662+H4675+H4688</f>
        <v>1359.6</v>
      </c>
      <c r="I4690" s="16" t="n">
        <f aca="false">I4649+I4662+I4675+I4688</f>
        <v>1354.4</v>
      </c>
      <c r="J4690" s="16" t="n">
        <f aca="false">J4649+J4662+J4675+J4688</f>
        <v>1349.2</v>
      </c>
      <c r="K4690" s="16" t="n">
        <f aca="false">K4649+K4662+K4675+K4688</f>
        <v>1344</v>
      </c>
    </row>
    <row r="4691" customFormat="false" ht="15" hidden="false" customHeight="false" outlineLevel="0" collapsed="false">
      <c r="A4691" s="5" t="s">
        <v>280</v>
      </c>
      <c r="G4691" s="25" t="n">
        <f aca="false">G4639*Assumptions!$C$53+G4652*Assumptions!$C$54+G4665*Assumptions!$C$55+G4678*Assumptions!$C$56</f>
        <v>0</v>
      </c>
      <c r="H4691" s="25" t="n">
        <f aca="false">H4639*Assumptions!$C$53+H4652*Assumptions!$C$54+H4665*Assumptions!$C$55+H4678*Assumptions!$C$56</f>
        <v>480</v>
      </c>
      <c r="I4691" s="25" t="n">
        <f aca="false">I4639*Assumptions!$C$53+I4652*Assumptions!$C$54+I4665*Assumptions!$C$55+I4678*Assumptions!$C$56</f>
        <v>520</v>
      </c>
      <c r="J4691" s="25" t="n">
        <f aca="false">J4639*Assumptions!$C$53+J4652*Assumptions!$C$54+J4665*Assumptions!$C$55+J4678*Assumptions!$C$56</f>
        <v>250</v>
      </c>
      <c r="K4691" s="25" t="n">
        <f aca="false">K4639*Assumptions!$C$53+K4652*Assumptions!$C$54+K4665*Assumptions!$C$55+K4678*Assumptions!$C$56</f>
        <v>0</v>
      </c>
    </row>
    <row r="4692" customFormat="false" ht="15" hidden="false" customHeight="false" outlineLevel="0" collapsed="false">
      <c r="A4692" s="23" t="s">
        <v>281</v>
      </c>
      <c r="B4692" s="24"/>
      <c r="C4692" s="24"/>
      <c r="D4692" s="24"/>
      <c r="E4692" s="24"/>
      <c r="F4692" s="24"/>
      <c r="G4692" s="24"/>
      <c r="H4692" s="24"/>
      <c r="I4692" s="24"/>
      <c r="J4692" s="24"/>
      <c r="K4692" s="24"/>
    </row>
    <row r="4693" customFormat="false" ht="15" hidden="false" customHeight="false" outlineLevel="0" collapsed="false">
      <c r="A4693" s="5" t="s">
        <v>282</v>
      </c>
      <c r="C4693" s="25" t="n">
        <f aca="false">SUMPRODUCT($G$4639:$K$4639,$G$4638:$K$4638-$G$4644:$K$4644+$G$4643:$K$4643)</f>
        <v>300</v>
      </c>
    </row>
    <row r="4694" customFormat="false" ht="15" hidden="false" customHeight="false" outlineLevel="0" collapsed="false">
      <c r="A4694" s="5" t="s">
        <v>283</v>
      </c>
      <c r="C4694" s="25" t="n">
        <f aca="false">SUMPRODUCT($G$4639:$K$4639,$G$4646:$K$4646)</f>
        <v>0</v>
      </c>
    </row>
    <row r="4695" customFormat="false" ht="15" hidden="false" customHeight="false" outlineLevel="0" collapsed="false">
      <c r="A4695" s="5" t="s">
        <v>284</v>
      </c>
      <c r="C4695" s="5" t="str">
        <f aca="false">IF(SUM($G$4639:$K$4639)=0,"n/a (beyond horizon)",IF(SUMPRODUCT($G$4639:$K$4639,$G$4636:$K$4636)&gt;0,"REFINANCING PASS","REFINANCING FAILURE"))</f>
        <v>REFINANCING FAILURE</v>
      </c>
    </row>
    <row r="4696" customFormat="false" ht="15" hidden="false" customHeight="false" outlineLevel="0" collapsed="false">
      <c r="A4696" s="5" t="s">
        <v>285</v>
      </c>
      <c r="C4696" s="5" t="str">
        <f aca="false">IF(SUM($G$4639:$K$4639)=0,"n/a",IF(C4694&gt;=C4693-0.001,"Repaid from cash",IF(SUMPRODUCT($G$4639:$K$4639,$G$4636:$K$4636)&gt;0,IF(C4694&gt;0,"Partly repaid; remainder refinanced","Refinanced"),IF(SUM($G$4648:$K$4648)&gt;0.001,IF(C4694&gt;0,"Partial repayment; PAYMENT DEFAULT","PAYMENT DEFAULT"),"Repaid from cash"))))</f>
        <v>PAYMENT DEFAULT</v>
      </c>
    </row>
    <row r="4697" customFormat="false" ht="15" hidden="false" customHeight="false" outlineLevel="0" collapsed="false">
      <c r="A4697" s="5" t="s">
        <v>286</v>
      </c>
      <c r="C4697" s="25" t="n">
        <f aca="false">SUMPRODUCT($G$4652:$K$4652,$G$4651:$K$4651-$G$4657:$K$4657+$G$4656:$K$4656)</f>
        <v>504.4</v>
      </c>
    </row>
    <row r="4698" customFormat="false" ht="15" hidden="false" customHeight="false" outlineLevel="0" collapsed="false">
      <c r="A4698" s="5" t="s">
        <v>287</v>
      </c>
      <c r="C4698" s="25" t="n">
        <f aca="false">SUMPRODUCT($G$4652:$K$4652,$G$4659:$K$4659)</f>
        <v>0</v>
      </c>
    </row>
    <row r="4699" customFormat="false" ht="15" hidden="false" customHeight="false" outlineLevel="0" collapsed="false">
      <c r="A4699" s="5" t="s">
        <v>288</v>
      </c>
      <c r="C4699" s="5" t="str">
        <f aca="false">IF(SUM($G$4652:$K$4652)=0,"n/a (beyond horizon)",IF(SUMPRODUCT($G$4652:$K$4652,$G$4636:$K$4636)&gt;0,"REFINANCING PASS","REFINANCING FAILURE"))</f>
        <v>REFINANCING FAILURE</v>
      </c>
    </row>
    <row r="4700" customFormat="false" ht="15" hidden="false" customHeight="false" outlineLevel="0" collapsed="false">
      <c r="A4700" s="5" t="s">
        <v>289</v>
      </c>
      <c r="C4700" s="5" t="str">
        <f aca="false">IF(SUM($G$4652:$K$4652)=0,"n/a",IF(C4698&gt;=C4697-0.001,"Repaid from cash",IF(SUMPRODUCT($G$4652:$K$4652,$G$4636:$K$4636)&gt;0,IF(C4698&gt;0,"Partly repaid; remainder refinanced","Refinanced"),IF(SUM($G$4661:$K$4661)&gt;0.001,IF(C4698&gt;0,"Partial repayment; PAYMENT DEFAULT","PAYMENT DEFAULT"),"Repaid from cash"))))</f>
        <v>PAYMENT DEFAULT</v>
      </c>
    </row>
    <row r="4701" customFormat="false" ht="15" hidden="false" customHeight="false" outlineLevel="0" collapsed="false">
      <c r="A4701" s="5" t="s">
        <v>290</v>
      </c>
      <c r="C4701" s="25" t="n">
        <f aca="false">SUMPRODUCT($G$4665:$K$4665,$G$4664:$K$4664-$G$4670:$K$4670+$G$4669:$K$4669)</f>
        <v>250</v>
      </c>
    </row>
    <row r="4702" customFormat="false" ht="15" hidden="false" customHeight="false" outlineLevel="0" collapsed="false">
      <c r="A4702" s="5" t="s">
        <v>291</v>
      </c>
      <c r="C4702" s="25" t="n">
        <f aca="false">SUMPRODUCT($G$4665:$K$4665,$G$4672:$K$4672)</f>
        <v>0</v>
      </c>
    </row>
    <row r="4703" customFormat="false" ht="15" hidden="false" customHeight="false" outlineLevel="0" collapsed="false">
      <c r="A4703" s="5" t="s">
        <v>292</v>
      </c>
      <c r="C4703" s="5" t="str">
        <f aca="false">IF(SUM($G$4665:$K$4665)=0,"n/a (beyond horizon)",IF(SUMPRODUCT($G$4665:$K$4665,$G$4636:$K$4636)&gt;0,"REFINANCING PASS","REFINANCING FAILURE"))</f>
        <v>REFINANCING FAILURE</v>
      </c>
    </row>
    <row r="4704" customFormat="false" ht="15" hidden="false" customHeight="false" outlineLevel="0" collapsed="false">
      <c r="A4704" s="5" t="s">
        <v>293</v>
      </c>
      <c r="C4704" s="5" t="str">
        <f aca="false">IF(SUM($G$4665:$K$4665)=0,"n/a",IF(C4702&gt;=C4701-0.001,"Repaid from cash",IF(SUMPRODUCT($G$4665:$K$4665,$G$4636:$K$4636)&gt;0,IF(C4702&gt;0,"Partly repaid; remainder refinanced","Refinanced"),IF(SUM($G$4674:$K$4674)&gt;0.001,IF(C4702&gt;0,"Partial repayment; PAYMENT DEFAULT","PAYMENT DEFAULT"),"Repaid from cash"))))</f>
        <v>PAYMENT DEFAULT</v>
      </c>
    </row>
    <row r="4705" customFormat="false" ht="15" hidden="false" customHeight="false" outlineLevel="0" collapsed="false">
      <c r="A4705" s="5" t="s">
        <v>294</v>
      </c>
      <c r="C4705" s="25" t="n">
        <f aca="false">SUMPRODUCT($G$4678:$K$4678,$G$4677:$K$4677-$G$4683:$K$4683+$G$4682:$K$4682)</f>
        <v>300</v>
      </c>
    </row>
    <row r="4706" customFormat="false" ht="15" hidden="false" customHeight="false" outlineLevel="0" collapsed="false">
      <c r="A4706" s="5" t="s">
        <v>295</v>
      </c>
      <c r="C4706" s="25" t="n">
        <f aca="false">SUMPRODUCT($G$4678:$K$4678,$G$4685:$K$4685)</f>
        <v>0</v>
      </c>
    </row>
    <row r="4707" customFormat="false" ht="15" hidden="false" customHeight="false" outlineLevel="0" collapsed="false">
      <c r="A4707" s="5" t="s">
        <v>296</v>
      </c>
      <c r="C4707" s="5" t="str">
        <f aca="false">IF(SUM($G$4678:$K$4678)=0,"n/a (beyond horizon)",IF(SUMPRODUCT($G$4678:$K$4678,$G$4636:$K$4636)&gt;0,"REFINANCING PASS","REFINANCING FAILURE"))</f>
        <v>REFINANCING FAILURE</v>
      </c>
    </row>
    <row r="4708" customFormat="false" ht="15" hidden="false" customHeight="false" outlineLevel="0" collapsed="false">
      <c r="A4708" s="5" t="s">
        <v>297</v>
      </c>
      <c r="C4708" s="5" t="str">
        <f aca="false">IF(SUM($G$4678:$K$4678)=0,"n/a",IF(C4706&gt;=C4705-0.001,"Repaid from cash",IF(SUMPRODUCT($G$4678:$K$4678,$G$4636:$K$4636)&gt;0,IF(C4706&gt;0,"Partly repaid; remainder refinanced","Refinanced"),IF(SUM($G$4687:$K$4687)&gt;0.001,IF(C4706&gt;0,"Partial repayment; PAYMENT DEFAULT","PAYMENT DEFAULT"),"Repaid from cash"))))</f>
        <v>PAYMENT DEFAULT</v>
      </c>
    </row>
    <row r="4709" customFormat="false" ht="15" hidden="false" customHeight="false" outlineLevel="0" collapsed="false">
      <c r="A4709" s="5" t="s">
        <v>298</v>
      </c>
      <c r="C4709" s="20" t="n">
        <f aca="false">IF(C4695="REFINANCING FAILURE",1,0)+IF(C4699="REFINANCING FAILURE",1,0)+IF(C4703="REFINANCING FAILURE",1,0)+IF(C4707="REFINANCING FAILURE",1,0)</f>
        <v>4</v>
      </c>
    </row>
    <row r="4711" customFormat="false" ht="15" hidden="false" customHeight="false" outlineLevel="0" collapsed="false">
      <c r="A4711" s="23" t="s">
        <v>300</v>
      </c>
      <c r="B4711" s="24"/>
      <c r="C4711" s="24"/>
      <c r="D4711" s="24"/>
      <c r="E4711" s="24"/>
      <c r="F4711" s="24"/>
      <c r="G4711" s="24"/>
      <c r="H4711" s="24"/>
      <c r="I4711" s="24"/>
      <c r="J4711" s="24"/>
      <c r="K4711" s="24"/>
    </row>
    <row r="4712" customFormat="false" ht="15" hidden="false" customHeight="false" outlineLevel="0" collapsed="false">
      <c r="A4712" s="5" t="s">
        <v>260</v>
      </c>
      <c r="G4712" s="25" t="n">
        <f aca="false">F4724</f>
        <v>45</v>
      </c>
      <c r="H4712" s="25" t="n">
        <f aca="false">G4724</f>
        <v>-8.44480000000002</v>
      </c>
      <c r="I4712" s="25" t="n">
        <f aca="false">H4724</f>
        <v>-219.366376</v>
      </c>
      <c r="J4712" s="25" t="n">
        <f aca="false">I4724</f>
        <v>-449.111839424</v>
      </c>
      <c r="K4712" s="25" t="n">
        <f aca="false">J4724</f>
        <v>-680.50239957376</v>
      </c>
    </row>
    <row r="4713" customFormat="false" ht="15" hidden="false" customHeight="false" outlineLevel="0" collapsed="false">
      <c r="A4713" s="5" t="s">
        <v>301</v>
      </c>
      <c r="G4713" s="25" t="n">
        <f aca="false">G4625</f>
        <v>-168.2448</v>
      </c>
      <c r="H4713" s="25" t="n">
        <f aca="false">H4625</f>
        <v>-205.721576</v>
      </c>
      <c r="I4713" s="25" t="n">
        <f aca="false">I4625</f>
        <v>-224.545463424</v>
      </c>
      <c r="J4713" s="25" t="n">
        <f aca="false">J4625</f>
        <v>-226.19056014976</v>
      </c>
      <c r="K4713" s="25" t="n">
        <f aca="false">K4625</f>
        <v>-224.741686548262</v>
      </c>
    </row>
    <row r="4714" customFormat="false" ht="15" hidden="false" customHeight="false" outlineLevel="0" collapsed="false">
      <c r="A4714" s="5" t="s">
        <v>302</v>
      </c>
      <c r="G4714" s="25" t="n">
        <f aca="false">CHOOSE($C$4595,Assumptions!$G$68,Assumptions!$G$87,Assumptions!$G$106)</f>
        <v>0</v>
      </c>
      <c r="H4714" s="25" t="n">
        <f aca="false">CHOOSE($C$4595,Assumptions!$H$68,Assumptions!$H$87,Assumptions!$H$106)</f>
        <v>0</v>
      </c>
      <c r="I4714" s="25" t="n">
        <f aca="false">CHOOSE($C$4595,Assumptions!$I$68,Assumptions!$I$87,Assumptions!$I$106)</f>
        <v>0</v>
      </c>
      <c r="J4714" s="25" t="n">
        <f aca="false">CHOOSE($C$4595,Assumptions!$J$68,Assumptions!$J$87,Assumptions!$J$106)</f>
        <v>0</v>
      </c>
      <c r="K4714" s="25" t="n">
        <f aca="false">CHOOSE($C$4595,Assumptions!$K$68,Assumptions!$K$87,Assumptions!$K$106)</f>
        <v>0</v>
      </c>
    </row>
    <row r="4715" customFormat="false" ht="15" hidden="false" customHeight="false" outlineLevel="0" collapsed="false">
      <c r="A4715" s="5" t="s">
        <v>303</v>
      </c>
      <c r="G4715" s="25" t="n">
        <f aca="false">G4644+G4657+G4670+G4683</f>
        <v>5.2</v>
      </c>
      <c r="H4715" s="25" t="n">
        <f aca="false">H4644+H4657+H4670+H4683</f>
        <v>5.2</v>
      </c>
      <c r="I4715" s="25" t="n">
        <f aca="false">I4644+I4657+I4670+I4683</f>
        <v>5.2</v>
      </c>
      <c r="J4715" s="25" t="n">
        <f aca="false">J4644+J4657+J4670+J4683</f>
        <v>5.2</v>
      </c>
      <c r="K4715" s="25" t="n">
        <f aca="false">K4644+K4657+K4670+K4683</f>
        <v>5.2</v>
      </c>
    </row>
    <row r="4716" customFormat="false" ht="15" hidden="false" customHeight="false" outlineLevel="0" collapsed="false">
      <c r="A4716" s="2" t="s">
        <v>304</v>
      </c>
      <c r="G4716" s="16" t="n">
        <f aca="false">G4712+G4713+G4714-G4715</f>
        <v>-128.4448</v>
      </c>
      <c r="H4716" s="16" t="n">
        <f aca="false">H4712+H4713+H4714-H4715</f>
        <v>-219.366376</v>
      </c>
      <c r="I4716" s="16" t="n">
        <f aca="false">I4712+I4713+I4714-I4715</f>
        <v>-449.111839424</v>
      </c>
      <c r="J4716" s="16" t="n">
        <f aca="false">J4712+J4713+J4714-J4715</f>
        <v>-680.50239957376</v>
      </c>
      <c r="K4716" s="16" t="n">
        <f aca="false">K4712+K4713+K4714-K4715</f>
        <v>-910.444086122023</v>
      </c>
    </row>
    <row r="4717" customFormat="false" ht="15" hidden="false" customHeight="false" outlineLevel="0" collapsed="false">
      <c r="A4717" s="5" t="s">
        <v>305</v>
      </c>
      <c r="G4717" s="25" t="n">
        <f aca="false">G4645+G4658+G4671+G4684</f>
        <v>120</v>
      </c>
      <c r="H4717" s="25" t="n">
        <f aca="false">H4645+H4658+H4671+H4684</f>
        <v>0</v>
      </c>
      <c r="I4717" s="25" t="n">
        <f aca="false">I4645+I4658+I4671+I4684</f>
        <v>0</v>
      </c>
      <c r="J4717" s="25" t="n">
        <f aca="false">J4645+J4658+J4671+J4684</f>
        <v>0</v>
      </c>
      <c r="K4717" s="25" t="n">
        <f aca="false">K4645+K4658+K4671+K4684</f>
        <v>0</v>
      </c>
    </row>
    <row r="4718" customFormat="false" ht="15" hidden="false" customHeight="false" outlineLevel="0" collapsed="false">
      <c r="A4718" s="2" t="s">
        <v>306</v>
      </c>
      <c r="G4718" s="16" t="n">
        <f aca="false">G4716+G4717</f>
        <v>-8.44480000000002</v>
      </c>
      <c r="H4718" s="16" t="n">
        <f aca="false">H4716+H4717</f>
        <v>-219.366376</v>
      </c>
      <c r="I4718" s="16" t="n">
        <f aca="false">I4716+I4717</f>
        <v>-449.111839424</v>
      </c>
      <c r="J4718" s="16" t="n">
        <f aca="false">J4716+J4717</f>
        <v>-680.50239957376</v>
      </c>
      <c r="K4718" s="16" t="n">
        <f aca="false">K4716+K4717</f>
        <v>-910.444086122023</v>
      </c>
    </row>
    <row r="4719" customFormat="false" ht="15" hidden="false" customHeight="false" outlineLevel="0" collapsed="false">
      <c r="A4719" s="5" t="s">
        <v>307</v>
      </c>
      <c r="G4719" s="25" t="n">
        <f aca="false">G4646+G4659+G4672+G4685</f>
        <v>0</v>
      </c>
      <c r="H4719" s="25" t="n">
        <f aca="false">H4646+H4659+H4672+H4685</f>
        <v>0</v>
      </c>
      <c r="I4719" s="25" t="n">
        <f aca="false">I4646+I4659+I4672+I4685</f>
        <v>0</v>
      </c>
      <c r="J4719" s="25" t="n">
        <f aca="false">J4646+J4659+J4672+J4685</f>
        <v>0</v>
      </c>
      <c r="K4719" s="25" t="n">
        <f aca="false">K4646+K4659+K4672+K4685</f>
        <v>0</v>
      </c>
    </row>
    <row r="4720" customFormat="false" ht="15" hidden="false" customHeight="false" outlineLevel="0" collapsed="false">
      <c r="A4720" s="2" t="s">
        <v>308</v>
      </c>
      <c r="G4720" s="16" t="n">
        <f aca="false">G4718-G4719</f>
        <v>-8.44480000000002</v>
      </c>
      <c r="H4720" s="16" t="n">
        <f aca="false">H4718-H4719</f>
        <v>-219.366376</v>
      </c>
      <c r="I4720" s="16" t="n">
        <f aca="false">I4718-I4719</f>
        <v>-449.111839424</v>
      </c>
      <c r="J4720" s="16" t="n">
        <f aca="false">J4718-J4719</f>
        <v>-680.50239957376</v>
      </c>
      <c r="K4720" s="16" t="n">
        <f aca="false">K4718-K4719</f>
        <v>-910.444086122023</v>
      </c>
    </row>
    <row r="4721" customFormat="false" ht="15" hidden="false" customHeight="false" outlineLevel="0" collapsed="false">
      <c r="A4721" s="5" t="s">
        <v>309</v>
      </c>
      <c r="G4721" s="25" t="n">
        <f aca="false">MAX(0,-G4720)</f>
        <v>8.44480000000002</v>
      </c>
      <c r="H4721" s="25" t="n">
        <f aca="false">MAX(0,-H4720)</f>
        <v>219.366376</v>
      </c>
      <c r="I4721" s="25" t="n">
        <f aca="false">MAX(0,-I4720)</f>
        <v>449.111839424</v>
      </c>
      <c r="J4721" s="25" t="n">
        <f aca="false">MAX(0,-J4720)</f>
        <v>680.50239957376</v>
      </c>
      <c r="K4721" s="25" t="n">
        <f aca="false">MAX(0,-K4720)</f>
        <v>910.444086122023</v>
      </c>
    </row>
    <row r="4722" customFormat="false" ht="15" hidden="false" customHeight="false" outlineLevel="0" collapsed="false">
      <c r="A4722" s="5" t="s">
        <v>310</v>
      </c>
      <c r="G4722" s="25" t="n">
        <f aca="false">MAX(0,G4720-Assumptions!$C$12)*Assumptions!$C$13</f>
        <v>0</v>
      </c>
      <c r="H4722" s="25" t="n">
        <f aca="false">MAX(0,H4720-Assumptions!$C$12)*Assumptions!$C$13</f>
        <v>0</v>
      </c>
      <c r="I4722" s="25" t="n">
        <f aca="false">MAX(0,I4720-Assumptions!$C$12)*Assumptions!$C$13</f>
        <v>0</v>
      </c>
      <c r="J4722" s="25" t="n">
        <f aca="false">MAX(0,J4720-Assumptions!$C$12)*Assumptions!$C$13</f>
        <v>0</v>
      </c>
      <c r="K4722" s="25" t="n">
        <f aca="false">MAX(0,K4720-Assumptions!$C$12)*Assumptions!$C$13</f>
        <v>0</v>
      </c>
    </row>
    <row r="4723" customFormat="false" ht="15" hidden="false" customHeight="false" outlineLevel="0" collapsed="false">
      <c r="A4723" s="5" t="s">
        <v>311</v>
      </c>
      <c r="G4723" s="25" t="n">
        <f aca="false">G4647+G4660+G4673+G4686</f>
        <v>0</v>
      </c>
      <c r="H4723" s="25" t="n">
        <f aca="false">H4647+H4660+H4673+H4686</f>
        <v>0</v>
      </c>
      <c r="I4723" s="25" t="n">
        <f aca="false">I4647+I4660+I4673+I4686</f>
        <v>0</v>
      </c>
      <c r="J4723" s="25" t="n">
        <f aca="false">J4647+J4660+J4673+J4686</f>
        <v>0</v>
      </c>
      <c r="K4723" s="25" t="n">
        <f aca="false">K4647+K4660+K4673+K4686</f>
        <v>0</v>
      </c>
    </row>
    <row r="4724" customFormat="false" ht="15" hidden="false" customHeight="false" outlineLevel="0" collapsed="false">
      <c r="A4724" s="2" t="s">
        <v>312</v>
      </c>
      <c r="F4724" s="27" t="n">
        <f aca="false">Assumptions!$C$11</f>
        <v>45</v>
      </c>
      <c r="G4724" s="16" t="n">
        <f aca="false">G4720-G4723</f>
        <v>-8.44480000000002</v>
      </c>
      <c r="H4724" s="16" t="n">
        <f aca="false">H4720-H4723</f>
        <v>-219.366376</v>
      </c>
      <c r="I4724" s="16" t="n">
        <f aca="false">I4720-I4723</f>
        <v>-449.111839424</v>
      </c>
      <c r="J4724" s="16" t="n">
        <f aca="false">J4720-J4723</f>
        <v>-680.50239957376</v>
      </c>
      <c r="K4724" s="16" t="n">
        <f aca="false">K4720-K4723</f>
        <v>-910.444086122023</v>
      </c>
    </row>
    <row r="4725" customFormat="false" ht="15" hidden="false" customHeight="false" outlineLevel="0" collapsed="false">
      <c r="A4725" s="5" t="s">
        <v>313</v>
      </c>
      <c r="G4725" s="25" t="n">
        <f aca="false">G4648+G4661+G4674+G4687</f>
        <v>0</v>
      </c>
      <c r="H4725" s="25" t="n">
        <f aca="false">H4648+H4661+H4674+H4687</f>
        <v>600</v>
      </c>
      <c r="I4725" s="25" t="n">
        <f aca="false">I4648+I4661+I4674+I4687</f>
        <v>504.4</v>
      </c>
      <c r="J4725" s="25" t="n">
        <f aca="false">J4648+J4661+J4674+J4687</f>
        <v>250</v>
      </c>
      <c r="K4725" s="25" t="n">
        <f aca="false">K4648+K4661+K4674+K4687</f>
        <v>0</v>
      </c>
    </row>
    <row r="4726" customFormat="false" ht="15" hidden="false" customHeight="false" outlineLevel="0" collapsed="false">
      <c r="A4726" s="5" t="s">
        <v>314</v>
      </c>
      <c r="G4726" s="20" t="n">
        <f aca="false">IF(OR(G4721&gt;0.001,G4725&gt;0.001),1,0)</f>
        <v>1</v>
      </c>
      <c r="H4726" s="20" t="n">
        <f aca="false">IF(OR(H4721&gt;0.001,H4725&gt;0.001),1,0)</f>
        <v>1</v>
      </c>
      <c r="I4726" s="20" t="n">
        <f aca="false">IF(OR(I4721&gt;0.001,I4725&gt;0.001),1,0)</f>
        <v>1</v>
      </c>
      <c r="J4726" s="20" t="n">
        <f aca="false">IF(OR(J4721&gt;0.001,J4725&gt;0.001),1,0)</f>
        <v>1</v>
      </c>
      <c r="K4726" s="20" t="n">
        <f aca="false">IF(OR(K4721&gt;0.001,K4725&gt;0.001),1,0)</f>
        <v>1</v>
      </c>
    </row>
    <row r="4727" customFormat="false" ht="15" hidden="false" customHeight="false" outlineLevel="0" collapsed="false">
      <c r="A4727" s="5" t="s">
        <v>315</v>
      </c>
      <c r="G4727" s="20" t="n">
        <f aca="false">IF(G4726=1,1,0)</f>
        <v>1</v>
      </c>
      <c r="H4727" s="20" t="n">
        <f aca="false">IF(AND(H4726=1,SUM($G$4726:G4726)=0),1,0)</f>
        <v>0</v>
      </c>
      <c r="I4727" s="20" t="n">
        <f aca="false">IF(AND(I4726=1,SUM($G$4726:H4726)=0),1,0)</f>
        <v>0</v>
      </c>
      <c r="J4727" s="20" t="n">
        <f aca="false">IF(AND(J4726=1,SUM($G$4726:I4726)=0),1,0)</f>
        <v>0</v>
      </c>
      <c r="K4727" s="20" t="n">
        <f aca="false">IF(AND(K4726=1,SUM($G$4726:J4726)=0),1,0)</f>
        <v>0</v>
      </c>
    </row>
    <row r="4728" customFormat="false" ht="15" hidden="false" customHeight="false" outlineLevel="0" collapsed="false">
      <c r="A4728" s="5" t="s">
        <v>316</v>
      </c>
      <c r="G4728" s="25" t="n">
        <f aca="false">(G4690-F4690)-(G4717+G4617-G4715-G4719-G4723)</f>
        <v>0</v>
      </c>
      <c r="H4728" s="25" t="n">
        <f aca="false">(H4690-G4690)-(H4717+H4617-H4715-H4719-H4723)</f>
        <v>-4.52970994047064E-014</v>
      </c>
      <c r="I4728" s="25" t="n">
        <f aca="false">(I4690-H4690)-(I4717+I4617-I4715-I4719-I4723)</f>
        <v>1.82076576038526E-013</v>
      </c>
      <c r="J4728" s="25" t="n">
        <f aca="false">(J4690-I4690)-(J4717+J4617-J4715-J4719-J4723)</f>
        <v>-4.52970994047064E-014</v>
      </c>
      <c r="K4728" s="25" t="n">
        <f aca="false">(K4690-J4690)-(K4717+K4617-K4715-K4719-K4723)</f>
        <v>-4.52970994047064E-014</v>
      </c>
    </row>
    <row r="4730" customFormat="false" ht="15" hidden="false" customHeight="false" outlineLevel="0" collapsed="false">
      <c r="A4730" s="23" t="s">
        <v>318</v>
      </c>
      <c r="B4730" s="24"/>
      <c r="C4730" s="24"/>
      <c r="D4730" s="24"/>
      <c r="E4730" s="24"/>
      <c r="F4730" s="24"/>
      <c r="G4730" s="24"/>
      <c r="H4730" s="24"/>
      <c r="I4730" s="24"/>
      <c r="J4730" s="24"/>
      <c r="K4730" s="24"/>
    </row>
    <row r="4731" customFormat="false" ht="15" hidden="false" customHeight="false" outlineLevel="0" collapsed="false">
      <c r="A4731" s="5" t="s">
        <v>319</v>
      </c>
      <c r="G4731" s="25" t="n">
        <f aca="false">G4690</f>
        <v>1364.8</v>
      </c>
      <c r="H4731" s="25" t="n">
        <f aca="false">H4690</f>
        <v>1359.6</v>
      </c>
      <c r="I4731" s="25" t="n">
        <f aca="false">I4690</f>
        <v>1354.4</v>
      </c>
      <c r="J4731" s="25" t="n">
        <f aca="false">J4690</f>
        <v>1349.2</v>
      </c>
      <c r="K4731" s="25" t="n">
        <f aca="false">K4690</f>
        <v>1344</v>
      </c>
    </row>
    <row r="4732" customFormat="false" ht="15" hidden="false" customHeight="false" outlineLevel="0" collapsed="false">
      <c r="A4732" s="5" t="s">
        <v>320</v>
      </c>
      <c r="G4732" s="25" t="n">
        <f aca="false">Assumptions!$O$53*G4649+Assumptions!$O$54*G4662+Assumptions!$O$55*G4675+Assumptions!$O$56*G4688</f>
        <v>1064.8</v>
      </c>
      <c r="H4732" s="25" t="n">
        <f aca="false">Assumptions!$O$53*H4649+Assumptions!$O$54*H4662+Assumptions!$O$55*H4675+Assumptions!$O$56*H4688</f>
        <v>1059.6</v>
      </c>
      <c r="I4732" s="25" t="n">
        <f aca="false">Assumptions!$O$53*I4649+Assumptions!$O$54*I4662+Assumptions!$O$55*I4675+Assumptions!$O$56*I4688</f>
        <v>1054.4</v>
      </c>
      <c r="J4732" s="25" t="n">
        <f aca="false">Assumptions!$O$53*J4649+Assumptions!$O$54*J4662+Assumptions!$O$55*J4675+Assumptions!$O$56*J4688</f>
        <v>1049.2</v>
      </c>
      <c r="K4732" s="25" t="n">
        <f aca="false">Assumptions!$O$53*K4649+Assumptions!$O$54*K4662+Assumptions!$O$55*K4675+Assumptions!$O$56*K4688</f>
        <v>1044</v>
      </c>
    </row>
    <row r="4733" customFormat="false" ht="15" hidden="false" customHeight="false" outlineLevel="0" collapsed="false">
      <c r="A4733" s="5" t="s">
        <v>321</v>
      </c>
      <c r="G4733" s="25" t="n">
        <f aca="false">G4731-G4724</f>
        <v>1373.2448</v>
      </c>
      <c r="H4733" s="25" t="n">
        <f aca="false">H4731-H4724</f>
        <v>1578.966376</v>
      </c>
      <c r="I4733" s="25" t="n">
        <f aca="false">I4731-I4724</f>
        <v>1803.511839424</v>
      </c>
      <c r="J4733" s="25" t="n">
        <f aca="false">J4731-J4724</f>
        <v>2029.70239957376</v>
      </c>
      <c r="K4733" s="25" t="n">
        <f aca="false">K4731-K4724</f>
        <v>2254.44408612202</v>
      </c>
    </row>
    <row r="4734" customFormat="false" ht="15" hidden="false" customHeight="false" outlineLevel="0" collapsed="false">
      <c r="A4734" s="5" t="s">
        <v>322</v>
      </c>
      <c r="G4734" s="31" t="n">
        <f aca="false">IF(G4612&gt;0,G4731/G4612,0)</f>
        <v>0</v>
      </c>
      <c r="H4734" s="31" t="n">
        <f aca="false">IF(H4612&gt;0,H4731/H4612,0)</f>
        <v>0</v>
      </c>
      <c r="I4734" s="31" t="n">
        <f aca="false">IF(I4612&gt;0,I4731/I4612,0)</f>
        <v>0</v>
      </c>
      <c r="J4734" s="31" t="n">
        <f aca="false">IF(J4612&gt;0,J4731/J4612,0)</f>
        <v>0</v>
      </c>
      <c r="K4734" s="31" t="n">
        <f aca="false">IF(K4612&gt;0,K4731/K4612,0)</f>
        <v>0</v>
      </c>
    </row>
    <row r="4735" customFormat="false" ht="15" hidden="false" customHeight="false" outlineLevel="0" collapsed="false">
      <c r="A4735" s="5" t="s">
        <v>323</v>
      </c>
      <c r="G4735" s="31" t="n">
        <f aca="false">IF(G4612&gt;0,G4733/G4612,0)</f>
        <v>0</v>
      </c>
      <c r="H4735" s="31" t="n">
        <f aca="false">IF(H4612&gt;0,H4733/H4612,0)</f>
        <v>0</v>
      </c>
      <c r="I4735" s="31" t="n">
        <f aca="false">IF(I4612&gt;0,I4733/I4612,0)</f>
        <v>0</v>
      </c>
      <c r="J4735" s="31" t="n">
        <f aca="false">IF(J4612&gt;0,J4733/J4612,0)</f>
        <v>0</v>
      </c>
      <c r="K4735" s="31" t="n">
        <f aca="false">IF(K4612&gt;0,K4733/K4612,0)</f>
        <v>0</v>
      </c>
    </row>
    <row r="4736" customFormat="false" ht="15" hidden="false" customHeight="false" outlineLevel="0" collapsed="false">
      <c r="A4736" s="5" t="s">
        <v>324</v>
      </c>
      <c r="G4736" s="31" t="n">
        <f aca="false">IF(G4616&gt;0,G4612/G4616,0)</f>
        <v>-0.393830334190231</v>
      </c>
      <c r="H4736" s="31" t="n">
        <f aca="false">IF(H4616&gt;0,H4612/H4616,0)</f>
        <v>-0.317276967613869</v>
      </c>
      <c r="I4736" s="31" t="n">
        <f aca="false">IF(I4616&gt;0,I4612/I4616,0)</f>
        <v>-0.314650773183383</v>
      </c>
      <c r="J4736" s="31" t="n">
        <f aca="false">IF(J4616&gt;0,J4612/J4616,0)</f>
        <v>-0.312906488851858</v>
      </c>
      <c r="K4736" s="31" t="n">
        <f aca="false">IF(K4616&gt;0,K4612/K4616,0)</f>
        <v>-0.311178179501405</v>
      </c>
    </row>
    <row r="4737" customFormat="false" ht="15" hidden="false" customHeight="false" outlineLevel="0" collapsed="false">
      <c r="A4737" s="5" t="s">
        <v>325</v>
      </c>
      <c r="G4737" s="31" t="n">
        <f aca="false">IF(G4616&gt;0,G4615/G4616,0)</f>
        <v>-0.682639245929735</v>
      </c>
      <c r="H4737" s="31" t="n">
        <f aca="false">IF(H4616&gt;0,H4615/H4616,0)</f>
        <v>-0.549946743864039</v>
      </c>
      <c r="I4737" s="31" t="n">
        <f aca="false">IF(I4616&gt;0,I4615/I4616,0)</f>
        <v>-0.545394673517863</v>
      </c>
      <c r="J4737" s="31" t="n">
        <f aca="false">IF(J4616&gt;0,J4615/J4616,0)</f>
        <v>-0.54237124734322</v>
      </c>
      <c r="K4737" s="31" t="n">
        <f aca="false">IF(K4616&gt;0,K4615/K4616,0)</f>
        <v>-0.539375511135769</v>
      </c>
    </row>
    <row r="4738" customFormat="false" ht="15" hidden="false" customHeight="false" outlineLevel="0" collapsed="false">
      <c r="A4738" s="5" t="s">
        <v>182</v>
      </c>
      <c r="G4738" s="21" t="n">
        <f aca="false">IF(G4731&gt;0,G4625/G4731,0)</f>
        <v>-0.123274325908558</v>
      </c>
      <c r="H4738" s="21" t="n">
        <f aca="false">IF(H4731&gt;0,H4625/H4731,0)</f>
        <v>-0.151310367755222</v>
      </c>
      <c r="I4738" s="21" t="n">
        <f aca="false">IF(I4731&gt;0,I4625/I4731,0)</f>
        <v>-0.165789621547549</v>
      </c>
      <c r="J4738" s="21" t="n">
        <f aca="false">IF(J4731&gt;0,J4625/J4731,0)</f>
        <v>-0.167647909983516</v>
      </c>
      <c r="K4738" s="21" t="n">
        <f aca="false">IF(K4731&gt;0,K4625/K4731,0)</f>
        <v>-0.167218516776981</v>
      </c>
    </row>
    <row r="4739" customFormat="false" ht="15" hidden="false" customHeight="false" outlineLevel="0" collapsed="false">
      <c r="A4739" s="5" t="s">
        <v>326</v>
      </c>
      <c r="G4739" s="31" t="n">
        <f aca="false">IF(G4616+G4715&gt;0,(G4612-G4623-G4620)/(G4616+G4715),0)</f>
        <v>-0.582252822913798</v>
      </c>
      <c r="H4739" s="31" t="n">
        <f aca="false">IF(H4616+H4715&gt;0,(H4612-H4623-H4620)/(H4616+H4715),0)</f>
        <v>-0.47031969284939</v>
      </c>
      <c r="I4739" s="31" t="n">
        <f aca="false">IF(I4616+I4715&gt;0,(I4612-I4623-I4620)/(I4616+I4715),0)</f>
        <v>-0.466144769438128</v>
      </c>
      <c r="J4739" s="31" t="n">
        <f aca="false">IF(J4616+J4715&gt;0,(J4612-J4623-J4620)/(J4616+J4715),0)</f>
        <v>-0.463490096062803</v>
      </c>
      <c r="K4739" s="31" t="n">
        <f aca="false">IF(K4616+K4715&gt;0,(K4612-K4623-K4620)/(K4616+K4715),0)</f>
        <v>-0.460859255650766</v>
      </c>
    </row>
    <row r="4740" customFormat="false" ht="15" hidden="false" customHeight="false" outlineLevel="0" collapsed="false">
      <c r="A4740" s="5" t="s">
        <v>327</v>
      </c>
      <c r="G4740" s="25" t="n">
        <f aca="false">MAX(0,G4724)+Assumptions!$P$53*MAX(0,Assumptions!$D$53-G4649)+Assumptions!$P$54*MAX(0,Assumptions!$D$54-G4662)+Assumptions!$P$55*MAX(0,Assumptions!$D$55-G4675)+Assumptions!$P$56*MAX(0,Assumptions!$D$56-G4688)</f>
        <v>0</v>
      </c>
      <c r="H4740" s="25" t="n">
        <f aca="false">MAX(0,H4724)+Assumptions!$P$53*MAX(0,Assumptions!$D$53-H4649)+Assumptions!$P$54*MAX(0,Assumptions!$D$54-H4662)+Assumptions!$P$55*MAX(0,Assumptions!$D$55-H4675)+Assumptions!$P$56*MAX(0,Assumptions!$D$56-H4688)</f>
        <v>0</v>
      </c>
      <c r="I4740" s="25" t="n">
        <f aca="false">MAX(0,I4724)+Assumptions!$P$53*MAX(0,Assumptions!$D$53-I4649)+Assumptions!$P$54*MAX(0,Assumptions!$D$54-I4662)+Assumptions!$P$55*MAX(0,Assumptions!$D$55-I4675)+Assumptions!$P$56*MAX(0,Assumptions!$D$56-I4688)</f>
        <v>0</v>
      </c>
      <c r="J4740" s="25" t="n">
        <f aca="false">MAX(0,J4724)+Assumptions!$P$53*MAX(0,Assumptions!$D$53-J4649)+Assumptions!$P$54*MAX(0,Assumptions!$D$54-J4662)+Assumptions!$P$55*MAX(0,Assumptions!$D$55-J4675)+Assumptions!$P$56*MAX(0,Assumptions!$D$56-J4688)</f>
        <v>0</v>
      </c>
      <c r="K4740" s="25" t="n">
        <f aca="false">MAX(0,K4724)+Assumptions!$P$53*MAX(0,Assumptions!$D$53-K4649)+Assumptions!$P$54*MAX(0,Assumptions!$D$54-K4662)+Assumptions!$P$55*MAX(0,Assumptions!$D$55-K4675)+Assumptions!$P$56*MAX(0,Assumptions!$D$56-K4688)</f>
        <v>0</v>
      </c>
    </row>
    <row r="4741" customFormat="false" ht="15" hidden="false" customHeight="false" outlineLevel="0" collapsed="false">
      <c r="A4741" s="5" t="s">
        <v>328</v>
      </c>
      <c r="G4741" s="21" t="n">
        <f aca="false">IF(G4731&gt;0,G4731/(G4731+MAX(0,G4612*CHOOSE($C$4595,Assumptions!$C$76,Assumptions!$C$95,Assumptions!$C$114)-G4733)),0)</f>
        <v>1</v>
      </c>
      <c r="H4741" s="21" t="n">
        <f aca="false">IF(H4731&gt;0,H4731/(H4731+MAX(0,H4612*CHOOSE($C$4595,Assumptions!$C$76,Assumptions!$C$95,Assumptions!$C$114)-H4733)),0)</f>
        <v>1</v>
      </c>
      <c r="I4741" s="21" t="n">
        <f aca="false">IF(I4731&gt;0,I4731/(I4731+MAX(0,I4612*CHOOSE($C$4595,Assumptions!$C$76,Assumptions!$C$95,Assumptions!$C$114)-I4733)),0)</f>
        <v>1</v>
      </c>
      <c r="J4741" s="21" t="n">
        <f aca="false">IF(J4731&gt;0,J4731/(J4731+MAX(0,J4612*CHOOSE($C$4595,Assumptions!$C$76,Assumptions!$C$95,Assumptions!$C$114)-J4733)),0)</f>
        <v>1</v>
      </c>
      <c r="K4741" s="21" t="n">
        <f aca="false">IF(K4731&gt;0,K4731/(K4731+MAX(0,K4612*CHOOSE($C$4595,Assumptions!$C$76,Assumptions!$C$95,Assumptions!$C$114)-K4733)),0)</f>
        <v>1</v>
      </c>
    </row>
    <row r="4742" customFormat="false" ht="15" hidden="false" customHeight="false" outlineLevel="0" collapsed="false">
      <c r="A4742" s="5" t="s">
        <v>329</v>
      </c>
      <c r="G4742" s="21" t="n">
        <f aca="false">IF(G4731&gt;0,MAX(0,G4724)/G4731,0)</f>
        <v>0</v>
      </c>
      <c r="H4742" s="21" t="n">
        <f aca="false">IF(H4731&gt;0,MAX(0,H4724)/H4731,0)</f>
        <v>0</v>
      </c>
      <c r="I4742" s="21" t="n">
        <f aca="false">IF(I4731&gt;0,MAX(0,I4724)/I4731,0)</f>
        <v>0</v>
      </c>
      <c r="J4742" s="21" t="n">
        <f aca="false">IF(J4731&gt;0,MAX(0,J4724)/J4731,0)</f>
        <v>0</v>
      </c>
      <c r="K4742" s="21" t="n">
        <f aca="false">IF(K4731&gt;0,MAX(0,K4724)/K4731,0)</f>
        <v>0</v>
      </c>
    </row>
    <row r="4743" customFormat="false" ht="15" hidden="false" customHeight="false" outlineLevel="0" collapsed="false">
      <c r="A4743" s="5" t="s">
        <v>330</v>
      </c>
      <c r="G4743" s="25" t="n">
        <f aca="false">Assumptions!$C$27*(1-CHOOSE($C$4595,Assumptions!$C$79,Assumptions!$C$98,Assumptions!$C$117))</f>
        <v>676</v>
      </c>
      <c r="H4743" s="25" t="n">
        <f aca="false">Assumptions!$C$27*(1-CHOOSE($C$4595,Assumptions!$C$79,Assumptions!$C$98,Assumptions!$C$117))</f>
        <v>676</v>
      </c>
      <c r="I4743" s="25" t="n">
        <f aca="false">Assumptions!$C$27*(1-CHOOSE($C$4595,Assumptions!$C$79,Assumptions!$C$98,Assumptions!$C$117))</f>
        <v>676</v>
      </c>
      <c r="J4743" s="25" t="n">
        <f aca="false">Assumptions!$C$27*(1-CHOOSE($C$4595,Assumptions!$C$79,Assumptions!$C$98,Assumptions!$C$117))</f>
        <v>676</v>
      </c>
      <c r="K4743" s="25" t="n">
        <f aca="false">Assumptions!$C$27*(1-CHOOSE($C$4595,Assumptions!$C$79,Assumptions!$C$98,Assumptions!$C$117))</f>
        <v>676</v>
      </c>
    </row>
    <row r="4744" customFormat="false" ht="15" hidden="false" customHeight="false" outlineLevel="0" collapsed="false">
      <c r="A4744" s="23" t="s">
        <v>331</v>
      </c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</row>
    <row r="4745" customFormat="false" ht="15" hidden="false" customHeight="false" outlineLevel="0" collapsed="false">
      <c r="A4745" s="23" t="s">
        <v>332</v>
      </c>
      <c r="B4745" s="24"/>
      <c r="C4745" s="24"/>
      <c r="D4745" s="24"/>
      <c r="E4745" s="24"/>
      <c r="F4745" s="24"/>
      <c r="G4745" s="24"/>
      <c r="H4745" s="24"/>
      <c r="I4745" s="24"/>
      <c r="J4745" s="24"/>
      <c r="K4745" s="24"/>
    </row>
    <row r="4746" customFormat="false" ht="15" hidden="false" customHeight="false" outlineLevel="0" collapsed="false">
      <c r="A4746" s="5" t="s">
        <v>333</v>
      </c>
      <c r="G4746" s="31" t="n">
        <f aca="false">IF(G4612&gt;0,G4733/G4612,99)</f>
        <v>99</v>
      </c>
      <c r="H4746" s="31" t="n">
        <f aca="false">IF(H4612&gt;0,H4733/H4612,99)</f>
        <v>99</v>
      </c>
      <c r="I4746" s="31" t="n">
        <f aca="false">IF(I4612&gt;0,I4733/I4612,99)</f>
        <v>99</v>
      </c>
      <c r="J4746" s="31" t="n">
        <f aca="false">IF(J4612&gt;0,J4733/J4612,99)</f>
        <v>99</v>
      </c>
      <c r="K4746" s="31" t="n">
        <f aca="false">IF(K4612&gt;0,K4733/K4612,99)</f>
        <v>99</v>
      </c>
    </row>
    <row r="4747" customFormat="false" ht="15" hidden="false" customHeight="false" outlineLevel="0" collapsed="false">
      <c r="A4747" s="5" t="s">
        <v>334</v>
      </c>
      <c r="G4747" s="32" t="n">
        <f aca="false">Assumptions!$G$61</f>
        <v>8.5</v>
      </c>
      <c r="H4747" s="32" t="n">
        <f aca="false">Assumptions!$H$61</f>
        <v>8.5</v>
      </c>
      <c r="I4747" s="32" t="n">
        <f aca="false">Assumptions!$I$61</f>
        <v>8.5</v>
      </c>
      <c r="J4747" s="32" t="n">
        <f aca="false">Assumptions!$J$61</f>
        <v>8.5</v>
      </c>
      <c r="K4747" s="32" t="n">
        <f aca="false">Assumptions!$K$61</f>
        <v>8.5</v>
      </c>
    </row>
    <row r="4748" customFormat="false" ht="15" hidden="false" customHeight="false" outlineLevel="0" collapsed="false">
      <c r="A4748" s="5" t="s">
        <v>335</v>
      </c>
      <c r="G4748" s="31" t="n">
        <f aca="false">G4747-G4746</f>
        <v>-90.5</v>
      </c>
      <c r="H4748" s="31" t="n">
        <f aca="false">H4747-H4746</f>
        <v>-90.5</v>
      </c>
      <c r="I4748" s="31" t="n">
        <f aca="false">I4747-I4746</f>
        <v>-90.5</v>
      </c>
      <c r="J4748" s="31" t="n">
        <f aca="false">J4747-J4746</f>
        <v>-90.5</v>
      </c>
      <c r="K4748" s="31" t="n">
        <f aca="false">K4747-K4746</f>
        <v>-90.5</v>
      </c>
    </row>
    <row r="4749" customFormat="false" ht="15" hidden="false" customHeight="false" outlineLevel="0" collapsed="false">
      <c r="A4749" s="5" t="s">
        <v>336</v>
      </c>
      <c r="G4749" s="21" t="n">
        <f aca="false">IF(G4747=0,0,G4748/ABS(G4747))</f>
        <v>-10.6470588235294</v>
      </c>
      <c r="H4749" s="21" t="n">
        <f aca="false">IF(H4747=0,0,H4748/ABS(H4747))</f>
        <v>-10.6470588235294</v>
      </c>
      <c r="I4749" s="21" t="n">
        <f aca="false">IF(I4747=0,0,I4748/ABS(I4747))</f>
        <v>-10.6470588235294</v>
      </c>
      <c r="J4749" s="21" t="n">
        <f aca="false">IF(J4747=0,0,J4748/ABS(J4747))</f>
        <v>-10.6470588235294</v>
      </c>
      <c r="K4749" s="21" t="n">
        <f aca="false">IF(K4747=0,0,K4748/ABS(K4747))</f>
        <v>-10.6470588235294</v>
      </c>
    </row>
    <row r="4750" customFormat="false" ht="15" hidden="false" customHeight="false" outlineLevel="0" collapsed="false">
      <c r="A4750" s="5" t="s">
        <v>337</v>
      </c>
      <c r="G4750" s="20" t="n">
        <f aca="false">IF(G4748&lt;0,1,0)</f>
        <v>1</v>
      </c>
      <c r="H4750" s="20" t="n">
        <f aca="false">IF(H4748&lt;0,1,0)</f>
        <v>1</v>
      </c>
      <c r="I4750" s="20" t="n">
        <f aca="false">IF(I4748&lt;0,1,0)</f>
        <v>1</v>
      </c>
      <c r="J4750" s="20" t="n">
        <f aca="false">IF(J4748&lt;0,1,0)</f>
        <v>1</v>
      </c>
      <c r="K4750" s="20" t="n">
        <f aca="false">IF(K4748&lt;0,1,0)</f>
        <v>1</v>
      </c>
    </row>
    <row r="4751" customFormat="false" ht="15" hidden="false" customHeight="false" outlineLevel="0" collapsed="false">
      <c r="A4751" s="5" t="s">
        <v>338</v>
      </c>
      <c r="C4751" s="20" t="n">
        <f aca="false">IFERROR(INDEX($G$4602:$K$4602,MATCH(1,$G$4750:$K$4750,0)),0)</f>
        <v>2026</v>
      </c>
    </row>
    <row r="4752" customFormat="false" ht="15" hidden="false" customHeight="false" outlineLevel="0" collapsed="false">
      <c r="A4752" s="5" t="s">
        <v>339</v>
      </c>
      <c r="C4752" s="21" t="n">
        <f aca="false">MIN($G$4749:$K$4749)</f>
        <v>-10.6470588235294</v>
      </c>
    </row>
    <row r="4753" customFormat="false" ht="15" hidden="false" customHeight="false" outlineLevel="0" collapsed="false">
      <c r="A4753" s="5" t="s">
        <v>340</v>
      </c>
      <c r="G4753" s="20" t="n">
        <f aca="false">G4750</f>
        <v>1</v>
      </c>
      <c r="H4753" s="20" t="n">
        <f aca="false">H4750</f>
        <v>1</v>
      </c>
      <c r="I4753" s="20" t="n">
        <f aca="false">I4750</f>
        <v>1</v>
      </c>
      <c r="J4753" s="20" t="n">
        <f aca="false">J4750</f>
        <v>1</v>
      </c>
      <c r="K4753" s="20" t="n">
        <f aca="false">K4750</f>
        <v>1</v>
      </c>
    </row>
    <row r="4754" customFormat="false" ht="15" hidden="false" customHeight="false" outlineLevel="0" collapsed="false">
      <c r="A4754" s="5" t="s">
        <v>341</v>
      </c>
      <c r="C4754" s="20" t="n">
        <f aca="false">SUM($G$4753:$K$4753)</f>
        <v>5</v>
      </c>
    </row>
    <row r="4755" customFormat="false" ht="15" hidden="false" customHeight="false" outlineLevel="0" collapsed="false">
      <c r="A4755" s="5" t="s">
        <v>342</v>
      </c>
      <c r="C4755" s="21" t="n">
        <f aca="false">MIN(C4752)</f>
        <v>-10.6470588235294</v>
      </c>
    </row>
    <row r="4757" customFormat="false" ht="15" hidden="false" customHeight="false" outlineLevel="0" collapsed="false">
      <c r="A4757" s="23" t="s">
        <v>444</v>
      </c>
      <c r="B4757" s="24"/>
      <c r="C4757" s="24"/>
      <c r="D4757" s="24"/>
      <c r="E4757" s="24"/>
      <c r="F4757" s="24"/>
      <c r="G4757" s="24"/>
      <c r="H4757" s="24"/>
      <c r="I4757" s="24"/>
      <c r="J4757" s="24"/>
      <c r="K4757" s="24"/>
    </row>
    <row r="4758" customFormat="false" ht="15" hidden="false" customHeight="false" outlineLevel="0" collapsed="false">
      <c r="A4758" s="5" t="s">
        <v>445</v>
      </c>
      <c r="G4758" s="20" t="n">
        <f aca="false">IF($C$4759=1,G4727,IF(G4612=MIN($G$4612:$K$4612),1,0))</f>
        <v>1</v>
      </c>
      <c r="H4758" s="20" t="n">
        <f aca="false">IF($C$4759=1,H4727,IF(AND(H4612=MIN($G$4612:$K$4612),SUM($G$4758:G4758)=0),1,0))</f>
        <v>0</v>
      </c>
      <c r="I4758" s="20" t="n">
        <f aca="false">IF($C$4759=1,I4727,IF(AND(I4612=MIN($G$4612:$K$4612),SUM($G$4758:H4758)=0),1,0))</f>
        <v>0</v>
      </c>
      <c r="J4758" s="20" t="n">
        <f aca="false">IF($C$4759=1,J4727,IF(AND(J4612=MIN($G$4612:$K$4612),SUM($G$4758:I4758)=0),1,0))</f>
        <v>0</v>
      </c>
      <c r="K4758" s="20" t="n">
        <f aca="false">IF($C$4759=1,K4727,IF(AND(K4612=MIN($G$4612:$K$4612),SUM($G$4758:J4758)=0),1,0))</f>
        <v>0</v>
      </c>
    </row>
    <row r="4759" customFormat="false" ht="15" hidden="false" customHeight="false" outlineLevel="0" collapsed="false">
      <c r="A4759" s="5" t="s">
        <v>446</v>
      </c>
      <c r="C4759" s="20" t="n">
        <f aca="false">IF(SUM($G$4727:$K$4727)&gt;0,1,0)</f>
        <v>1</v>
      </c>
    </row>
    <row r="4760" customFormat="false" ht="15" hidden="false" customHeight="false" outlineLevel="0" collapsed="false">
      <c r="A4760" s="5" t="s">
        <v>447</v>
      </c>
      <c r="C4760" s="20" t="n">
        <f aca="false">SUMPRODUCT($G$4758:$K$4758,$G$4602:$K$4602)</f>
        <v>2026</v>
      </c>
    </row>
    <row r="4761" customFormat="false" ht="15" hidden="false" customHeight="false" outlineLevel="0" collapsed="false">
      <c r="A4761" s="5" t="s">
        <v>448</v>
      </c>
      <c r="C4761" s="25" t="n">
        <f aca="false">SUMPRODUCT($G$4758:$K$4758,$G$4612:$K$4612)</f>
        <v>-55.152</v>
      </c>
    </row>
    <row r="4762" customFormat="false" ht="15" hidden="false" customHeight="false" outlineLevel="0" collapsed="false">
      <c r="A4762" s="5" t="s">
        <v>449</v>
      </c>
      <c r="C4762" s="25" t="n">
        <f aca="false">MAX(0,SUMPRODUCT($G$4758:$K$4758,$G$4724:$K$4724))</f>
        <v>0</v>
      </c>
    </row>
    <row r="4763" customFormat="false" ht="15" hidden="false" customHeight="false" outlineLevel="0" collapsed="false">
      <c r="A4763" s="5" t="s">
        <v>450</v>
      </c>
      <c r="C4763" s="25" t="n">
        <f aca="false">(CHOOSE($C$4595,Assumptions!$C$78,Assumptions!$C$97,Assumptions!$C$116)+$C$4599)*C4761</f>
        <v>-220.608</v>
      </c>
    </row>
    <row r="4764" customFormat="false" ht="15" hidden="false" customHeight="false" outlineLevel="0" collapsed="false">
      <c r="A4764" s="5" t="s">
        <v>451</v>
      </c>
      <c r="C4764" s="25" t="n">
        <f aca="false">Assumptions!$C$27*(1-CHOOSE($C$4595,Assumptions!$C$79,Assumptions!$C$98,Assumptions!$C$117))*CHOOSE($C$4595,Assumptions!$C$80,Assumptions!$C$99,Assumptions!$C$118)</f>
        <v>405.6</v>
      </c>
    </row>
    <row r="4765" customFormat="false" ht="15" hidden="false" customHeight="false" outlineLevel="0" collapsed="false">
      <c r="A4765" s="5" t="s">
        <v>452</v>
      </c>
      <c r="C4765" s="25" t="n">
        <f aca="false">MAX(C4763,C4764)+C4762</f>
        <v>405.6</v>
      </c>
    </row>
    <row r="4766" customFormat="false" ht="15" hidden="false" customHeight="false" outlineLevel="0" collapsed="false">
      <c r="A4766" s="2" t="s">
        <v>453</v>
      </c>
      <c r="C4766" s="16" t="n">
        <f aca="false">IF(ISNUMBER(Assumptions!$C$14),Assumptions!$C$14,C4765)</f>
        <v>405.6</v>
      </c>
    </row>
    <row r="4767" customFormat="false" ht="15" hidden="false" customHeight="false" outlineLevel="0" collapsed="false">
      <c r="A4767" s="5" t="s">
        <v>454</v>
      </c>
      <c r="C4767" s="25" t="n">
        <f aca="false">C4766*Assumptions!$C$15</f>
        <v>16.224</v>
      </c>
    </row>
    <row r="4768" customFormat="false" ht="15" hidden="false" customHeight="false" outlineLevel="0" collapsed="false">
      <c r="A4768" s="2" t="s">
        <v>455</v>
      </c>
      <c r="C4768" s="16" t="n">
        <f aca="false">C4766-C4767</f>
        <v>389.376</v>
      </c>
    </row>
    <row r="4769" customFormat="false" ht="15" hidden="false" customHeight="false" outlineLevel="0" collapsed="false">
      <c r="A4769" s="23" t="s">
        <v>456</v>
      </c>
      <c r="B4769" s="24"/>
      <c r="C4769" s="24"/>
      <c r="D4769" s="24"/>
      <c r="E4769" s="24"/>
      <c r="F4769" s="24"/>
      <c r="G4769" s="24"/>
      <c r="H4769" s="24"/>
      <c r="I4769" s="24"/>
      <c r="J4769" s="24"/>
      <c r="K4769" s="24"/>
    </row>
    <row r="4770" customFormat="false" ht="15" hidden="false" customHeight="false" outlineLevel="0" collapsed="false">
      <c r="A4770" s="5" t="s">
        <v>457</v>
      </c>
      <c r="C4770" s="25" t="n">
        <f aca="false">SUMPRODUCT($G$4758:$K$4758,$G$4649:$K$4649)*(1+SUMPRODUCT($G$4758:$K$4758,$G$4641:$K$4641)*Assumptions!$C$16/12)</f>
        <v>308.7</v>
      </c>
    </row>
    <row r="4771" customFormat="false" ht="15" hidden="false" customHeight="false" outlineLevel="0" collapsed="false">
      <c r="A4771" s="5" t="s">
        <v>458</v>
      </c>
      <c r="C4771" s="25" t="n">
        <f aca="false">SUMPRODUCT($G$4758:$K$4758,$G$4662:$K$4662)*(1+SUMPRODUCT($G$4758:$K$4758,$G$4654:$K$4654)*Assumptions!$C$16/12)</f>
        <v>531.9171</v>
      </c>
    </row>
    <row r="4772" customFormat="false" ht="15" hidden="false" customHeight="false" outlineLevel="0" collapsed="false">
      <c r="A4772" s="5" t="s">
        <v>459</v>
      </c>
      <c r="C4772" s="25" t="n">
        <f aca="false">SUMPRODUCT($G$4758:$K$4758,$G$4675:$K$4675)*(1+SUMPRODUCT($G$4758:$K$4758,$G$4667:$K$4667)*Assumptions!$C$16/12)</f>
        <v>256.875</v>
      </c>
    </row>
    <row r="4773" customFormat="false" ht="15" hidden="false" customHeight="false" outlineLevel="0" collapsed="false">
      <c r="A4773" s="5" t="s">
        <v>460</v>
      </c>
      <c r="C4773" s="25" t="n">
        <f aca="false">SUMPRODUCT($G$4758:$K$4758,$G$4688:$K$4688)*(1+SUMPRODUCT($G$4758:$K$4758,$G$4680:$K$4680)*Assumptions!$C$16/12)</f>
        <v>305.625</v>
      </c>
    </row>
    <row r="4774" customFormat="false" ht="15" hidden="false" customHeight="false" outlineLevel="0" collapsed="false">
      <c r="A4774" s="23" t="s">
        <v>461</v>
      </c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</row>
    <row r="4775" customFormat="false" ht="15" hidden="false" customHeight="false" outlineLevel="0" collapsed="false">
      <c r="A4775" s="5" t="s">
        <v>457</v>
      </c>
      <c r="C4775" s="26" t="n">
        <f aca="false">Assumptions!$M$53</f>
        <v>1</v>
      </c>
    </row>
    <row r="4776" customFormat="false" ht="15" hidden="false" customHeight="false" outlineLevel="0" collapsed="false">
      <c r="A4776" s="5" t="s">
        <v>458</v>
      </c>
      <c r="C4776" s="26" t="n">
        <f aca="false">Assumptions!$M$54</f>
        <v>2</v>
      </c>
    </row>
    <row r="4777" customFormat="false" ht="15" hidden="false" customHeight="false" outlineLevel="0" collapsed="false">
      <c r="A4777" s="5" t="s">
        <v>459</v>
      </c>
      <c r="C4777" s="26" t="n">
        <f aca="false">Assumptions!$M$55</f>
        <v>3</v>
      </c>
    </row>
    <row r="4778" customFormat="false" ht="15" hidden="false" customHeight="false" outlineLevel="0" collapsed="false">
      <c r="A4778" s="5" t="s">
        <v>460</v>
      </c>
      <c r="C4778" s="26" t="n">
        <f aca="false">Assumptions!$M$56</f>
        <v>4</v>
      </c>
    </row>
    <row r="4779" customFormat="false" ht="15" hidden="false" customHeight="false" outlineLevel="0" collapsed="false">
      <c r="A4779" s="23" t="s">
        <v>462</v>
      </c>
      <c r="B4779" s="24"/>
      <c r="C4779" s="24"/>
      <c r="D4779" s="24"/>
      <c r="E4779" s="24"/>
      <c r="F4779" s="24"/>
      <c r="G4779" s="24"/>
      <c r="H4779" s="24"/>
      <c r="I4779" s="24"/>
      <c r="J4779" s="24"/>
      <c r="K4779" s="24"/>
    </row>
    <row r="4780" customFormat="false" ht="15" hidden="false" customHeight="false" outlineLevel="0" collapsed="false">
      <c r="A4780" s="5" t="s">
        <v>457</v>
      </c>
      <c r="C4780" s="34" t="n">
        <f aca="false">Assumptions!$Q$53</f>
        <v>0</v>
      </c>
    </row>
    <row r="4781" customFormat="false" ht="15" hidden="false" customHeight="false" outlineLevel="0" collapsed="false">
      <c r="A4781" s="5" t="s">
        <v>458</v>
      </c>
      <c r="C4781" s="34" t="n">
        <f aca="false">Assumptions!$Q$54</f>
        <v>0</v>
      </c>
    </row>
    <row r="4782" customFormat="false" ht="15" hidden="false" customHeight="false" outlineLevel="0" collapsed="false">
      <c r="A4782" s="5" t="s">
        <v>459</v>
      </c>
      <c r="C4782" s="34" t="n">
        <f aca="false">Assumptions!$Q$55</f>
        <v>0</v>
      </c>
    </row>
    <row r="4783" customFormat="false" ht="15" hidden="false" customHeight="false" outlineLevel="0" collapsed="false">
      <c r="A4783" s="5" t="s">
        <v>460</v>
      </c>
      <c r="C4783" s="34" t="n">
        <f aca="false">Assumptions!$Q$56</f>
        <v>0</v>
      </c>
    </row>
    <row r="4784" customFormat="false" ht="15" hidden="false" customHeight="false" outlineLevel="0" collapsed="false">
      <c r="A4784" s="23" t="s">
        <v>463</v>
      </c>
      <c r="B4784" s="24"/>
      <c r="C4784" s="24"/>
      <c r="D4784" s="24"/>
      <c r="E4784" s="24"/>
      <c r="F4784" s="24"/>
      <c r="G4784" s="24"/>
      <c r="H4784" s="24"/>
      <c r="I4784" s="24"/>
      <c r="J4784" s="24"/>
      <c r="K4784" s="24"/>
    </row>
    <row r="4785" customFormat="false" ht="15" hidden="false" customHeight="false" outlineLevel="0" collapsed="false">
      <c r="A4785" s="5" t="s">
        <v>457</v>
      </c>
      <c r="C4785" s="25" t="n">
        <f aca="false">IF(C4780&gt;0,MIN(C4770,C4780*$C$4768),0)</f>
        <v>0</v>
      </c>
    </row>
    <row r="4786" customFormat="false" ht="15" hidden="false" customHeight="false" outlineLevel="0" collapsed="false">
      <c r="A4786" s="5" t="s">
        <v>458</v>
      </c>
      <c r="C4786" s="25" t="n">
        <f aca="false">IF(C4781&gt;0,MIN(C4771,C4781*$C$4768),0)</f>
        <v>0</v>
      </c>
    </row>
    <row r="4787" customFormat="false" ht="15" hidden="false" customHeight="false" outlineLevel="0" collapsed="false">
      <c r="A4787" s="5" t="s">
        <v>459</v>
      </c>
      <c r="C4787" s="25" t="n">
        <f aca="false">IF(C4782&gt;0,MIN(C4772,C4782*$C$4768),0)</f>
        <v>0</v>
      </c>
    </row>
    <row r="4788" customFormat="false" ht="15" hidden="false" customHeight="false" outlineLevel="0" collapsed="false">
      <c r="A4788" s="5" t="s">
        <v>460</v>
      </c>
      <c r="C4788" s="25" t="n">
        <f aca="false">IF(C4783&gt;0,MIN(C4773,C4783*$C$4768),0)</f>
        <v>0</v>
      </c>
    </row>
    <row r="4789" customFormat="false" ht="15" hidden="false" customHeight="false" outlineLevel="0" collapsed="false">
      <c r="A4789" s="23" t="s">
        <v>464</v>
      </c>
      <c r="B4789" s="24"/>
      <c r="C4789" s="24"/>
      <c r="D4789" s="24"/>
      <c r="E4789" s="24"/>
      <c r="F4789" s="24"/>
      <c r="G4789" s="24"/>
      <c r="H4789" s="24"/>
      <c r="I4789" s="24"/>
      <c r="J4789" s="24"/>
      <c r="K4789" s="24"/>
    </row>
    <row r="4790" customFormat="false" ht="15" hidden="false" customHeight="false" outlineLevel="0" collapsed="false">
      <c r="A4790" s="5" t="s">
        <v>457</v>
      </c>
      <c r="C4790" s="25" t="n">
        <f aca="false">IF(C4780&gt;0,C4770-C4785,0)</f>
        <v>0</v>
      </c>
      <c r="G4790" s="20" t="n">
        <f aca="false">IF(AND(G4639=1,G4636=1),1,0)</f>
        <v>0</v>
      </c>
      <c r="H4790" s="20" t="n">
        <f aca="false">IF(G4790=1,1,IF(AND(H4639=1,H4636=1),1,0))</f>
        <v>0</v>
      </c>
      <c r="I4790" s="20" t="n">
        <f aca="false">IF(H4790=1,1,IF(AND(I4639=1,I4636=1),1,0))</f>
        <v>0</v>
      </c>
      <c r="J4790" s="20" t="n">
        <f aca="false">IF(I4790=1,1,IF(AND(J4639=1,J4636=1),1,0))</f>
        <v>0</v>
      </c>
      <c r="K4790" s="20" t="n">
        <f aca="false">IF(J4790=1,1,IF(AND(K4639=1,K4636=1),1,0))</f>
        <v>0</v>
      </c>
    </row>
    <row r="4791" customFormat="false" ht="15" hidden="false" customHeight="false" outlineLevel="0" collapsed="false">
      <c r="A4791" s="5" t="s">
        <v>458</v>
      </c>
      <c r="C4791" s="25" t="n">
        <f aca="false">IF(C4781&gt;0,C4771-C4786,0)</f>
        <v>0</v>
      </c>
      <c r="G4791" s="20" t="n">
        <f aca="false">IF(AND(G4652=1,G4636=1),1,0)</f>
        <v>0</v>
      </c>
      <c r="H4791" s="20" t="n">
        <f aca="false">IF(G4791=1,1,IF(AND(H4652=1,H4636=1),1,0))</f>
        <v>0</v>
      </c>
      <c r="I4791" s="20" t="n">
        <f aca="false">IF(H4791=1,1,IF(AND(I4652=1,I4636=1),1,0))</f>
        <v>0</v>
      </c>
      <c r="J4791" s="20" t="n">
        <f aca="false">IF(I4791=1,1,IF(AND(J4652=1,J4636=1),1,0))</f>
        <v>0</v>
      </c>
      <c r="K4791" s="20" t="n">
        <f aca="false">IF(J4791=1,1,IF(AND(K4652=1,K4636=1),1,0))</f>
        <v>0</v>
      </c>
    </row>
    <row r="4792" customFormat="false" ht="15" hidden="false" customHeight="false" outlineLevel="0" collapsed="false">
      <c r="A4792" s="5" t="s">
        <v>459</v>
      </c>
      <c r="C4792" s="25" t="n">
        <f aca="false">IF(C4782&gt;0,C4772-C4787,0)</f>
        <v>0</v>
      </c>
      <c r="G4792" s="20" t="n">
        <f aca="false">IF(AND(G4665=1,G4636=1),1,0)</f>
        <v>0</v>
      </c>
      <c r="H4792" s="20" t="n">
        <f aca="false">IF(G4792=1,1,IF(AND(H4665=1,H4636=1),1,0))</f>
        <v>0</v>
      </c>
      <c r="I4792" s="20" t="n">
        <f aca="false">IF(H4792=1,1,IF(AND(I4665=1,I4636=1),1,0))</f>
        <v>0</v>
      </c>
      <c r="J4792" s="20" t="n">
        <f aca="false">IF(I4792=1,1,IF(AND(J4665=1,J4636=1),1,0))</f>
        <v>0</v>
      </c>
      <c r="K4792" s="20" t="n">
        <f aca="false">IF(J4792=1,1,IF(AND(K4665=1,K4636=1),1,0))</f>
        <v>0</v>
      </c>
    </row>
    <row r="4793" customFormat="false" ht="15" hidden="false" customHeight="false" outlineLevel="0" collapsed="false">
      <c r="A4793" s="5" t="s">
        <v>460</v>
      </c>
      <c r="C4793" s="25" t="n">
        <f aca="false">IF(C4783&gt;0,C4773-C4788,0)</f>
        <v>0</v>
      </c>
      <c r="G4793" s="20" t="n">
        <f aca="false">IF(AND(G4678=1,G4636=1),1,0)</f>
        <v>0</v>
      </c>
      <c r="H4793" s="20" t="n">
        <f aca="false">IF(G4793=1,1,IF(AND(H4678=1,H4636=1),1,0))</f>
        <v>0</v>
      </c>
      <c r="I4793" s="20" t="n">
        <f aca="false">IF(H4793=1,1,IF(AND(I4678=1,I4636=1),1,0))</f>
        <v>0</v>
      </c>
      <c r="J4793" s="20" t="n">
        <f aca="false">IF(I4793=1,1,IF(AND(J4678=1,J4636=1),1,0))</f>
        <v>0</v>
      </c>
      <c r="K4793" s="20" t="n">
        <f aca="false">IF(J4793=1,1,IF(AND(K4678=1,K4636=1),1,0))</f>
        <v>0</v>
      </c>
    </row>
    <row r="4794" customFormat="false" ht="15" hidden="false" customHeight="false" outlineLevel="0" collapsed="false">
      <c r="A4794" s="23" t="s">
        <v>465</v>
      </c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</row>
    <row r="4795" customFormat="false" ht="15" hidden="false" customHeight="false" outlineLevel="0" collapsed="false">
      <c r="A4795" s="5" t="s">
        <v>457</v>
      </c>
      <c r="C4795" s="25" t="n">
        <f aca="false">IF(C4780&gt;0,C4790,C4770)</f>
        <v>308.7</v>
      </c>
    </row>
    <row r="4796" customFormat="false" ht="15" hidden="false" customHeight="false" outlineLevel="0" collapsed="false">
      <c r="A4796" s="5" t="s">
        <v>458</v>
      </c>
      <c r="C4796" s="25" t="n">
        <f aca="false">IF(C4781&gt;0,C4791,C4771)</f>
        <v>531.9171</v>
      </c>
    </row>
    <row r="4797" customFormat="false" ht="15" hidden="false" customHeight="false" outlineLevel="0" collapsed="false">
      <c r="A4797" s="5" t="s">
        <v>459</v>
      </c>
      <c r="C4797" s="25" t="n">
        <f aca="false">IF(C4782&gt;0,C4792,C4772)</f>
        <v>256.875</v>
      </c>
    </row>
    <row r="4798" customFormat="false" ht="15" hidden="false" customHeight="false" outlineLevel="0" collapsed="false">
      <c r="A4798" s="5" t="s">
        <v>460</v>
      </c>
      <c r="C4798" s="25" t="n">
        <f aca="false">IF(C4783&gt;0,C4793,C4773)</f>
        <v>305.625</v>
      </c>
    </row>
    <row r="4799" customFormat="false" ht="15" hidden="false" customHeight="false" outlineLevel="0" collapsed="false">
      <c r="A4799" s="23" t="s">
        <v>466</v>
      </c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</row>
    <row r="4800" customFormat="false" ht="15" hidden="false" customHeight="false" outlineLevel="0" collapsed="false">
      <c r="A4800" s="5" t="s">
        <v>457</v>
      </c>
      <c r="C4800" s="20" t="n">
        <f aca="false">IF(C4780&gt;0,Assumptions!$C$17,C4775)</f>
        <v>1</v>
      </c>
    </row>
    <row r="4801" customFormat="false" ht="15" hidden="false" customHeight="false" outlineLevel="0" collapsed="false">
      <c r="A4801" s="5" t="s">
        <v>458</v>
      </c>
      <c r="C4801" s="20" t="n">
        <f aca="false">IF(C4781&gt;0,Assumptions!$C$17,C4776)</f>
        <v>2</v>
      </c>
    </row>
    <row r="4802" customFormat="false" ht="15" hidden="false" customHeight="false" outlineLevel="0" collapsed="false">
      <c r="A4802" s="5" t="s">
        <v>459</v>
      </c>
      <c r="C4802" s="20" t="n">
        <f aca="false">IF(C4782&gt;0,Assumptions!$C$17,C4777)</f>
        <v>3</v>
      </c>
    </row>
    <row r="4803" customFormat="false" ht="15" hidden="false" customHeight="false" outlineLevel="0" collapsed="false">
      <c r="A4803" s="5" t="s">
        <v>460</v>
      </c>
      <c r="C4803" s="20" t="n">
        <f aca="false">IF(C4783&gt;0,Assumptions!$C$17,C4778)</f>
        <v>4</v>
      </c>
    </row>
    <row r="4804" customFormat="false" ht="15" hidden="false" customHeight="false" outlineLevel="0" collapsed="false">
      <c r="A4804" s="23" t="s">
        <v>467</v>
      </c>
      <c r="B4804" s="24"/>
      <c r="C4804" s="24"/>
      <c r="D4804" s="24"/>
      <c r="E4804" s="24"/>
      <c r="F4804" s="24"/>
      <c r="G4804" s="24"/>
      <c r="H4804" s="24"/>
      <c r="I4804" s="24"/>
      <c r="J4804" s="24"/>
      <c r="K4804" s="24"/>
    </row>
    <row r="4805" customFormat="false" ht="15" hidden="false" customHeight="false" outlineLevel="0" collapsed="false">
      <c r="A4805" s="5" t="s">
        <v>457</v>
      </c>
      <c r="C4805" s="25" t="n">
        <f aca="false">SUMPRODUCT(($C$4800:$C$4803&lt;C4800)*$C$4795:$C$4798)</f>
        <v>0</v>
      </c>
    </row>
    <row r="4806" customFormat="false" ht="15" hidden="false" customHeight="false" outlineLevel="0" collapsed="false">
      <c r="A4806" s="5" t="s">
        <v>458</v>
      </c>
      <c r="C4806" s="25" t="n">
        <f aca="false">SUMPRODUCT(($C$4800:$C$4803&lt;C4801)*$C$4795:$C$4798)</f>
        <v>308.7</v>
      </c>
    </row>
    <row r="4807" customFormat="false" ht="15" hidden="false" customHeight="false" outlineLevel="0" collapsed="false">
      <c r="A4807" s="5" t="s">
        <v>459</v>
      </c>
      <c r="C4807" s="25" t="n">
        <f aca="false">SUMPRODUCT(($C$4800:$C$4803&lt;C4802)*$C$4795:$C$4798)</f>
        <v>840.6171</v>
      </c>
    </row>
    <row r="4808" customFormat="false" ht="15" hidden="false" customHeight="false" outlineLevel="0" collapsed="false">
      <c r="A4808" s="5" t="s">
        <v>460</v>
      </c>
      <c r="C4808" s="25" t="n">
        <f aca="false">SUMPRODUCT(($C$4800:$C$4803&lt;C4803)*$C$4795:$C$4798)</f>
        <v>1097.4921</v>
      </c>
    </row>
    <row r="4809" customFormat="false" ht="15" hidden="false" customHeight="false" outlineLevel="0" collapsed="false">
      <c r="A4809" s="23" t="s">
        <v>468</v>
      </c>
      <c r="B4809" s="24"/>
      <c r="C4809" s="24"/>
      <c r="D4809" s="24"/>
      <c r="E4809" s="24"/>
      <c r="F4809" s="24"/>
      <c r="G4809" s="24"/>
      <c r="H4809" s="24"/>
      <c r="I4809" s="24"/>
      <c r="J4809" s="24"/>
      <c r="K4809" s="24"/>
    </row>
    <row r="4810" customFormat="false" ht="15" hidden="false" customHeight="false" outlineLevel="0" collapsed="false">
      <c r="A4810" s="5" t="s">
        <v>457</v>
      </c>
      <c r="C4810" s="25" t="n">
        <f aca="false">SUMPRODUCT(($C$4800:$C$4803=C4800)*$C$4795:$C$4798)</f>
        <v>308.7</v>
      </c>
    </row>
    <row r="4811" customFormat="false" ht="15" hidden="false" customHeight="false" outlineLevel="0" collapsed="false">
      <c r="A4811" s="5" t="s">
        <v>458</v>
      </c>
      <c r="C4811" s="25" t="n">
        <f aca="false">SUMPRODUCT(($C$4800:$C$4803=C4801)*$C$4795:$C$4798)</f>
        <v>531.9171</v>
      </c>
    </row>
    <row r="4812" customFormat="false" ht="15" hidden="false" customHeight="false" outlineLevel="0" collapsed="false">
      <c r="A4812" s="5" t="s">
        <v>459</v>
      </c>
      <c r="C4812" s="25" t="n">
        <f aca="false">SUMPRODUCT(($C$4800:$C$4803=C4802)*$C$4795:$C$4798)</f>
        <v>256.875</v>
      </c>
    </row>
    <row r="4813" customFormat="false" ht="15" hidden="false" customHeight="false" outlineLevel="0" collapsed="false">
      <c r="A4813" s="5" t="s">
        <v>460</v>
      </c>
      <c r="C4813" s="25" t="n">
        <f aca="false">SUMPRODUCT(($C$4800:$C$4803=C4803)*$C$4795:$C$4798)</f>
        <v>305.625</v>
      </c>
    </row>
    <row r="4814" customFormat="false" ht="15" hidden="false" customHeight="false" outlineLevel="0" collapsed="false">
      <c r="A4814" s="23" t="s">
        <v>469</v>
      </c>
      <c r="B4814" s="24"/>
      <c r="C4814" s="24"/>
      <c r="D4814" s="24"/>
      <c r="E4814" s="24"/>
      <c r="F4814" s="24"/>
      <c r="G4814" s="24"/>
      <c r="H4814" s="24"/>
      <c r="I4814" s="24"/>
      <c r="J4814" s="24"/>
      <c r="K4814" s="24"/>
    </row>
    <row r="4815" customFormat="false" ht="15" hidden="false" customHeight="false" outlineLevel="0" collapsed="false">
      <c r="A4815" s="5" t="s">
        <v>457</v>
      </c>
      <c r="C4815" s="25" t="n">
        <f aca="false">IF(C4810=0,0,C4795/C4810*MAX(0,MIN(C4810,$C$4768-SUM($C$4785:$C$4788)-C4805)))</f>
        <v>308.7</v>
      </c>
    </row>
    <row r="4816" customFormat="false" ht="15" hidden="false" customHeight="false" outlineLevel="0" collapsed="false">
      <c r="A4816" s="5" t="s">
        <v>458</v>
      </c>
      <c r="C4816" s="25" t="n">
        <f aca="false">IF(C4811=0,0,C4796/C4811*MAX(0,MIN(C4811,$C$4768-SUM($C$4785:$C$4788)-C4806)))</f>
        <v>80.676</v>
      </c>
    </row>
    <row r="4817" customFormat="false" ht="15" hidden="false" customHeight="false" outlineLevel="0" collapsed="false">
      <c r="A4817" s="5" t="s">
        <v>459</v>
      </c>
      <c r="C4817" s="25" t="n">
        <f aca="false">IF(C4812=0,0,C4797/C4812*MAX(0,MIN(C4812,$C$4768-SUM($C$4785:$C$4788)-C4807)))</f>
        <v>0</v>
      </c>
    </row>
    <row r="4818" customFormat="false" ht="15" hidden="false" customHeight="false" outlineLevel="0" collapsed="false">
      <c r="A4818" s="5" t="s">
        <v>460</v>
      </c>
      <c r="C4818" s="25" t="n">
        <f aca="false">IF(C4813=0,0,C4798/C4813*MAX(0,MIN(C4813,$C$4768-SUM($C$4785:$C$4788)-C4808)))</f>
        <v>0</v>
      </c>
    </row>
    <row r="4819" customFormat="false" ht="15" hidden="false" customHeight="false" outlineLevel="0" collapsed="false">
      <c r="A4819" s="23" t="s">
        <v>470</v>
      </c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</row>
    <row r="4820" customFormat="false" ht="15" hidden="false" customHeight="false" outlineLevel="0" collapsed="false">
      <c r="A4820" s="2" t="s">
        <v>457</v>
      </c>
      <c r="C4820" s="16" t="n">
        <f aca="false">C4785+C4815</f>
        <v>308.7</v>
      </c>
    </row>
    <row r="4821" customFormat="false" ht="15" hidden="false" customHeight="false" outlineLevel="0" collapsed="false">
      <c r="A4821" s="2" t="s">
        <v>458</v>
      </c>
      <c r="C4821" s="16" t="n">
        <f aca="false">C4786+C4816</f>
        <v>80.676</v>
      </c>
    </row>
    <row r="4822" customFormat="false" ht="15" hidden="false" customHeight="false" outlineLevel="0" collapsed="false">
      <c r="A4822" s="2" t="s">
        <v>459</v>
      </c>
      <c r="C4822" s="16" t="n">
        <f aca="false">C4787+C4817</f>
        <v>0</v>
      </c>
    </row>
    <row r="4823" customFormat="false" ht="15" hidden="false" customHeight="false" outlineLevel="0" collapsed="false">
      <c r="A4823" s="2" t="s">
        <v>460</v>
      </c>
      <c r="C4823" s="16" t="n">
        <f aca="false">C4788+C4818</f>
        <v>0</v>
      </c>
    </row>
    <row r="4824" customFormat="false" ht="15" hidden="false" customHeight="false" outlineLevel="0" collapsed="false">
      <c r="A4824" s="23" t="s">
        <v>471</v>
      </c>
      <c r="B4824" s="24"/>
      <c r="C4824" s="24"/>
      <c r="D4824" s="24"/>
      <c r="E4824" s="24"/>
      <c r="F4824" s="24"/>
      <c r="G4824" s="24"/>
      <c r="H4824" s="24"/>
      <c r="I4824" s="24"/>
      <c r="J4824" s="24"/>
      <c r="K4824" s="24"/>
    </row>
    <row r="4825" customFormat="false" ht="15" hidden="false" customHeight="false" outlineLevel="0" collapsed="false">
      <c r="A4825" s="5" t="s">
        <v>457</v>
      </c>
      <c r="C4825" s="21" t="n">
        <f aca="false">IF(C4770=0,1,C4820/C4770)</f>
        <v>1</v>
      </c>
    </row>
    <row r="4826" customFormat="false" ht="15" hidden="false" customHeight="false" outlineLevel="0" collapsed="false">
      <c r="A4826" s="5" t="s">
        <v>458</v>
      </c>
      <c r="C4826" s="21" t="n">
        <f aca="false">IF(C4771=0,1,C4821/C4771)</f>
        <v>0.151670250871799</v>
      </c>
    </row>
    <row r="4827" customFormat="false" ht="15" hidden="false" customHeight="false" outlineLevel="0" collapsed="false">
      <c r="A4827" s="5" t="s">
        <v>459</v>
      </c>
      <c r="C4827" s="21" t="n">
        <f aca="false">IF(C4772=0,1,C4822/C4772)</f>
        <v>0</v>
      </c>
    </row>
    <row r="4828" customFormat="false" ht="15" hidden="false" customHeight="false" outlineLevel="0" collapsed="false">
      <c r="A4828" s="5" t="s">
        <v>460</v>
      </c>
      <c r="C4828" s="21" t="n">
        <f aca="false">IF(C4773=0,1,C4823/C4773)</f>
        <v>0</v>
      </c>
    </row>
    <row r="4829" customFormat="false" ht="15" hidden="false" customHeight="false" outlineLevel="0" collapsed="false">
      <c r="A4829" s="23" t="s">
        <v>472</v>
      </c>
      <c r="B4829" s="24"/>
      <c r="C4829" s="24"/>
      <c r="D4829" s="24"/>
      <c r="E4829" s="24"/>
      <c r="F4829" s="24"/>
      <c r="G4829" s="24"/>
      <c r="H4829" s="24"/>
      <c r="I4829" s="24"/>
      <c r="J4829" s="24"/>
      <c r="K4829" s="24"/>
    </row>
    <row r="4830" customFormat="false" ht="15" hidden="false" customHeight="false" outlineLevel="0" collapsed="false">
      <c r="A4830" s="5" t="s">
        <v>457</v>
      </c>
      <c r="C4830" s="25" t="n">
        <f aca="false">C4770-C4820</f>
        <v>0</v>
      </c>
    </row>
    <row r="4831" customFormat="false" ht="15" hidden="false" customHeight="false" outlineLevel="0" collapsed="false">
      <c r="A4831" s="5" t="s">
        <v>458</v>
      </c>
      <c r="C4831" s="25" t="n">
        <f aca="false">C4771-C4821</f>
        <v>451.2411</v>
      </c>
    </row>
    <row r="4832" customFormat="false" ht="15" hidden="false" customHeight="false" outlineLevel="0" collapsed="false">
      <c r="A4832" s="5" t="s">
        <v>459</v>
      </c>
      <c r="C4832" s="25" t="n">
        <f aca="false">C4772-C4822</f>
        <v>256.875</v>
      </c>
    </row>
    <row r="4833" customFormat="false" ht="15" hidden="false" customHeight="false" outlineLevel="0" collapsed="false">
      <c r="A4833" s="5" t="s">
        <v>460</v>
      </c>
      <c r="C4833" s="25" t="n">
        <f aca="false">C4773-C4823</f>
        <v>305.625</v>
      </c>
    </row>
    <row r="4834" customFormat="false" ht="15" hidden="false" customHeight="false" outlineLevel="0" collapsed="false">
      <c r="A4834" s="23" t="s">
        <v>473</v>
      </c>
      <c r="B4834" s="24"/>
      <c r="C4834" s="24"/>
      <c r="D4834" s="24"/>
      <c r="E4834" s="24"/>
      <c r="F4834" s="24"/>
      <c r="G4834" s="24"/>
      <c r="H4834" s="24"/>
      <c r="I4834" s="24"/>
      <c r="J4834" s="24"/>
      <c r="K4834" s="24"/>
    </row>
    <row r="4835" customFormat="false" ht="15" hidden="false" customHeight="false" outlineLevel="0" collapsed="false">
      <c r="A4835" s="5" t="s">
        <v>457</v>
      </c>
      <c r="C4835" s="21" t="n">
        <f aca="false">IF(C4770=0,0,C4830/C4770)</f>
        <v>0</v>
      </c>
    </row>
    <row r="4836" customFormat="false" ht="15" hidden="false" customHeight="false" outlineLevel="0" collapsed="false">
      <c r="A4836" s="5" t="s">
        <v>458</v>
      </c>
      <c r="C4836" s="21" t="n">
        <f aca="false">IF(C4771=0,0,C4831/C4771)</f>
        <v>0.848329749128201</v>
      </c>
    </row>
    <row r="4837" customFormat="false" ht="15" hidden="false" customHeight="false" outlineLevel="0" collapsed="false">
      <c r="A4837" s="5" t="s">
        <v>459</v>
      </c>
      <c r="C4837" s="21" t="n">
        <f aca="false">IF(C4772=0,0,C4832/C4772)</f>
        <v>1</v>
      </c>
    </row>
    <row r="4838" customFormat="false" ht="15" hidden="false" customHeight="false" outlineLevel="0" collapsed="false">
      <c r="A4838" s="5" t="s">
        <v>460</v>
      </c>
      <c r="C4838" s="21" t="n">
        <f aca="false">IF(C4773=0,0,C4833/C4773)</f>
        <v>1</v>
      </c>
    </row>
    <row r="4839" customFormat="false" ht="15" hidden="false" customHeight="false" outlineLevel="0" collapsed="false">
      <c r="A4839" s="2" t="s">
        <v>474</v>
      </c>
      <c r="C4839" s="16" t="n">
        <f aca="false">MAX(0,$C$4768-SUM($C$4785:$C$4788)-SUM($C$4795:$C$4798))</f>
        <v>0</v>
      </c>
    </row>
    <row r="4840" customFormat="false" ht="15" hidden="false" customHeight="false" outlineLevel="0" collapsed="false">
      <c r="A4840" s="5" t="s">
        <v>475</v>
      </c>
      <c r="C4840" s="25" t="n">
        <f aca="false">SUM($C$4820:$C$4823)+C4839+C4767-C4766</f>
        <v>0</v>
      </c>
    </row>
    <row r="4842" customFormat="false" ht="15" hidden="false" customHeight="false" outlineLevel="0" collapsed="false">
      <c r="A4842" s="23" t="s">
        <v>478</v>
      </c>
      <c r="B4842" s="24"/>
      <c r="C4842" s="24"/>
      <c r="D4842" s="24"/>
      <c r="E4842" s="24"/>
      <c r="F4842" s="24"/>
      <c r="G4842" s="24"/>
      <c r="H4842" s="24"/>
      <c r="I4842" s="24"/>
      <c r="J4842" s="24"/>
      <c r="K4842" s="24"/>
    </row>
    <row r="4843" customFormat="false" ht="15" hidden="false" customHeight="false" outlineLevel="0" collapsed="false">
      <c r="A4843" s="5" t="s">
        <v>479</v>
      </c>
      <c r="C4843" s="26" t="n">
        <f aca="false">Assumptions!$C$30</f>
        <v>2</v>
      </c>
    </row>
    <row r="4844" customFormat="false" ht="15" hidden="false" customHeight="false" outlineLevel="0" collapsed="false">
      <c r="A4844" s="5" t="s">
        <v>480</v>
      </c>
      <c r="C4844" s="28" t="n">
        <f aca="false">Assumptions!$C$31</f>
        <v>100</v>
      </c>
    </row>
    <row r="4845" customFormat="false" ht="15" hidden="false" customHeight="false" outlineLevel="0" collapsed="false">
      <c r="A4845" s="5" t="s">
        <v>481</v>
      </c>
      <c r="C4845" s="39" t="n">
        <f aca="false">Assumptions!$C$32</f>
        <v>78</v>
      </c>
    </row>
    <row r="4846" customFormat="false" ht="15" hidden="false" customHeight="false" outlineLevel="0" collapsed="false">
      <c r="A4846" s="5" t="s">
        <v>482</v>
      </c>
      <c r="C4846" s="25" t="n">
        <f aca="false">C4844*C4845/100*(1+Assumptions!$C$33)</f>
        <v>78.39</v>
      </c>
    </row>
    <row r="4847" customFormat="false" ht="15" hidden="false" customHeight="false" outlineLevel="0" collapsed="false">
      <c r="A4847" s="5" t="s">
        <v>483</v>
      </c>
      <c r="C4847" s="26" t="n">
        <f aca="false">Assumptions!$C$34</f>
        <v>2</v>
      </c>
    </row>
    <row r="4848" customFormat="false" ht="15" hidden="false" customHeight="false" outlineLevel="0" collapsed="false">
      <c r="A4848" s="5" t="s">
        <v>484</v>
      </c>
      <c r="C4848" s="20" t="n">
        <f aca="false">IF(C4759=1,SUMPRODUCT($G$4727:$K$4727,$G$4603:$K$4603),0)</f>
        <v>1</v>
      </c>
    </row>
    <row r="4849" customFormat="false" ht="15" hidden="false" customHeight="false" outlineLevel="0" collapsed="false">
      <c r="A4849" s="5" t="s">
        <v>485</v>
      </c>
      <c r="C4849" s="21" t="n">
        <f aca="false">IFERROR(C4844/CHOOSE(C4843,SUMPRODUCT($G$4758:$K$4758,$G$4649:$K$4649),SUMPRODUCT($G$4758:$K$4758,$G$4662:$K$4662),SUMPRODUCT($G$4758:$K$4758,$G$4675:$K$4675),SUMPRODUCT($G$4758:$K$4758,$G$4688:$K$4688)),0)</f>
        <v>0.194250194250194</v>
      </c>
    </row>
    <row r="4850" customFormat="false" ht="15" hidden="false" customHeight="false" outlineLevel="0" collapsed="false">
      <c r="A4850" s="5" t="s">
        <v>486</v>
      </c>
      <c r="C4850" s="25" t="n">
        <f aca="false">CHOOSE(C4843,C4820,C4821,C4822,C4823)*C4849</f>
        <v>15.6713286713287</v>
      </c>
    </row>
    <row r="4851" customFormat="false" ht="15" hidden="false" customHeight="false" outlineLevel="0" collapsed="false">
      <c r="A4851" s="5" t="s">
        <v>487</v>
      </c>
      <c r="C4851" s="21" t="n">
        <f aca="false">CHOOSE(C4843,C4825,C4826,C4827,C4828)</f>
        <v>0.151670250871799</v>
      </c>
    </row>
    <row r="4852" customFormat="false" ht="15" hidden="false" customHeight="false" outlineLevel="0" collapsed="false">
      <c r="A4852" s="5" t="s">
        <v>488</v>
      </c>
      <c r="C4852" s="20" t="n">
        <f aca="false">IF(C4759=1,C4848,C4847)</f>
        <v>1</v>
      </c>
    </row>
    <row r="4853" customFormat="false" ht="15" hidden="false" customHeight="false" outlineLevel="0" collapsed="false">
      <c r="A4853" s="5" t="s">
        <v>489</v>
      </c>
      <c r="C4853" s="33" t="n">
        <f aca="false">CHOOSE($C$4595,Assumptions!$C$77,Assumptions!$C$96,Assumptions!$C$115)</f>
        <v>70</v>
      </c>
    </row>
    <row r="4854" customFormat="false" ht="15" hidden="false" customHeight="false" outlineLevel="0" collapsed="false">
      <c r="A4854" s="5" t="s">
        <v>490</v>
      </c>
      <c r="C4854" s="25" t="n">
        <f aca="false">INDEX($G$4612:$K$4612,C4847)*CHOOSE($C$4595,Assumptions!$C$76,Assumptions!$C$95,Assumptions!$C$114)+MAX(0,INDEX($G$4724:$K$4724,C4847))</f>
        <v>-167.93784</v>
      </c>
    </row>
    <row r="4855" customFormat="false" ht="15" hidden="false" customHeight="false" outlineLevel="0" collapsed="false">
      <c r="A4855" s="23" t="s">
        <v>491</v>
      </c>
      <c r="B4855" s="24"/>
      <c r="C4855" s="24"/>
      <c r="D4855" s="24"/>
      <c r="E4855" s="24"/>
      <c r="F4855" s="24"/>
      <c r="G4855" s="24"/>
      <c r="H4855" s="24"/>
      <c r="I4855" s="24"/>
      <c r="J4855" s="24"/>
      <c r="K4855" s="24"/>
    </row>
    <row r="4856" customFormat="false" ht="15" hidden="false" customHeight="false" outlineLevel="0" collapsed="false">
      <c r="A4856" s="5" t="s">
        <v>457</v>
      </c>
      <c r="C4856" s="25" t="n">
        <f aca="false">INDEX($G$4649:$K$4649,C4847)</f>
        <v>300</v>
      </c>
    </row>
    <row r="4857" customFormat="false" ht="15" hidden="false" customHeight="false" outlineLevel="0" collapsed="false">
      <c r="A4857" s="5" t="s">
        <v>458</v>
      </c>
      <c r="C4857" s="25" t="n">
        <f aca="false">INDEX($G$4662:$K$4662,C4847)</f>
        <v>509.6</v>
      </c>
    </row>
    <row r="4858" customFormat="false" ht="15" hidden="false" customHeight="false" outlineLevel="0" collapsed="false">
      <c r="A4858" s="5" t="s">
        <v>459</v>
      </c>
      <c r="C4858" s="25" t="n">
        <f aca="false">INDEX($G$4675:$K$4675,C4847)</f>
        <v>250</v>
      </c>
    </row>
    <row r="4859" customFormat="false" ht="15" hidden="false" customHeight="false" outlineLevel="0" collapsed="false">
      <c r="A4859" s="5" t="s">
        <v>460</v>
      </c>
      <c r="C4859" s="25" t="n">
        <f aca="false">INDEX($G$4688:$K$4688,C4847)</f>
        <v>300</v>
      </c>
    </row>
    <row r="4860" customFormat="false" ht="15" hidden="false" customHeight="false" outlineLevel="0" collapsed="false">
      <c r="A4860" s="23" t="s">
        <v>461</v>
      </c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</row>
    <row r="4861" customFormat="false" ht="15" hidden="false" customHeight="false" outlineLevel="0" collapsed="false">
      <c r="A4861" s="5" t="s">
        <v>457</v>
      </c>
      <c r="C4861" s="26" t="n">
        <f aca="false">Assumptions!$M$53</f>
        <v>1</v>
      </c>
    </row>
    <row r="4862" customFormat="false" ht="15" hidden="false" customHeight="false" outlineLevel="0" collapsed="false">
      <c r="A4862" s="5" t="s">
        <v>458</v>
      </c>
      <c r="C4862" s="26" t="n">
        <f aca="false">Assumptions!$M$54</f>
        <v>2</v>
      </c>
    </row>
    <row r="4863" customFormat="false" ht="15" hidden="false" customHeight="false" outlineLevel="0" collapsed="false">
      <c r="A4863" s="5" t="s">
        <v>459</v>
      </c>
      <c r="C4863" s="26" t="n">
        <f aca="false">Assumptions!$M$55</f>
        <v>3</v>
      </c>
    </row>
    <row r="4864" customFormat="false" ht="15" hidden="false" customHeight="false" outlineLevel="0" collapsed="false">
      <c r="A4864" s="5" t="s">
        <v>460</v>
      </c>
      <c r="C4864" s="26" t="n">
        <f aca="false">Assumptions!$M$56</f>
        <v>4</v>
      </c>
    </row>
    <row r="4865" customFormat="false" ht="15" hidden="false" customHeight="false" outlineLevel="0" collapsed="false">
      <c r="A4865" s="23" t="s">
        <v>462</v>
      </c>
      <c r="B4865" s="24"/>
      <c r="C4865" s="24"/>
      <c r="D4865" s="24"/>
      <c r="E4865" s="24"/>
      <c r="F4865" s="24"/>
      <c r="G4865" s="24"/>
      <c r="H4865" s="24"/>
      <c r="I4865" s="24"/>
      <c r="J4865" s="24"/>
      <c r="K4865" s="24"/>
    </row>
    <row r="4866" customFormat="false" ht="15" hidden="false" customHeight="false" outlineLevel="0" collapsed="false">
      <c r="A4866" s="5" t="s">
        <v>457</v>
      </c>
      <c r="C4866" s="34" t="n">
        <f aca="false">Assumptions!$Q$53</f>
        <v>0</v>
      </c>
    </row>
    <row r="4867" customFormat="false" ht="15" hidden="false" customHeight="false" outlineLevel="0" collapsed="false">
      <c r="A4867" s="5" t="s">
        <v>458</v>
      </c>
      <c r="C4867" s="34" t="n">
        <f aca="false">Assumptions!$Q$54</f>
        <v>0</v>
      </c>
    </row>
    <row r="4868" customFormat="false" ht="15" hidden="false" customHeight="false" outlineLevel="0" collapsed="false">
      <c r="A4868" s="5" t="s">
        <v>459</v>
      </c>
      <c r="C4868" s="34" t="n">
        <f aca="false">Assumptions!$Q$55</f>
        <v>0</v>
      </c>
    </row>
    <row r="4869" customFormat="false" ht="15" hidden="false" customHeight="false" outlineLevel="0" collapsed="false">
      <c r="A4869" s="5" t="s">
        <v>460</v>
      </c>
      <c r="C4869" s="34" t="n">
        <f aca="false">Assumptions!$Q$56</f>
        <v>0</v>
      </c>
    </row>
    <row r="4870" customFormat="false" ht="15" hidden="false" customHeight="false" outlineLevel="0" collapsed="false">
      <c r="A4870" s="23" t="s">
        <v>463</v>
      </c>
      <c r="B4870" s="24"/>
      <c r="C4870" s="24"/>
      <c r="D4870" s="24"/>
      <c r="E4870" s="24"/>
      <c r="F4870" s="24"/>
      <c r="G4870" s="24"/>
      <c r="H4870" s="24"/>
      <c r="I4870" s="24"/>
      <c r="J4870" s="24"/>
      <c r="K4870" s="24"/>
    </row>
    <row r="4871" customFormat="false" ht="15" hidden="false" customHeight="false" outlineLevel="0" collapsed="false">
      <c r="A4871" s="5" t="s">
        <v>457</v>
      </c>
      <c r="C4871" s="25" t="n">
        <f aca="false">IF(C4866&gt;0,MIN(C4856,C4866*$C$4854),0)</f>
        <v>0</v>
      </c>
    </row>
    <row r="4872" customFormat="false" ht="15" hidden="false" customHeight="false" outlineLevel="0" collapsed="false">
      <c r="A4872" s="5" t="s">
        <v>458</v>
      </c>
      <c r="C4872" s="25" t="n">
        <f aca="false">IF(C4867&gt;0,MIN(C4857,C4867*$C$4854),0)</f>
        <v>0</v>
      </c>
    </row>
    <row r="4873" customFormat="false" ht="15" hidden="false" customHeight="false" outlineLevel="0" collapsed="false">
      <c r="A4873" s="5" t="s">
        <v>459</v>
      </c>
      <c r="C4873" s="25" t="n">
        <f aca="false">IF(C4868&gt;0,MIN(C4858,C4868*$C$4854),0)</f>
        <v>0</v>
      </c>
    </row>
    <row r="4874" customFormat="false" ht="15" hidden="false" customHeight="false" outlineLevel="0" collapsed="false">
      <c r="A4874" s="5" t="s">
        <v>460</v>
      </c>
      <c r="C4874" s="25" t="n">
        <f aca="false">IF(C4869&gt;0,MIN(C4859,C4869*$C$4854),0)</f>
        <v>0</v>
      </c>
    </row>
    <row r="4875" customFormat="false" ht="15" hidden="false" customHeight="false" outlineLevel="0" collapsed="false">
      <c r="A4875" s="23" t="s">
        <v>464</v>
      </c>
      <c r="B4875" s="24"/>
      <c r="C4875" s="24"/>
      <c r="D4875" s="24"/>
      <c r="E4875" s="24"/>
      <c r="F4875" s="24"/>
      <c r="G4875" s="24"/>
      <c r="H4875" s="24"/>
      <c r="I4875" s="24"/>
      <c r="J4875" s="24"/>
      <c r="K4875" s="24"/>
    </row>
    <row r="4876" customFormat="false" ht="15" hidden="false" customHeight="false" outlineLevel="0" collapsed="false">
      <c r="A4876" s="5" t="s">
        <v>457</v>
      </c>
      <c r="C4876" s="25" t="n">
        <f aca="false">IF(C4866&gt;0,C4856-C4871,0)</f>
        <v>0</v>
      </c>
    </row>
    <row r="4877" customFormat="false" ht="15" hidden="false" customHeight="false" outlineLevel="0" collapsed="false">
      <c r="A4877" s="5" t="s">
        <v>458</v>
      </c>
      <c r="C4877" s="25" t="n">
        <f aca="false">IF(C4867&gt;0,C4857-C4872,0)</f>
        <v>0</v>
      </c>
    </row>
    <row r="4878" customFormat="false" ht="15" hidden="false" customHeight="false" outlineLevel="0" collapsed="false">
      <c r="A4878" s="5" t="s">
        <v>459</v>
      </c>
      <c r="C4878" s="25" t="n">
        <f aca="false">IF(C4868&gt;0,C4858-C4873,0)</f>
        <v>0</v>
      </c>
    </row>
    <row r="4879" customFormat="false" ht="15" hidden="false" customHeight="false" outlineLevel="0" collapsed="false">
      <c r="A4879" s="5" t="s">
        <v>460</v>
      </c>
      <c r="C4879" s="25" t="n">
        <f aca="false">IF(C4869&gt;0,C4859-C4874,0)</f>
        <v>0</v>
      </c>
    </row>
    <row r="4880" customFormat="false" ht="15" hidden="false" customHeight="false" outlineLevel="0" collapsed="false">
      <c r="A4880" s="23" t="s">
        <v>465</v>
      </c>
      <c r="B4880" s="24"/>
      <c r="C4880" s="24"/>
      <c r="D4880" s="24"/>
      <c r="E4880" s="24"/>
      <c r="F4880" s="24"/>
      <c r="G4880" s="24"/>
      <c r="H4880" s="24"/>
      <c r="I4880" s="24"/>
      <c r="J4880" s="24"/>
      <c r="K4880" s="24"/>
    </row>
    <row r="4881" customFormat="false" ht="15" hidden="false" customHeight="false" outlineLevel="0" collapsed="false">
      <c r="A4881" s="5" t="s">
        <v>457</v>
      </c>
      <c r="C4881" s="25" t="n">
        <f aca="false">IF(C4866&gt;0,C4876,C4856)</f>
        <v>300</v>
      </c>
    </row>
    <row r="4882" customFormat="false" ht="15" hidden="false" customHeight="false" outlineLevel="0" collapsed="false">
      <c r="A4882" s="5" t="s">
        <v>458</v>
      </c>
      <c r="C4882" s="25" t="n">
        <f aca="false">IF(C4867&gt;0,C4877,C4857)</f>
        <v>509.6</v>
      </c>
    </row>
    <row r="4883" customFormat="false" ht="15" hidden="false" customHeight="false" outlineLevel="0" collapsed="false">
      <c r="A4883" s="5" t="s">
        <v>459</v>
      </c>
      <c r="C4883" s="25" t="n">
        <f aca="false">IF(C4868&gt;0,C4878,C4858)</f>
        <v>250</v>
      </c>
    </row>
    <row r="4884" customFormat="false" ht="15" hidden="false" customHeight="false" outlineLevel="0" collapsed="false">
      <c r="A4884" s="5" t="s">
        <v>460</v>
      </c>
      <c r="C4884" s="25" t="n">
        <f aca="false">IF(C4869&gt;0,C4879,C4859)</f>
        <v>300</v>
      </c>
    </row>
    <row r="4885" customFormat="false" ht="15" hidden="false" customHeight="false" outlineLevel="0" collapsed="false">
      <c r="A4885" s="23" t="s">
        <v>466</v>
      </c>
      <c r="B4885" s="24"/>
      <c r="C4885" s="24"/>
      <c r="D4885" s="24"/>
      <c r="E4885" s="24"/>
      <c r="F4885" s="24"/>
      <c r="G4885" s="24"/>
      <c r="H4885" s="24"/>
      <c r="I4885" s="24"/>
      <c r="J4885" s="24"/>
      <c r="K4885" s="24"/>
    </row>
    <row r="4886" customFormat="false" ht="15" hidden="false" customHeight="false" outlineLevel="0" collapsed="false">
      <c r="A4886" s="5" t="s">
        <v>457</v>
      </c>
      <c r="C4886" s="20" t="n">
        <f aca="false">IF(C4866&gt;0,Assumptions!$C$17,C4861)</f>
        <v>1</v>
      </c>
    </row>
    <row r="4887" customFormat="false" ht="15" hidden="false" customHeight="false" outlineLevel="0" collapsed="false">
      <c r="A4887" s="5" t="s">
        <v>458</v>
      </c>
      <c r="C4887" s="20" t="n">
        <f aca="false">IF(C4867&gt;0,Assumptions!$C$17,C4862)</f>
        <v>2</v>
      </c>
    </row>
    <row r="4888" customFormat="false" ht="15" hidden="false" customHeight="false" outlineLevel="0" collapsed="false">
      <c r="A4888" s="5" t="s">
        <v>459</v>
      </c>
      <c r="C4888" s="20" t="n">
        <f aca="false">IF(C4868&gt;0,Assumptions!$C$17,C4863)</f>
        <v>3</v>
      </c>
    </row>
    <row r="4889" customFormat="false" ht="15" hidden="false" customHeight="false" outlineLevel="0" collapsed="false">
      <c r="A4889" s="5" t="s">
        <v>460</v>
      </c>
      <c r="C4889" s="20" t="n">
        <f aca="false">IF(C4869&gt;0,Assumptions!$C$17,C4864)</f>
        <v>4</v>
      </c>
    </row>
    <row r="4890" customFormat="false" ht="15" hidden="false" customHeight="false" outlineLevel="0" collapsed="false">
      <c r="A4890" s="23" t="s">
        <v>467</v>
      </c>
      <c r="B4890" s="24"/>
      <c r="C4890" s="24"/>
      <c r="D4890" s="24"/>
      <c r="E4890" s="24"/>
      <c r="F4890" s="24"/>
      <c r="G4890" s="24"/>
      <c r="H4890" s="24"/>
      <c r="I4890" s="24"/>
      <c r="J4890" s="24"/>
      <c r="K4890" s="24"/>
    </row>
    <row r="4891" customFormat="false" ht="15" hidden="false" customHeight="false" outlineLevel="0" collapsed="false">
      <c r="A4891" s="5" t="s">
        <v>457</v>
      </c>
      <c r="C4891" s="25" t="n">
        <f aca="false">SUMPRODUCT(($C$4886:$C$4889&lt;C4886)*$C$4881:$C$4884)</f>
        <v>0</v>
      </c>
    </row>
    <row r="4892" customFormat="false" ht="15" hidden="false" customHeight="false" outlineLevel="0" collapsed="false">
      <c r="A4892" s="5" t="s">
        <v>458</v>
      </c>
      <c r="C4892" s="25" t="n">
        <f aca="false">SUMPRODUCT(($C$4886:$C$4889&lt;C4887)*$C$4881:$C$4884)</f>
        <v>300</v>
      </c>
    </row>
    <row r="4893" customFormat="false" ht="15" hidden="false" customHeight="false" outlineLevel="0" collapsed="false">
      <c r="A4893" s="5" t="s">
        <v>459</v>
      </c>
      <c r="C4893" s="25" t="n">
        <f aca="false">SUMPRODUCT(($C$4886:$C$4889&lt;C4888)*$C$4881:$C$4884)</f>
        <v>809.6</v>
      </c>
    </row>
    <row r="4894" customFormat="false" ht="15" hidden="false" customHeight="false" outlineLevel="0" collapsed="false">
      <c r="A4894" s="5" t="s">
        <v>460</v>
      </c>
      <c r="C4894" s="25" t="n">
        <f aca="false">SUMPRODUCT(($C$4886:$C$4889&lt;C4889)*$C$4881:$C$4884)</f>
        <v>1059.6</v>
      </c>
    </row>
    <row r="4895" customFormat="false" ht="15" hidden="false" customHeight="false" outlineLevel="0" collapsed="false">
      <c r="A4895" s="23" t="s">
        <v>468</v>
      </c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</row>
    <row r="4896" customFormat="false" ht="15" hidden="false" customHeight="false" outlineLevel="0" collapsed="false">
      <c r="A4896" s="5" t="s">
        <v>457</v>
      </c>
      <c r="C4896" s="25" t="n">
        <f aca="false">SUMPRODUCT(($C$4886:$C$4889=C4886)*$C$4881:$C$4884)</f>
        <v>300</v>
      </c>
    </row>
    <row r="4897" customFormat="false" ht="15" hidden="false" customHeight="false" outlineLevel="0" collapsed="false">
      <c r="A4897" s="5" t="s">
        <v>458</v>
      </c>
      <c r="C4897" s="25" t="n">
        <f aca="false">SUMPRODUCT(($C$4886:$C$4889=C4887)*$C$4881:$C$4884)</f>
        <v>509.6</v>
      </c>
    </row>
    <row r="4898" customFormat="false" ht="15" hidden="false" customHeight="false" outlineLevel="0" collapsed="false">
      <c r="A4898" s="5" t="s">
        <v>459</v>
      </c>
      <c r="C4898" s="25" t="n">
        <f aca="false">SUMPRODUCT(($C$4886:$C$4889=C4888)*$C$4881:$C$4884)</f>
        <v>250</v>
      </c>
    </row>
    <row r="4899" customFormat="false" ht="15" hidden="false" customHeight="false" outlineLevel="0" collapsed="false">
      <c r="A4899" s="5" t="s">
        <v>460</v>
      </c>
      <c r="C4899" s="25" t="n">
        <f aca="false">SUMPRODUCT(($C$4886:$C$4889=C4889)*$C$4881:$C$4884)</f>
        <v>300</v>
      </c>
    </row>
    <row r="4900" customFormat="false" ht="15" hidden="false" customHeight="false" outlineLevel="0" collapsed="false">
      <c r="A4900" s="23" t="s">
        <v>469</v>
      </c>
      <c r="B4900" s="24"/>
      <c r="C4900" s="24"/>
      <c r="D4900" s="24"/>
      <c r="E4900" s="24"/>
      <c r="F4900" s="24"/>
      <c r="G4900" s="24"/>
      <c r="H4900" s="24"/>
      <c r="I4900" s="24"/>
      <c r="J4900" s="24"/>
      <c r="K4900" s="24"/>
    </row>
    <row r="4901" customFormat="false" ht="15" hidden="false" customHeight="false" outlineLevel="0" collapsed="false">
      <c r="A4901" s="5" t="s">
        <v>457</v>
      </c>
      <c r="C4901" s="25" t="n">
        <f aca="false">IF(C4896=0,0,C4881/C4896*MAX(0,MIN(C4896,$C$4854-SUM($C$4871:$C$4874)-C4891)))</f>
        <v>0</v>
      </c>
    </row>
    <row r="4902" customFormat="false" ht="15" hidden="false" customHeight="false" outlineLevel="0" collapsed="false">
      <c r="A4902" s="5" t="s">
        <v>458</v>
      </c>
      <c r="C4902" s="25" t="n">
        <f aca="false">IF(C4897=0,0,C4882/C4897*MAX(0,MIN(C4897,$C$4854-SUM($C$4871:$C$4874)-C4892)))</f>
        <v>0</v>
      </c>
    </row>
    <row r="4903" customFormat="false" ht="15" hidden="false" customHeight="false" outlineLevel="0" collapsed="false">
      <c r="A4903" s="5" t="s">
        <v>459</v>
      </c>
      <c r="C4903" s="25" t="n">
        <f aca="false">IF(C4898=0,0,C4883/C4898*MAX(0,MIN(C4898,$C$4854-SUM($C$4871:$C$4874)-C4893)))</f>
        <v>0</v>
      </c>
    </row>
    <row r="4904" customFormat="false" ht="15" hidden="false" customHeight="false" outlineLevel="0" collapsed="false">
      <c r="A4904" s="5" t="s">
        <v>460</v>
      </c>
      <c r="C4904" s="25" t="n">
        <f aca="false">IF(C4899=0,0,C4884/C4899*MAX(0,MIN(C4899,$C$4854-SUM($C$4871:$C$4874)-C4894)))</f>
        <v>0</v>
      </c>
    </row>
    <row r="4905" customFormat="false" ht="15" hidden="false" customHeight="false" outlineLevel="0" collapsed="false">
      <c r="A4905" s="23" t="s">
        <v>470</v>
      </c>
      <c r="B4905" s="24"/>
      <c r="C4905" s="24"/>
      <c r="D4905" s="24"/>
      <c r="E4905" s="24"/>
      <c r="F4905" s="24"/>
      <c r="G4905" s="24"/>
      <c r="H4905" s="24"/>
      <c r="I4905" s="24"/>
      <c r="J4905" s="24"/>
      <c r="K4905" s="24"/>
    </row>
    <row r="4906" customFormat="false" ht="15" hidden="false" customHeight="false" outlineLevel="0" collapsed="false">
      <c r="A4906" s="2" t="s">
        <v>457</v>
      </c>
      <c r="C4906" s="16" t="n">
        <f aca="false">C4871+C4901</f>
        <v>0</v>
      </c>
    </row>
    <row r="4907" customFormat="false" ht="15" hidden="false" customHeight="false" outlineLevel="0" collapsed="false">
      <c r="A4907" s="2" t="s">
        <v>458</v>
      </c>
      <c r="C4907" s="16" t="n">
        <f aca="false">C4872+C4902</f>
        <v>0</v>
      </c>
    </row>
    <row r="4908" customFormat="false" ht="15" hidden="false" customHeight="false" outlineLevel="0" collapsed="false">
      <c r="A4908" s="2" t="s">
        <v>459</v>
      </c>
      <c r="C4908" s="16" t="n">
        <f aca="false">C4873+C4903</f>
        <v>0</v>
      </c>
    </row>
    <row r="4909" customFormat="false" ht="15" hidden="false" customHeight="false" outlineLevel="0" collapsed="false">
      <c r="A4909" s="2" t="s">
        <v>460</v>
      </c>
      <c r="C4909" s="16" t="n">
        <f aca="false">C4874+C4904</f>
        <v>0</v>
      </c>
    </row>
    <row r="4910" customFormat="false" ht="15" hidden="false" customHeight="false" outlineLevel="0" collapsed="false">
      <c r="A4910" s="23" t="s">
        <v>471</v>
      </c>
      <c r="B4910" s="24"/>
      <c r="C4910" s="24"/>
      <c r="D4910" s="24"/>
      <c r="E4910" s="24"/>
      <c r="F4910" s="24"/>
      <c r="G4910" s="24"/>
      <c r="H4910" s="24"/>
      <c r="I4910" s="24"/>
      <c r="J4910" s="24"/>
      <c r="K4910" s="24"/>
    </row>
    <row r="4911" customFormat="false" ht="15" hidden="false" customHeight="false" outlineLevel="0" collapsed="false">
      <c r="A4911" s="5" t="s">
        <v>457</v>
      </c>
      <c r="C4911" s="21" t="n">
        <f aca="false">IF(C4856=0,1,C4906/C4856)</f>
        <v>0</v>
      </c>
    </row>
    <row r="4912" customFormat="false" ht="15" hidden="false" customHeight="false" outlineLevel="0" collapsed="false">
      <c r="A4912" s="5" t="s">
        <v>458</v>
      </c>
      <c r="C4912" s="21" t="n">
        <f aca="false">IF(C4857=0,1,C4907/C4857)</f>
        <v>0</v>
      </c>
    </row>
    <row r="4913" customFormat="false" ht="15" hidden="false" customHeight="false" outlineLevel="0" collapsed="false">
      <c r="A4913" s="5" t="s">
        <v>459</v>
      </c>
      <c r="C4913" s="21" t="n">
        <f aca="false">IF(C4858=0,1,C4908/C4858)</f>
        <v>0</v>
      </c>
    </row>
    <row r="4914" customFormat="false" ht="15" hidden="false" customHeight="false" outlineLevel="0" collapsed="false">
      <c r="A4914" s="5" t="s">
        <v>460</v>
      </c>
      <c r="C4914" s="21" t="n">
        <f aca="false">IF(C4859=0,1,C4909/C4859)</f>
        <v>0</v>
      </c>
    </row>
    <row r="4915" customFormat="false" ht="15" hidden="false" customHeight="false" outlineLevel="0" collapsed="false">
      <c r="A4915" s="23" t="s">
        <v>472</v>
      </c>
      <c r="B4915" s="24"/>
      <c r="C4915" s="24"/>
      <c r="D4915" s="24"/>
      <c r="E4915" s="24"/>
      <c r="F4915" s="24"/>
      <c r="G4915" s="24"/>
      <c r="H4915" s="24"/>
      <c r="I4915" s="24"/>
      <c r="J4915" s="24"/>
      <c r="K4915" s="24"/>
    </row>
    <row r="4916" customFormat="false" ht="15" hidden="false" customHeight="false" outlineLevel="0" collapsed="false">
      <c r="A4916" s="5" t="s">
        <v>457</v>
      </c>
      <c r="C4916" s="25" t="n">
        <f aca="false">C4856-C4906</f>
        <v>300</v>
      </c>
    </row>
    <row r="4917" customFormat="false" ht="15" hidden="false" customHeight="false" outlineLevel="0" collapsed="false">
      <c r="A4917" s="5" t="s">
        <v>458</v>
      </c>
      <c r="C4917" s="25" t="n">
        <f aca="false">C4857-C4907</f>
        <v>509.6</v>
      </c>
    </row>
    <row r="4918" customFormat="false" ht="15" hidden="false" customHeight="false" outlineLevel="0" collapsed="false">
      <c r="A4918" s="5" t="s">
        <v>459</v>
      </c>
      <c r="C4918" s="25" t="n">
        <f aca="false">C4858-C4908</f>
        <v>250</v>
      </c>
    </row>
    <row r="4919" customFormat="false" ht="15" hidden="false" customHeight="false" outlineLevel="0" collapsed="false">
      <c r="A4919" s="5" t="s">
        <v>460</v>
      </c>
      <c r="C4919" s="25" t="n">
        <f aca="false">C4859-C4909</f>
        <v>300</v>
      </c>
    </row>
    <row r="4920" customFormat="false" ht="15" hidden="false" customHeight="false" outlineLevel="0" collapsed="false">
      <c r="A4920" s="23" t="s">
        <v>473</v>
      </c>
      <c r="B4920" s="24"/>
      <c r="C4920" s="24"/>
      <c r="D4920" s="24"/>
      <c r="E4920" s="24"/>
      <c r="F4920" s="24"/>
      <c r="G4920" s="24"/>
      <c r="H4920" s="24"/>
      <c r="I4920" s="24"/>
      <c r="J4920" s="24"/>
      <c r="K4920" s="24"/>
    </row>
    <row r="4921" customFormat="false" ht="15" hidden="false" customHeight="false" outlineLevel="0" collapsed="false">
      <c r="A4921" s="5" t="s">
        <v>457</v>
      </c>
      <c r="C4921" s="21" t="n">
        <f aca="false">IF(C4856=0,0,C4916/C4856)</f>
        <v>1</v>
      </c>
    </row>
    <row r="4922" customFormat="false" ht="15" hidden="false" customHeight="false" outlineLevel="0" collapsed="false">
      <c r="A4922" s="5" t="s">
        <v>458</v>
      </c>
      <c r="C4922" s="21" t="n">
        <f aca="false">IF(C4857=0,0,C4917/C4857)</f>
        <v>1</v>
      </c>
    </row>
    <row r="4923" customFormat="false" ht="15" hidden="false" customHeight="false" outlineLevel="0" collapsed="false">
      <c r="A4923" s="5" t="s">
        <v>459</v>
      </c>
      <c r="C4923" s="21" t="n">
        <f aca="false">IF(C4858=0,0,C4918/C4858)</f>
        <v>1</v>
      </c>
    </row>
    <row r="4924" customFormat="false" ht="15" hidden="false" customHeight="false" outlineLevel="0" collapsed="false">
      <c r="A4924" s="5" t="s">
        <v>460</v>
      </c>
      <c r="C4924" s="21" t="n">
        <f aca="false">IF(C4859=0,0,C4919/C4859)</f>
        <v>1</v>
      </c>
    </row>
    <row r="4925" customFormat="false" ht="15" hidden="false" customHeight="false" outlineLevel="0" collapsed="false">
      <c r="A4925" s="2" t="s">
        <v>474</v>
      </c>
      <c r="C4925" s="16" t="n">
        <f aca="false">MAX(0,$C$4854-SUM($C$4871:$C$4874)-SUM($C$4881:$C$4884))</f>
        <v>0</v>
      </c>
    </row>
    <row r="4926" customFormat="false" ht="15" hidden="false" customHeight="false" outlineLevel="0" collapsed="false">
      <c r="A4926" s="5" t="s">
        <v>492</v>
      </c>
      <c r="C4926" s="33" t="n">
        <f aca="false">MIN(C4853,100*CHOOSE(C4843,C4911,C4912,C4913,C4914))</f>
        <v>0</v>
      </c>
    </row>
    <row r="4927" customFormat="false" ht="15" hidden="false" customHeight="false" outlineLevel="0" collapsed="false">
      <c r="A4927" s="5" t="s">
        <v>493</v>
      </c>
      <c r="C4927" s="20" t="n">
        <f aca="false">IF(C4759=1,C4848+Assumptions!$C$36,C4847)</f>
        <v>2</v>
      </c>
    </row>
    <row r="4928" customFormat="false" ht="15" hidden="false" customHeight="false" outlineLevel="0" collapsed="false">
      <c r="A4928" s="23" t="s">
        <v>494</v>
      </c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</row>
    <row r="4929" customFormat="false" ht="15" hidden="false" customHeight="false" outlineLevel="0" collapsed="false">
      <c r="A4929" s="5" t="s">
        <v>495</v>
      </c>
      <c r="C4929" s="20" t="n">
        <f aca="false">COLUMN()-COLUMN($C$1)</f>
        <v>0</v>
      </c>
      <c r="D4929" s="20" t="n">
        <f aca="false">COLUMN()-COLUMN($C$1)</f>
        <v>1</v>
      </c>
      <c r="E4929" s="20" t="n">
        <f aca="false">COLUMN()-COLUMN($C$1)</f>
        <v>2</v>
      </c>
      <c r="F4929" s="20" t="n">
        <f aca="false">COLUMN()-COLUMN($C$1)</f>
        <v>3</v>
      </c>
      <c r="G4929" s="20" t="n">
        <f aca="false">COLUMN()-COLUMN($C$1)</f>
        <v>4</v>
      </c>
      <c r="H4929" s="20" t="n">
        <f aca="false">COLUMN()-COLUMN($C$1)</f>
        <v>5</v>
      </c>
      <c r="I4929" s="20" t="n">
        <f aca="false">COLUMN()-COLUMN($C$1)</f>
        <v>6</v>
      </c>
    </row>
    <row r="4930" customFormat="false" ht="15" hidden="false" customHeight="false" outlineLevel="0" collapsed="false">
      <c r="A4930" s="5" t="s">
        <v>496</v>
      </c>
      <c r="D4930" s="30" t="n">
        <f aca="false">CHOOSE($C$4843,G4641,G4654,G4667,G4680)</f>
        <v>0.133</v>
      </c>
      <c r="E4930" s="30" t="n">
        <f aca="false">CHOOSE($C$4843,H4641,H4654,H4667,H4680)</f>
        <v>0.1305</v>
      </c>
      <c r="F4930" s="30" t="n">
        <f aca="false">CHOOSE($C$4843,I4641,I4654,I4667,I4680)</f>
        <v>0.128</v>
      </c>
      <c r="G4930" s="30" t="n">
        <f aca="false">CHOOSE($C$4843,J4641,J4654,J4667,J4680)</f>
        <v>0.128</v>
      </c>
      <c r="H4930" s="30" t="n">
        <f aca="false">CHOOSE($C$4843,K4641,K4654,K4667,K4680)</f>
        <v>0.128</v>
      </c>
    </row>
    <row r="4931" customFormat="false" ht="15" hidden="false" customHeight="false" outlineLevel="0" collapsed="false">
      <c r="A4931" s="5" t="s">
        <v>497</v>
      </c>
      <c r="D4931" s="25" t="n">
        <f aca="false">IF(D4929&lt;=$C$4852,$C$4844*D4930,0)</f>
        <v>13.3</v>
      </c>
      <c r="E4931" s="25" t="n">
        <f aca="false">IF(E4929&lt;=$C$4852,$C$4844*E4930,0)</f>
        <v>0</v>
      </c>
      <c r="F4931" s="25" t="n">
        <f aca="false">IF(F4929&lt;=$C$4852,$C$4844*F4930,0)</f>
        <v>0</v>
      </c>
      <c r="G4931" s="25" t="n">
        <f aca="false">IF(G4929&lt;=$C$4852,$C$4844*G4930,0)</f>
        <v>0</v>
      </c>
      <c r="H4931" s="25" t="n">
        <f aca="false">IF(H4929&lt;=$C$4852,$C$4844*H4930,0)</f>
        <v>0</v>
      </c>
    </row>
    <row r="4932" customFormat="false" ht="15" hidden="false" customHeight="false" outlineLevel="0" collapsed="false">
      <c r="A4932" s="5" t="s">
        <v>498</v>
      </c>
      <c r="D4932" s="25" t="n">
        <f aca="false">IF(AND($C$4759=0,D4929=$C$4847),$C$4844*$C$4926/100,0)+IF(AND($C$4759=1,D4929=$C$4927),$C$4850,0)</f>
        <v>0</v>
      </c>
      <c r="E4932" s="25" t="n">
        <f aca="false">IF(AND($C$4759=0,E4929=$C$4847),$C$4844*$C$4926/100,0)+IF(AND($C$4759=1,E4929=$C$4927),$C$4850,0)</f>
        <v>15.6713286713287</v>
      </c>
      <c r="F4932" s="25" t="n">
        <f aca="false">IF(AND($C$4759=0,F4929=$C$4847),$C$4844*$C$4926/100,0)+IF(AND($C$4759=1,F4929=$C$4927),$C$4850,0)</f>
        <v>0</v>
      </c>
      <c r="G4932" s="25" t="n">
        <f aca="false">IF(AND($C$4759=0,G4929=$C$4847),$C$4844*$C$4926/100,0)+IF(AND($C$4759=1,G4929=$C$4927),$C$4850,0)</f>
        <v>0</v>
      </c>
      <c r="H4932" s="25" t="n">
        <f aca="false">IF(AND($C$4759=0,H4929=$C$4847),$C$4844*$C$4926/100,0)+IF(AND($C$4759=1,H4929=$C$4927),$C$4850,0)</f>
        <v>0</v>
      </c>
      <c r="I4932" s="25" t="n">
        <f aca="false">IF(AND($C$4759=0,I4929=$C$4847),$C$4844*$C$4926/100,0)+IF(AND($C$4759=1,I4929=$C$4927),$C$4850,0)</f>
        <v>0</v>
      </c>
    </row>
    <row r="4933" customFormat="false" ht="15" hidden="false" customHeight="false" outlineLevel="0" collapsed="false">
      <c r="A4933" s="2" t="s">
        <v>499</v>
      </c>
      <c r="C4933" s="16" t="n">
        <f aca="false">-$C$4846</f>
        <v>-78.39</v>
      </c>
      <c r="D4933" s="16" t="n">
        <f aca="false">D4931+D4932</f>
        <v>13.3</v>
      </c>
      <c r="E4933" s="16" t="n">
        <f aca="false">E4931+E4932</f>
        <v>15.6713286713287</v>
      </c>
      <c r="F4933" s="16" t="n">
        <f aca="false">F4931+F4932</f>
        <v>0</v>
      </c>
      <c r="G4933" s="16" t="n">
        <f aca="false">G4931+G4932</f>
        <v>0</v>
      </c>
      <c r="H4933" s="16" t="n">
        <f aca="false">H4931+H4932</f>
        <v>0</v>
      </c>
      <c r="I4933" s="16" t="n">
        <f aca="false">I4931+I4932</f>
        <v>0</v>
      </c>
    </row>
    <row r="4934" customFormat="false" ht="15" hidden="false" customHeight="false" outlineLevel="0" collapsed="false">
      <c r="A4934" s="5" t="s">
        <v>500</v>
      </c>
      <c r="C4934" s="25" t="n">
        <f aca="false">SUM($C$4931:$I$4931)</f>
        <v>13.3</v>
      </c>
    </row>
    <row r="4935" customFormat="false" ht="15" hidden="false" customHeight="false" outlineLevel="0" collapsed="false">
      <c r="A4935" s="5" t="s">
        <v>501</v>
      </c>
      <c r="C4935" s="25" t="n">
        <f aca="false">SUM($C$4932:$I$4932)</f>
        <v>15.6713286713287</v>
      </c>
    </row>
    <row r="4936" customFormat="false" ht="15" hidden="false" customHeight="false" outlineLevel="0" collapsed="false">
      <c r="A4936" s="5" t="s">
        <v>502</v>
      </c>
      <c r="C4936" s="25" t="n">
        <f aca="false">C4934+C4935</f>
        <v>28.9713286713287</v>
      </c>
    </row>
    <row r="4937" customFormat="false" ht="15" hidden="false" customHeight="false" outlineLevel="0" collapsed="false">
      <c r="A4937" s="5" t="s">
        <v>503</v>
      </c>
      <c r="C4937" s="25" t="n">
        <f aca="false">C4935-C4844*C4845/100</f>
        <v>-62.3286713286713</v>
      </c>
    </row>
    <row r="4938" customFormat="false" ht="15" hidden="false" customHeight="false" outlineLevel="0" collapsed="false">
      <c r="A4938" s="5" t="s">
        <v>504</v>
      </c>
      <c r="C4938" s="25" t="n">
        <f aca="false">C4936-C4846</f>
        <v>-49.4186713286713</v>
      </c>
    </row>
    <row r="4939" customFormat="false" ht="15" hidden="false" customHeight="false" outlineLevel="0" collapsed="false">
      <c r="A4939" s="2" t="s">
        <v>385</v>
      </c>
      <c r="C4939" s="43" t="n">
        <f aca="false">C4936/C4846</f>
        <v>0.369579393689612</v>
      </c>
    </row>
    <row r="4940" customFormat="false" ht="15" hidden="false" customHeight="false" outlineLevel="0" collapsed="false">
      <c r="A4940" s="2" t="s">
        <v>384</v>
      </c>
      <c r="C4940" s="41" t="n">
        <f aca="false">IF(C4936&lt;=0,-1,IFERROR(IRR($C$4933:$I$4933,MAX(-0.9,C4939^(1/C4927)-1)),IRR($C$4933:$I$4933,0.1)))</f>
        <v>-0.46007280909275</v>
      </c>
    </row>
    <row r="4941" customFormat="false" ht="15" hidden="false" customHeight="false" outlineLevel="0" collapsed="false">
      <c r="A4941" s="5" t="s">
        <v>505</v>
      </c>
      <c r="C4941" s="31" t="n">
        <f aca="false">MAX($G$4735:$K$4735)</f>
        <v>0</v>
      </c>
    </row>
    <row r="4942" customFormat="false" ht="15" hidden="false" customHeight="false" outlineLevel="0" collapsed="false">
      <c r="A4942" s="5" t="s">
        <v>506</v>
      </c>
      <c r="C4942" s="31" t="n">
        <f aca="false">MIN($G$4736:$K$4736)</f>
        <v>-0.393830334190231</v>
      </c>
    </row>
    <row r="4943" customFormat="false" ht="15" hidden="false" customHeight="false" outlineLevel="0" collapsed="false">
      <c r="A4943" s="5" t="s">
        <v>507</v>
      </c>
      <c r="C4943" s="25" t="n">
        <f aca="false">SUM($G$4625:$K$4625)</f>
        <v>-1049.44408612202</v>
      </c>
    </row>
    <row r="4947" customFormat="false" ht="15" hidden="false" customHeight="false" outlineLevel="0" collapsed="false">
      <c r="A4947" s="9" t="s">
        <v>640</v>
      </c>
      <c r="B4947" s="10"/>
      <c r="C4947" s="10"/>
      <c r="D4947" s="10"/>
      <c r="E4947" s="10"/>
      <c r="F4947" s="10"/>
      <c r="G4947" s="10"/>
      <c r="H4947" s="10"/>
      <c r="I4947" s="10"/>
      <c r="J4947" s="10"/>
      <c r="K4947" s="10"/>
    </row>
    <row r="4948" customFormat="false" ht="15" hidden="false" customHeight="false" outlineLevel="0" collapsed="false">
      <c r="A4948" s="5" t="s">
        <v>622</v>
      </c>
      <c r="C4948" s="11" t="n">
        <v>3</v>
      </c>
    </row>
    <row r="4949" customFormat="false" ht="15" hidden="false" customHeight="false" outlineLevel="0" collapsed="false">
      <c r="A4949" s="5" t="s">
        <v>623</v>
      </c>
      <c r="C4949" s="18" t="n">
        <v>0</v>
      </c>
    </row>
    <row r="4950" customFormat="false" ht="15" hidden="false" customHeight="false" outlineLevel="0" collapsed="false">
      <c r="A4950" s="5" t="s">
        <v>624</v>
      </c>
      <c r="C4950" s="29" t="n">
        <f aca="false">Sensitivities!$A$31</f>
        <v>-0.02</v>
      </c>
    </row>
    <row r="4951" customFormat="false" ht="15" hidden="false" customHeight="false" outlineLevel="0" collapsed="false">
      <c r="A4951" s="5" t="s">
        <v>625</v>
      </c>
      <c r="C4951" s="18" t="n">
        <v>0</v>
      </c>
    </row>
    <row r="4952" customFormat="false" ht="15" hidden="false" customHeight="false" outlineLevel="0" collapsed="false">
      <c r="A4952" s="5" t="s">
        <v>626</v>
      </c>
      <c r="C4952" s="15" t="n">
        <v>0</v>
      </c>
    </row>
    <row r="4954" customFormat="false" ht="15" hidden="false" customHeight="false" outlineLevel="0" collapsed="false">
      <c r="A4954" s="23" t="s">
        <v>237</v>
      </c>
      <c r="B4954" s="24"/>
      <c r="C4954" s="24"/>
      <c r="D4954" s="24"/>
      <c r="E4954" s="24"/>
      <c r="F4954" s="24"/>
      <c r="G4954" s="24"/>
      <c r="H4954" s="24"/>
      <c r="I4954" s="24"/>
      <c r="J4954" s="24"/>
      <c r="K4954" s="24"/>
    </row>
    <row r="4955" customFormat="false" ht="15" hidden="false" customHeight="false" outlineLevel="0" collapsed="false">
      <c r="A4955" s="5" t="s">
        <v>238</v>
      </c>
      <c r="F4955" s="26" t="n">
        <f aca="false">Assumptions!$C$6</f>
        <v>2025</v>
      </c>
      <c r="G4955" s="20" t="n">
        <f aca="false">F4955+1</f>
        <v>2026</v>
      </c>
      <c r="H4955" s="20" t="n">
        <f aca="false">G4955+1</f>
        <v>2027</v>
      </c>
      <c r="I4955" s="20" t="n">
        <f aca="false">H4955+1</f>
        <v>2028</v>
      </c>
      <c r="J4955" s="20" t="n">
        <f aca="false">I4955+1</f>
        <v>2029</v>
      </c>
      <c r="K4955" s="20" t="n">
        <f aca="false">J4955+1</f>
        <v>2030</v>
      </c>
    </row>
    <row r="4956" customFormat="false" ht="15" hidden="false" customHeight="false" outlineLevel="0" collapsed="false">
      <c r="A4956" s="5" t="s">
        <v>239</v>
      </c>
      <c r="G4956" s="20" t="n">
        <f aca="false">G4955-Assumptions!$C$6</f>
        <v>1</v>
      </c>
      <c r="H4956" s="20" t="n">
        <f aca="false">H4955-Assumptions!$C$6</f>
        <v>2</v>
      </c>
      <c r="I4956" s="20" t="n">
        <f aca="false">I4955-Assumptions!$C$6</f>
        <v>3</v>
      </c>
      <c r="J4956" s="20" t="n">
        <f aca="false">J4955-Assumptions!$C$6</f>
        <v>4</v>
      </c>
      <c r="K4956" s="20" t="n">
        <f aca="false">K4955-Assumptions!$C$6</f>
        <v>5</v>
      </c>
    </row>
    <row r="4957" customFormat="false" ht="15" hidden="false" customHeight="false" outlineLevel="0" collapsed="false">
      <c r="A4957" s="5" t="s">
        <v>149</v>
      </c>
      <c r="G4957" s="21" t="n">
        <f aca="false">CHOOSE($C$4948,Assumptions!$G$65,Assumptions!$G$84,Assumptions!$G$103)+$C$4949</f>
        <v>-0.234</v>
      </c>
      <c r="H4957" s="21" t="n">
        <f aca="false">CHOOSE($C$4948,Assumptions!$H$65,Assumptions!$H$84,Assumptions!$H$103)+$C$4949</f>
        <v>-0.13</v>
      </c>
      <c r="I4957" s="21" t="n">
        <f aca="false">CHOOSE($C$4948,Assumptions!$I$65,Assumptions!$I$84,Assumptions!$I$103)+$C$4949</f>
        <v>-0.026</v>
      </c>
      <c r="J4957" s="21" t="n">
        <f aca="false">CHOOSE($C$4948,Assumptions!$J$65,Assumptions!$J$84,Assumptions!$J$103)+$C$4949</f>
        <v>-0.01</v>
      </c>
      <c r="K4957" s="21" t="n">
        <f aca="false">CHOOSE($C$4948,Assumptions!$K$65,Assumptions!$K$84,Assumptions!$K$103)+$C$4949</f>
        <v>-0.01</v>
      </c>
    </row>
    <row r="4958" customFormat="false" ht="15" hidden="false" customHeight="false" outlineLevel="0" collapsed="false">
      <c r="A4958" s="5" t="s">
        <v>150</v>
      </c>
      <c r="G4958" s="21" t="n">
        <f aca="false">CHOOSE($C$4948,Assumptions!$G$66,Assumptions!$G$85,Assumptions!$G$104)</f>
        <v>0.305</v>
      </c>
      <c r="H4958" s="21" t="n">
        <f aca="false">CHOOSE($C$4948,Assumptions!$H$66,Assumptions!$H$85,Assumptions!$H$104)</f>
        <v>0.305</v>
      </c>
      <c r="I4958" s="21" t="n">
        <f aca="false">CHOOSE($C$4948,Assumptions!$I$66,Assumptions!$I$85,Assumptions!$I$104)</f>
        <v>0.305</v>
      </c>
      <c r="J4958" s="21" t="n">
        <f aca="false">CHOOSE($C$4948,Assumptions!$J$66,Assumptions!$J$85,Assumptions!$J$104)</f>
        <v>0.305</v>
      </c>
      <c r="K4958" s="21" t="n">
        <f aca="false">CHOOSE($C$4948,Assumptions!$K$66,Assumptions!$K$85,Assumptions!$K$104)</f>
        <v>0.305</v>
      </c>
    </row>
    <row r="4959" customFormat="false" ht="15" hidden="false" customHeight="false" outlineLevel="0" collapsed="false">
      <c r="A4959" s="5" t="s">
        <v>151</v>
      </c>
      <c r="G4959" s="21" t="n">
        <f aca="false">CHOOSE($C$4948,Assumptions!$G$67,Assumptions!$G$86,Assumptions!$G$105)+$C$4950</f>
        <v>-0.01</v>
      </c>
      <c r="H4959" s="21" t="n">
        <f aca="false">CHOOSE($C$4948,Assumptions!$H$67,Assumptions!$H$86,Assumptions!$H$105)+$C$4950</f>
        <v>-0.01</v>
      </c>
      <c r="I4959" s="21" t="n">
        <f aca="false">CHOOSE($C$4948,Assumptions!$I$67,Assumptions!$I$86,Assumptions!$I$105)+$C$4950</f>
        <v>-0.01</v>
      </c>
      <c r="J4959" s="21" t="n">
        <f aca="false">CHOOSE($C$4948,Assumptions!$J$67,Assumptions!$J$86,Assumptions!$J$105)+$C$4950</f>
        <v>-0.01</v>
      </c>
      <c r="K4959" s="21" t="n">
        <f aca="false">CHOOSE($C$4948,Assumptions!$K$67,Assumptions!$K$86,Assumptions!$K$105)+$C$4950</f>
        <v>-0.01</v>
      </c>
    </row>
    <row r="4960" customFormat="false" ht="15" hidden="false" customHeight="false" outlineLevel="0" collapsed="false">
      <c r="A4960" s="23" t="s">
        <v>240</v>
      </c>
      <c r="B4960" s="24"/>
      <c r="C4960" s="24"/>
      <c r="D4960" s="24"/>
      <c r="E4960" s="24"/>
      <c r="F4960" s="24"/>
      <c r="G4960" s="24"/>
      <c r="H4960" s="24"/>
      <c r="I4960" s="24"/>
      <c r="J4960" s="24"/>
      <c r="K4960" s="24"/>
    </row>
    <row r="4961" customFormat="false" ht="15" hidden="false" customHeight="false" outlineLevel="0" collapsed="false">
      <c r="A4961" s="2" t="s">
        <v>207</v>
      </c>
      <c r="F4961" s="27" t="n">
        <f aca="false">'Historical Financials'!E17</f>
        <v>2400</v>
      </c>
      <c r="G4961" s="16" t="n">
        <f aca="false">F4961*(1+G4957)</f>
        <v>1838.4</v>
      </c>
      <c r="H4961" s="16" t="n">
        <f aca="false">G4961*(1+H4957)</f>
        <v>1599.408</v>
      </c>
      <c r="I4961" s="16" t="n">
        <f aca="false">H4961*(1+I4957)</f>
        <v>1557.823392</v>
      </c>
      <c r="J4961" s="16" t="n">
        <f aca="false">I4961*(1+J4957)</f>
        <v>1542.24515808</v>
      </c>
      <c r="K4961" s="16" t="n">
        <f aca="false">J4961*(1+K4957)</f>
        <v>1526.8227064992</v>
      </c>
    </row>
    <row r="4962" customFormat="false" ht="15" hidden="false" customHeight="false" outlineLevel="0" collapsed="false">
      <c r="A4962" s="5" t="s">
        <v>217</v>
      </c>
      <c r="G4962" s="25" t="n">
        <f aca="false">G4961*(1-G4958)</f>
        <v>1277.688</v>
      </c>
      <c r="H4962" s="25" t="n">
        <f aca="false">H4961*(1-H4958)</f>
        <v>1111.58856</v>
      </c>
      <c r="I4962" s="25" t="n">
        <f aca="false">I4961*(1-I4958)</f>
        <v>1082.68725744</v>
      </c>
      <c r="J4962" s="25" t="n">
        <f aca="false">J4961*(1-J4958)</f>
        <v>1071.8603848656</v>
      </c>
      <c r="K4962" s="25" t="n">
        <f aca="false">K4961*(1-K4958)</f>
        <v>1061.14178101694</v>
      </c>
    </row>
    <row r="4963" customFormat="false" ht="15" hidden="false" customHeight="false" outlineLevel="0" collapsed="false">
      <c r="A4963" s="2" t="s">
        <v>218</v>
      </c>
      <c r="G4963" s="16" t="n">
        <f aca="false">G4961-G4962</f>
        <v>560.712</v>
      </c>
      <c r="H4963" s="16" t="n">
        <f aca="false">H4961-H4962</f>
        <v>487.81944</v>
      </c>
      <c r="I4963" s="16" t="n">
        <f aca="false">I4961-I4962</f>
        <v>475.13613456</v>
      </c>
      <c r="J4963" s="16" t="n">
        <f aca="false">J4961-J4962</f>
        <v>470.3847732144</v>
      </c>
      <c r="K4963" s="16" t="n">
        <f aca="false">K4961-K4962</f>
        <v>465.680925482256</v>
      </c>
    </row>
    <row r="4964" customFormat="false" ht="15" hidden="false" customHeight="false" outlineLevel="0" collapsed="false">
      <c r="A4964" s="5" t="s">
        <v>241</v>
      </c>
      <c r="G4964" s="25" t="n">
        <f aca="false">G4963-G4965</f>
        <v>579.096</v>
      </c>
      <c r="H4964" s="25" t="n">
        <f aca="false">H4963-H4965</f>
        <v>503.81352</v>
      </c>
      <c r="I4964" s="25" t="n">
        <f aca="false">I4963-I4965</f>
        <v>490.71436848</v>
      </c>
      <c r="J4964" s="25" t="n">
        <f aca="false">J4963-J4965</f>
        <v>485.8072247952</v>
      </c>
      <c r="K4964" s="25" t="n">
        <f aca="false">K4963-K4965</f>
        <v>480.949152547248</v>
      </c>
    </row>
    <row r="4965" customFormat="false" ht="15" hidden="false" customHeight="false" outlineLevel="0" collapsed="false">
      <c r="A4965" s="2" t="s">
        <v>242</v>
      </c>
      <c r="G4965" s="16" t="n">
        <f aca="false">G4961*G4959</f>
        <v>-18.384</v>
      </c>
      <c r="H4965" s="16" t="n">
        <f aca="false">H4961*H4959</f>
        <v>-15.99408</v>
      </c>
      <c r="I4965" s="16" t="n">
        <f aca="false">I4961*I4959</f>
        <v>-15.57823392</v>
      </c>
      <c r="J4965" s="16" t="n">
        <f aca="false">J4961*J4959</f>
        <v>-15.4224515808</v>
      </c>
      <c r="K4965" s="16" t="n">
        <f aca="false">K4961*K4959</f>
        <v>-15.268227064992</v>
      </c>
    </row>
    <row r="4966" customFormat="false" ht="15" hidden="false" customHeight="false" outlineLevel="0" collapsed="false">
      <c r="A4966" s="5" t="s">
        <v>243</v>
      </c>
      <c r="G4966" s="25" t="n">
        <f aca="false">G4961*'Historical Financials'!E22/'Historical Financials'!E17</f>
        <v>40.4448</v>
      </c>
      <c r="H4966" s="25" t="n">
        <f aca="false">H4961*'Historical Financials'!E22/'Historical Financials'!E17</f>
        <v>35.186976</v>
      </c>
      <c r="I4966" s="25" t="n">
        <f aca="false">I4961*'Historical Financials'!E22/'Historical Financials'!E17</f>
        <v>34.272114624</v>
      </c>
      <c r="J4966" s="25" t="n">
        <f aca="false">J4961*'Historical Financials'!E22/'Historical Financials'!E17</f>
        <v>33.92939347776</v>
      </c>
      <c r="K4966" s="25" t="n">
        <f aca="false">K4961*'Historical Financials'!E22/'Historical Financials'!E17</f>
        <v>33.5900995429824</v>
      </c>
    </row>
    <row r="4967" customFormat="false" ht="15" hidden="false" customHeight="false" outlineLevel="0" collapsed="false">
      <c r="A4967" s="5" t="s">
        <v>244</v>
      </c>
      <c r="G4967" s="25" t="n">
        <f aca="false">G4961*'Historical Financials'!E23/'Historical Financials'!E17</f>
        <v>0</v>
      </c>
      <c r="H4967" s="25" t="n">
        <f aca="false">H4961*'Historical Financials'!E23/'Historical Financials'!E17</f>
        <v>0</v>
      </c>
      <c r="I4967" s="25" t="n">
        <f aca="false">I4961*'Historical Financials'!E23/'Historical Financials'!E17</f>
        <v>0</v>
      </c>
      <c r="J4967" s="25" t="n">
        <f aca="false">J4961*'Historical Financials'!E23/'Historical Financials'!E17</f>
        <v>0</v>
      </c>
      <c r="K4967" s="25" t="n">
        <f aca="false">K4961*'Historical Financials'!E23/'Historical Financials'!E17</f>
        <v>0</v>
      </c>
    </row>
    <row r="4968" customFormat="false" ht="15" hidden="false" customHeight="false" outlineLevel="0" collapsed="false">
      <c r="A4968" s="2" t="s">
        <v>245</v>
      </c>
      <c r="G4968" s="16" t="n">
        <f aca="false">G4965-G4966-G4967</f>
        <v>-58.8288</v>
      </c>
      <c r="H4968" s="16" t="n">
        <f aca="false">H4965-H4966-H4967</f>
        <v>-51.181056</v>
      </c>
      <c r="I4968" s="16" t="n">
        <f aca="false">I4965-I4966-I4967</f>
        <v>-49.850348544</v>
      </c>
      <c r="J4968" s="16" t="n">
        <f aca="false">J4965-J4966-J4967</f>
        <v>-49.35184505856</v>
      </c>
      <c r="K4968" s="16" t="n">
        <f aca="false">K4965-K4966-K4967</f>
        <v>-48.8583266079744</v>
      </c>
    </row>
    <row r="4969" customFormat="false" ht="15" hidden="false" customHeight="false" outlineLevel="0" collapsed="false">
      <c r="A4969" s="5" t="s">
        <v>246</v>
      </c>
      <c r="G4969" s="25" t="n">
        <f aca="false">G4995+G5008+G5021+G5034</f>
        <v>140.04</v>
      </c>
      <c r="H4969" s="25" t="n">
        <f aca="false">H4995+H5008+H5021+H5034</f>
        <v>148.0167168</v>
      </c>
      <c r="I4969" s="25" t="n">
        <f aca="false">I4995+I5008+I5021+I5034</f>
        <v>145.3849248</v>
      </c>
      <c r="J4969" s="25" t="n">
        <f aca="false">J4995+J5008+J5021+J5034</f>
        <v>144.7193248</v>
      </c>
      <c r="K4969" s="25" t="n">
        <f aca="false">K4995+K5008+K5021+K5034</f>
        <v>144.0537248</v>
      </c>
    </row>
    <row r="4970" customFormat="false" ht="15" hidden="false" customHeight="false" outlineLevel="0" collapsed="false">
      <c r="A4970" s="5" t="s">
        <v>247</v>
      </c>
      <c r="G4970" s="25" t="n">
        <f aca="false">G4996+G5009+G5022+G5035</f>
        <v>0</v>
      </c>
      <c r="H4970" s="25" t="n">
        <f aca="false">H4996+H5009+H5022+H5035</f>
        <v>0</v>
      </c>
      <c r="I4970" s="25" t="n">
        <f aca="false">I4996+I5009+I5022+I5035</f>
        <v>0</v>
      </c>
      <c r="J4970" s="25" t="n">
        <f aca="false">J4996+J5009+J5022+J5035</f>
        <v>0</v>
      </c>
      <c r="K4970" s="25" t="n">
        <f aca="false">K4996+K5009+K5022+K5035</f>
        <v>0</v>
      </c>
    </row>
    <row r="4971" customFormat="false" ht="15" hidden="false" customHeight="false" outlineLevel="0" collapsed="false">
      <c r="A4971" s="5" t="s">
        <v>212</v>
      </c>
      <c r="G4971" s="25" t="n">
        <f aca="false">G4969+G4970</f>
        <v>140.04</v>
      </c>
      <c r="H4971" s="25" t="n">
        <f aca="false">H4969+H4970</f>
        <v>148.0167168</v>
      </c>
      <c r="I4971" s="25" t="n">
        <f aca="false">I4969+I4970</f>
        <v>145.3849248</v>
      </c>
      <c r="J4971" s="25" t="n">
        <f aca="false">J4969+J4970</f>
        <v>144.7193248</v>
      </c>
      <c r="K4971" s="25" t="n">
        <f aca="false">K4969+K4970</f>
        <v>144.0537248</v>
      </c>
    </row>
    <row r="4972" customFormat="false" ht="15" hidden="false" customHeight="false" outlineLevel="0" collapsed="false">
      <c r="A4972" s="2" t="s">
        <v>223</v>
      </c>
      <c r="G4972" s="16" t="n">
        <f aca="false">G4968-G4971</f>
        <v>-198.8688</v>
      </c>
      <c r="H4972" s="16" t="n">
        <f aca="false">H4968-H4971</f>
        <v>-199.1977728</v>
      </c>
      <c r="I4972" s="16" t="n">
        <f aca="false">I4968-I4971</f>
        <v>-195.235273344</v>
      </c>
      <c r="J4972" s="16" t="n">
        <f aca="false">J4968-J4971</f>
        <v>-194.07116985856</v>
      </c>
      <c r="K4972" s="16" t="n">
        <f aca="false">K4968-K4971</f>
        <v>-192.912051407974</v>
      </c>
    </row>
    <row r="4973" customFormat="false" ht="15" hidden="false" customHeight="false" outlineLevel="0" collapsed="false">
      <c r="A4973" s="5" t="s">
        <v>213</v>
      </c>
      <c r="G4973" s="25" t="n">
        <f aca="false">MAX(0,G4972)*Assumptions!$C$9</f>
        <v>0</v>
      </c>
      <c r="H4973" s="25" t="n">
        <f aca="false">MAX(0,H4972)*Assumptions!$C$9</f>
        <v>0</v>
      </c>
      <c r="I4973" s="25" t="n">
        <f aca="false">MAX(0,I4972)*Assumptions!$C$9</f>
        <v>0</v>
      </c>
      <c r="J4973" s="25" t="n">
        <f aca="false">MAX(0,J4972)*Assumptions!$C$9</f>
        <v>0</v>
      </c>
      <c r="K4973" s="25" t="n">
        <f aca="false">MAX(0,K4972)*Assumptions!$C$9</f>
        <v>0</v>
      </c>
    </row>
    <row r="4974" customFormat="false" ht="15" hidden="false" customHeight="false" outlineLevel="0" collapsed="false">
      <c r="A4974" s="2" t="s">
        <v>248</v>
      </c>
      <c r="G4974" s="16" t="n">
        <f aca="false">G4972-G4973</f>
        <v>-198.8688</v>
      </c>
      <c r="H4974" s="16" t="n">
        <f aca="false">H4972-H4973</f>
        <v>-199.1977728</v>
      </c>
      <c r="I4974" s="16" t="n">
        <f aca="false">I4972-I4973</f>
        <v>-195.235273344</v>
      </c>
      <c r="J4974" s="16" t="n">
        <f aca="false">J4972-J4973</f>
        <v>-194.07116985856</v>
      </c>
      <c r="K4974" s="16" t="n">
        <f aca="false">K4972-K4973</f>
        <v>-192.912051407974</v>
      </c>
    </row>
    <row r="4975" customFormat="false" ht="15" hidden="false" customHeight="false" outlineLevel="0" collapsed="false">
      <c r="A4975" s="23" t="s">
        <v>249</v>
      </c>
      <c r="B4975" s="24"/>
      <c r="C4975" s="24"/>
      <c r="D4975" s="24"/>
      <c r="E4975" s="24"/>
      <c r="F4975" s="24"/>
      <c r="G4975" s="24"/>
      <c r="H4975" s="24"/>
      <c r="I4975" s="24"/>
      <c r="J4975" s="24"/>
      <c r="K4975" s="24"/>
    </row>
    <row r="4976" customFormat="false" ht="15" hidden="false" customHeight="false" outlineLevel="0" collapsed="false">
      <c r="A4976" s="5" t="s">
        <v>153</v>
      </c>
      <c r="G4976" s="25" t="n">
        <f aca="false">G4961*CHOOSE($C$4948,Assumptions!$C$69,Assumptions!$C$88,Assumptions!$C$107)</f>
        <v>29.4144</v>
      </c>
      <c r="H4976" s="25" t="n">
        <f aca="false">H4961*CHOOSE($C$4948,Assumptions!$C$69,Assumptions!$C$88,Assumptions!$C$107)</f>
        <v>25.590528</v>
      </c>
      <c r="I4976" s="25" t="n">
        <f aca="false">I4961*CHOOSE($C$4948,Assumptions!$C$69,Assumptions!$C$88,Assumptions!$C$107)</f>
        <v>24.925174272</v>
      </c>
      <c r="J4976" s="25" t="n">
        <f aca="false">J4961*CHOOSE($C$4948,Assumptions!$C$69,Assumptions!$C$88,Assumptions!$C$107)</f>
        <v>24.67592252928</v>
      </c>
      <c r="K4976" s="25" t="n">
        <f aca="false">K4961*CHOOSE($C$4948,Assumptions!$C$69,Assumptions!$C$88,Assumptions!$C$107)</f>
        <v>24.4291633039872</v>
      </c>
    </row>
    <row r="4977" customFormat="false" ht="15" hidden="false" customHeight="false" outlineLevel="0" collapsed="false">
      <c r="A4977" s="5" t="s">
        <v>250</v>
      </c>
      <c r="G4977" s="25" t="n">
        <f aca="false">CHOOSE($C$4948,Assumptions!$C$70,Assumptions!$C$89,Assumptions!$C$108)*(G4961-F4961)+CHOOSE($C$4948,Assumptions!$C$71,Assumptions!$C$90,Assumptions!$C$109)*G4961</f>
        <v>-56.3616</v>
      </c>
      <c r="H4977" s="25" t="n">
        <f aca="false">CHOOSE($C$4948,Assumptions!$C$70,Assumptions!$C$89,Assumptions!$C$108)*(H4961-G4961)+CHOOSE($C$4948,Assumptions!$C$71,Assumptions!$C$90,Assumptions!$C$109)*H4961</f>
        <v>-19.082592</v>
      </c>
      <c r="I4977" s="25" t="n">
        <f aca="false">CHOOSE($C$4948,Assumptions!$C$70,Assumptions!$C$89,Assumptions!$C$108)*(I4961-H4961)+CHOOSE($C$4948,Assumptions!$C$71,Assumptions!$C$90,Assumptions!$C$109)*I4961</f>
        <v>4.35678739199999</v>
      </c>
      <c r="J4977" s="25" t="n">
        <f aca="false">CHOOSE($C$4948,Assumptions!$C$70,Assumptions!$C$89,Assumptions!$C$108)*(J4961-I4961)+CHOOSE($C$4948,Assumptions!$C$71,Assumptions!$C$90,Assumptions!$C$109)*J4961</f>
        <v>7.38408287808</v>
      </c>
      <c r="K4977" s="25" t="n">
        <f aca="false">CHOOSE($C$4948,Assumptions!$C$70,Assumptions!$C$89,Assumptions!$C$108)*(K4961-J4961)+CHOOSE($C$4948,Assumptions!$C$71,Assumptions!$C$90,Assumptions!$C$109)*K4961</f>
        <v>7.3102420492992</v>
      </c>
    </row>
    <row r="4978" customFormat="false" ht="15" hidden="false" customHeight="false" outlineLevel="0" collapsed="false">
      <c r="A4978" s="2" t="s">
        <v>251</v>
      </c>
      <c r="G4978" s="16" t="n">
        <f aca="false">G4974+G4966+G4967+G4970-G4976-G4977</f>
        <v>-131.4768</v>
      </c>
      <c r="H4978" s="16" t="n">
        <f aca="false">H4974+H4966+H4967+H4970-H4976-H4977</f>
        <v>-170.5187328</v>
      </c>
      <c r="I4978" s="16" t="n">
        <f aca="false">I4974+I4966+I4967+I4970-I4976-I4977</f>
        <v>-190.245120384</v>
      </c>
      <c r="J4978" s="16" t="n">
        <f aca="false">J4974+J4966+J4967+J4970-J4976-J4977</f>
        <v>-192.20178178816</v>
      </c>
      <c r="K4978" s="16" t="n">
        <f aca="false">K4974+K4966+K4967+K4970-K4976-K4977</f>
        <v>-191.061357218278</v>
      </c>
    </row>
    <row r="4980" customFormat="false" ht="15" hidden="false" customHeight="false" outlineLevel="0" collapsed="false">
      <c r="A4980" s="23" t="s">
        <v>253</v>
      </c>
      <c r="B4980" s="24"/>
      <c r="C4980" s="24"/>
      <c r="D4980" s="24"/>
      <c r="E4980" s="24"/>
      <c r="F4980" s="24"/>
      <c r="G4980" s="24"/>
      <c r="H4980" s="24"/>
      <c r="I4980" s="24"/>
      <c r="J4980" s="24"/>
      <c r="K4980" s="24"/>
    </row>
    <row r="4981" customFormat="false" ht="15" hidden="false" customHeight="false" outlineLevel="0" collapsed="false">
      <c r="A4981" s="5" t="s">
        <v>254</v>
      </c>
      <c r="G4981" s="29" t="n">
        <f aca="false">Assumptions!$G$49</f>
        <v>0.0425</v>
      </c>
      <c r="H4981" s="29" t="n">
        <f aca="false">Assumptions!$H$49</f>
        <v>0.04</v>
      </c>
      <c r="I4981" s="29" t="n">
        <f aca="false">Assumptions!$I$49</f>
        <v>0.0375</v>
      </c>
      <c r="J4981" s="29" t="n">
        <f aca="false">Assumptions!$J$49</f>
        <v>0.0375</v>
      </c>
      <c r="K4981" s="29" t="n">
        <f aca="false">Assumptions!$K$49</f>
        <v>0.0375</v>
      </c>
    </row>
    <row r="4982" customFormat="false" ht="15" hidden="false" customHeight="false" outlineLevel="0" collapsed="false">
      <c r="A4982" s="5" t="s">
        <v>255</v>
      </c>
      <c r="C4982" s="30" t="n">
        <f aca="false">CHOOSE($C$4948,Assumptions!$C$72,Assumptions!$C$91,Assumptions!$C$110)+$C$4951</f>
        <v>0.03</v>
      </c>
    </row>
    <row r="4983" customFormat="false" ht="15" hidden="false" customHeight="false" outlineLevel="0" collapsed="false">
      <c r="A4983" s="5" t="s">
        <v>256</v>
      </c>
      <c r="C4983" s="30" t="n">
        <f aca="false">CHOOSE($C$4948,Assumptions!$C$73,Assumptions!$C$92,Assumptions!$C$111)</f>
        <v>0.16</v>
      </c>
    </row>
    <row r="4984" customFormat="false" ht="15" hidden="false" customHeight="false" outlineLevel="0" collapsed="false">
      <c r="A4984" s="5" t="s">
        <v>257</v>
      </c>
      <c r="C4984" s="31" t="n">
        <f aca="false">CHOOSE($C$4948,Assumptions!$C$74,Assumptions!$C$93,Assumptions!$C$112)</f>
        <v>5</v>
      </c>
    </row>
    <row r="4985" customFormat="false" ht="15" hidden="false" customHeight="false" outlineLevel="0" collapsed="false">
      <c r="A4985" s="5" t="s">
        <v>258</v>
      </c>
      <c r="C4985" s="31" t="n">
        <f aca="false">CHOOSE($C$4948,Assumptions!$C$75,Assumptions!$C$94,Assumptions!$C$113)</f>
        <v>2</v>
      </c>
    </row>
    <row r="4986" customFormat="false" ht="15" hidden="false" customHeight="false" outlineLevel="0" collapsed="false">
      <c r="A4986" s="5" t="s">
        <v>259</v>
      </c>
      <c r="G4986" s="25" t="n">
        <f aca="false">G4991+G5004+G5017+G5030</f>
        <v>1250</v>
      </c>
      <c r="H4986" s="25" t="n">
        <f aca="false">H4991+H5004+H5017+H5030</f>
        <v>1336.4768</v>
      </c>
      <c r="I4986" s="25" t="n">
        <f aca="false">I4991+I5004+I5017+I5030</f>
        <v>1331.2768</v>
      </c>
      <c r="J4986" s="25" t="n">
        <f aca="false">J4991+J5004+J5017+J5030</f>
        <v>1326.0768</v>
      </c>
      <c r="K4986" s="25" t="n">
        <f aca="false">K4991+K5004+K5017+K5030</f>
        <v>1320.8768</v>
      </c>
    </row>
    <row r="4987" customFormat="false" ht="15" hidden="false" customHeight="false" outlineLevel="0" collapsed="false">
      <c r="A4987" s="5" t="s">
        <v>260</v>
      </c>
      <c r="G4987" s="25" t="n">
        <f aca="false">F5077</f>
        <v>45</v>
      </c>
      <c r="H4987" s="25" t="n">
        <f aca="false">G5077</f>
        <v>0</v>
      </c>
      <c r="I4987" s="25" t="n">
        <f aca="false">H5077</f>
        <v>-175.7187328</v>
      </c>
      <c r="J4987" s="25" t="n">
        <f aca="false">I5077</f>
        <v>-371.163853184</v>
      </c>
      <c r="K4987" s="25" t="n">
        <f aca="false">J5077</f>
        <v>-568.56563497216</v>
      </c>
    </row>
    <row r="4988" customFormat="false" ht="15" hidden="false" customHeight="false" outlineLevel="0" collapsed="false">
      <c r="A4988" s="5" t="s">
        <v>261</v>
      </c>
      <c r="G4988" s="25" t="n">
        <f aca="false">G4991*IF(G4992=1,$C$4983,IF(Assumptions!$I$53=1,MAX(G4981,Assumptions!$G$53)+Assumptions!$F$53+$C$4982,Assumptions!$E$53))+G5004*IF(G5005=1,$C$4983,IF(Assumptions!$I$54=1,MAX(G4981,Assumptions!$G$54)+Assumptions!$F$54+$C$4982,Assumptions!$E$54))+G5017*IF(G5018=1,$C$4983,IF(Assumptions!$I$55=1,MAX(G4981,Assumptions!$G$55)+Assumptions!$F$55+$C$4982,Assumptions!$E$55))+G5030*IF(G5031=1,$C$4983,IF(Assumptions!$I$56=1,MAX(G4981,Assumptions!$G$56)+Assumptions!$F$56+$C$4982,Assumptions!$E$56))</f>
        <v>140.04</v>
      </c>
      <c r="H4988" s="25" t="n">
        <f aca="false">H4991*IF(OR(H4992=1,G5143=1),$C$4983,IF(Assumptions!$I$53=1,MAX(H4981,Assumptions!$G$53)+Assumptions!$F$53+$C$4982,Assumptions!$E$53))+H5004*IF(OR(H5005=1,G5144=1),$C$4983,IF(Assumptions!$I$54=1,MAX(H4981,Assumptions!$G$54)+Assumptions!$F$54+$C$4982,Assumptions!$E$54))+H5017*IF(OR(H5018=1,G5145=1),$C$4983,IF(Assumptions!$I$55=1,MAX(H4981,Assumptions!$G$55)+Assumptions!$F$55+$C$4982,Assumptions!$E$55))+H5030*IF(OR(H5031=1,G5146=1),$C$4983,IF(Assumptions!$I$56=1,MAX(H4981,Assumptions!$G$56)+Assumptions!$F$56+$C$4982,Assumptions!$E$56))</f>
        <v>186.149688</v>
      </c>
      <c r="I4988" s="25" t="n">
        <f aca="false">I4991*IF(OR(I4992=1,H5143=1),$C$4983,IF(Assumptions!$I$53=1,MAX(I4981,Assumptions!$G$53)+Assumptions!$F$53+$C$4982,Assumptions!$E$53))+I5004*IF(OR(I5005=1,H5144=1),$C$4983,IF(Assumptions!$I$54=1,MAX(I4981,Assumptions!$G$54)+Assumptions!$F$54+$C$4982,Assumptions!$E$54))+I5017*IF(OR(I5018=1,H5145=1),$C$4983,IF(Assumptions!$I$55=1,MAX(I4981,Assumptions!$G$55)+Assumptions!$F$55+$C$4982,Assumptions!$E$55))+I5030*IF(OR(I5031=1,H5146=1),$C$4983,IF(Assumptions!$I$56=1,MAX(I4981,Assumptions!$G$56)+Assumptions!$F$56+$C$4982,Assumptions!$E$56))</f>
        <v>161.6921248</v>
      </c>
      <c r="J4988" s="25" t="n">
        <f aca="false">J4991*IF(OR(J4992=1,I5143=1),$C$4983,IF(Assumptions!$I$53=1,MAX(J4981,Assumptions!$G$53)+Assumptions!$F$53+$C$4982,Assumptions!$E$53))+J5004*IF(OR(J5005=1,I5144=1),$C$4983,IF(Assumptions!$I$54=1,MAX(J4981,Assumptions!$G$54)+Assumptions!$F$54+$C$4982,Assumptions!$E$54))+J5017*IF(OR(J5018=1,I5145=1),$C$4983,IF(Assumptions!$I$55=1,MAX(J4981,Assumptions!$G$55)+Assumptions!$F$55+$C$4982,Assumptions!$E$55))+J5030*IF(OR(J5031=1,I5146=1),$C$4983,IF(Assumptions!$I$56=1,MAX(J4981,Assumptions!$G$56)+Assumptions!$F$56+$C$4982,Assumptions!$E$56))</f>
        <v>157.2193248</v>
      </c>
      <c r="K4988" s="25" t="n">
        <f aca="false">K4991*IF(OR(K4992=1,J5143=1),$C$4983,IF(Assumptions!$I$53=1,MAX(K4981,Assumptions!$G$53)+Assumptions!$F$53+$C$4982,Assumptions!$E$53))+K5004*IF(OR(K5005=1,J5144=1),$C$4983,IF(Assumptions!$I$54=1,MAX(K4981,Assumptions!$G$54)+Assumptions!$F$54+$C$4982,Assumptions!$E$54))+K5017*IF(OR(K5018=1,J5145=1),$C$4983,IF(Assumptions!$I$55=1,MAX(K4981,Assumptions!$G$55)+Assumptions!$F$55+$C$4982,Assumptions!$E$55))+K5030*IF(OR(K5031=1,J5146=1),$C$4983,IF(Assumptions!$I$56=1,MAX(K4981,Assumptions!$G$56)+Assumptions!$F$56+$C$4982,Assumptions!$E$56))</f>
        <v>144.0537248</v>
      </c>
    </row>
    <row r="4989" customFormat="false" ht="15" hidden="false" customHeight="false" outlineLevel="0" collapsed="false">
      <c r="A4989" s="5" t="s">
        <v>262</v>
      </c>
      <c r="G4989" s="20" t="n">
        <f aca="false">IF(G4965&lt;=0,0,IF(AND((G4986-G4987)/G4965&lt;=$C$4984,G4965/G4988&gt;=$C$4985),1,0))</f>
        <v>0</v>
      </c>
      <c r="H4989" s="20" t="n">
        <f aca="false">IF(H4965&lt;=0,0,IF(AND((H4986-H4987)/H4965&lt;=$C$4984,H4965/H4988&gt;=$C$4985),1,0))</f>
        <v>0</v>
      </c>
      <c r="I4989" s="20" t="n">
        <f aca="false">IF(I4965&lt;=0,0,IF(AND((I4986-I4987)/I4965&lt;=$C$4984,I4965/I4988&gt;=$C$4985),1,0))</f>
        <v>0</v>
      </c>
      <c r="J4989" s="20" t="n">
        <f aca="false">IF(J4965&lt;=0,0,IF(AND((J4986-J4987)/J4965&lt;=$C$4984,J4965/J4988&gt;=$C$4985),1,0))</f>
        <v>0</v>
      </c>
      <c r="K4989" s="20" t="n">
        <f aca="false">IF(K4965&lt;=0,0,IF(AND((K4986-K4987)/K4965&lt;=$C$4984,K4965/K4988&gt;=$C$4985),1,0))</f>
        <v>0</v>
      </c>
    </row>
    <row r="4990" customFormat="false" ht="15" hidden="false" customHeight="false" outlineLevel="0" collapsed="false">
      <c r="A4990" s="23" t="s">
        <v>263</v>
      </c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</row>
    <row r="4991" customFormat="false" ht="15" hidden="false" customHeight="false" outlineLevel="0" collapsed="false">
      <c r="A4991" s="5" t="s">
        <v>264</v>
      </c>
      <c r="G4991" s="25" t="n">
        <f aca="false">F5002</f>
        <v>180</v>
      </c>
      <c r="H4991" s="25" t="n">
        <f aca="false">G5002</f>
        <v>271.6768</v>
      </c>
      <c r="I4991" s="25" t="n">
        <f aca="false">H5002</f>
        <v>271.6768</v>
      </c>
      <c r="J4991" s="25" t="n">
        <f aca="false">I5002</f>
        <v>271.6768</v>
      </c>
      <c r="K4991" s="25" t="n">
        <f aca="false">J5002</f>
        <v>271.6768</v>
      </c>
    </row>
    <row r="4992" customFormat="false" ht="15" hidden="false" customHeight="false" outlineLevel="0" collapsed="false">
      <c r="A4992" s="5" t="s">
        <v>265</v>
      </c>
      <c r="G4992" s="20" t="n">
        <f aca="false">IF(G4955=Assumptions!$K$53,1,0)</f>
        <v>0</v>
      </c>
      <c r="H4992" s="20" t="n">
        <f aca="false">IF(H4955=Assumptions!$K$53,1,0)</f>
        <v>1</v>
      </c>
      <c r="I4992" s="20" t="n">
        <f aca="false">IF(I4955=Assumptions!$K$53,1,0)</f>
        <v>0</v>
      </c>
      <c r="J4992" s="20" t="n">
        <f aca="false">IF(J4955=Assumptions!$K$53,1,0)</f>
        <v>0</v>
      </c>
      <c r="K4992" s="20" t="n">
        <f aca="false">IF(K4955=Assumptions!$K$53,1,0)</f>
        <v>0</v>
      </c>
    </row>
    <row r="4994" customFormat="false" ht="15" hidden="false" customHeight="false" outlineLevel="0" collapsed="false">
      <c r="A4994" s="5" t="s">
        <v>266</v>
      </c>
      <c r="G4994" s="30" t="n">
        <f aca="false">IF(Assumptions!$I$53=1,MAX(G4981,Assumptions!$G$53)+Assumptions!$F$53+$C$4982,Assumptions!$E$53)</f>
        <v>0.116</v>
      </c>
      <c r="H4994" s="30" t="n">
        <f aca="false">IF(G5143=1,$C$4983,IF(Assumptions!$I$53=1,MAX(H4981,Assumptions!$G$53)+Assumptions!$F$53+$C$4982,Assumptions!$E$53))</f>
        <v>0.1135</v>
      </c>
      <c r="I4994" s="30" t="n">
        <f aca="false">IF(H5143=1,$C$4983,IF(Assumptions!$I$53=1,MAX(I4981,Assumptions!$G$53)+Assumptions!$F$53+$C$4982,Assumptions!$E$53))</f>
        <v>0.111</v>
      </c>
      <c r="J4994" s="30" t="n">
        <f aca="false">IF(I5143=1,$C$4983,IF(Assumptions!$I$53=1,MAX(J4981,Assumptions!$G$53)+Assumptions!$F$53+$C$4982,Assumptions!$E$53))</f>
        <v>0.111</v>
      </c>
      <c r="K4994" s="30" t="n">
        <f aca="false">IF(J5143=1,$C$4983,IF(Assumptions!$I$53=1,MAX(K4981,Assumptions!$G$53)+Assumptions!$F$53+$C$4982,Assumptions!$E$53))</f>
        <v>0.111</v>
      </c>
    </row>
    <row r="4995" customFormat="false" ht="15" hidden="false" customHeight="false" outlineLevel="0" collapsed="false">
      <c r="A4995" s="5" t="s">
        <v>267</v>
      </c>
      <c r="G4995" s="25" t="n">
        <f aca="false">G4991*G4994</f>
        <v>20.88</v>
      </c>
      <c r="H4995" s="25" t="n">
        <f aca="false">H4991*H4994</f>
        <v>30.8353168</v>
      </c>
      <c r="I4995" s="25" t="n">
        <f aca="false">I4991*I4994</f>
        <v>30.1561248</v>
      </c>
      <c r="J4995" s="25" t="n">
        <f aca="false">J4991*J4994</f>
        <v>30.1561248</v>
      </c>
      <c r="K4995" s="25" t="n">
        <f aca="false">K4991*K4994</f>
        <v>30.1561248</v>
      </c>
    </row>
    <row r="4996" customFormat="false" ht="15" hidden="false" customHeight="false" outlineLevel="0" collapsed="false">
      <c r="A4996" s="5" t="s">
        <v>268</v>
      </c>
      <c r="G4996" s="25" t="n">
        <f aca="false">G4991*Assumptions!$H$53</f>
        <v>0</v>
      </c>
      <c r="H4996" s="25" t="n">
        <f aca="false">H4991*Assumptions!$H$53</f>
        <v>0</v>
      </c>
      <c r="I4996" s="25" t="n">
        <f aca="false">I4991*Assumptions!$H$53</f>
        <v>0</v>
      </c>
      <c r="J4996" s="25" t="n">
        <f aca="false">J4991*Assumptions!$H$53</f>
        <v>0</v>
      </c>
      <c r="K4996" s="25" t="n">
        <f aca="false">K4991*Assumptions!$H$53</f>
        <v>0</v>
      </c>
    </row>
    <row r="4997" customFormat="false" ht="15" hidden="false" customHeight="false" outlineLevel="0" collapsed="false">
      <c r="A4997" s="5" t="s">
        <v>269</v>
      </c>
      <c r="G4997" s="25" t="n">
        <f aca="false">MIN(G4991,Assumptions!$L$53*Assumptions!$C$53)</f>
        <v>0</v>
      </c>
      <c r="H4997" s="25" t="n">
        <f aca="false">MIN(H4991,Assumptions!$L$53*Assumptions!$C$53)</f>
        <v>0</v>
      </c>
      <c r="I4997" s="25" t="n">
        <f aca="false">MIN(I4991,Assumptions!$L$53*Assumptions!$C$53)</f>
        <v>0</v>
      </c>
      <c r="J4997" s="25" t="n">
        <f aca="false">MIN(J4991,Assumptions!$L$53*Assumptions!$C$53)</f>
        <v>0</v>
      </c>
      <c r="K4997" s="25" t="n">
        <f aca="false">MIN(K4991,Assumptions!$L$53*Assumptions!$C$53)</f>
        <v>0</v>
      </c>
    </row>
    <row r="4998" customFormat="false" ht="15" hidden="false" customHeight="false" outlineLevel="0" collapsed="false">
      <c r="A4998" s="5" t="s">
        <v>270</v>
      </c>
      <c r="G4998" s="25" t="n">
        <f aca="false">IF(AND(Assumptions!$P$53=1,G4955&lt;Assumptions!$K$53),MIN(MAX(0,-G5069),MAX(0,Assumptions!$D$53-G4991)),0)</f>
        <v>91.6768</v>
      </c>
      <c r="H4998" s="25" t="n">
        <f aca="false">IF(AND(Assumptions!$P$53=1,OR(H4955&lt;Assumptions!$K$53,G5143=1)),MIN(MAX(0,-H5069),MAX(0,Assumptions!$D$53-H4991)),0)</f>
        <v>0</v>
      </c>
      <c r="I4998" s="25" t="n">
        <f aca="false">IF(AND(Assumptions!$P$53=1,OR(I4955&lt;Assumptions!$K$53,H5143=1)),MIN(MAX(0,-I5069),MAX(0,Assumptions!$D$53-I4991)),0)</f>
        <v>0</v>
      </c>
      <c r="J4998" s="25" t="n">
        <f aca="false">IF(AND(Assumptions!$P$53=1,OR(J4955&lt;Assumptions!$K$53,I5143=1)),MIN(MAX(0,-J5069),MAX(0,Assumptions!$D$53-J4991)),0)</f>
        <v>0</v>
      </c>
      <c r="K4998" s="25" t="n">
        <f aca="false">IF(AND(Assumptions!$P$53=1,OR(K4955&lt;Assumptions!$K$53,J5143=1)),MIN(MAX(0,-K5069),MAX(0,Assumptions!$D$53-K4991)),0)</f>
        <v>0</v>
      </c>
    </row>
    <row r="4999" customFormat="false" ht="15" hidden="false" customHeight="false" outlineLevel="0" collapsed="false">
      <c r="A4999" s="5" t="s">
        <v>271</v>
      </c>
      <c r="G4999" s="25" t="n">
        <f aca="false">G4992*MIN(G4991-G4997+G4996,MAX(0,G5071-Assumptions!$C$12*G4989))</f>
        <v>0</v>
      </c>
      <c r="H4999" s="25" t="n">
        <f aca="false">H4992*MIN(H4991-H4997+H4996,MAX(0,H5071-Assumptions!$C$12*H4989))</f>
        <v>0</v>
      </c>
      <c r="I4999" s="25" t="n">
        <f aca="false">I4992*MIN(I4991-I4997+I4996,MAX(0,I5071-Assumptions!$C$12*I4989))</f>
        <v>0</v>
      </c>
      <c r="J4999" s="25" t="n">
        <f aca="false">J4992*MIN(J4991-J4997+J4996,MAX(0,J5071-Assumptions!$C$12*J4989))</f>
        <v>0</v>
      </c>
      <c r="K4999" s="25" t="n">
        <f aca="false">K4992*MIN(K4991-K4997+K4996,MAX(0,K5071-Assumptions!$C$12*K4989))</f>
        <v>0</v>
      </c>
    </row>
    <row r="5000" customFormat="false" ht="15" hidden="false" customHeight="false" outlineLevel="0" collapsed="false">
      <c r="A5000" s="5" t="s">
        <v>272</v>
      </c>
      <c r="G5000" s="25" t="n">
        <f aca="false">Assumptions!$N$53*MIN(G4991+G4998+G4996-G4997-G4999,MAX(0,G5075))</f>
        <v>0</v>
      </c>
      <c r="H5000" s="25" t="n">
        <f aca="false">Assumptions!$N$53*MIN(H4991+H4998+H4996-H4997-H4999,MAX(0,H5075))</f>
        <v>0</v>
      </c>
      <c r="I5000" s="25" t="n">
        <f aca="false">Assumptions!$N$53*MIN(I4991+I4998+I4996-I4997-I4999,MAX(0,I5075))</f>
        <v>0</v>
      </c>
      <c r="J5000" s="25" t="n">
        <f aca="false">Assumptions!$N$53*MIN(J4991+J4998+J4996-J4997-J4999,MAX(0,J5075))</f>
        <v>0</v>
      </c>
      <c r="K5000" s="25" t="n">
        <f aca="false">Assumptions!$N$53*MIN(K4991+K4998+K4996-K4997-K4999,MAX(0,K5075))</f>
        <v>0</v>
      </c>
    </row>
    <row r="5001" customFormat="false" ht="15" hidden="false" customHeight="false" outlineLevel="0" collapsed="false">
      <c r="A5001" s="5" t="s">
        <v>273</v>
      </c>
      <c r="G5001" s="25" t="n">
        <f aca="false">G4992*(1-G4989)*(G4991-G4997+G4996-G4999)</f>
        <v>0</v>
      </c>
      <c r="H5001" s="25" t="n">
        <f aca="false">H4992*(1-H4989)*(H4991-H4997+H4996-H4999)</f>
        <v>271.6768</v>
      </c>
      <c r="I5001" s="25" t="n">
        <f aca="false">I4992*(1-I4989)*(I4991-I4997+I4996-I4999)</f>
        <v>0</v>
      </c>
      <c r="J5001" s="25" t="n">
        <f aca="false">J4992*(1-J4989)*(J4991-J4997+J4996-J4999)</f>
        <v>0</v>
      </c>
      <c r="K5001" s="25" t="n">
        <f aca="false">K4992*(1-K4989)*(K4991-K4997+K4996-K4999)</f>
        <v>0</v>
      </c>
    </row>
    <row r="5002" customFormat="false" ht="15" hidden="false" customHeight="false" outlineLevel="0" collapsed="false">
      <c r="A5002" s="2" t="s">
        <v>274</v>
      </c>
      <c r="F5002" s="27" t="n">
        <f aca="false">Assumptions!$C$53</f>
        <v>180</v>
      </c>
      <c r="G5002" s="16" t="n">
        <f aca="false">G4991+G4998+G4996-G4997-G4999-G5000</f>
        <v>271.6768</v>
      </c>
      <c r="H5002" s="16" t="n">
        <f aca="false">H4991+H4998+H4996-H4997-H4999-H5000</f>
        <v>271.6768</v>
      </c>
      <c r="I5002" s="16" t="n">
        <f aca="false">I4991+I4998+I4996-I4997-I4999-I5000</f>
        <v>271.6768</v>
      </c>
      <c r="J5002" s="16" t="n">
        <f aca="false">J4991+J4998+J4996-J4997-J4999-J5000</f>
        <v>271.6768</v>
      </c>
      <c r="K5002" s="16" t="n">
        <f aca="false">K4991+K4998+K4996-K4997-K4999-K5000</f>
        <v>271.6768</v>
      </c>
    </row>
    <row r="5003" customFormat="false" ht="15" hidden="false" customHeight="false" outlineLevel="0" collapsed="false">
      <c r="A5003" s="23" t="s">
        <v>275</v>
      </c>
      <c r="B5003" s="24"/>
      <c r="C5003" s="24"/>
      <c r="D5003" s="24"/>
      <c r="E5003" s="24"/>
      <c r="F5003" s="24"/>
      <c r="G5003" s="24"/>
      <c r="H5003" s="24"/>
      <c r="I5003" s="24"/>
      <c r="J5003" s="24"/>
      <c r="K5003" s="24"/>
    </row>
    <row r="5004" customFormat="false" ht="15" hidden="false" customHeight="false" outlineLevel="0" collapsed="false">
      <c r="A5004" s="5" t="s">
        <v>264</v>
      </c>
      <c r="G5004" s="25" t="n">
        <f aca="false">F5015</f>
        <v>520</v>
      </c>
      <c r="H5004" s="25" t="n">
        <f aca="false">G5015</f>
        <v>514.8</v>
      </c>
      <c r="I5004" s="25" t="n">
        <f aca="false">H5015</f>
        <v>509.6</v>
      </c>
      <c r="J5004" s="25" t="n">
        <f aca="false">I5015</f>
        <v>504.4</v>
      </c>
      <c r="K5004" s="25" t="n">
        <f aca="false">J5015</f>
        <v>499.2</v>
      </c>
    </row>
    <row r="5005" customFormat="false" ht="15" hidden="false" customHeight="false" outlineLevel="0" collapsed="false">
      <c r="A5005" s="5" t="s">
        <v>265</v>
      </c>
      <c r="G5005" s="20" t="n">
        <f aca="false">IF(G4955=Assumptions!$K$54,1,0)</f>
        <v>0</v>
      </c>
      <c r="H5005" s="20" t="n">
        <f aca="false">IF(H4955=Assumptions!$K$54,1,0)</f>
        <v>0</v>
      </c>
      <c r="I5005" s="20" t="n">
        <f aca="false">IF(I4955=Assumptions!$K$54,1,0)</f>
        <v>1</v>
      </c>
      <c r="J5005" s="20" t="n">
        <f aca="false">IF(J4955=Assumptions!$K$54,1,0)</f>
        <v>0</v>
      </c>
      <c r="K5005" s="20" t="n">
        <f aca="false">IF(K4955=Assumptions!$K$54,1,0)</f>
        <v>0</v>
      </c>
    </row>
    <row r="5007" customFormat="false" ht="15" hidden="false" customHeight="false" outlineLevel="0" collapsed="false">
      <c r="A5007" s="5" t="s">
        <v>266</v>
      </c>
      <c r="G5007" s="30" t="n">
        <f aca="false">IF(Assumptions!$I$54=1,MAX(G4981,Assumptions!$G$54)+Assumptions!$F$54+$C$4982,Assumptions!$E$54)</f>
        <v>0.133</v>
      </c>
      <c r="H5007" s="30" t="n">
        <f aca="false">IF(G5144=1,$C$4983,IF(Assumptions!$I$54=1,MAX(H4981,Assumptions!$G$54)+Assumptions!$F$54+$C$4982,Assumptions!$E$54))</f>
        <v>0.1305</v>
      </c>
      <c r="I5007" s="30" t="n">
        <f aca="false">IF(H5144=1,$C$4983,IF(Assumptions!$I$54=1,MAX(I4981,Assumptions!$G$54)+Assumptions!$F$54+$C$4982,Assumptions!$E$54))</f>
        <v>0.128</v>
      </c>
      <c r="J5007" s="30" t="n">
        <f aca="false">IF(I5144=1,$C$4983,IF(Assumptions!$I$54=1,MAX(J4981,Assumptions!$G$54)+Assumptions!$F$54+$C$4982,Assumptions!$E$54))</f>
        <v>0.128</v>
      </c>
      <c r="K5007" s="30" t="n">
        <f aca="false">IF(J5144=1,$C$4983,IF(Assumptions!$I$54=1,MAX(K4981,Assumptions!$G$54)+Assumptions!$F$54+$C$4982,Assumptions!$E$54))</f>
        <v>0.128</v>
      </c>
    </row>
    <row r="5008" customFormat="false" ht="15" hidden="false" customHeight="false" outlineLevel="0" collapsed="false">
      <c r="A5008" s="5" t="s">
        <v>267</v>
      </c>
      <c r="G5008" s="25" t="n">
        <f aca="false">G5004*G5007</f>
        <v>69.16</v>
      </c>
      <c r="H5008" s="25" t="n">
        <f aca="false">H5004*H5007</f>
        <v>67.1814</v>
      </c>
      <c r="I5008" s="25" t="n">
        <f aca="false">I5004*I5007</f>
        <v>65.2288</v>
      </c>
      <c r="J5008" s="25" t="n">
        <f aca="false">J5004*J5007</f>
        <v>64.5632</v>
      </c>
      <c r="K5008" s="25" t="n">
        <f aca="false">K5004*K5007</f>
        <v>63.8976</v>
      </c>
    </row>
    <row r="5009" customFormat="false" ht="15" hidden="false" customHeight="false" outlineLevel="0" collapsed="false">
      <c r="A5009" s="5" t="s">
        <v>268</v>
      </c>
      <c r="G5009" s="25" t="n">
        <f aca="false">G5004*Assumptions!$H$54</f>
        <v>0</v>
      </c>
      <c r="H5009" s="25" t="n">
        <f aca="false">H5004*Assumptions!$H$54</f>
        <v>0</v>
      </c>
      <c r="I5009" s="25" t="n">
        <f aca="false">I5004*Assumptions!$H$54</f>
        <v>0</v>
      </c>
      <c r="J5009" s="25" t="n">
        <f aca="false">J5004*Assumptions!$H$54</f>
        <v>0</v>
      </c>
      <c r="K5009" s="25" t="n">
        <f aca="false">K5004*Assumptions!$H$54</f>
        <v>0</v>
      </c>
    </row>
    <row r="5010" customFormat="false" ht="15" hidden="false" customHeight="false" outlineLevel="0" collapsed="false">
      <c r="A5010" s="5" t="s">
        <v>269</v>
      </c>
      <c r="G5010" s="25" t="n">
        <f aca="false">MIN(G5004,Assumptions!$L$54*Assumptions!$C$54)</f>
        <v>5.2</v>
      </c>
      <c r="H5010" s="25" t="n">
        <f aca="false">MIN(H5004,Assumptions!$L$54*Assumptions!$C$54)</f>
        <v>5.2</v>
      </c>
      <c r="I5010" s="25" t="n">
        <f aca="false">MIN(I5004,Assumptions!$L$54*Assumptions!$C$54)</f>
        <v>5.2</v>
      </c>
      <c r="J5010" s="25" t="n">
        <f aca="false">MIN(J5004,Assumptions!$L$54*Assumptions!$C$54)</f>
        <v>5.2</v>
      </c>
      <c r="K5010" s="25" t="n">
        <f aca="false">MIN(K5004,Assumptions!$L$54*Assumptions!$C$54)</f>
        <v>5.2</v>
      </c>
    </row>
    <row r="5011" customFormat="false" ht="15" hidden="false" customHeight="false" outlineLevel="0" collapsed="false">
      <c r="A5011" s="5" t="s">
        <v>270</v>
      </c>
      <c r="G5011" s="25" t="n">
        <f aca="false">IF(AND(Assumptions!$P$54=1,G4955&lt;Assumptions!$K$54),MIN(MAX(0,-G5069),MAX(0,Assumptions!$D$54-G5004)),0)</f>
        <v>0</v>
      </c>
      <c r="H5011" s="25" t="n">
        <f aca="false">IF(AND(Assumptions!$P$54=1,OR(H4955&lt;Assumptions!$K$54,G5144=1)),MIN(MAX(0,-H5069),MAX(0,Assumptions!$D$54-H5004)),0)</f>
        <v>0</v>
      </c>
      <c r="I5011" s="25" t="n">
        <f aca="false">IF(AND(Assumptions!$P$54=1,OR(I4955&lt;Assumptions!$K$54,H5144=1)),MIN(MAX(0,-I5069),MAX(0,Assumptions!$D$54-I5004)),0)</f>
        <v>0</v>
      </c>
      <c r="J5011" s="25" t="n">
        <f aca="false">IF(AND(Assumptions!$P$54=1,OR(J4955&lt;Assumptions!$K$54,I5144=1)),MIN(MAX(0,-J5069),MAX(0,Assumptions!$D$54-J5004)),0)</f>
        <v>0</v>
      </c>
      <c r="K5011" s="25" t="n">
        <f aca="false">IF(AND(Assumptions!$P$54=1,OR(K4955&lt;Assumptions!$K$54,J5144=1)),MIN(MAX(0,-K5069),MAX(0,Assumptions!$D$54-K5004)),0)</f>
        <v>0</v>
      </c>
    </row>
    <row r="5012" customFormat="false" ht="15" hidden="false" customHeight="false" outlineLevel="0" collapsed="false">
      <c r="A5012" s="5" t="s">
        <v>271</v>
      </c>
      <c r="G5012" s="25" t="n">
        <f aca="false">G5005*MIN(G5004-G5010+G5009,MAX(0,G5071-Assumptions!$C$12*G4989-G4999))</f>
        <v>0</v>
      </c>
      <c r="H5012" s="25" t="n">
        <f aca="false">H5005*MIN(H5004-H5010+H5009,MAX(0,H5071-Assumptions!$C$12*H4989-H4999))</f>
        <v>0</v>
      </c>
      <c r="I5012" s="25" t="n">
        <f aca="false">I5005*MIN(I5004-I5010+I5009,MAX(0,I5071-Assumptions!$C$12*I4989-I4999))</f>
        <v>0</v>
      </c>
      <c r="J5012" s="25" t="n">
        <f aca="false">J5005*MIN(J5004-J5010+J5009,MAX(0,J5071-Assumptions!$C$12*J4989-J4999))</f>
        <v>0</v>
      </c>
      <c r="K5012" s="25" t="n">
        <f aca="false">K5005*MIN(K5004-K5010+K5009,MAX(0,K5071-Assumptions!$C$12*K4989-K4999))</f>
        <v>0</v>
      </c>
    </row>
    <row r="5013" customFormat="false" ht="15" hidden="false" customHeight="false" outlineLevel="0" collapsed="false">
      <c r="A5013" s="5" t="s">
        <v>272</v>
      </c>
      <c r="G5013" s="25" t="n">
        <f aca="false">Assumptions!$N$54*MIN(G5004+G5011+G5009-G5010-G5012,MAX(0,G5075-G5000))</f>
        <v>0</v>
      </c>
      <c r="H5013" s="25" t="n">
        <f aca="false">Assumptions!$N$54*MIN(H5004+H5011+H5009-H5010-H5012,MAX(0,H5075-H5000))</f>
        <v>0</v>
      </c>
      <c r="I5013" s="25" t="n">
        <f aca="false">Assumptions!$N$54*MIN(I5004+I5011+I5009-I5010-I5012,MAX(0,I5075-I5000))</f>
        <v>0</v>
      </c>
      <c r="J5013" s="25" t="n">
        <f aca="false">Assumptions!$N$54*MIN(J5004+J5011+J5009-J5010-J5012,MAX(0,J5075-J5000))</f>
        <v>0</v>
      </c>
      <c r="K5013" s="25" t="n">
        <f aca="false">Assumptions!$N$54*MIN(K5004+K5011+K5009-K5010-K5012,MAX(0,K5075-K5000))</f>
        <v>0</v>
      </c>
    </row>
    <row r="5014" customFormat="false" ht="15" hidden="false" customHeight="false" outlineLevel="0" collapsed="false">
      <c r="A5014" s="5" t="s">
        <v>273</v>
      </c>
      <c r="G5014" s="25" t="n">
        <f aca="false">G5005*(1-G4989)*(G5004-G5010+G5009-G5012)</f>
        <v>0</v>
      </c>
      <c r="H5014" s="25" t="n">
        <f aca="false">H5005*(1-H4989)*(H5004-H5010+H5009-H5012)</f>
        <v>0</v>
      </c>
      <c r="I5014" s="25" t="n">
        <f aca="false">I5005*(1-I4989)*(I5004-I5010+I5009-I5012)</f>
        <v>504.4</v>
      </c>
      <c r="J5014" s="25" t="n">
        <f aca="false">J5005*(1-J4989)*(J5004-J5010+J5009-J5012)</f>
        <v>0</v>
      </c>
      <c r="K5014" s="25" t="n">
        <f aca="false">K5005*(1-K4989)*(K5004-K5010+K5009-K5012)</f>
        <v>0</v>
      </c>
    </row>
    <row r="5015" customFormat="false" ht="15" hidden="false" customHeight="false" outlineLevel="0" collapsed="false">
      <c r="A5015" s="2" t="s">
        <v>274</v>
      </c>
      <c r="F5015" s="27" t="n">
        <f aca="false">Assumptions!$C$54</f>
        <v>520</v>
      </c>
      <c r="G5015" s="16" t="n">
        <f aca="false">G5004+G5011+G5009-G5010-G5012-G5013</f>
        <v>514.8</v>
      </c>
      <c r="H5015" s="16" t="n">
        <f aca="false">H5004+H5011+H5009-H5010-H5012-H5013</f>
        <v>509.6</v>
      </c>
      <c r="I5015" s="16" t="n">
        <f aca="false">I5004+I5011+I5009-I5010-I5012-I5013</f>
        <v>504.4</v>
      </c>
      <c r="J5015" s="16" t="n">
        <f aca="false">J5004+J5011+J5009-J5010-J5012-J5013</f>
        <v>499.2</v>
      </c>
      <c r="K5015" s="16" t="n">
        <f aca="false">K5004+K5011+K5009-K5010-K5012-K5013</f>
        <v>494</v>
      </c>
    </row>
    <row r="5016" customFormat="false" ht="15" hidden="false" customHeight="false" outlineLevel="0" collapsed="false">
      <c r="A5016" s="23" t="s">
        <v>276</v>
      </c>
      <c r="B5016" s="24"/>
      <c r="C5016" s="24"/>
      <c r="D5016" s="24"/>
      <c r="E5016" s="24"/>
      <c r="F5016" s="24"/>
      <c r="G5016" s="24"/>
      <c r="H5016" s="24"/>
      <c r="I5016" s="24"/>
      <c r="J5016" s="24"/>
      <c r="K5016" s="24"/>
    </row>
    <row r="5017" customFormat="false" ht="15" hidden="false" customHeight="false" outlineLevel="0" collapsed="false">
      <c r="A5017" s="5" t="s">
        <v>264</v>
      </c>
      <c r="G5017" s="25" t="n">
        <f aca="false">F5028</f>
        <v>250</v>
      </c>
      <c r="H5017" s="25" t="n">
        <f aca="false">G5028</f>
        <v>250</v>
      </c>
      <c r="I5017" s="25" t="n">
        <f aca="false">H5028</f>
        <v>250</v>
      </c>
      <c r="J5017" s="25" t="n">
        <f aca="false">I5028</f>
        <v>250</v>
      </c>
      <c r="K5017" s="25" t="n">
        <f aca="false">J5028</f>
        <v>250</v>
      </c>
    </row>
    <row r="5018" customFormat="false" ht="15" hidden="false" customHeight="false" outlineLevel="0" collapsed="false">
      <c r="A5018" s="5" t="s">
        <v>265</v>
      </c>
      <c r="G5018" s="20" t="n">
        <f aca="false">IF(G4955=Assumptions!$K$55,1,0)</f>
        <v>0</v>
      </c>
      <c r="H5018" s="20" t="n">
        <f aca="false">IF(H4955=Assumptions!$K$55,1,0)</f>
        <v>0</v>
      </c>
      <c r="I5018" s="20" t="n">
        <f aca="false">IF(I4955=Assumptions!$K$55,1,0)</f>
        <v>0</v>
      </c>
      <c r="J5018" s="20" t="n">
        <f aca="false">IF(J4955=Assumptions!$K$55,1,0)</f>
        <v>1</v>
      </c>
      <c r="K5018" s="20" t="n">
        <f aca="false">IF(K4955=Assumptions!$K$55,1,0)</f>
        <v>0</v>
      </c>
    </row>
    <row r="5020" customFormat="false" ht="15" hidden="false" customHeight="false" outlineLevel="0" collapsed="false">
      <c r="A5020" s="5" t="s">
        <v>266</v>
      </c>
      <c r="G5020" s="30" t="n">
        <f aca="false">IF(Assumptions!$I$55=1,MAX(G4981,Assumptions!$G$55)+Assumptions!$F$55+$C$4982,Assumptions!$E$55)</f>
        <v>0.11</v>
      </c>
      <c r="H5020" s="30" t="n">
        <f aca="false">IF(G5145=1,$C$4983,IF(Assumptions!$I$55=1,MAX(H4981,Assumptions!$G$55)+Assumptions!$F$55+$C$4982,Assumptions!$E$55))</f>
        <v>0.11</v>
      </c>
      <c r="I5020" s="30" t="n">
        <f aca="false">IF(H5145=1,$C$4983,IF(Assumptions!$I$55=1,MAX(I4981,Assumptions!$G$55)+Assumptions!$F$55+$C$4982,Assumptions!$E$55))</f>
        <v>0.11</v>
      </c>
      <c r="J5020" s="30" t="n">
        <f aca="false">IF(I5145=1,$C$4983,IF(Assumptions!$I$55=1,MAX(J4981,Assumptions!$G$55)+Assumptions!$F$55+$C$4982,Assumptions!$E$55))</f>
        <v>0.11</v>
      </c>
      <c r="K5020" s="30" t="n">
        <f aca="false">IF(J5145=1,$C$4983,IF(Assumptions!$I$55=1,MAX(K4981,Assumptions!$G$55)+Assumptions!$F$55+$C$4982,Assumptions!$E$55))</f>
        <v>0.11</v>
      </c>
    </row>
    <row r="5021" customFormat="false" ht="15" hidden="false" customHeight="false" outlineLevel="0" collapsed="false">
      <c r="A5021" s="5" t="s">
        <v>267</v>
      </c>
      <c r="G5021" s="25" t="n">
        <f aca="false">G5017*G5020</f>
        <v>27.5</v>
      </c>
      <c r="H5021" s="25" t="n">
        <f aca="false">H5017*H5020</f>
        <v>27.5</v>
      </c>
      <c r="I5021" s="25" t="n">
        <f aca="false">I5017*I5020</f>
        <v>27.5</v>
      </c>
      <c r="J5021" s="25" t="n">
        <f aca="false">J5017*J5020</f>
        <v>27.5</v>
      </c>
      <c r="K5021" s="25" t="n">
        <f aca="false">K5017*K5020</f>
        <v>27.5</v>
      </c>
    </row>
    <row r="5022" customFormat="false" ht="15" hidden="false" customHeight="false" outlineLevel="0" collapsed="false">
      <c r="A5022" s="5" t="s">
        <v>268</v>
      </c>
      <c r="G5022" s="25" t="n">
        <f aca="false">G5017*Assumptions!$H$55</f>
        <v>0</v>
      </c>
      <c r="H5022" s="25" t="n">
        <f aca="false">H5017*Assumptions!$H$55</f>
        <v>0</v>
      </c>
      <c r="I5022" s="25" t="n">
        <f aca="false">I5017*Assumptions!$H$55</f>
        <v>0</v>
      </c>
      <c r="J5022" s="25" t="n">
        <f aca="false">J5017*Assumptions!$H$55</f>
        <v>0</v>
      </c>
      <c r="K5022" s="25" t="n">
        <f aca="false">K5017*Assumptions!$H$55</f>
        <v>0</v>
      </c>
    </row>
    <row r="5023" customFormat="false" ht="15" hidden="false" customHeight="false" outlineLevel="0" collapsed="false">
      <c r="A5023" s="5" t="s">
        <v>269</v>
      </c>
      <c r="G5023" s="25" t="n">
        <f aca="false">MIN(G5017,Assumptions!$L$55*Assumptions!$C$55)</f>
        <v>0</v>
      </c>
      <c r="H5023" s="25" t="n">
        <f aca="false">MIN(H5017,Assumptions!$L$55*Assumptions!$C$55)</f>
        <v>0</v>
      </c>
      <c r="I5023" s="25" t="n">
        <f aca="false">MIN(I5017,Assumptions!$L$55*Assumptions!$C$55)</f>
        <v>0</v>
      </c>
      <c r="J5023" s="25" t="n">
        <f aca="false">MIN(J5017,Assumptions!$L$55*Assumptions!$C$55)</f>
        <v>0</v>
      </c>
      <c r="K5023" s="25" t="n">
        <f aca="false">MIN(K5017,Assumptions!$L$55*Assumptions!$C$55)</f>
        <v>0</v>
      </c>
    </row>
    <row r="5024" customFormat="false" ht="15" hidden="false" customHeight="false" outlineLevel="0" collapsed="false">
      <c r="A5024" s="5" t="s">
        <v>270</v>
      </c>
      <c r="G5024" s="25" t="n">
        <f aca="false">IF(AND(Assumptions!$P$55=1,G4955&lt;Assumptions!$K$55),MIN(MAX(0,-G5069),MAX(0,Assumptions!$D$55-G5017)),0)</f>
        <v>0</v>
      </c>
      <c r="H5024" s="25" t="n">
        <f aca="false">IF(AND(Assumptions!$P$55=1,OR(H4955&lt;Assumptions!$K$55,G5145=1)),MIN(MAX(0,-H5069),MAX(0,Assumptions!$D$55-H5017)),0)</f>
        <v>0</v>
      </c>
      <c r="I5024" s="25" t="n">
        <f aca="false">IF(AND(Assumptions!$P$55=1,OR(I4955&lt;Assumptions!$K$55,H5145=1)),MIN(MAX(0,-I5069),MAX(0,Assumptions!$D$55-I5017)),0)</f>
        <v>0</v>
      </c>
      <c r="J5024" s="25" t="n">
        <f aca="false">IF(AND(Assumptions!$P$55=1,OR(J4955&lt;Assumptions!$K$55,I5145=1)),MIN(MAX(0,-J5069),MAX(0,Assumptions!$D$55-J5017)),0)</f>
        <v>0</v>
      </c>
      <c r="K5024" s="25" t="n">
        <f aca="false">IF(AND(Assumptions!$P$55=1,OR(K4955&lt;Assumptions!$K$55,J5145=1)),MIN(MAX(0,-K5069),MAX(0,Assumptions!$D$55-K5017)),0)</f>
        <v>0</v>
      </c>
    </row>
    <row r="5025" customFormat="false" ht="15" hidden="false" customHeight="false" outlineLevel="0" collapsed="false">
      <c r="A5025" s="5" t="s">
        <v>271</v>
      </c>
      <c r="G5025" s="25" t="n">
        <f aca="false">G5018*MIN(G5017-G5023+G5022,MAX(0,G5071-Assumptions!$C$12*G4989-G4999-G5012))</f>
        <v>0</v>
      </c>
      <c r="H5025" s="25" t="n">
        <f aca="false">H5018*MIN(H5017-H5023+H5022,MAX(0,H5071-Assumptions!$C$12*H4989-H4999-H5012))</f>
        <v>0</v>
      </c>
      <c r="I5025" s="25" t="n">
        <f aca="false">I5018*MIN(I5017-I5023+I5022,MAX(0,I5071-Assumptions!$C$12*I4989-I4999-I5012))</f>
        <v>0</v>
      </c>
      <c r="J5025" s="25" t="n">
        <f aca="false">J5018*MIN(J5017-J5023+J5022,MAX(0,J5071-Assumptions!$C$12*J4989-J4999-J5012))</f>
        <v>0</v>
      </c>
      <c r="K5025" s="25" t="n">
        <f aca="false">K5018*MIN(K5017-K5023+K5022,MAX(0,K5071-Assumptions!$C$12*K4989-K4999-K5012))</f>
        <v>0</v>
      </c>
    </row>
    <row r="5026" customFormat="false" ht="15" hidden="false" customHeight="false" outlineLevel="0" collapsed="false">
      <c r="A5026" s="5" t="s">
        <v>272</v>
      </c>
      <c r="G5026" s="25" t="n">
        <f aca="false">Assumptions!$N$55*MIN(G5017+G5024+G5022-G5023-G5025,MAX(0,G5075-G5000-G5013))</f>
        <v>0</v>
      </c>
      <c r="H5026" s="25" t="n">
        <f aca="false">Assumptions!$N$55*MIN(H5017+H5024+H5022-H5023-H5025,MAX(0,H5075-H5000-H5013))</f>
        <v>0</v>
      </c>
      <c r="I5026" s="25" t="n">
        <f aca="false">Assumptions!$N$55*MIN(I5017+I5024+I5022-I5023-I5025,MAX(0,I5075-I5000-I5013))</f>
        <v>0</v>
      </c>
      <c r="J5026" s="25" t="n">
        <f aca="false">Assumptions!$N$55*MIN(J5017+J5024+J5022-J5023-J5025,MAX(0,J5075-J5000-J5013))</f>
        <v>0</v>
      </c>
      <c r="K5026" s="25" t="n">
        <f aca="false">Assumptions!$N$55*MIN(K5017+K5024+K5022-K5023-K5025,MAX(0,K5075-K5000-K5013))</f>
        <v>0</v>
      </c>
    </row>
    <row r="5027" customFormat="false" ht="15" hidden="false" customHeight="false" outlineLevel="0" collapsed="false">
      <c r="A5027" s="5" t="s">
        <v>273</v>
      </c>
      <c r="G5027" s="25" t="n">
        <f aca="false">G5018*(1-G4989)*(G5017-G5023+G5022-G5025)</f>
        <v>0</v>
      </c>
      <c r="H5027" s="25" t="n">
        <f aca="false">H5018*(1-H4989)*(H5017-H5023+H5022-H5025)</f>
        <v>0</v>
      </c>
      <c r="I5027" s="25" t="n">
        <f aca="false">I5018*(1-I4989)*(I5017-I5023+I5022-I5025)</f>
        <v>0</v>
      </c>
      <c r="J5027" s="25" t="n">
        <f aca="false">J5018*(1-J4989)*(J5017-J5023+J5022-J5025)</f>
        <v>250</v>
      </c>
      <c r="K5027" s="25" t="n">
        <f aca="false">K5018*(1-K4989)*(K5017-K5023+K5022-K5025)</f>
        <v>0</v>
      </c>
    </row>
    <row r="5028" customFormat="false" ht="15" hidden="false" customHeight="false" outlineLevel="0" collapsed="false">
      <c r="A5028" s="2" t="s">
        <v>274</v>
      </c>
      <c r="F5028" s="27" t="n">
        <f aca="false">Assumptions!$C$55</f>
        <v>250</v>
      </c>
      <c r="G5028" s="16" t="n">
        <f aca="false">G5017+G5024+G5022-G5023-G5025-G5026</f>
        <v>250</v>
      </c>
      <c r="H5028" s="16" t="n">
        <f aca="false">H5017+H5024+H5022-H5023-H5025-H5026</f>
        <v>250</v>
      </c>
      <c r="I5028" s="16" t="n">
        <f aca="false">I5017+I5024+I5022-I5023-I5025-I5026</f>
        <v>250</v>
      </c>
      <c r="J5028" s="16" t="n">
        <f aca="false">J5017+J5024+J5022-J5023-J5025-J5026</f>
        <v>250</v>
      </c>
      <c r="K5028" s="16" t="n">
        <f aca="false">K5017+K5024+K5022-K5023-K5025-K5026</f>
        <v>250</v>
      </c>
    </row>
    <row r="5029" customFormat="false" ht="15" hidden="false" customHeight="false" outlineLevel="0" collapsed="false">
      <c r="A5029" s="23" t="s">
        <v>277</v>
      </c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</row>
    <row r="5030" customFormat="false" ht="15" hidden="false" customHeight="false" outlineLevel="0" collapsed="false">
      <c r="A5030" s="5" t="s">
        <v>264</v>
      </c>
      <c r="G5030" s="25" t="n">
        <f aca="false">F5041</f>
        <v>300</v>
      </c>
      <c r="H5030" s="25" t="n">
        <f aca="false">G5041</f>
        <v>300</v>
      </c>
      <c r="I5030" s="25" t="n">
        <f aca="false">H5041</f>
        <v>300</v>
      </c>
      <c r="J5030" s="25" t="n">
        <f aca="false">I5041</f>
        <v>300</v>
      </c>
      <c r="K5030" s="25" t="n">
        <f aca="false">J5041</f>
        <v>300</v>
      </c>
    </row>
    <row r="5031" customFormat="false" ht="15" hidden="false" customHeight="false" outlineLevel="0" collapsed="false">
      <c r="A5031" s="5" t="s">
        <v>265</v>
      </c>
      <c r="G5031" s="20" t="n">
        <f aca="false">IF(G4955=Assumptions!$K$56,1,0)</f>
        <v>0</v>
      </c>
      <c r="H5031" s="20" t="n">
        <f aca="false">IF(H4955=Assumptions!$K$56,1,0)</f>
        <v>1</v>
      </c>
      <c r="I5031" s="20" t="n">
        <f aca="false">IF(I4955=Assumptions!$K$56,1,0)</f>
        <v>0</v>
      </c>
      <c r="J5031" s="20" t="n">
        <f aca="false">IF(J4955=Assumptions!$K$56,1,0)</f>
        <v>0</v>
      </c>
      <c r="K5031" s="20" t="n">
        <f aca="false">IF(K4955=Assumptions!$K$56,1,0)</f>
        <v>0</v>
      </c>
    </row>
    <row r="5033" customFormat="false" ht="15" hidden="false" customHeight="false" outlineLevel="0" collapsed="false">
      <c r="A5033" s="5" t="s">
        <v>266</v>
      </c>
      <c r="G5033" s="30" t="n">
        <f aca="false">IF(Assumptions!$I$56=1,MAX(G4981,Assumptions!$G$56)+Assumptions!$F$56+$C$4982,Assumptions!$E$56)</f>
        <v>0.075</v>
      </c>
      <c r="H5033" s="30" t="n">
        <f aca="false">IF(G5146=1,$C$4983,IF(Assumptions!$I$56=1,MAX(H4981,Assumptions!$G$56)+Assumptions!$F$56+$C$4982,Assumptions!$E$56))</f>
        <v>0.075</v>
      </c>
      <c r="I5033" s="30" t="n">
        <f aca="false">IF(H5146=1,$C$4983,IF(Assumptions!$I$56=1,MAX(I4981,Assumptions!$G$56)+Assumptions!$F$56+$C$4982,Assumptions!$E$56))</f>
        <v>0.075</v>
      </c>
      <c r="J5033" s="30" t="n">
        <f aca="false">IF(I5146=1,$C$4983,IF(Assumptions!$I$56=1,MAX(J4981,Assumptions!$G$56)+Assumptions!$F$56+$C$4982,Assumptions!$E$56))</f>
        <v>0.075</v>
      </c>
      <c r="K5033" s="30" t="n">
        <f aca="false">IF(J5146=1,$C$4983,IF(Assumptions!$I$56=1,MAX(K4981,Assumptions!$G$56)+Assumptions!$F$56+$C$4982,Assumptions!$E$56))</f>
        <v>0.075</v>
      </c>
    </row>
    <row r="5034" customFormat="false" ht="15" hidden="false" customHeight="false" outlineLevel="0" collapsed="false">
      <c r="A5034" s="5" t="s">
        <v>267</v>
      </c>
      <c r="G5034" s="25" t="n">
        <f aca="false">G5030*G5033</f>
        <v>22.5</v>
      </c>
      <c r="H5034" s="25" t="n">
        <f aca="false">H5030*H5033</f>
        <v>22.5</v>
      </c>
      <c r="I5034" s="25" t="n">
        <f aca="false">I5030*I5033</f>
        <v>22.5</v>
      </c>
      <c r="J5034" s="25" t="n">
        <f aca="false">J5030*J5033</f>
        <v>22.5</v>
      </c>
      <c r="K5034" s="25" t="n">
        <f aca="false">K5030*K5033</f>
        <v>22.5</v>
      </c>
    </row>
    <row r="5035" customFormat="false" ht="15" hidden="false" customHeight="false" outlineLevel="0" collapsed="false">
      <c r="A5035" s="5" t="s">
        <v>268</v>
      </c>
      <c r="G5035" s="25" t="n">
        <f aca="false">G5030*Assumptions!$H$56</f>
        <v>0</v>
      </c>
      <c r="H5035" s="25" t="n">
        <f aca="false">H5030*Assumptions!$H$56</f>
        <v>0</v>
      </c>
      <c r="I5035" s="25" t="n">
        <f aca="false">I5030*Assumptions!$H$56</f>
        <v>0</v>
      </c>
      <c r="J5035" s="25" t="n">
        <f aca="false">J5030*Assumptions!$H$56</f>
        <v>0</v>
      </c>
      <c r="K5035" s="25" t="n">
        <f aca="false">K5030*Assumptions!$H$56</f>
        <v>0</v>
      </c>
    </row>
    <row r="5036" customFormat="false" ht="15" hidden="false" customHeight="false" outlineLevel="0" collapsed="false">
      <c r="A5036" s="5" t="s">
        <v>269</v>
      </c>
      <c r="G5036" s="25" t="n">
        <f aca="false">MIN(G5030,Assumptions!$L$56*Assumptions!$C$56)</f>
        <v>0</v>
      </c>
      <c r="H5036" s="25" t="n">
        <f aca="false">MIN(H5030,Assumptions!$L$56*Assumptions!$C$56)</f>
        <v>0</v>
      </c>
      <c r="I5036" s="25" t="n">
        <f aca="false">MIN(I5030,Assumptions!$L$56*Assumptions!$C$56)</f>
        <v>0</v>
      </c>
      <c r="J5036" s="25" t="n">
        <f aca="false">MIN(J5030,Assumptions!$L$56*Assumptions!$C$56)</f>
        <v>0</v>
      </c>
      <c r="K5036" s="25" t="n">
        <f aca="false">MIN(K5030,Assumptions!$L$56*Assumptions!$C$56)</f>
        <v>0</v>
      </c>
    </row>
    <row r="5037" customFormat="false" ht="15" hidden="false" customHeight="false" outlineLevel="0" collapsed="false">
      <c r="A5037" s="5" t="s">
        <v>270</v>
      </c>
      <c r="G5037" s="25" t="n">
        <f aca="false">IF(AND(Assumptions!$P$56=1,G4955&lt;Assumptions!$K$56),MIN(MAX(0,-G5069),MAX(0,Assumptions!$D$56-G5030)),0)</f>
        <v>0</v>
      </c>
      <c r="H5037" s="25" t="n">
        <f aca="false">IF(AND(Assumptions!$P$56=1,OR(H4955&lt;Assumptions!$K$56,G5146=1)),MIN(MAX(0,-H5069),MAX(0,Assumptions!$D$56-H5030)),0)</f>
        <v>0</v>
      </c>
      <c r="I5037" s="25" t="n">
        <f aca="false">IF(AND(Assumptions!$P$56=1,OR(I4955&lt;Assumptions!$K$56,H5146=1)),MIN(MAX(0,-I5069),MAX(0,Assumptions!$D$56-I5030)),0)</f>
        <v>0</v>
      </c>
      <c r="J5037" s="25" t="n">
        <f aca="false">IF(AND(Assumptions!$P$56=1,OR(J4955&lt;Assumptions!$K$56,I5146=1)),MIN(MAX(0,-J5069),MAX(0,Assumptions!$D$56-J5030)),0)</f>
        <v>0</v>
      </c>
      <c r="K5037" s="25" t="n">
        <f aca="false">IF(AND(Assumptions!$P$56=1,OR(K4955&lt;Assumptions!$K$56,J5146=1)),MIN(MAX(0,-K5069),MAX(0,Assumptions!$D$56-K5030)),0)</f>
        <v>0</v>
      </c>
    </row>
    <row r="5038" customFormat="false" ht="15" hidden="false" customHeight="false" outlineLevel="0" collapsed="false">
      <c r="A5038" s="5" t="s">
        <v>271</v>
      </c>
      <c r="G5038" s="25" t="n">
        <f aca="false">G5031*MIN(G5030-G5036+G5035,MAX(0,G5071-Assumptions!$C$12*G4989-G4999-G5012-G5025))</f>
        <v>0</v>
      </c>
      <c r="H5038" s="25" t="n">
        <f aca="false">H5031*MIN(H5030-H5036+H5035,MAX(0,H5071-Assumptions!$C$12*H4989-H4999-H5012-H5025))</f>
        <v>0</v>
      </c>
      <c r="I5038" s="25" t="n">
        <f aca="false">I5031*MIN(I5030-I5036+I5035,MAX(0,I5071-Assumptions!$C$12*I4989-I4999-I5012-I5025))</f>
        <v>0</v>
      </c>
      <c r="J5038" s="25" t="n">
        <f aca="false">J5031*MIN(J5030-J5036+J5035,MAX(0,J5071-Assumptions!$C$12*J4989-J4999-J5012-J5025))</f>
        <v>0</v>
      </c>
      <c r="K5038" s="25" t="n">
        <f aca="false">K5031*MIN(K5030-K5036+K5035,MAX(0,K5071-Assumptions!$C$12*K4989-K4999-K5012-K5025))</f>
        <v>0</v>
      </c>
    </row>
    <row r="5039" customFormat="false" ht="15" hidden="false" customHeight="false" outlineLevel="0" collapsed="false">
      <c r="A5039" s="5" t="s">
        <v>272</v>
      </c>
      <c r="G5039" s="25" t="n">
        <f aca="false">Assumptions!$N$56*MIN(G5030+G5037+G5035-G5036-G5038,MAX(0,G5075-G5000-G5013-G5026))</f>
        <v>0</v>
      </c>
      <c r="H5039" s="25" t="n">
        <f aca="false">Assumptions!$N$56*MIN(H5030+H5037+H5035-H5036-H5038,MAX(0,H5075-H5000-H5013-H5026))</f>
        <v>0</v>
      </c>
      <c r="I5039" s="25" t="n">
        <f aca="false">Assumptions!$N$56*MIN(I5030+I5037+I5035-I5036-I5038,MAX(0,I5075-I5000-I5013-I5026))</f>
        <v>0</v>
      </c>
      <c r="J5039" s="25" t="n">
        <f aca="false">Assumptions!$N$56*MIN(J5030+J5037+J5035-J5036-J5038,MAX(0,J5075-J5000-J5013-J5026))</f>
        <v>0</v>
      </c>
      <c r="K5039" s="25" t="n">
        <f aca="false">Assumptions!$N$56*MIN(K5030+K5037+K5035-K5036-K5038,MAX(0,K5075-K5000-K5013-K5026))</f>
        <v>0</v>
      </c>
    </row>
    <row r="5040" customFormat="false" ht="15" hidden="false" customHeight="false" outlineLevel="0" collapsed="false">
      <c r="A5040" s="5" t="s">
        <v>273</v>
      </c>
      <c r="G5040" s="25" t="n">
        <f aca="false">G5031*(1-G4989)*(G5030-G5036+G5035-G5038)</f>
        <v>0</v>
      </c>
      <c r="H5040" s="25" t="n">
        <f aca="false">H5031*(1-H4989)*(H5030-H5036+H5035-H5038)</f>
        <v>300</v>
      </c>
      <c r="I5040" s="25" t="n">
        <f aca="false">I5031*(1-I4989)*(I5030-I5036+I5035-I5038)</f>
        <v>0</v>
      </c>
      <c r="J5040" s="25" t="n">
        <f aca="false">J5031*(1-J4989)*(J5030-J5036+J5035-J5038)</f>
        <v>0</v>
      </c>
      <c r="K5040" s="25" t="n">
        <f aca="false">K5031*(1-K4989)*(K5030-K5036+K5035-K5038)</f>
        <v>0</v>
      </c>
    </row>
    <row r="5041" customFormat="false" ht="15" hidden="false" customHeight="false" outlineLevel="0" collapsed="false">
      <c r="A5041" s="2" t="s">
        <v>274</v>
      </c>
      <c r="F5041" s="27" t="n">
        <f aca="false">Assumptions!$C$56</f>
        <v>300</v>
      </c>
      <c r="G5041" s="16" t="n">
        <f aca="false">G5030+G5037+G5035-G5036-G5038-G5039</f>
        <v>300</v>
      </c>
      <c r="H5041" s="16" t="n">
        <f aca="false">H5030+H5037+H5035-H5036-H5038-H5039</f>
        <v>300</v>
      </c>
      <c r="I5041" s="16" t="n">
        <f aca="false">I5030+I5037+I5035-I5036-I5038-I5039</f>
        <v>300</v>
      </c>
      <c r="J5041" s="16" t="n">
        <f aca="false">J5030+J5037+J5035-J5036-J5038-J5039</f>
        <v>300</v>
      </c>
      <c r="K5041" s="16" t="n">
        <f aca="false">K5030+K5037+K5035-K5036-K5038-K5039</f>
        <v>300</v>
      </c>
    </row>
    <row r="5042" customFormat="false" ht="15" hidden="false" customHeight="false" outlineLevel="0" collapsed="false">
      <c r="A5042" s="23" t="s">
        <v>278</v>
      </c>
      <c r="B5042" s="24"/>
      <c r="C5042" s="24"/>
      <c r="D5042" s="24"/>
      <c r="E5042" s="24"/>
      <c r="F5042" s="24"/>
      <c r="G5042" s="24"/>
      <c r="H5042" s="24"/>
      <c r="I5042" s="24"/>
      <c r="J5042" s="24"/>
      <c r="K5042" s="24"/>
    </row>
    <row r="5043" customFormat="false" ht="15" hidden="false" customHeight="false" outlineLevel="0" collapsed="false">
      <c r="A5043" s="2" t="s">
        <v>279</v>
      </c>
      <c r="F5043" s="16" t="n">
        <f aca="false">F5002+F5015+F5028+F5041</f>
        <v>1250</v>
      </c>
      <c r="G5043" s="16" t="n">
        <f aca="false">G5002+G5015+G5028+G5041</f>
        <v>1336.4768</v>
      </c>
      <c r="H5043" s="16" t="n">
        <f aca="false">H5002+H5015+H5028+H5041</f>
        <v>1331.2768</v>
      </c>
      <c r="I5043" s="16" t="n">
        <f aca="false">I5002+I5015+I5028+I5041</f>
        <v>1326.0768</v>
      </c>
      <c r="J5043" s="16" t="n">
        <f aca="false">J5002+J5015+J5028+J5041</f>
        <v>1320.8768</v>
      </c>
      <c r="K5043" s="16" t="n">
        <f aca="false">K5002+K5015+K5028+K5041</f>
        <v>1315.6768</v>
      </c>
    </row>
    <row r="5044" customFormat="false" ht="15" hidden="false" customHeight="false" outlineLevel="0" collapsed="false">
      <c r="A5044" s="5" t="s">
        <v>280</v>
      </c>
      <c r="G5044" s="25" t="n">
        <f aca="false">G4992*Assumptions!$C$53+G5005*Assumptions!$C$54+G5018*Assumptions!$C$55+G5031*Assumptions!$C$56</f>
        <v>0</v>
      </c>
      <c r="H5044" s="25" t="n">
        <f aca="false">H4992*Assumptions!$C$53+H5005*Assumptions!$C$54+H5018*Assumptions!$C$55+H5031*Assumptions!$C$56</f>
        <v>480</v>
      </c>
      <c r="I5044" s="25" t="n">
        <f aca="false">I4992*Assumptions!$C$53+I5005*Assumptions!$C$54+I5018*Assumptions!$C$55+I5031*Assumptions!$C$56</f>
        <v>520</v>
      </c>
      <c r="J5044" s="25" t="n">
        <f aca="false">J4992*Assumptions!$C$53+J5005*Assumptions!$C$54+J5018*Assumptions!$C$55+J5031*Assumptions!$C$56</f>
        <v>250</v>
      </c>
      <c r="K5044" s="25" t="n">
        <f aca="false">K4992*Assumptions!$C$53+K5005*Assumptions!$C$54+K5018*Assumptions!$C$55+K5031*Assumptions!$C$56</f>
        <v>0</v>
      </c>
    </row>
    <row r="5045" customFormat="false" ht="15" hidden="false" customHeight="false" outlineLevel="0" collapsed="false">
      <c r="A5045" s="23" t="s">
        <v>281</v>
      </c>
      <c r="B5045" s="24"/>
      <c r="C5045" s="24"/>
      <c r="D5045" s="24"/>
      <c r="E5045" s="24"/>
      <c r="F5045" s="24"/>
      <c r="G5045" s="24"/>
      <c r="H5045" s="24"/>
      <c r="I5045" s="24"/>
      <c r="J5045" s="24"/>
      <c r="K5045" s="24"/>
    </row>
    <row r="5046" customFormat="false" ht="15" hidden="false" customHeight="false" outlineLevel="0" collapsed="false">
      <c r="A5046" s="5" t="s">
        <v>282</v>
      </c>
      <c r="C5046" s="25" t="n">
        <f aca="false">SUMPRODUCT($G$4992:$K$4992,$G$4991:$K$4991-$G$4997:$K$4997+$G$4996:$K$4996)</f>
        <v>271.6768</v>
      </c>
    </row>
    <row r="5047" customFormat="false" ht="15" hidden="false" customHeight="false" outlineLevel="0" collapsed="false">
      <c r="A5047" s="5" t="s">
        <v>283</v>
      </c>
      <c r="C5047" s="25" t="n">
        <f aca="false">SUMPRODUCT($G$4992:$K$4992,$G$4999:$K$4999)</f>
        <v>0</v>
      </c>
    </row>
    <row r="5048" customFormat="false" ht="15" hidden="false" customHeight="false" outlineLevel="0" collapsed="false">
      <c r="A5048" s="5" t="s">
        <v>284</v>
      </c>
      <c r="C5048" s="5" t="str">
        <f aca="false">IF(SUM($G$4992:$K$4992)=0,"n/a (beyond horizon)",IF(SUMPRODUCT($G$4992:$K$4992,$G$4989:$K$4989)&gt;0,"REFINANCING PASS","REFINANCING FAILURE"))</f>
        <v>REFINANCING FAILURE</v>
      </c>
    </row>
    <row r="5049" customFormat="false" ht="15" hidden="false" customHeight="false" outlineLevel="0" collapsed="false">
      <c r="A5049" s="5" t="s">
        <v>285</v>
      </c>
      <c r="C5049" s="5" t="str">
        <f aca="false">IF(SUM($G$4992:$K$4992)=0,"n/a",IF(C5047&gt;=C5046-0.001,"Repaid from cash",IF(SUMPRODUCT($G$4992:$K$4992,$G$4989:$K$4989)&gt;0,IF(C5047&gt;0,"Partly repaid; remainder refinanced","Refinanced"),IF(SUM($G$5001:$K$5001)&gt;0.001,IF(C5047&gt;0,"Partial repayment; PAYMENT DEFAULT","PAYMENT DEFAULT"),"Repaid from cash"))))</f>
        <v>PAYMENT DEFAULT</v>
      </c>
    </row>
    <row r="5050" customFormat="false" ht="15" hidden="false" customHeight="false" outlineLevel="0" collapsed="false">
      <c r="A5050" s="5" t="s">
        <v>286</v>
      </c>
      <c r="C5050" s="25" t="n">
        <f aca="false">SUMPRODUCT($G$5005:$K$5005,$G$5004:$K$5004-$G$5010:$K$5010+$G$5009:$K$5009)</f>
        <v>504.4</v>
      </c>
    </row>
    <row r="5051" customFormat="false" ht="15" hidden="false" customHeight="false" outlineLevel="0" collapsed="false">
      <c r="A5051" s="5" t="s">
        <v>287</v>
      </c>
      <c r="C5051" s="25" t="n">
        <f aca="false">SUMPRODUCT($G$5005:$K$5005,$G$5012:$K$5012)</f>
        <v>0</v>
      </c>
    </row>
    <row r="5052" customFormat="false" ht="15" hidden="false" customHeight="false" outlineLevel="0" collapsed="false">
      <c r="A5052" s="5" t="s">
        <v>288</v>
      </c>
      <c r="C5052" s="5" t="str">
        <f aca="false">IF(SUM($G$5005:$K$5005)=0,"n/a (beyond horizon)",IF(SUMPRODUCT($G$5005:$K$5005,$G$4989:$K$4989)&gt;0,"REFINANCING PASS","REFINANCING FAILURE"))</f>
        <v>REFINANCING FAILURE</v>
      </c>
    </row>
    <row r="5053" customFormat="false" ht="15" hidden="false" customHeight="false" outlineLevel="0" collapsed="false">
      <c r="A5053" s="5" t="s">
        <v>289</v>
      </c>
      <c r="C5053" s="5" t="str">
        <f aca="false">IF(SUM($G$5005:$K$5005)=0,"n/a",IF(C5051&gt;=C5050-0.001,"Repaid from cash",IF(SUMPRODUCT($G$5005:$K$5005,$G$4989:$K$4989)&gt;0,IF(C5051&gt;0,"Partly repaid; remainder refinanced","Refinanced"),IF(SUM($G$5014:$K$5014)&gt;0.001,IF(C5051&gt;0,"Partial repayment; PAYMENT DEFAULT","PAYMENT DEFAULT"),"Repaid from cash"))))</f>
        <v>PAYMENT DEFAULT</v>
      </c>
    </row>
    <row r="5054" customFormat="false" ht="15" hidden="false" customHeight="false" outlineLevel="0" collapsed="false">
      <c r="A5054" s="5" t="s">
        <v>290</v>
      </c>
      <c r="C5054" s="25" t="n">
        <f aca="false">SUMPRODUCT($G$5018:$K$5018,$G$5017:$K$5017-$G$5023:$K$5023+$G$5022:$K$5022)</f>
        <v>250</v>
      </c>
    </row>
    <row r="5055" customFormat="false" ht="15" hidden="false" customHeight="false" outlineLevel="0" collapsed="false">
      <c r="A5055" s="5" t="s">
        <v>291</v>
      </c>
      <c r="C5055" s="25" t="n">
        <f aca="false">SUMPRODUCT($G$5018:$K$5018,$G$5025:$K$5025)</f>
        <v>0</v>
      </c>
    </row>
    <row r="5056" customFormat="false" ht="15" hidden="false" customHeight="false" outlineLevel="0" collapsed="false">
      <c r="A5056" s="5" t="s">
        <v>292</v>
      </c>
      <c r="C5056" s="5" t="str">
        <f aca="false">IF(SUM($G$5018:$K$5018)=0,"n/a (beyond horizon)",IF(SUMPRODUCT($G$5018:$K$5018,$G$4989:$K$4989)&gt;0,"REFINANCING PASS","REFINANCING FAILURE"))</f>
        <v>REFINANCING FAILURE</v>
      </c>
    </row>
    <row r="5057" customFormat="false" ht="15" hidden="false" customHeight="false" outlineLevel="0" collapsed="false">
      <c r="A5057" s="5" t="s">
        <v>293</v>
      </c>
      <c r="C5057" s="5" t="str">
        <f aca="false">IF(SUM($G$5018:$K$5018)=0,"n/a",IF(C5055&gt;=C5054-0.001,"Repaid from cash",IF(SUMPRODUCT($G$5018:$K$5018,$G$4989:$K$4989)&gt;0,IF(C5055&gt;0,"Partly repaid; remainder refinanced","Refinanced"),IF(SUM($G$5027:$K$5027)&gt;0.001,IF(C5055&gt;0,"Partial repayment; PAYMENT DEFAULT","PAYMENT DEFAULT"),"Repaid from cash"))))</f>
        <v>PAYMENT DEFAULT</v>
      </c>
    </row>
    <row r="5058" customFormat="false" ht="15" hidden="false" customHeight="false" outlineLevel="0" collapsed="false">
      <c r="A5058" s="5" t="s">
        <v>294</v>
      </c>
      <c r="C5058" s="25" t="n">
        <f aca="false">SUMPRODUCT($G$5031:$K$5031,$G$5030:$K$5030-$G$5036:$K$5036+$G$5035:$K$5035)</f>
        <v>300</v>
      </c>
    </row>
    <row r="5059" customFormat="false" ht="15" hidden="false" customHeight="false" outlineLevel="0" collapsed="false">
      <c r="A5059" s="5" t="s">
        <v>295</v>
      </c>
      <c r="C5059" s="25" t="n">
        <f aca="false">SUMPRODUCT($G$5031:$K$5031,$G$5038:$K$5038)</f>
        <v>0</v>
      </c>
    </row>
    <row r="5060" customFormat="false" ht="15" hidden="false" customHeight="false" outlineLevel="0" collapsed="false">
      <c r="A5060" s="5" t="s">
        <v>296</v>
      </c>
      <c r="C5060" s="5" t="str">
        <f aca="false">IF(SUM($G$5031:$K$5031)=0,"n/a (beyond horizon)",IF(SUMPRODUCT($G$5031:$K$5031,$G$4989:$K$4989)&gt;0,"REFINANCING PASS","REFINANCING FAILURE"))</f>
        <v>REFINANCING FAILURE</v>
      </c>
    </row>
    <row r="5061" customFormat="false" ht="15" hidden="false" customHeight="false" outlineLevel="0" collapsed="false">
      <c r="A5061" s="5" t="s">
        <v>297</v>
      </c>
      <c r="C5061" s="5" t="str">
        <f aca="false">IF(SUM($G$5031:$K$5031)=0,"n/a",IF(C5059&gt;=C5058-0.001,"Repaid from cash",IF(SUMPRODUCT($G$5031:$K$5031,$G$4989:$K$4989)&gt;0,IF(C5059&gt;0,"Partly repaid; remainder refinanced","Refinanced"),IF(SUM($G$5040:$K$5040)&gt;0.001,IF(C5059&gt;0,"Partial repayment; PAYMENT DEFAULT","PAYMENT DEFAULT"),"Repaid from cash"))))</f>
        <v>PAYMENT DEFAULT</v>
      </c>
    </row>
    <row r="5062" customFormat="false" ht="15" hidden="false" customHeight="false" outlineLevel="0" collapsed="false">
      <c r="A5062" s="5" t="s">
        <v>298</v>
      </c>
      <c r="C5062" s="20" t="n">
        <f aca="false">IF(C5048="REFINANCING FAILURE",1,0)+IF(C5052="REFINANCING FAILURE",1,0)+IF(C5056="REFINANCING FAILURE",1,0)+IF(C5060="REFINANCING FAILURE",1,0)</f>
        <v>4</v>
      </c>
    </row>
    <row r="5064" customFormat="false" ht="15" hidden="false" customHeight="false" outlineLevel="0" collapsed="false">
      <c r="A5064" s="23" t="s">
        <v>300</v>
      </c>
      <c r="B5064" s="24"/>
      <c r="C5064" s="24"/>
      <c r="D5064" s="24"/>
      <c r="E5064" s="24"/>
      <c r="F5064" s="24"/>
      <c r="G5064" s="24"/>
      <c r="H5064" s="24"/>
      <c r="I5064" s="24"/>
      <c r="J5064" s="24"/>
      <c r="K5064" s="24"/>
    </row>
    <row r="5065" customFormat="false" ht="15" hidden="false" customHeight="false" outlineLevel="0" collapsed="false">
      <c r="A5065" s="5" t="s">
        <v>260</v>
      </c>
      <c r="G5065" s="25" t="n">
        <f aca="false">F5077</f>
        <v>45</v>
      </c>
      <c r="H5065" s="25" t="n">
        <f aca="false">G5077</f>
        <v>0</v>
      </c>
      <c r="I5065" s="25" t="n">
        <f aca="false">H5077</f>
        <v>-175.7187328</v>
      </c>
      <c r="J5065" s="25" t="n">
        <f aca="false">I5077</f>
        <v>-371.163853184</v>
      </c>
      <c r="K5065" s="25" t="n">
        <f aca="false">J5077</f>
        <v>-568.56563497216</v>
      </c>
    </row>
    <row r="5066" customFormat="false" ht="15" hidden="false" customHeight="false" outlineLevel="0" collapsed="false">
      <c r="A5066" s="5" t="s">
        <v>301</v>
      </c>
      <c r="G5066" s="25" t="n">
        <f aca="false">G4978</f>
        <v>-131.4768</v>
      </c>
      <c r="H5066" s="25" t="n">
        <f aca="false">H4978</f>
        <v>-170.5187328</v>
      </c>
      <c r="I5066" s="25" t="n">
        <f aca="false">I4978</f>
        <v>-190.245120384</v>
      </c>
      <c r="J5066" s="25" t="n">
        <f aca="false">J4978</f>
        <v>-192.20178178816</v>
      </c>
      <c r="K5066" s="25" t="n">
        <f aca="false">K4978</f>
        <v>-191.061357218278</v>
      </c>
    </row>
    <row r="5067" customFormat="false" ht="15" hidden="false" customHeight="false" outlineLevel="0" collapsed="false">
      <c r="A5067" s="5" t="s">
        <v>302</v>
      </c>
      <c r="G5067" s="25" t="n">
        <f aca="false">CHOOSE($C$4948,Assumptions!$G$68,Assumptions!$G$87,Assumptions!$G$106)</f>
        <v>0</v>
      </c>
      <c r="H5067" s="25" t="n">
        <f aca="false">CHOOSE($C$4948,Assumptions!$H$68,Assumptions!$H$87,Assumptions!$H$106)</f>
        <v>0</v>
      </c>
      <c r="I5067" s="25" t="n">
        <f aca="false">CHOOSE($C$4948,Assumptions!$I$68,Assumptions!$I$87,Assumptions!$I$106)</f>
        <v>0</v>
      </c>
      <c r="J5067" s="25" t="n">
        <f aca="false">CHOOSE($C$4948,Assumptions!$J$68,Assumptions!$J$87,Assumptions!$J$106)</f>
        <v>0</v>
      </c>
      <c r="K5067" s="25" t="n">
        <f aca="false">CHOOSE($C$4948,Assumptions!$K$68,Assumptions!$K$87,Assumptions!$K$106)</f>
        <v>0</v>
      </c>
    </row>
    <row r="5068" customFormat="false" ht="15" hidden="false" customHeight="false" outlineLevel="0" collapsed="false">
      <c r="A5068" s="5" t="s">
        <v>303</v>
      </c>
      <c r="G5068" s="25" t="n">
        <f aca="false">G4997+G5010+G5023+G5036</f>
        <v>5.2</v>
      </c>
      <c r="H5068" s="25" t="n">
        <f aca="false">H4997+H5010+H5023+H5036</f>
        <v>5.2</v>
      </c>
      <c r="I5068" s="25" t="n">
        <f aca="false">I4997+I5010+I5023+I5036</f>
        <v>5.2</v>
      </c>
      <c r="J5068" s="25" t="n">
        <f aca="false">J4997+J5010+J5023+J5036</f>
        <v>5.2</v>
      </c>
      <c r="K5068" s="25" t="n">
        <f aca="false">K4997+K5010+K5023+K5036</f>
        <v>5.2</v>
      </c>
    </row>
    <row r="5069" customFormat="false" ht="15" hidden="false" customHeight="false" outlineLevel="0" collapsed="false">
      <c r="A5069" s="2" t="s">
        <v>304</v>
      </c>
      <c r="G5069" s="16" t="n">
        <f aca="false">G5065+G5066+G5067-G5068</f>
        <v>-91.6768</v>
      </c>
      <c r="H5069" s="16" t="n">
        <f aca="false">H5065+H5066+H5067-H5068</f>
        <v>-175.7187328</v>
      </c>
      <c r="I5069" s="16" t="n">
        <f aca="false">I5065+I5066+I5067-I5068</f>
        <v>-371.163853184</v>
      </c>
      <c r="J5069" s="16" t="n">
        <f aca="false">J5065+J5066+J5067-J5068</f>
        <v>-568.56563497216</v>
      </c>
      <c r="K5069" s="16" t="n">
        <f aca="false">K5065+K5066+K5067-K5068</f>
        <v>-764.826992190439</v>
      </c>
    </row>
    <row r="5070" customFormat="false" ht="15" hidden="false" customHeight="false" outlineLevel="0" collapsed="false">
      <c r="A5070" s="5" t="s">
        <v>305</v>
      </c>
      <c r="G5070" s="25" t="n">
        <f aca="false">G4998+G5011+G5024+G5037</f>
        <v>91.6768</v>
      </c>
      <c r="H5070" s="25" t="n">
        <f aca="false">H4998+H5011+H5024+H5037</f>
        <v>0</v>
      </c>
      <c r="I5070" s="25" t="n">
        <f aca="false">I4998+I5011+I5024+I5037</f>
        <v>0</v>
      </c>
      <c r="J5070" s="25" t="n">
        <f aca="false">J4998+J5011+J5024+J5037</f>
        <v>0</v>
      </c>
      <c r="K5070" s="25" t="n">
        <f aca="false">K4998+K5011+K5024+K5037</f>
        <v>0</v>
      </c>
    </row>
    <row r="5071" customFormat="false" ht="15" hidden="false" customHeight="false" outlineLevel="0" collapsed="false">
      <c r="A5071" s="2" t="s">
        <v>306</v>
      </c>
      <c r="G5071" s="16" t="n">
        <f aca="false">G5069+G5070</f>
        <v>0</v>
      </c>
      <c r="H5071" s="16" t="n">
        <f aca="false">H5069+H5070</f>
        <v>-175.7187328</v>
      </c>
      <c r="I5071" s="16" t="n">
        <f aca="false">I5069+I5070</f>
        <v>-371.163853184</v>
      </c>
      <c r="J5071" s="16" t="n">
        <f aca="false">J5069+J5070</f>
        <v>-568.56563497216</v>
      </c>
      <c r="K5071" s="16" t="n">
        <f aca="false">K5069+K5070</f>
        <v>-764.826992190439</v>
      </c>
    </row>
    <row r="5072" customFormat="false" ht="15" hidden="false" customHeight="false" outlineLevel="0" collapsed="false">
      <c r="A5072" s="5" t="s">
        <v>307</v>
      </c>
      <c r="G5072" s="25" t="n">
        <f aca="false">G4999+G5012+G5025+G5038</f>
        <v>0</v>
      </c>
      <c r="H5072" s="25" t="n">
        <f aca="false">H4999+H5012+H5025+H5038</f>
        <v>0</v>
      </c>
      <c r="I5072" s="25" t="n">
        <f aca="false">I4999+I5012+I5025+I5038</f>
        <v>0</v>
      </c>
      <c r="J5072" s="25" t="n">
        <f aca="false">J4999+J5012+J5025+J5038</f>
        <v>0</v>
      </c>
      <c r="K5072" s="25" t="n">
        <f aca="false">K4999+K5012+K5025+K5038</f>
        <v>0</v>
      </c>
    </row>
    <row r="5073" customFormat="false" ht="15" hidden="false" customHeight="false" outlineLevel="0" collapsed="false">
      <c r="A5073" s="2" t="s">
        <v>308</v>
      </c>
      <c r="G5073" s="16" t="n">
        <f aca="false">G5071-G5072</f>
        <v>0</v>
      </c>
      <c r="H5073" s="16" t="n">
        <f aca="false">H5071-H5072</f>
        <v>-175.7187328</v>
      </c>
      <c r="I5073" s="16" t="n">
        <f aca="false">I5071-I5072</f>
        <v>-371.163853184</v>
      </c>
      <c r="J5073" s="16" t="n">
        <f aca="false">J5071-J5072</f>
        <v>-568.56563497216</v>
      </c>
      <c r="K5073" s="16" t="n">
        <f aca="false">K5071-K5072</f>
        <v>-764.826992190439</v>
      </c>
    </row>
    <row r="5074" customFormat="false" ht="15" hidden="false" customHeight="false" outlineLevel="0" collapsed="false">
      <c r="A5074" s="5" t="s">
        <v>309</v>
      </c>
      <c r="G5074" s="25" t="n">
        <f aca="false">MAX(0,-G5073)</f>
        <v>-0</v>
      </c>
      <c r="H5074" s="25" t="n">
        <f aca="false">MAX(0,-H5073)</f>
        <v>175.7187328</v>
      </c>
      <c r="I5074" s="25" t="n">
        <f aca="false">MAX(0,-I5073)</f>
        <v>371.163853184</v>
      </c>
      <c r="J5074" s="25" t="n">
        <f aca="false">MAX(0,-J5073)</f>
        <v>568.56563497216</v>
      </c>
      <c r="K5074" s="25" t="n">
        <f aca="false">MAX(0,-K5073)</f>
        <v>764.826992190439</v>
      </c>
    </row>
    <row r="5075" customFormat="false" ht="15" hidden="false" customHeight="false" outlineLevel="0" collapsed="false">
      <c r="A5075" s="5" t="s">
        <v>310</v>
      </c>
      <c r="G5075" s="25" t="n">
        <f aca="false">MAX(0,G5073-Assumptions!$C$12)*Assumptions!$C$13</f>
        <v>0</v>
      </c>
      <c r="H5075" s="25" t="n">
        <f aca="false">MAX(0,H5073-Assumptions!$C$12)*Assumptions!$C$13</f>
        <v>0</v>
      </c>
      <c r="I5075" s="25" t="n">
        <f aca="false">MAX(0,I5073-Assumptions!$C$12)*Assumptions!$C$13</f>
        <v>0</v>
      </c>
      <c r="J5075" s="25" t="n">
        <f aca="false">MAX(0,J5073-Assumptions!$C$12)*Assumptions!$C$13</f>
        <v>0</v>
      </c>
      <c r="K5075" s="25" t="n">
        <f aca="false">MAX(0,K5073-Assumptions!$C$12)*Assumptions!$C$13</f>
        <v>0</v>
      </c>
    </row>
    <row r="5076" customFormat="false" ht="15" hidden="false" customHeight="false" outlineLevel="0" collapsed="false">
      <c r="A5076" s="5" t="s">
        <v>311</v>
      </c>
      <c r="G5076" s="25" t="n">
        <f aca="false">G5000+G5013+G5026+G5039</f>
        <v>0</v>
      </c>
      <c r="H5076" s="25" t="n">
        <f aca="false">H5000+H5013+H5026+H5039</f>
        <v>0</v>
      </c>
      <c r="I5076" s="25" t="n">
        <f aca="false">I5000+I5013+I5026+I5039</f>
        <v>0</v>
      </c>
      <c r="J5076" s="25" t="n">
        <f aca="false">J5000+J5013+J5026+J5039</f>
        <v>0</v>
      </c>
      <c r="K5076" s="25" t="n">
        <f aca="false">K5000+K5013+K5026+K5039</f>
        <v>0</v>
      </c>
    </row>
    <row r="5077" customFormat="false" ht="15" hidden="false" customHeight="false" outlineLevel="0" collapsed="false">
      <c r="A5077" s="2" t="s">
        <v>312</v>
      </c>
      <c r="F5077" s="27" t="n">
        <f aca="false">Assumptions!$C$11</f>
        <v>45</v>
      </c>
      <c r="G5077" s="16" t="n">
        <f aca="false">G5073-G5076</f>
        <v>0</v>
      </c>
      <c r="H5077" s="16" t="n">
        <f aca="false">H5073-H5076</f>
        <v>-175.7187328</v>
      </c>
      <c r="I5077" s="16" t="n">
        <f aca="false">I5073-I5076</f>
        <v>-371.163853184</v>
      </c>
      <c r="J5077" s="16" t="n">
        <f aca="false">J5073-J5076</f>
        <v>-568.56563497216</v>
      </c>
      <c r="K5077" s="16" t="n">
        <f aca="false">K5073-K5076</f>
        <v>-764.826992190439</v>
      </c>
    </row>
    <row r="5078" customFormat="false" ht="15" hidden="false" customHeight="false" outlineLevel="0" collapsed="false">
      <c r="A5078" s="5" t="s">
        <v>313</v>
      </c>
      <c r="G5078" s="25" t="n">
        <f aca="false">G5001+G5014+G5027+G5040</f>
        <v>0</v>
      </c>
      <c r="H5078" s="25" t="n">
        <f aca="false">H5001+H5014+H5027+H5040</f>
        <v>571.6768</v>
      </c>
      <c r="I5078" s="25" t="n">
        <f aca="false">I5001+I5014+I5027+I5040</f>
        <v>504.4</v>
      </c>
      <c r="J5078" s="25" t="n">
        <f aca="false">J5001+J5014+J5027+J5040</f>
        <v>250</v>
      </c>
      <c r="K5078" s="25" t="n">
        <f aca="false">K5001+K5014+K5027+K5040</f>
        <v>0</v>
      </c>
    </row>
    <row r="5079" customFormat="false" ht="15" hidden="false" customHeight="false" outlineLevel="0" collapsed="false">
      <c r="A5079" s="5" t="s">
        <v>314</v>
      </c>
      <c r="G5079" s="20" t="n">
        <f aca="false">IF(OR(G5074&gt;0.001,G5078&gt;0.001),1,0)</f>
        <v>0</v>
      </c>
      <c r="H5079" s="20" t="n">
        <f aca="false">IF(OR(H5074&gt;0.001,H5078&gt;0.001),1,0)</f>
        <v>1</v>
      </c>
      <c r="I5079" s="20" t="n">
        <f aca="false">IF(OR(I5074&gt;0.001,I5078&gt;0.001),1,0)</f>
        <v>1</v>
      </c>
      <c r="J5079" s="20" t="n">
        <f aca="false">IF(OR(J5074&gt;0.001,J5078&gt;0.001),1,0)</f>
        <v>1</v>
      </c>
      <c r="K5079" s="20" t="n">
        <f aca="false">IF(OR(K5074&gt;0.001,K5078&gt;0.001),1,0)</f>
        <v>1</v>
      </c>
    </row>
    <row r="5080" customFormat="false" ht="15" hidden="false" customHeight="false" outlineLevel="0" collapsed="false">
      <c r="A5080" s="5" t="s">
        <v>315</v>
      </c>
      <c r="G5080" s="20" t="n">
        <f aca="false">IF(G5079=1,1,0)</f>
        <v>0</v>
      </c>
      <c r="H5080" s="20" t="n">
        <f aca="false">IF(AND(H5079=1,SUM($G$5079:G5079)=0),1,0)</f>
        <v>1</v>
      </c>
      <c r="I5080" s="20" t="n">
        <f aca="false">IF(AND(I5079=1,SUM($G$5079:H5079)=0),1,0)</f>
        <v>0</v>
      </c>
      <c r="J5080" s="20" t="n">
        <f aca="false">IF(AND(J5079=1,SUM($G$5079:I5079)=0),1,0)</f>
        <v>0</v>
      </c>
      <c r="K5080" s="20" t="n">
        <f aca="false">IF(AND(K5079=1,SUM($G$5079:J5079)=0),1,0)</f>
        <v>0</v>
      </c>
    </row>
    <row r="5081" customFormat="false" ht="15" hidden="false" customHeight="false" outlineLevel="0" collapsed="false">
      <c r="A5081" s="5" t="s">
        <v>316</v>
      </c>
      <c r="G5081" s="25" t="n">
        <f aca="false">(G5043-F5043)-(G5070+G4970-G5068-G5072-G5076)</f>
        <v>0</v>
      </c>
      <c r="H5081" s="25" t="n">
        <f aca="false">(H5043-G5043)-(H5070+H4970-H5068-H5072-H5076)</f>
        <v>1.82076576038526E-013</v>
      </c>
      <c r="I5081" s="25" t="n">
        <f aca="false">(I5043-H5043)-(I5070+I4970-I5068-I5072-I5076)</f>
        <v>-4.52970994047064E-014</v>
      </c>
      <c r="J5081" s="25" t="n">
        <f aca="false">(J5043-I5043)-(J5070+J4970-J5068-J5072-J5076)</f>
        <v>-4.52970994047064E-014</v>
      </c>
      <c r="K5081" s="25" t="n">
        <f aca="false">(K5043-J5043)-(K5070+K4970-K5068-K5072-K5076)</f>
        <v>-4.52970994047064E-014</v>
      </c>
    </row>
    <row r="5083" customFormat="false" ht="15" hidden="false" customHeight="false" outlineLevel="0" collapsed="false">
      <c r="A5083" s="23" t="s">
        <v>318</v>
      </c>
      <c r="B5083" s="24"/>
      <c r="C5083" s="24"/>
      <c r="D5083" s="24"/>
      <c r="E5083" s="24"/>
      <c r="F5083" s="24"/>
      <c r="G5083" s="24"/>
      <c r="H5083" s="24"/>
      <c r="I5083" s="24"/>
      <c r="J5083" s="24"/>
      <c r="K5083" s="24"/>
    </row>
    <row r="5084" customFormat="false" ht="15" hidden="false" customHeight="false" outlineLevel="0" collapsed="false">
      <c r="A5084" s="5" t="s">
        <v>319</v>
      </c>
      <c r="G5084" s="25" t="n">
        <f aca="false">G5043</f>
        <v>1336.4768</v>
      </c>
      <c r="H5084" s="25" t="n">
        <f aca="false">H5043</f>
        <v>1331.2768</v>
      </c>
      <c r="I5084" s="25" t="n">
        <f aca="false">I5043</f>
        <v>1326.0768</v>
      </c>
      <c r="J5084" s="25" t="n">
        <f aca="false">J5043</f>
        <v>1320.8768</v>
      </c>
      <c r="K5084" s="25" t="n">
        <f aca="false">K5043</f>
        <v>1315.6768</v>
      </c>
    </row>
    <row r="5085" customFormat="false" ht="15" hidden="false" customHeight="false" outlineLevel="0" collapsed="false">
      <c r="A5085" s="5" t="s">
        <v>320</v>
      </c>
      <c r="G5085" s="25" t="n">
        <f aca="false">Assumptions!$O$53*G5002+Assumptions!$O$54*G5015+Assumptions!$O$55*G5028+Assumptions!$O$56*G5041</f>
        <v>1036.4768</v>
      </c>
      <c r="H5085" s="25" t="n">
        <f aca="false">Assumptions!$O$53*H5002+Assumptions!$O$54*H5015+Assumptions!$O$55*H5028+Assumptions!$O$56*H5041</f>
        <v>1031.2768</v>
      </c>
      <c r="I5085" s="25" t="n">
        <f aca="false">Assumptions!$O$53*I5002+Assumptions!$O$54*I5015+Assumptions!$O$55*I5028+Assumptions!$O$56*I5041</f>
        <v>1026.0768</v>
      </c>
      <c r="J5085" s="25" t="n">
        <f aca="false">Assumptions!$O$53*J5002+Assumptions!$O$54*J5015+Assumptions!$O$55*J5028+Assumptions!$O$56*J5041</f>
        <v>1020.8768</v>
      </c>
      <c r="K5085" s="25" t="n">
        <f aca="false">Assumptions!$O$53*K5002+Assumptions!$O$54*K5015+Assumptions!$O$55*K5028+Assumptions!$O$56*K5041</f>
        <v>1015.6768</v>
      </c>
    </row>
    <row r="5086" customFormat="false" ht="15" hidden="false" customHeight="false" outlineLevel="0" collapsed="false">
      <c r="A5086" s="5" t="s">
        <v>321</v>
      </c>
      <c r="G5086" s="25" t="n">
        <f aca="false">G5084-G5077</f>
        <v>1336.4768</v>
      </c>
      <c r="H5086" s="25" t="n">
        <f aca="false">H5084-H5077</f>
        <v>1506.9955328</v>
      </c>
      <c r="I5086" s="25" t="n">
        <f aca="false">I5084-I5077</f>
        <v>1697.240653184</v>
      </c>
      <c r="J5086" s="25" t="n">
        <f aca="false">J5084-J5077</f>
        <v>1889.44243497216</v>
      </c>
      <c r="K5086" s="25" t="n">
        <f aca="false">K5084-K5077</f>
        <v>2080.50379219044</v>
      </c>
    </row>
    <row r="5087" customFormat="false" ht="15" hidden="false" customHeight="false" outlineLevel="0" collapsed="false">
      <c r="A5087" s="5" t="s">
        <v>322</v>
      </c>
      <c r="G5087" s="31" t="n">
        <f aca="false">IF(G4965&gt;0,G5084/G4965,0)</f>
        <v>0</v>
      </c>
      <c r="H5087" s="31" t="n">
        <f aca="false">IF(H4965&gt;0,H5084/H4965,0)</f>
        <v>0</v>
      </c>
      <c r="I5087" s="31" t="n">
        <f aca="false">IF(I4965&gt;0,I5084/I4965,0)</f>
        <v>0</v>
      </c>
      <c r="J5087" s="31" t="n">
        <f aca="false">IF(J4965&gt;0,J5084/J4965,0)</f>
        <v>0</v>
      </c>
      <c r="K5087" s="31" t="n">
        <f aca="false">IF(K4965&gt;0,K5084/K4965,0)</f>
        <v>0</v>
      </c>
    </row>
    <row r="5088" customFormat="false" ht="15" hidden="false" customHeight="false" outlineLevel="0" collapsed="false">
      <c r="A5088" s="5" t="s">
        <v>323</v>
      </c>
      <c r="G5088" s="31" t="n">
        <f aca="false">IF(G4965&gt;0,G5086/G4965,0)</f>
        <v>0</v>
      </c>
      <c r="H5088" s="31" t="n">
        <f aca="false">IF(H4965&gt;0,H5086/H4965,0)</f>
        <v>0</v>
      </c>
      <c r="I5088" s="31" t="n">
        <f aca="false">IF(I4965&gt;0,I5086/I4965,0)</f>
        <v>0</v>
      </c>
      <c r="J5088" s="31" t="n">
        <f aca="false">IF(J4965&gt;0,J5086/J4965,0)</f>
        <v>0</v>
      </c>
      <c r="K5088" s="31" t="n">
        <f aca="false">IF(K4965&gt;0,K5086/K4965,0)</f>
        <v>0</v>
      </c>
    </row>
    <row r="5089" customFormat="false" ht="15" hidden="false" customHeight="false" outlineLevel="0" collapsed="false">
      <c r="A5089" s="5" t="s">
        <v>324</v>
      </c>
      <c r="G5089" s="31" t="n">
        <f aca="false">IF(G4969&gt;0,G4965/G4969,0)</f>
        <v>-0.13127677806341</v>
      </c>
      <c r="H5089" s="31" t="n">
        <f aca="false">IF(H4969&gt;0,H4965/H4969,0)</f>
        <v>-0.108055903047837</v>
      </c>
      <c r="I5089" s="31" t="n">
        <f aca="false">IF(I4969&gt;0,I4965/I4969,0)</f>
        <v>-0.107151645477895</v>
      </c>
      <c r="J5089" s="31" t="n">
        <f aca="false">IF(J4969&gt;0,J4965/J4969,0)</f>
        <v>-0.106568017796612</v>
      </c>
      <c r="K5089" s="31" t="n">
        <f aca="false">IF(K4969&gt;0,K4965/K4969,0)</f>
        <v>-0.105989810997182</v>
      </c>
    </row>
    <row r="5090" customFormat="false" ht="15" hidden="false" customHeight="false" outlineLevel="0" collapsed="false">
      <c r="A5090" s="5" t="s">
        <v>325</v>
      </c>
      <c r="G5090" s="31" t="n">
        <f aca="false">IF(G4969&gt;0,G4968/G4969,0)</f>
        <v>-0.420085689802914</v>
      </c>
      <c r="H5090" s="31" t="n">
        <f aca="false">IF(H4969&gt;0,H4968/H4969,0)</f>
        <v>-0.34577888975308</v>
      </c>
      <c r="I5090" s="31" t="n">
        <f aca="false">IF(I4969&gt;0,I4968/I4969,0)</f>
        <v>-0.342885265529263</v>
      </c>
      <c r="J5090" s="31" t="n">
        <f aca="false">IF(J4969&gt;0,J4968/J4969,0)</f>
        <v>-0.341017656949157</v>
      </c>
      <c r="K5090" s="31" t="n">
        <f aca="false">IF(K4969&gt;0,K4968/K4969,0)</f>
        <v>-0.339167395190981</v>
      </c>
    </row>
    <row r="5091" customFormat="false" ht="15" hidden="false" customHeight="false" outlineLevel="0" collapsed="false">
      <c r="A5091" s="5" t="s">
        <v>182</v>
      </c>
      <c r="G5091" s="21" t="n">
        <f aca="false">IF(G5084&gt;0,G4978/G5084,0)</f>
        <v>-0.098375669521536</v>
      </c>
      <c r="H5091" s="21" t="n">
        <f aca="false">IF(H5084&gt;0,H4978/H5084,0)</f>
        <v>-0.128086610387862</v>
      </c>
      <c r="I5091" s="21" t="n">
        <f aca="false">IF(I5084&gt;0,I4978/I5084,0)</f>
        <v>-0.143464632202298</v>
      </c>
      <c r="J5091" s="21" t="n">
        <f aca="false">IF(J5084&gt;0,J4978/J5084,0)</f>
        <v>-0.145510756028238</v>
      </c>
      <c r="K5091" s="21" t="n">
        <f aca="false">IF(K5084&gt;0,K4978/K5084,0)</f>
        <v>-0.145219066885027</v>
      </c>
    </row>
    <row r="5092" customFormat="false" ht="15" hidden="false" customHeight="false" outlineLevel="0" collapsed="false">
      <c r="A5092" s="5" t="s">
        <v>326</v>
      </c>
      <c r="G5092" s="31" t="n">
        <f aca="false">IF(G4969+G5068&gt;0,(G4965-G4976-G4973)/(G4969+G5068),0)</f>
        <v>-0.329099421646929</v>
      </c>
      <c r="H5092" s="31" t="n">
        <f aca="false">IF(H4969+H5068&gt;0,(H4965-H4976-H4973)/(H4969+H5068),0)</f>
        <v>-0.271410384379154</v>
      </c>
      <c r="I5092" s="31" t="n">
        <f aca="false">IF(I4969+I5068&gt;0,(I4965-I4976-I4973)/(I4969+I5068),0)</f>
        <v>-0.268973858079053</v>
      </c>
      <c r="J5092" s="31" t="n">
        <f aca="false">IF(J4969+J5068&gt;0,(J4965-J4976-J4973)/(J4969+J5068),0)</f>
        <v>-0.267466346740644</v>
      </c>
      <c r="K5092" s="31" t="n">
        <f aca="false">IF(K4969+K5068&gt;0,(K4965-K4976-K4973)/(K4969+K5068),0)</f>
        <v>-0.265972527132396</v>
      </c>
    </row>
    <row r="5093" customFormat="false" ht="15" hidden="false" customHeight="false" outlineLevel="0" collapsed="false">
      <c r="A5093" s="5" t="s">
        <v>327</v>
      </c>
      <c r="G5093" s="25" t="n">
        <f aca="false">MAX(0,G5077)+Assumptions!$P$53*MAX(0,Assumptions!$D$53-G5002)+Assumptions!$P$54*MAX(0,Assumptions!$D$54-G5015)+Assumptions!$P$55*MAX(0,Assumptions!$D$55-G5028)+Assumptions!$P$56*MAX(0,Assumptions!$D$56-G5041)</f>
        <v>28.3232</v>
      </c>
      <c r="H5093" s="25" t="n">
        <f aca="false">MAX(0,H5077)+Assumptions!$P$53*MAX(0,Assumptions!$D$53-H5002)+Assumptions!$P$54*MAX(0,Assumptions!$D$54-H5015)+Assumptions!$P$55*MAX(0,Assumptions!$D$55-H5028)+Assumptions!$P$56*MAX(0,Assumptions!$D$56-H5041)</f>
        <v>28.3232</v>
      </c>
      <c r="I5093" s="25" t="n">
        <f aca="false">MAX(0,I5077)+Assumptions!$P$53*MAX(0,Assumptions!$D$53-I5002)+Assumptions!$P$54*MAX(0,Assumptions!$D$54-I5015)+Assumptions!$P$55*MAX(0,Assumptions!$D$55-I5028)+Assumptions!$P$56*MAX(0,Assumptions!$D$56-I5041)</f>
        <v>28.3232</v>
      </c>
      <c r="J5093" s="25" t="n">
        <f aca="false">MAX(0,J5077)+Assumptions!$P$53*MAX(0,Assumptions!$D$53-J5002)+Assumptions!$P$54*MAX(0,Assumptions!$D$54-J5015)+Assumptions!$P$55*MAX(0,Assumptions!$D$55-J5028)+Assumptions!$P$56*MAX(0,Assumptions!$D$56-J5041)</f>
        <v>28.3232</v>
      </c>
      <c r="K5093" s="25" t="n">
        <f aca="false">MAX(0,K5077)+Assumptions!$P$53*MAX(0,Assumptions!$D$53-K5002)+Assumptions!$P$54*MAX(0,Assumptions!$D$54-K5015)+Assumptions!$P$55*MAX(0,Assumptions!$D$55-K5028)+Assumptions!$P$56*MAX(0,Assumptions!$D$56-K5041)</f>
        <v>28.3232</v>
      </c>
    </row>
    <row r="5094" customFormat="false" ht="15" hidden="false" customHeight="false" outlineLevel="0" collapsed="false">
      <c r="A5094" s="5" t="s">
        <v>328</v>
      </c>
      <c r="G5094" s="21" t="n">
        <f aca="false">IF(G5084&gt;0,G5084/(G5084+MAX(0,G4965*CHOOSE($C$4948,Assumptions!$C$76,Assumptions!$C$95,Assumptions!$C$114)-G5086)),0)</f>
        <v>1</v>
      </c>
      <c r="H5094" s="21" t="n">
        <f aca="false">IF(H5084&gt;0,H5084/(H5084+MAX(0,H4965*CHOOSE($C$4948,Assumptions!$C$76,Assumptions!$C$95,Assumptions!$C$114)-H5086)),0)</f>
        <v>1</v>
      </c>
      <c r="I5094" s="21" t="n">
        <f aca="false">IF(I5084&gt;0,I5084/(I5084+MAX(0,I4965*CHOOSE($C$4948,Assumptions!$C$76,Assumptions!$C$95,Assumptions!$C$114)-I5086)),0)</f>
        <v>1</v>
      </c>
      <c r="J5094" s="21" t="n">
        <f aca="false">IF(J5084&gt;0,J5084/(J5084+MAX(0,J4965*CHOOSE($C$4948,Assumptions!$C$76,Assumptions!$C$95,Assumptions!$C$114)-J5086)),0)</f>
        <v>1</v>
      </c>
      <c r="K5094" s="21" t="n">
        <f aca="false">IF(K5084&gt;0,K5084/(K5084+MAX(0,K4965*CHOOSE($C$4948,Assumptions!$C$76,Assumptions!$C$95,Assumptions!$C$114)-K5086)),0)</f>
        <v>1</v>
      </c>
    </row>
    <row r="5095" customFormat="false" ht="15" hidden="false" customHeight="false" outlineLevel="0" collapsed="false">
      <c r="A5095" s="5" t="s">
        <v>329</v>
      </c>
      <c r="G5095" s="21" t="n">
        <f aca="false">IF(G5084&gt;0,MAX(0,G5077)/G5084,0)</f>
        <v>0</v>
      </c>
      <c r="H5095" s="21" t="n">
        <f aca="false">IF(H5084&gt;0,MAX(0,H5077)/H5084,0)</f>
        <v>0</v>
      </c>
      <c r="I5095" s="21" t="n">
        <f aca="false">IF(I5084&gt;0,MAX(0,I5077)/I5084,0)</f>
        <v>0</v>
      </c>
      <c r="J5095" s="21" t="n">
        <f aca="false">IF(J5084&gt;0,MAX(0,J5077)/J5084,0)</f>
        <v>0</v>
      </c>
      <c r="K5095" s="21" t="n">
        <f aca="false">IF(K5084&gt;0,MAX(0,K5077)/K5084,0)</f>
        <v>0</v>
      </c>
    </row>
    <row r="5096" customFormat="false" ht="15" hidden="false" customHeight="false" outlineLevel="0" collapsed="false">
      <c r="A5096" s="5" t="s">
        <v>330</v>
      </c>
      <c r="G5096" s="25" t="n">
        <f aca="false">Assumptions!$C$27*(1-CHOOSE($C$4948,Assumptions!$C$79,Assumptions!$C$98,Assumptions!$C$117))</f>
        <v>676</v>
      </c>
      <c r="H5096" s="25" t="n">
        <f aca="false">Assumptions!$C$27*(1-CHOOSE($C$4948,Assumptions!$C$79,Assumptions!$C$98,Assumptions!$C$117))</f>
        <v>676</v>
      </c>
      <c r="I5096" s="25" t="n">
        <f aca="false">Assumptions!$C$27*(1-CHOOSE($C$4948,Assumptions!$C$79,Assumptions!$C$98,Assumptions!$C$117))</f>
        <v>676</v>
      </c>
      <c r="J5096" s="25" t="n">
        <f aca="false">Assumptions!$C$27*(1-CHOOSE($C$4948,Assumptions!$C$79,Assumptions!$C$98,Assumptions!$C$117))</f>
        <v>676</v>
      </c>
      <c r="K5096" s="25" t="n">
        <f aca="false">Assumptions!$C$27*(1-CHOOSE($C$4948,Assumptions!$C$79,Assumptions!$C$98,Assumptions!$C$117))</f>
        <v>676</v>
      </c>
    </row>
    <row r="5097" customFormat="false" ht="15" hidden="false" customHeight="false" outlineLevel="0" collapsed="false">
      <c r="A5097" s="23" t="s">
        <v>331</v>
      </c>
      <c r="B5097" s="24"/>
      <c r="C5097" s="24"/>
      <c r="D5097" s="24"/>
      <c r="E5097" s="24"/>
      <c r="F5097" s="24"/>
      <c r="G5097" s="24"/>
      <c r="H5097" s="24"/>
      <c r="I5097" s="24"/>
      <c r="J5097" s="24"/>
      <c r="K5097" s="24"/>
    </row>
    <row r="5098" customFormat="false" ht="15" hidden="false" customHeight="false" outlineLevel="0" collapsed="false">
      <c r="A5098" s="23" t="s">
        <v>332</v>
      </c>
      <c r="B5098" s="24"/>
      <c r="C5098" s="24"/>
      <c r="D5098" s="24"/>
      <c r="E5098" s="24"/>
      <c r="F5098" s="24"/>
      <c r="G5098" s="24"/>
      <c r="H5098" s="24"/>
      <c r="I5098" s="24"/>
      <c r="J5098" s="24"/>
      <c r="K5098" s="24"/>
    </row>
    <row r="5099" customFormat="false" ht="15" hidden="false" customHeight="false" outlineLevel="0" collapsed="false">
      <c r="A5099" s="5" t="s">
        <v>333</v>
      </c>
      <c r="G5099" s="31" t="n">
        <f aca="false">IF(G4965&gt;0,G5086/G4965,99)</f>
        <v>99</v>
      </c>
      <c r="H5099" s="31" t="n">
        <f aca="false">IF(H4965&gt;0,H5086/H4965,99)</f>
        <v>99</v>
      </c>
      <c r="I5099" s="31" t="n">
        <f aca="false">IF(I4965&gt;0,I5086/I4965,99)</f>
        <v>99</v>
      </c>
      <c r="J5099" s="31" t="n">
        <f aca="false">IF(J4965&gt;0,J5086/J4965,99)</f>
        <v>99</v>
      </c>
      <c r="K5099" s="31" t="n">
        <f aca="false">IF(K4965&gt;0,K5086/K4965,99)</f>
        <v>99</v>
      </c>
    </row>
    <row r="5100" customFormat="false" ht="15" hidden="false" customHeight="false" outlineLevel="0" collapsed="false">
      <c r="A5100" s="5" t="s">
        <v>334</v>
      </c>
      <c r="G5100" s="32" t="n">
        <f aca="false">Assumptions!$G$61</f>
        <v>8.5</v>
      </c>
      <c r="H5100" s="32" t="n">
        <f aca="false">Assumptions!$H$61</f>
        <v>8.5</v>
      </c>
      <c r="I5100" s="32" t="n">
        <f aca="false">Assumptions!$I$61</f>
        <v>8.5</v>
      </c>
      <c r="J5100" s="32" t="n">
        <f aca="false">Assumptions!$J$61</f>
        <v>8.5</v>
      </c>
      <c r="K5100" s="32" t="n">
        <f aca="false">Assumptions!$K$61</f>
        <v>8.5</v>
      </c>
    </row>
    <row r="5101" customFormat="false" ht="15" hidden="false" customHeight="false" outlineLevel="0" collapsed="false">
      <c r="A5101" s="5" t="s">
        <v>335</v>
      </c>
      <c r="G5101" s="31" t="n">
        <f aca="false">G5100-G5099</f>
        <v>-90.5</v>
      </c>
      <c r="H5101" s="31" t="n">
        <f aca="false">H5100-H5099</f>
        <v>-90.5</v>
      </c>
      <c r="I5101" s="31" t="n">
        <f aca="false">I5100-I5099</f>
        <v>-90.5</v>
      </c>
      <c r="J5101" s="31" t="n">
        <f aca="false">J5100-J5099</f>
        <v>-90.5</v>
      </c>
      <c r="K5101" s="31" t="n">
        <f aca="false">K5100-K5099</f>
        <v>-90.5</v>
      </c>
    </row>
    <row r="5102" customFormat="false" ht="15" hidden="false" customHeight="false" outlineLevel="0" collapsed="false">
      <c r="A5102" s="5" t="s">
        <v>336</v>
      </c>
      <c r="G5102" s="21" t="n">
        <f aca="false">IF(G5100=0,0,G5101/ABS(G5100))</f>
        <v>-10.6470588235294</v>
      </c>
      <c r="H5102" s="21" t="n">
        <f aca="false">IF(H5100=0,0,H5101/ABS(H5100))</f>
        <v>-10.6470588235294</v>
      </c>
      <c r="I5102" s="21" t="n">
        <f aca="false">IF(I5100=0,0,I5101/ABS(I5100))</f>
        <v>-10.6470588235294</v>
      </c>
      <c r="J5102" s="21" t="n">
        <f aca="false">IF(J5100=0,0,J5101/ABS(J5100))</f>
        <v>-10.6470588235294</v>
      </c>
      <c r="K5102" s="21" t="n">
        <f aca="false">IF(K5100=0,0,K5101/ABS(K5100))</f>
        <v>-10.6470588235294</v>
      </c>
    </row>
    <row r="5103" customFormat="false" ht="15" hidden="false" customHeight="false" outlineLevel="0" collapsed="false">
      <c r="A5103" s="5" t="s">
        <v>337</v>
      </c>
      <c r="G5103" s="20" t="n">
        <f aca="false">IF(G5101&lt;0,1,0)</f>
        <v>1</v>
      </c>
      <c r="H5103" s="20" t="n">
        <f aca="false">IF(H5101&lt;0,1,0)</f>
        <v>1</v>
      </c>
      <c r="I5103" s="20" t="n">
        <f aca="false">IF(I5101&lt;0,1,0)</f>
        <v>1</v>
      </c>
      <c r="J5103" s="20" t="n">
        <f aca="false">IF(J5101&lt;0,1,0)</f>
        <v>1</v>
      </c>
      <c r="K5103" s="20" t="n">
        <f aca="false">IF(K5101&lt;0,1,0)</f>
        <v>1</v>
      </c>
    </row>
    <row r="5104" customFormat="false" ht="15" hidden="false" customHeight="false" outlineLevel="0" collapsed="false">
      <c r="A5104" s="5" t="s">
        <v>338</v>
      </c>
      <c r="C5104" s="20" t="n">
        <f aca="false">IFERROR(INDEX($G$4955:$K$4955,MATCH(1,$G$5103:$K$5103,0)),0)</f>
        <v>2026</v>
      </c>
    </row>
    <row r="5105" customFormat="false" ht="15" hidden="false" customHeight="false" outlineLevel="0" collapsed="false">
      <c r="A5105" s="5" t="s">
        <v>339</v>
      </c>
      <c r="C5105" s="21" t="n">
        <f aca="false">MIN($G$5102:$K$5102)</f>
        <v>-10.6470588235294</v>
      </c>
    </row>
    <row r="5106" customFormat="false" ht="15" hidden="false" customHeight="false" outlineLevel="0" collapsed="false">
      <c r="A5106" s="5" t="s">
        <v>340</v>
      </c>
      <c r="G5106" s="20" t="n">
        <f aca="false">G5103</f>
        <v>1</v>
      </c>
      <c r="H5106" s="20" t="n">
        <f aca="false">H5103</f>
        <v>1</v>
      </c>
      <c r="I5106" s="20" t="n">
        <f aca="false">I5103</f>
        <v>1</v>
      </c>
      <c r="J5106" s="20" t="n">
        <f aca="false">J5103</f>
        <v>1</v>
      </c>
      <c r="K5106" s="20" t="n">
        <f aca="false">K5103</f>
        <v>1</v>
      </c>
    </row>
    <row r="5107" customFormat="false" ht="15" hidden="false" customHeight="false" outlineLevel="0" collapsed="false">
      <c r="A5107" s="5" t="s">
        <v>341</v>
      </c>
      <c r="C5107" s="20" t="n">
        <f aca="false">SUM($G$5106:$K$5106)</f>
        <v>5</v>
      </c>
    </row>
    <row r="5108" customFormat="false" ht="15" hidden="false" customHeight="false" outlineLevel="0" collapsed="false">
      <c r="A5108" s="5" t="s">
        <v>342</v>
      </c>
      <c r="C5108" s="21" t="n">
        <f aca="false">MIN(C5105)</f>
        <v>-10.6470588235294</v>
      </c>
    </row>
    <row r="5110" customFormat="false" ht="15" hidden="false" customHeight="false" outlineLevel="0" collapsed="false">
      <c r="A5110" s="23" t="s">
        <v>444</v>
      </c>
      <c r="B5110" s="24"/>
      <c r="C5110" s="24"/>
      <c r="D5110" s="24"/>
      <c r="E5110" s="24"/>
      <c r="F5110" s="24"/>
      <c r="G5110" s="24"/>
      <c r="H5110" s="24"/>
      <c r="I5110" s="24"/>
      <c r="J5110" s="24"/>
      <c r="K5110" s="24"/>
    </row>
    <row r="5111" customFormat="false" ht="15" hidden="false" customHeight="false" outlineLevel="0" collapsed="false">
      <c r="A5111" s="5" t="s">
        <v>445</v>
      </c>
      <c r="G5111" s="20" t="n">
        <f aca="false">IF($C$5112=1,G5080,IF(G4965=MIN($G$4965:$K$4965),1,0))</f>
        <v>0</v>
      </c>
      <c r="H5111" s="20" t="n">
        <f aca="false">IF($C$5112=1,H5080,IF(AND(H4965=MIN($G$4965:$K$4965),SUM($G$5111:G5111)=0),1,0))</f>
        <v>1</v>
      </c>
      <c r="I5111" s="20" t="n">
        <f aca="false">IF($C$5112=1,I5080,IF(AND(I4965=MIN($G$4965:$K$4965),SUM($G$5111:H5111)=0),1,0))</f>
        <v>0</v>
      </c>
      <c r="J5111" s="20" t="n">
        <f aca="false">IF($C$5112=1,J5080,IF(AND(J4965=MIN($G$4965:$K$4965),SUM($G$5111:I5111)=0),1,0))</f>
        <v>0</v>
      </c>
      <c r="K5111" s="20" t="n">
        <f aca="false">IF($C$5112=1,K5080,IF(AND(K4965=MIN($G$4965:$K$4965),SUM($G$5111:J5111)=0),1,0))</f>
        <v>0</v>
      </c>
    </row>
    <row r="5112" customFormat="false" ht="15" hidden="false" customHeight="false" outlineLevel="0" collapsed="false">
      <c r="A5112" s="5" t="s">
        <v>446</v>
      </c>
      <c r="C5112" s="20" t="n">
        <f aca="false">IF(SUM($G$5080:$K$5080)&gt;0,1,0)</f>
        <v>1</v>
      </c>
    </row>
    <row r="5113" customFormat="false" ht="15" hidden="false" customHeight="false" outlineLevel="0" collapsed="false">
      <c r="A5113" s="5" t="s">
        <v>447</v>
      </c>
      <c r="C5113" s="20" t="n">
        <f aca="false">SUMPRODUCT($G$5111:$K$5111,$G$4955:$K$4955)</f>
        <v>2027</v>
      </c>
    </row>
    <row r="5114" customFormat="false" ht="15" hidden="false" customHeight="false" outlineLevel="0" collapsed="false">
      <c r="A5114" s="5" t="s">
        <v>448</v>
      </c>
      <c r="C5114" s="25" t="n">
        <f aca="false">SUMPRODUCT($G$5111:$K$5111,$G$4965:$K$4965)</f>
        <v>-15.99408</v>
      </c>
    </row>
    <row r="5115" customFormat="false" ht="15" hidden="false" customHeight="false" outlineLevel="0" collapsed="false">
      <c r="A5115" s="5" t="s">
        <v>449</v>
      </c>
      <c r="C5115" s="25" t="n">
        <f aca="false">MAX(0,SUMPRODUCT($G$5111:$K$5111,$G$5077:$K$5077))</f>
        <v>0</v>
      </c>
    </row>
    <row r="5116" customFormat="false" ht="15" hidden="false" customHeight="false" outlineLevel="0" collapsed="false">
      <c r="A5116" s="5" t="s">
        <v>450</v>
      </c>
      <c r="C5116" s="25" t="n">
        <f aca="false">(CHOOSE($C$4948,Assumptions!$C$78,Assumptions!$C$97,Assumptions!$C$116)+$C$4952)*C5114</f>
        <v>-63.97632</v>
      </c>
    </row>
    <row r="5117" customFormat="false" ht="15" hidden="false" customHeight="false" outlineLevel="0" collapsed="false">
      <c r="A5117" s="5" t="s">
        <v>451</v>
      </c>
      <c r="C5117" s="25" t="n">
        <f aca="false">Assumptions!$C$27*(1-CHOOSE($C$4948,Assumptions!$C$79,Assumptions!$C$98,Assumptions!$C$117))*CHOOSE($C$4948,Assumptions!$C$80,Assumptions!$C$99,Assumptions!$C$118)</f>
        <v>405.6</v>
      </c>
    </row>
    <row r="5118" customFormat="false" ht="15" hidden="false" customHeight="false" outlineLevel="0" collapsed="false">
      <c r="A5118" s="5" t="s">
        <v>452</v>
      </c>
      <c r="C5118" s="25" t="n">
        <f aca="false">MAX(C5116,C5117)+C5115</f>
        <v>405.6</v>
      </c>
    </row>
    <row r="5119" customFormat="false" ht="15" hidden="false" customHeight="false" outlineLevel="0" collapsed="false">
      <c r="A5119" s="2" t="s">
        <v>453</v>
      </c>
      <c r="C5119" s="16" t="n">
        <f aca="false">IF(ISNUMBER(Assumptions!$C$14),Assumptions!$C$14,C5118)</f>
        <v>405.6</v>
      </c>
    </row>
    <row r="5120" customFormat="false" ht="15" hidden="false" customHeight="false" outlineLevel="0" collapsed="false">
      <c r="A5120" s="5" t="s">
        <v>454</v>
      </c>
      <c r="C5120" s="25" t="n">
        <f aca="false">C5119*Assumptions!$C$15</f>
        <v>16.224</v>
      </c>
    </row>
    <row r="5121" customFormat="false" ht="15" hidden="false" customHeight="false" outlineLevel="0" collapsed="false">
      <c r="A5121" s="2" t="s">
        <v>455</v>
      </c>
      <c r="C5121" s="16" t="n">
        <f aca="false">C5119-C5120</f>
        <v>389.376</v>
      </c>
    </row>
    <row r="5122" customFormat="false" ht="15" hidden="false" customHeight="false" outlineLevel="0" collapsed="false">
      <c r="A5122" s="23" t="s">
        <v>456</v>
      </c>
      <c r="B5122" s="24"/>
      <c r="C5122" s="24"/>
      <c r="D5122" s="24"/>
      <c r="E5122" s="24"/>
      <c r="F5122" s="24"/>
      <c r="G5122" s="24"/>
      <c r="H5122" s="24"/>
      <c r="I5122" s="24"/>
      <c r="J5122" s="24"/>
      <c r="K5122" s="24"/>
    </row>
    <row r="5123" customFormat="false" ht="15" hidden="false" customHeight="false" outlineLevel="0" collapsed="false">
      <c r="A5123" s="5" t="s">
        <v>457</v>
      </c>
      <c r="C5123" s="25" t="n">
        <f aca="false">SUMPRODUCT($G$5111:$K$5111,$G$5002:$K$5002)*(1+SUMPRODUCT($G$5111:$K$5111,$G$4994:$K$4994)*Assumptions!$C$16/12)</f>
        <v>279.3856292</v>
      </c>
    </row>
    <row r="5124" customFormat="false" ht="15" hidden="false" customHeight="false" outlineLevel="0" collapsed="false">
      <c r="A5124" s="5" t="s">
        <v>458</v>
      </c>
      <c r="C5124" s="25" t="n">
        <f aca="false">SUMPRODUCT($G$5111:$K$5111,$G$5015:$K$5015)*(1+SUMPRODUCT($G$5111:$K$5111,$G$5007:$K$5007)*Assumptions!$C$16/12)</f>
        <v>526.2257</v>
      </c>
    </row>
    <row r="5125" customFormat="false" ht="15" hidden="false" customHeight="false" outlineLevel="0" collapsed="false">
      <c r="A5125" s="5" t="s">
        <v>459</v>
      </c>
      <c r="C5125" s="25" t="n">
        <f aca="false">SUMPRODUCT($G$5111:$K$5111,$G$5028:$K$5028)*(1+SUMPRODUCT($G$5111:$K$5111,$G$5020:$K$5020)*Assumptions!$C$16/12)</f>
        <v>256.875</v>
      </c>
    </row>
    <row r="5126" customFormat="false" ht="15" hidden="false" customHeight="false" outlineLevel="0" collapsed="false">
      <c r="A5126" s="5" t="s">
        <v>460</v>
      </c>
      <c r="C5126" s="25" t="n">
        <f aca="false">SUMPRODUCT($G$5111:$K$5111,$G$5041:$K$5041)*(1+SUMPRODUCT($G$5111:$K$5111,$G$5033:$K$5033)*Assumptions!$C$16/12)</f>
        <v>305.625</v>
      </c>
    </row>
    <row r="5127" customFormat="false" ht="15" hidden="false" customHeight="false" outlineLevel="0" collapsed="false">
      <c r="A5127" s="23" t="s">
        <v>461</v>
      </c>
      <c r="B5127" s="24"/>
      <c r="C5127" s="24"/>
      <c r="D5127" s="24"/>
      <c r="E5127" s="24"/>
      <c r="F5127" s="24"/>
      <c r="G5127" s="24"/>
      <c r="H5127" s="24"/>
      <c r="I5127" s="24"/>
      <c r="J5127" s="24"/>
      <c r="K5127" s="24"/>
    </row>
    <row r="5128" customFormat="false" ht="15" hidden="false" customHeight="false" outlineLevel="0" collapsed="false">
      <c r="A5128" s="5" t="s">
        <v>457</v>
      </c>
      <c r="C5128" s="26" t="n">
        <f aca="false">Assumptions!$M$53</f>
        <v>1</v>
      </c>
    </row>
    <row r="5129" customFormat="false" ht="15" hidden="false" customHeight="false" outlineLevel="0" collapsed="false">
      <c r="A5129" s="5" t="s">
        <v>458</v>
      </c>
      <c r="C5129" s="26" t="n">
        <f aca="false">Assumptions!$M$54</f>
        <v>2</v>
      </c>
    </row>
    <row r="5130" customFormat="false" ht="15" hidden="false" customHeight="false" outlineLevel="0" collapsed="false">
      <c r="A5130" s="5" t="s">
        <v>459</v>
      </c>
      <c r="C5130" s="26" t="n">
        <f aca="false">Assumptions!$M$55</f>
        <v>3</v>
      </c>
    </row>
    <row r="5131" customFormat="false" ht="15" hidden="false" customHeight="false" outlineLevel="0" collapsed="false">
      <c r="A5131" s="5" t="s">
        <v>460</v>
      </c>
      <c r="C5131" s="26" t="n">
        <f aca="false">Assumptions!$M$56</f>
        <v>4</v>
      </c>
    </row>
    <row r="5132" customFormat="false" ht="15" hidden="false" customHeight="false" outlineLevel="0" collapsed="false">
      <c r="A5132" s="23" t="s">
        <v>462</v>
      </c>
      <c r="B5132" s="24"/>
      <c r="C5132" s="24"/>
      <c r="D5132" s="24"/>
      <c r="E5132" s="24"/>
      <c r="F5132" s="24"/>
      <c r="G5132" s="24"/>
      <c r="H5132" s="24"/>
      <c r="I5132" s="24"/>
      <c r="J5132" s="24"/>
      <c r="K5132" s="24"/>
    </row>
    <row r="5133" customFormat="false" ht="15" hidden="false" customHeight="false" outlineLevel="0" collapsed="false">
      <c r="A5133" s="5" t="s">
        <v>457</v>
      </c>
      <c r="C5133" s="34" t="n">
        <f aca="false">Assumptions!$Q$53</f>
        <v>0</v>
      </c>
    </row>
    <row r="5134" customFormat="false" ht="15" hidden="false" customHeight="false" outlineLevel="0" collapsed="false">
      <c r="A5134" s="5" t="s">
        <v>458</v>
      </c>
      <c r="C5134" s="34" t="n">
        <f aca="false">Assumptions!$Q$54</f>
        <v>0</v>
      </c>
    </row>
    <row r="5135" customFormat="false" ht="15" hidden="false" customHeight="false" outlineLevel="0" collapsed="false">
      <c r="A5135" s="5" t="s">
        <v>459</v>
      </c>
      <c r="C5135" s="34" t="n">
        <f aca="false">Assumptions!$Q$55</f>
        <v>0</v>
      </c>
    </row>
    <row r="5136" customFormat="false" ht="15" hidden="false" customHeight="false" outlineLevel="0" collapsed="false">
      <c r="A5136" s="5" t="s">
        <v>460</v>
      </c>
      <c r="C5136" s="34" t="n">
        <f aca="false">Assumptions!$Q$56</f>
        <v>0</v>
      </c>
    </row>
    <row r="5137" customFormat="false" ht="15" hidden="false" customHeight="false" outlineLevel="0" collapsed="false">
      <c r="A5137" s="23" t="s">
        <v>463</v>
      </c>
      <c r="B5137" s="24"/>
      <c r="C5137" s="24"/>
      <c r="D5137" s="24"/>
      <c r="E5137" s="24"/>
      <c r="F5137" s="24"/>
      <c r="G5137" s="24"/>
      <c r="H5137" s="24"/>
      <c r="I5137" s="24"/>
      <c r="J5137" s="24"/>
      <c r="K5137" s="24"/>
    </row>
    <row r="5138" customFormat="false" ht="15" hidden="false" customHeight="false" outlineLevel="0" collapsed="false">
      <c r="A5138" s="5" t="s">
        <v>457</v>
      </c>
      <c r="C5138" s="25" t="n">
        <f aca="false">IF(C5133&gt;0,MIN(C5123,C5133*$C$5121),0)</f>
        <v>0</v>
      </c>
    </row>
    <row r="5139" customFormat="false" ht="15" hidden="false" customHeight="false" outlineLevel="0" collapsed="false">
      <c r="A5139" s="5" t="s">
        <v>458</v>
      </c>
      <c r="C5139" s="25" t="n">
        <f aca="false">IF(C5134&gt;0,MIN(C5124,C5134*$C$5121),0)</f>
        <v>0</v>
      </c>
    </row>
    <row r="5140" customFormat="false" ht="15" hidden="false" customHeight="false" outlineLevel="0" collapsed="false">
      <c r="A5140" s="5" t="s">
        <v>459</v>
      </c>
      <c r="C5140" s="25" t="n">
        <f aca="false">IF(C5135&gt;0,MIN(C5125,C5135*$C$5121),0)</f>
        <v>0</v>
      </c>
    </row>
    <row r="5141" customFormat="false" ht="15" hidden="false" customHeight="false" outlineLevel="0" collapsed="false">
      <c r="A5141" s="5" t="s">
        <v>460</v>
      </c>
      <c r="C5141" s="25" t="n">
        <f aca="false">IF(C5136&gt;0,MIN(C5126,C5136*$C$5121),0)</f>
        <v>0</v>
      </c>
    </row>
    <row r="5142" customFormat="false" ht="15" hidden="false" customHeight="false" outlineLevel="0" collapsed="false">
      <c r="A5142" s="23" t="s">
        <v>464</v>
      </c>
      <c r="B5142" s="24"/>
      <c r="C5142" s="24"/>
      <c r="D5142" s="24"/>
      <c r="E5142" s="24"/>
      <c r="F5142" s="24"/>
      <c r="G5142" s="24"/>
      <c r="H5142" s="24"/>
      <c r="I5142" s="24"/>
      <c r="J5142" s="24"/>
      <c r="K5142" s="24"/>
    </row>
    <row r="5143" customFormat="false" ht="15" hidden="false" customHeight="false" outlineLevel="0" collapsed="false">
      <c r="A5143" s="5" t="s">
        <v>457</v>
      </c>
      <c r="C5143" s="25" t="n">
        <f aca="false">IF(C5133&gt;0,C5123-C5138,0)</f>
        <v>0</v>
      </c>
      <c r="G5143" s="20" t="n">
        <f aca="false">IF(AND(G4992=1,G4989=1),1,0)</f>
        <v>0</v>
      </c>
      <c r="H5143" s="20" t="n">
        <f aca="false">IF(G5143=1,1,IF(AND(H4992=1,H4989=1),1,0))</f>
        <v>0</v>
      </c>
      <c r="I5143" s="20" t="n">
        <f aca="false">IF(H5143=1,1,IF(AND(I4992=1,I4989=1),1,0))</f>
        <v>0</v>
      </c>
      <c r="J5143" s="20" t="n">
        <f aca="false">IF(I5143=1,1,IF(AND(J4992=1,J4989=1),1,0))</f>
        <v>0</v>
      </c>
      <c r="K5143" s="20" t="n">
        <f aca="false">IF(J5143=1,1,IF(AND(K4992=1,K4989=1),1,0))</f>
        <v>0</v>
      </c>
    </row>
    <row r="5144" customFormat="false" ht="15" hidden="false" customHeight="false" outlineLevel="0" collapsed="false">
      <c r="A5144" s="5" t="s">
        <v>458</v>
      </c>
      <c r="C5144" s="25" t="n">
        <f aca="false">IF(C5134&gt;0,C5124-C5139,0)</f>
        <v>0</v>
      </c>
      <c r="G5144" s="20" t="n">
        <f aca="false">IF(AND(G5005=1,G4989=1),1,0)</f>
        <v>0</v>
      </c>
      <c r="H5144" s="20" t="n">
        <f aca="false">IF(G5144=1,1,IF(AND(H5005=1,H4989=1),1,0))</f>
        <v>0</v>
      </c>
      <c r="I5144" s="20" t="n">
        <f aca="false">IF(H5144=1,1,IF(AND(I5005=1,I4989=1),1,0))</f>
        <v>0</v>
      </c>
      <c r="J5144" s="20" t="n">
        <f aca="false">IF(I5144=1,1,IF(AND(J5005=1,J4989=1),1,0))</f>
        <v>0</v>
      </c>
      <c r="K5144" s="20" t="n">
        <f aca="false">IF(J5144=1,1,IF(AND(K5005=1,K4989=1),1,0))</f>
        <v>0</v>
      </c>
    </row>
    <row r="5145" customFormat="false" ht="15" hidden="false" customHeight="false" outlineLevel="0" collapsed="false">
      <c r="A5145" s="5" t="s">
        <v>459</v>
      </c>
      <c r="C5145" s="25" t="n">
        <f aca="false">IF(C5135&gt;0,C5125-C5140,0)</f>
        <v>0</v>
      </c>
      <c r="G5145" s="20" t="n">
        <f aca="false">IF(AND(G5018=1,G4989=1),1,0)</f>
        <v>0</v>
      </c>
      <c r="H5145" s="20" t="n">
        <f aca="false">IF(G5145=1,1,IF(AND(H5018=1,H4989=1),1,0))</f>
        <v>0</v>
      </c>
      <c r="I5145" s="20" t="n">
        <f aca="false">IF(H5145=1,1,IF(AND(I5018=1,I4989=1),1,0))</f>
        <v>0</v>
      </c>
      <c r="J5145" s="20" t="n">
        <f aca="false">IF(I5145=1,1,IF(AND(J5018=1,J4989=1),1,0))</f>
        <v>0</v>
      </c>
      <c r="K5145" s="20" t="n">
        <f aca="false">IF(J5145=1,1,IF(AND(K5018=1,K4989=1),1,0))</f>
        <v>0</v>
      </c>
    </row>
    <row r="5146" customFormat="false" ht="15" hidden="false" customHeight="false" outlineLevel="0" collapsed="false">
      <c r="A5146" s="5" t="s">
        <v>460</v>
      </c>
      <c r="C5146" s="25" t="n">
        <f aca="false">IF(C5136&gt;0,C5126-C5141,0)</f>
        <v>0</v>
      </c>
      <c r="G5146" s="20" t="n">
        <f aca="false">IF(AND(G5031=1,G4989=1),1,0)</f>
        <v>0</v>
      </c>
      <c r="H5146" s="20" t="n">
        <f aca="false">IF(G5146=1,1,IF(AND(H5031=1,H4989=1),1,0))</f>
        <v>0</v>
      </c>
      <c r="I5146" s="20" t="n">
        <f aca="false">IF(H5146=1,1,IF(AND(I5031=1,I4989=1),1,0))</f>
        <v>0</v>
      </c>
      <c r="J5146" s="20" t="n">
        <f aca="false">IF(I5146=1,1,IF(AND(J5031=1,J4989=1),1,0))</f>
        <v>0</v>
      </c>
      <c r="K5146" s="20" t="n">
        <f aca="false">IF(J5146=1,1,IF(AND(K5031=1,K4989=1),1,0))</f>
        <v>0</v>
      </c>
    </row>
    <row r="5147" customFormat="false" ht="15" hidden="false" customHeight="false" outlineLevel="0" collapsed="false">
      <c r="A5147" s="23" t="s">
        <v>465</v>
      </c>
      <c r="B5147" s="24"/>
      <c r="C5147" s="24"/>
      <c r="D5147" s="24"/>
      <c r="E5147" s="24"/>
      <c r="F5147" s="24"/>
      <c r="G5147" s="24"/>
      <c r="H5147" s="24"/>
      <c r="I5147" s="24"/>
      <c r="J5147" s="24"/>
      <c r="K5147" s="24"/>
    </row>
    <row r="5148" customFormat="false" ht="15" hidden="false" customHeight="false" outlineLevel="0" collapsed="false">
      <c r="A5148" s="5" t="s">
        <v>457</v>
      </c>
      <c r="C5148" s="25" t="n">
        <f aca="false">IF(C5133&gt;0,C5143,C5123)</f>
        <v>279.3856292</v>
      </c>
    </row>
    <row r="5149" customFormat="false" ht="15" hidden="false" customHeight="false" outlineLevel="0" collapsed="false">
      <c r="A5149" s="5" t="s">
        <v>458</v>
      </c>
      <c r="C5149" s="25" t="n">
        <f aca="false">IF(C5134&gt;0,C5144,C5124)</f>
        <v>526.2257</v>
      </c>
    </row>
    <row r="5150" customFormat="false" ht="15" hidden="false" customHeight="false" outlineLevel="0" collapsed="false">
      <c r="A5150" s="5" t="s">
        <v>459</v>
      </c>
      <c r="C5150" s="25" t="n">
        <f aca="false">IF(C5135&gt;0,C5145,C5125)</f>
        <v>256.875</v>
      </c>
    </row>
    <row r="5151" customFormat="false" ht="15" hidden="false" customHeight="false" outlineLevel="0" collapsed="false">
      <c r="A5151" s="5" t="s">
        <v>460</v>
      </c>
      <c r="C5151" s="25" t="n">
        <f aca="false">IF(C5136&gt;0,C5146,C5126)</f>
        <v>305.625</v>
      </c>
    </row>
    <row r="5152" customFormat="false" ht="15" hidden="false" customHeight="false" outlineLevel="0" collapsed="false">
      <c r="A5152" s="23" t="s">
        <v>466</v>
      </c>
      <c r="B5152" s="24"/>
      <c r="C5152" s="24"/>
      <c r="D5152" s="24"/>
      <c r="E5152" s="24"/>
      <c r="F5152" s="24"/>
      <c r="G5152" s="24"/>
      <c r="H5152" s="24"/>
      <c r="I5152" s="24"/>
      <c r="J5152" s="24"/>
      <c r="K5152" s="24"/>
    </row>
    <row r="5153" customFormat="false" ht="15" hidden="false" customHeight="false" outlineLevel="0" collapsed="false">
      <c r="A5153" s="5" t="s">
        <v>457</v>
      </c>
      <c r="C5153" s="20" t="n">
        <f aca="false">IF(C5133&gt;0,Assumptions!$C$17,C5128)</f>
        <v>1</v>
      </c>
    </row>
    <row r="5154" customFormat="false" ht="15" hidden="false" customHeight="false" outlineLevel="0" collapsed="false">
      <c r="A5154" s="5" t="s">
        <v>458</v>
      </c>
      <c r="C5154" s="20" t="n">
        <f aca="false">IF(C5134&gt;0,Assumptions!$C$17,C5129)</f>
        <v>2</v>
      </c>
    </row>
    <row r="5155" customFormat="false" ht="15" hidden="false" customHeight="false" outlineLevel="0" collapsed="false">
      <c r="A5155" s="5" t="s">
        <v>459</v>
      </c>
      <c r="C5155" s="20" t="n">
        <f aca="false">IF(C5135&gt;0,Assumptions!$C$17,C5130)</f>
        <v>3</v>
      </c>
    </row>
    <row r="5156" customFormat="false" ht="15" hidden="false" customHeight="false" outlineLevel="0" collapsed="false">
      <c r="A5156" s="5" t="s">
        <v>460</v>
      </c>
      <c r="C5156" s="20" t="n">
        <f aca="false">IF(C5136&gt;0,Assumptions!$C$17,C5131)</f>
        <v>4</v>
      </c>
    </row>
    <row r="5157" customFormat="false" ht="15" hidden="false" customHeight="false" outlineLevel="0" collapsed="false">
      <c r="A5157" s="23" t="s">
        <v>467</v>
      </c>
      <c r="B5157" s="24"/>
      <c r="C5157" s="24"/>
      <c r="D5157" s="24"/>
      <c r="E5157" s="24"/>
      <c r="F5157" s="24"/>
      <c r="G5157" s="24"/>
      <c r="H5157" s="24"/>
      <c r="I5157" s="24"/>
      <c r="J5157" s="24"/>
      <c r="K5157" s="24"/>
    </row>
    <row r="5158" customFormat="false" ht="15" hidden="false" customHeight="false" outlineLevel="0" collapsed="false">
      <c r="A5158" s="5" t="s">
        <v>457</v>
      </c>
      <c r="C5158" s="25" t="n">
        <f aca="false">SUMPRODUCT(($C$5153:$C$5156&lt;C5153)*$C$5148:$C$5151)</f>
        <v>0</v>
      </c>
    </row>
    <row r="5159" customFormat="false" ht="15" hidden="false" customHeight="false" outlineLevel="0" collapsed="false">
      <c r="A5159" s="5" t="s">
        <v>458</v>
      </c>
      <c r="C5159" s="25" t="n">
        <f aca="false">SUMPRODUCT(($C$5153:$C$5156&lt;C5154)*$C$5148:$C$5151)</f>
        <v>279.3856292</v>
      </c>
    </row>
    <row r="5160" customFormat="false" ht="15" hidden="false" customHeight="false" outlineLevel="0" collapsed="false">
      <c r="A5160" s="5" t="s">
        <v>459</v>
      </c>
      <c r="C5160" s="25" t="n">
        <f aca="false">SUMPRODUCT(($C$5153:$C$5156&lt;C5155)*$C$5148:$C$5151)</f>
        <v>805.6113292</v>
      </c>
    </row>
    <row r="5161" customFormat="false" ht="15" hidden="false" customHeight="false" outlineLevel="0" collapsed="false">
      <c r="A5161" s="5" t="s">
        <v>460</v>
      </c>
      <c r="C5161" s="25" t="n">
        <f aca="false">SUMPRODUCT(($C$5153:$C$5156&lt;C5156)*$C$5148:$C$5151)</f>
        <v>1062.4863292</v>
      </c>
    </row>
    <row r="5162" customFormat="false" ht="15" hidden="false" customHeight="false" outlineLevel="0" collapsed="false">
      <c r="A5162" s="23" t="s">
        <v>468</v>
      </c>
      <c r="B5162" s="24"/>
      <c r="C5162" s="24"/>
      <c r="D5162" s="24"/>
      <c r="E5162" s="24"/>
      <c r="F5162" s="24"/>
      <c r="G5162" s="24"/>
      <c r="H5162" s="24"/>
      <c r="I5162" s="24"/>
      <c r="J5162" s="24"/>
      <c r="K5162" s="24"/>
    </row>
    <row r="5163" customFormat="false" ht="15" hidden="false" customHeight="false" outlineLevel="0" collapsed="false">
      <c r="A5163" s="5" t="s">
        <v>457</v>
      </c>
      <c r="C5163" s="25" t="n">
        <f aca="false">SUMPRODUCT(($C$5153:$C$5156=C5153)*$C$5148:$C$5151)</f>
        <v>279.3856292</v>
      </c>
    </row>
    <row r="5164" customFormat="false" ht="15" hidden="false" customHeight="false" outlineLevel="0" collapsed="false">
      <c r="A5164" s="5" t="s">
        <v>458</v>
      </c>
      <c r="C5164" s="25" t="n">
        <f aca="false">SUMPRODUCT(($C$5153:$C$5156=C5154)*$C$5148:$C$5151)</f>
        <v>526.2257</v>
      </c>
    </row>
    <row r="5165" customFormat="false" ht="15" hidden="false" customHeight="false" outlineLevel="0" collapsed="false">
      <c r="A5165" s="5" t="s">
        <v>459</v>
      </c>
      <c r="C5165" s="25" t="n">
        <f aca="false">SUMPRODUCT(($C$5153:$C$5156=C5155)*$C$5148:$C$5151)</f>
        <v>256.875</v>
      </c>
    </row>
    <row r="5166" customFormat="false" ht="15" hidden="false" customHeight="false" outlineLevel="0" collapsed="false">
      <c r="A5166" s="5" t="s">
        <v>460</v>
      </c>
      <c r="C5166" s="25" t="n">
        <f aca="false">SUMPRODUCT(($C$5153:$C$5156=C5156)*$C$5148:$C$5151)</f>
        <v>305.625</v>
      </c>
    </row>
    <row r="5167" customFormat="false" ht="15" hidden="false" customHeight="false" outlineLevel="0" collapsed="false">
      <c r="A5167" s="23" t="s">
        <v>469</v>
      </c>
      <c r="B5167" s="24"/>
      <c r="C5167" s="24"/>
      <c r="D5167" s="24"/>
      <c r="E5167" s="24"/>
      <c r="F5167" s="24"/>
      <c r="G5167" s="24"/>
      <c r="H5167" s="24"/>
      <c r="I5167" s="24"/>
      <c r="J5167" s="24"/>
      <c r="K5167" s="24"/>
    </row>
    <row r="5168" customFormat="false" ht="15" hidden="false" customHeight="false" outlineLevel="0" collapsed="false">
      <c r="A5168" s="5" t="s">
        <v>457</v>
      </c>
      <c r="C5168" s="25" t="n">
        <f aca="false">IF(C5163=0,0,C5148/C5163*MAX(0,MIN(C5163,$C$5121-SUM($C$5138:$C$5141)-C5158)))</f>
        <v>279.3856292</v>
      </c>
    </row>
    <row r="5169" customFormat="false" ht="15" hidden="false" customHeight="false" outlineLevel="0" collapsed="false">
      <c r="A5169" s="5" t="s">
        <v>458</v>
      </c>
      <c r="C5169" s="25" t="n">
        <f aca="false">IF(C5164=0,0,C5149/C5164*MAX(0,MIN(C5164,$C$5121-SUM($C$5138:$C$5141)-C5159)))</f>
        <v>109.9903708</v>
      </c>
    </row>
    <row r="5170" customFormat="false" ht="15" hidden="false" customHeight="false" outlineLevel="0" collapsed="false">
      <c r="A5170" s="5" t="s">
        <v>459</v>
      </c>
      <c r="C5170" s="25" t="n">
        <f aca="false">IF(C5165=0,0,C5150/C5165*MAX(0,MIN(C5165,$C$5121-SUM($C$5138:$C$5141)-C5160)))</f>
        <v>0</v>
      </c>
    </row>
    <row r="5171" customFormat="false" ht="15" hidden="false" customHeight="false" outlineLevel="0" collapsed="false">
      <c r="A5171" s="5" t="s">
        <v>460</v>
      </c>
      <c r="C5171" s="25" t="n">
        <f aca="false">IF(C5166=0,0,C5151/C5166*MAX(0,MIN(C5166,$C$5121-SUM($C$5138:$C$5141)-C5161)))</f>
        <v>0</v>
      </c>
    </row>
    <row r="5172" customFormat="false" ht="15" hidden="false" customHeight="false" outlineLevel="0" collapsed="false">
      <c r="A5172" s="23" t="s">
        <v>470</v>
      </c>
      <c r="B5172" s="24"/>
      <c r="C5172" s="24"/>
      <c r="D5172" s="24"/>
      <c r="E5172" s="24"/>
      <c r="F5172" s="24"/>
      <c r="G5172" s="24"/>
      <c r="H5172" s="24"/>
      <c r="I5172" s="24"/>
      <c r="J5172" s="24"/>
      <c r="K5172" s="24"/>
    </row>
    <row r="5173" customFormat="false" ht="15" hidden="false" customHeight="false" outlineLevel="0" collapsed="false">
      <c r="A5173" s="2" t="s">
        <v>457</v>
      </c>
      <c r="C5173" s="16" t="n">
        <f aca="false">C5138+C5168</f>
        <v>279.3856292</v>
      </c>
    </row>
    <row r="5174" customFormat="false" ht="15" hidden="false" customHeight="false" outlineLevel="0" collapsed="false">
      <c r="A5174" s="2" t="s">
        <v>458</v>
      </c>
      <c r="C5174" s="16" t="n">
        <f aca="false">C5139+C5169</f>
        <v>109.9903708</v>
      </c>
    </row>
    <row r="5175" customFormat="false" ht="15" hidden="false" customHeight="false" outlineLevel="0" collapsed="false">
      <c r="A5175" s="2" t="s">
        <v>459</v>
      </c>
      <c r="C5175" s="16" t="n">
        <f aca="false">C5140+C5170</f>
        <v>0</v>
      </c>
    </row>
    <row r="5176" customFormat="false" ht="15" hidden="false" customHeight="false" outlineLevel="0" collapsed="false">
      <c r="A5176" s="2" t="s">
        <v>460</v>
      </c>
      <c r="C5176" s="16" t="n">
        <f aca="false">C5141+C5171</f>
        <v>0</v>
      </c>
    </row>
    <row r="5177" customFormat="false" ht="15" hidden="false" customHeight="false" outlineLevel="0" collapsed="false">
      <c r="A5177" s="23" t="s">
        <v>471</v>
      </c>
      <c r="B5177" s="24"/>
      <c r="C5177" s="24"/>
      <c r="D5177" s="24"/>
      <c r="E5177" s="24"/>
      <c r="F5177" s="24"/>
      <c r="G5177" s="24"/>
      <c r="H5177" s="24"/>
      <c r="I5177" s="24"/>
      <c r="J5177" s="24"/>
      <c r="K5177" s="24"/>
    </row>
    <row r="5178" customFormat="false" ht="15" hidden="false" customHeight="false" outlineLevel="0" collapsed="false">
      <c r="A5178" s="5" t="s">
        <v>457</v>
      </c>
      <c r="C5178" s="21" t="n">
        <f aca="false">IF(C5123=0,1,C5173/C5123)</f>
        <v>1</v>
      </c>
    </row>
    <row r="5179" customFormat="false" ht="15" hidden="false" customHeight="false" outlineLevel="0" collapsed="false">
      <c r="A5179" s="5" t="s">
        <v>458</v>
      </c>
      <c r="C5179" s="21" t="n">
        <f aca="false">IF(C5124=0,1,C5174/C5124)</f>
        <v>0.209017482042401</v>
      </c>
    </row>
    <row r="5180" customFormat="false" ht="15" hidden="false" customHeight="false" outlineLevel="0" collapsed="false">
      <c r="A5180" s="5" t="s">
        <v>459</v>
      </c>
      <c r="C5180" s="21" t="n">
        <f aca="false">IF(C5125=0,1,C5175/C5125)</f>
        <v>0</v>
      </c>
    </row>
    <row r="5181" customFormat="false" ht="15" hidden="false" customHeight="false" outlineLevel="0" collapsed="false">
      <c r="A5181" s="5" t="s">
        <v>460</v>
      </c>
      <c r="C5181" s="21" t="n">
        <f aca="false">IF(C5126=0,1,C5176/C5126)</f>
        <v>0</v>
      </c>
    </row>
    <row r="5182" customFormat="false" ht="15" hidden="false" customHeight="false" outlineLevel="0" collapsed="false">
      <c r="A5182" s="23" t="s">
        <v>472</v>
      </c>
      <c r="B5182" s="24"/>
      <c r="C5182" s="24"/>
      <c r="D5182" s="24"/>
      <c r="E5182" s="24"/>
      <c r="F5182" s="24"/>
      <c r="G5182" s="24"/>
      <c r="H5182" s="24"/>
      <c r="I5182" s="24"/>
      <c r="J5182" s="24"/>
      <c r="K5182" s="24"/>
    </row>
    <row r="5183" customFormat="false" ht="15" hidden="false" customHeight="false" outlineLevel="0" collapsed="false">
      <c r="A5183" s="5" t="s">
        <v>457</v>
      </c>
      <c r="C5183" s="25" t="n">
        <f aca="false">C5123-C5173</f>
        <v>0</v>
      </c>
    </row>
    <row r="5184" customFormat="false" ht="15" hidden="false" customHeight="false" outlineLevel="0" collapsed="false">
      <c r="A5184" s="5" t="s">
        <v>458</v>
      </c>
      <c r="C5184" s="25" t="n">
        <f aca="false">C5124-C5174</f>
        <v>416.2353292</v>
      </c>
    </row>
    <row r="5185" customFormat="false" ht="15" hidden="false" customHeight="false" outlineLevel="0" collapsed="false">
      <c r="A5185" s="5" t="s">
        <v>459</v>
      </c>
      <c r="C5185" s="25" t="n">
        <f aca="false">C5125-C5175</f>
        <v>256.875</v>
      </c>
    </row>
    <row r="5186" customFormat="false" ht="15" hidden="false" customHeight="false" outlineLevel="0" collapsed="false">
      <c r="A5186" s="5" t="s">
        <v>460</v>
      </c>
      <c r="C5186" s="25" t="n">
        <f aca="false">C5126-C5176</f>
        <v>305.625</v>
      </c>
    </row>
    <row r="5187" customFormat="false" ht="15" hidden="false" customHeight="false" outlineLevel="0" collapsed="false">
      <c r="A5187" s="23" t="s">
        <v>473</v>
      </c>
      <c r="B5187" s="24"/>
      <c r="C5187" s="24"/>
      <c r="D5187" s="24"/>
      <c r="E5187" s="24"/>
      <c r="F5187" s="24"/>
      <c r="G5187" s="24"/>
      <c r="H5187" s="24"/>
      <c r="I5187" s="24"/>
      <c r="J5187" s="24"/>
      <c r="K5187" s="24"/>
    </row>
    <row r="5188" customFormat="false" ht="15" hidden="false" customHeight="false" outlineLevel="0" collapsed="false">
      <c r="A5188" s="5" t="s">
        <v>457</v>
      </c>
      <c r="C5188" s="21" t="n">
        <f aca="false">IF(C5123=0,0,C5183/C5123)</f>
        <v>0</v>
      </c>
    </row>
    <row r="5189" customFormat="false" ht="15" hidden="false" customHeight="false" outlineLevel="0" collapsed="false">
      <c r="A5189" s="5" t="s">
        <v>458</v>
      </c>
      <c r="C5189" s="21" t="n">
        <f aca="false">IF(C5124=0,0,C5184/C5124)</f>
        <v>0.790982517957599</v>
      </c>
    </row>
    <row r="5190" customFormat="false" ht="15" hidden="false" customHeight="false" outlineLevel="0" collapsed="false">
      <c r="A5190" s="5" t="s">
        <v>459</v>
      </c>
      <c r="C5190" s="21" t="n">
        <f aca="false">IF(C5125=0,0,C5185/C5125)</f>
        <v>1</v>
      </c>
    </row>
    <row r="5191" customFormat="false" ht="15" hidden="false" customHeight="false" outlineLevel="0" collapsed="false">
      <c r="A5191" s="5" t="s">
        <v>460</v>
      </c>
      <c r="C5191" s="21" t="n">
        <f aca="false">IF(C5126=0,0,C5186/C5126)</f>
        <v>1</v>
      </c>
    </row>
    <row r="5192" customFormat="false" ht="15" hidden="false" customHeight="false" outlineLevel="0" collapsed="false">
      <c r="A5192" s="2" t="s">
        <v>474</v>
      </c>
      <c r="C5192" s="16" t="n">
        <f aca="false">MAX(0,$C$5121-SUM($C$5138:$C$5141)-SUM($C$5148:$C$5151))</f>
        <v>0</v>
      </c>
    </row>
    <row r="5193" customFormat="false" ht="15" hidden="false" customHeight="false" outlineLevel="0" collapsed="false">
      <c r="A5193" s="5" t="s">
        <v>475</v>
      </c>
      <c r="C5193" s="25" t="n">
        <f aca="false">SUM($C$5173:$C$5176)+C5192+C5120-C5119</f>
        <v>0</v>
      </c>
    </row>
    <row r="5195" customFormat="false" ht="15" hidden="false" customHeight="false" outlineLevel="0" collapsed="false">
      <c r="A5195" s="23" t="s">
        <v>478</v>
      </c>
      <c r="B5195" s="24"/>
      <c r="C5195" s="24"/>
      <c r="D5195" s="24"/>
      <c r="E5195" s="24"/>
      <c r="F5195" s="24"/>
      <c r="G5195" s="24"/>
      <c r="H5195" s="24"/>
      <c r="I5195" s="24"/>
      <c r="J5195" s="24"/>
      <c r="K5195" s="24"/>
    </row>
    <row r="5196" customFormat="false" ht="15" hidden="false" customHeight="false" outlineLevel="0" collapsed="false">
      <c r="A5196" s="5" t="s">
        <v>479</v>
      </c>
      <c r="C5196" s="26" t="n">
        <f aca="false">Assumptions!$C$30</f>
        <v>2</v>
      </c>
    </row>
    <row r="5197" customFormat="false" ht="15" hidden="false" customHeight="false" outlineLevel="0" collapsed="false">
      <c r="A5197" s="5" t="s">
        <v>480</v>
      </c>
      <c r="C5197" s="28" t="n">
        <f aca="false">Assumptions!$C$31</f>
        <v>100</v>
      </c>
    </row>
    <row r="5198" customFormat="false" ht="15" hidden="false" customHeight="false" outlineLevel="0" collapsed="false">
      <c r="A5198" s="5" t="s">
        <v>481</v>
      </c>
      <c r="C5198" s="39" t="n">
        <f aca="false">Assumptions!$C$32</f>
        <v>78</v>
      </c>
    </row>
    <row r="5199" customFormat="false" ht="15" hidden="false" customHeight="false" outlineLevel="0" collapsed="false">
      <c r="A5199" s="5" t="s">
        <v>482</v>
      </c>
      <c r="C5199" s="25" t="n">
        <f aca="false">C5197*C5198/100*(1+Assumptions!$C$33)</f>
        <v>78.39</v>
      </c>
    </row>
    <row r="5200" customFormat="false" ht="15" hidden="false" customHeight="false" outlineLevel="0" collapsed="false">
      <c r="A5200" s="5" t="s">
        <v>483</v>
      </c>
      <c r="C5200" s="26" t="n">
        <f aca="false">Assumptions!$C$34</f>
        <v>2</v>
      </c>
    </row>
    <row r="5201" customFormat="false" ht="15" hidden="false" customHeight="false" outlineLevel="0" collapsed="false">
      <c r="A5201" s="5" t="s">
        <v>484</v>
      </c>
      <c r="C5201" s="20" t="n">
        <f aca="false">IF(C5112=1,SUMPRODUCT($G$5080:$K$5080,$G$4956:$K$4956),0)</f>
        <v>2</v>
      </c>
    </row>
    <row r="5202" customFormat="false" ht="15" hidden="false" customHeight="false" outlineLevel="0" collapsed="false">
      <c r="A5202" s="5" t="s">
        <v>485</v>
      </c>
      <c r="C5202" s="21" t="n">
        <f aca="false">IFERROR(C5197/CHOOSE(C5196,SUMPRODUCT($G$5111:$K$5111,$G$5002:$K$5002),SUMPRODUCT($G$5111:$K$5111,$G$5015:$K$5015),SUMPRODUCT($G$5111:$K$5111,$G$5028:$K$5028),SUMPRODUCT($G$5111:$K$5111,$G$5041:$K$5041)),0)</f>
        <v>0.196232339089482</v>
      </c>
    </row>
    <row r="5203" customFormat="false" ht="15" hidden="false" customHeight="false" outlineLevel="0" collapsed="false">
      <c r="A5203" s="5" t="s">
        <v>486</v>
      </c>
      <c r="C5203" s="25" t="n">
        <f aca="false">CHOOSE(C5196,C5173,C5174,C5175,C5176)*C5202</f>
        <v>21.5836677394034</v>
      </c>
    </row>
    <row r="5204" customFormat="false" ht="15" hidden="false" customHeight="false" outlineLevel="0" collapsed="false">
      <c r="A5204" s="5" t="s">
        <v>487</v>
      </c>
      <c r="C5204" s="21" t="n">
        <f aca="false">CHOOSE(C5196,C5178,C5179,C5180,C5181)</f>
        <v>0.209017482042401</v>
      </c>
    </row>
    <row r="5205" customFormat="false" ht="15" hidden="false" customHeight="false" outlineLevel="0" collapsed="false">
      <c r="A5205" s="5" t="s">
        <v>488</v>
      </c>
      <c r="C5205" s="20" t="n">
        <f aca="false">IF(C5112=1,C5201,C5200)</f>
        <v>2</v>
      </c>
    </row>
    <row r="5206" customFormat="false" ht="15" hidden="false" customHeight="false" outlineLevel="0" collapsed="false">
      <c r="A5206" s="5" t="s">
        <v>489</v>
      </c>
      <c r="C5206" s="33" t="n">
        <f aca="false">CHOOSE($C$4948,Assumptions!$C$77,Assumptions!$C$96,Assumptions!$C$115)</f>
        <v>70</v>
      </c>
    </row>
    <row r="5207" customFormat="false" ht="15" hidden="false" customHeight="false" outlineLevel="0" collapsed="false">
      <c r="A5207" s="5" t="s">
        <v>490</v>
      </c>
      <c r="C5207" s="25" t="n">
        <f aca="false">INDEX($G$4965:$K$4965,C5200)*CHOOSE($C$4948,Assumptions!$C$76,Assumptions!$C$95,Assumptions!$C$114)+MAX(0,INDEX($G$5077:$K$5077,C5200))</f>
        <v>-55.97928</v>
      </c>
    </row>
    <row r="5208" customFormat="false" ht="15" hidden="false" customHeight="false" outlineLevel="0" collapsed="false">
      <c r="A5208" s="23" t="s">
        <v>491</v>
      </c>
      <c r="B5208" s="24"/>
      <c r="C5208" s="24"/>
      <c r="D5208" s="24"/>
      <c r="E5208" s="24"/>
      <c r="F5208" s="24"/>
      <c r="G5208" s="24"/>
      <c r="H5208" s="24"/>
      <c r="I5208" s="24"/>
      <c r="J5208" s="24"/>
      <c r="K5208" s="24"/>
    </row>
    <row r="5209" customFormat="false" ht="15" hidden="false" customHeight="false" outlineLevel="0" collapsed="false">
      <c r="A5209" s="5" t="s">
        <v>457</v>
      </c>
      <c r="C5209" s="25" t="n">
        <f aca="false">INDEX($G$5002:$K$5002,C5200)</f>
        <v>271.6768</v>
      </c>
    </row>
    <row r="5210" customFormat="false" ht="15" hidden="false" customHeight="false" outlineLevel="0" collapsed="false">
      <c r="A5210" s="5" t="s">
        <v>458</v>
      </c>
      <c r="C5210" s="25" t="n">
        <f aca="false">INDEX($G$5015:$K$5015,C5200)</f>
        <v>509.6</v>
      </c>
    </row>
    <row r="5211" customFormat="false" ht="15" hidden="false" customHeight="false" outlineLevel="0" collapsed="false">
      <c r="A5211" s="5" t="s">
        <v>459</v>
      </c>
      <c r="C5211" s="25" t="n">
        <f aca="false">INDEX($G$5028:$K$5028,C5200)</f>
        <v>250</v>
      </c>
    </row>
    <row r="5212" customFormat="false" ht="15" hidden="false" customHeight="false" outlineLevel="0" collapsed="false">
      <c r="A5212" s="5" t="s">
        <v>460</v>
      </c>
      <c r="C5212" s="25" t="n">
        <f aca="false">INDEX($G$5041:$K$5041,C5200)</f>
        <v>300</v>
      </c>
    </row>
    <row r="5213" customFormat="false" ht="15" hidden="false" customHeight="false" outlineLevel="0" collapsed="false">
      <c r="A5213" s="23" t="s">
        <v>461</v>
      </c>
      <c r="B5213" s="24"/>
      <c r="C5213" s="24"/>
      <c r="D5213" s="24"/>
      <c r="E5213" s="24"/>
      <c r="F5213" s="24"/>
      <c r="G5213" s="24"/>
      <c r="H5213" s="24"/>
      <c r="I5213" s="24"/>
      <c r="J5213" s="24"/>
      <c r="K5213" s="24"/>
    </row>
    <row r="5214" customFormat="false" ht="15" hidden="false" customHeight="false" outlineLevel="0" collapsed="false">
      <c r="A5214" s="5" t="s">
        <v>457</v>
      </c>
      <c r="C5214" s="26" t="n">
        <f aca="false">Assumptions!$M$53</f>
        <v>1</v>
      </c>
    </row>
    <row r="5215" customFormat="false" ht="15" hidden="false" customHeight="false" outlineLevel="0" collapsed="false">
      <c r="A5215" s="5" t="s">
        <v>458</v>
      </c>
      <c r="C5215" s="26" t="n">
        <f aca="false">Assumptions!$M$54</f>
        <v>2</v>
      </c>
    </row>
    <row r="5216" customFormat="false" ht="15" hidden="false" customHeight="false" outlineLevel="0" collapsed="false">
      <c r="A5216" s="5" t="s">
        <v>459</v>
      </c>
      <c r="C5216" s="26" t="n">
        <f aca="false">Assumptions!$M$55</f>
        <v>3</v>
      </c>
    </row>
    <row r="5217" customFormat="false" ht="15" hidden="false" customHeight="false" outlineLevel="0" collapsed="false">
      <c r="A5217" s="5" t="s">
        <v>460</v>
      </c>
      <c r="C5217" s="26" t="n">
        <f aca="false">Assumptions!$M$56</f>
        <v>4</v>
      </c>
    </row>
    <row r="5218" customFormat="false" ht="15" hidden="false" customHeight="false" outlineLevel="0" collapsed="false">
      <c r="A5218" s="23" t="s">
        <v>462</v>
      </c>
      <c r="B5218" s="24"/>
      <c r="C5218" s="24"/>
      <c r="D5218" s="24"/>
      <c r="E5218" s="24"/>
      <c r="F5218" s="24"/>
      <c r="G5218" s="24"/>
      <c r="H5218" s="24"/>
      <c r="I5218" s="24"/>
      <c r="J5218" s="24"/>
      <c r="K5218" s="24"/>
    </row>
    <row r="5219" customFormat="false" ht="15" hidden="false" customHeight="false" outlineLevel="0" collapsed="false">
      <c r="A5219" s="5" t="s">
        <v>457</v>
      </c>
      <c r="C5219" s="34" t="n">
        <f aca="false">Assumptions!$Q$53</f>
        <v>0</v>
      </c>
    </row>
    <row r="5220" customFormat="false" ht="15" hidden="false" customHeight="false" outlineLevel="0" collapsed="false">
      <c r="A5220" s="5" t="s">
        <v>458</v>
      </c>
      <c r="C5220" s="34" t="n">
        <f aca="false">Assumptions!$Q$54</f>
        <v>0</v>
      </c>
    </row>
    <row r="5221" customFormat="false" ht="15" hidden="false" customHeight="false" outlineLevel="0" collapsed="false">
      <c r="A5221" s="5" t="s">
        <v>459</v>
      </c>
      <c r="C5221" s="34" t="n">
        <f aca="false">Assumptions!$Q$55</f>
        <v>0</v>
      </c>
    </row>
    <row r="5222" customFormat="false" ht="15" hidden="false" customHeight="false" outlineLevel="0" collapsed="false">
      <c r="A5222" s="5" t="s">
        <v>460</v>
      </c>
      <c r="C5222" s="34" t="n">
        <f aca="false">Assumptions!$Q$56</f>
        <v>0</v>
      </c>
    </row>
    <row r="5223" customFormat="false" ht="15" hidden="false" customHeight="false" outlineLevel="0" collapsed="false">
      <c r="A5223" s="23" t="s">
        <v>463</v>
      </c>
      <c r="B5223" s="24"/>
      <c r="C5223" s="24"/>
      <c r="D5223" s="24"/>
      <c r="E5223" s="24"/>
      <c r="F5223" s="24"/>
      <c r="G5223" s="24"/>
      <c r="H5223" s="24"/>
      <c r="I5223" s="24"/>
      <c r="J5223" s="24"/>
      <c r="K5223" s="24"/>
    </row>
    <row r="5224" customFormat="false" ht="15" hidden="false" customHeight="false" outlineLevel="0" collapsed="false">
      <c r="A5224" s="5" t="s">
        <v>457</v>
      </c>
      <c r="C5224" s="25" t="n">
        <f aca="false">IF(C5219&gt;0,MIN(C5209,C5219*$C$5207),0)</f>
        <v>0</v>
      </c>
    </row>
    <row r="5225" customFormat="false" ht="15" hidden="false" customHeight="false" outlineLevel="0" collapsed="false">
      <c r="A5225" s="5" t="s">
        <v>458</v>
      </c>
      <c r="C5225" s="25" t="n">
        <f aca="false">IF(C5220&gt;0,MIN(C5210,C5220*$C$5207),0)</f>
        <v>0</v>
      </c>
    </row>
    <row r="5226" customFormat="false" ht="15" hidden="false" customHeight="false" outlineLevel="0" collapsed="false">
      <c r="A5226" s="5" t="s">
        <v>459</v>
      </c>
      <c r="C5226" s="25" t="n">
        <f aca="false">IF(C5221&gt;0,MIN(C5211,C5221*$C$5207),0)</f>
        <v>0</v>
      </c>
    </row>
    <row r="5227" customFormat="false" ht="15" hidden="false" customHeight="false" outlineLevel="0" collapsed="false">
      <c r="A5227" s="5" t="s">
        <v>460</v>
      </c>
      <c r="C5227" s="25" t="n">
        <f aca="false">IF(C5222&gt;0,MIN(C5212,C5222*$C$5207),0)</f>
        <v>0</v>
      </c>
    </row>
    <row r="5228" customFormat="false" ht="15" hidden="false" customHeight="false" outlineLevel="0" collapsed="false">
      <c r="A5228" s="23" t="s">
        <v>464</v>
      </c>
      <c r="B5228" s="24"/>
      <c r="C5228" s="24"/>
      <c r="D5228" s="24"/>
      <c r="E5228" s="24"/>
      <c r="F5228" s="24"/>
      <c r="G5228" s="24"/>
      <c r="H5228" s="24"/>
      <c r="I5228" s="24"/>
      <c r="J5228" s="24"/>
      <c r="K5228" s="24"/>
    </row>
    <row r="5229" customFormat="false" ht="15" hidden="false" customHeight="false" outlineLevel="0" collapsed="false">
      <c r="A5229" s="5" t="s">
        <v>457</v>
      </c>
      <c r="C5229" s="25" t="n">
        <f aca="false">IF(C5219&gt;0,C5209-C5224,0)</f>
        <v>0</v>
      </c>
    </row>
    <row r="5230" customFormat="false" ht="15" hidden="false" customHeight="false" outlineLevel="0" collapsed="false">
      <c r="A5230" s="5" t="s">
        <v>458</v>
      </c>
      <c r="C5230" s="25" t="n">
        <f aca="false">IF(C5220&gt;0,C5210-C5225,0)</f>
        <v>0</v>
      </c>
    </row>
    <row r="5231" customFormat="false" ht="15" hidden="false" customHeight="false" outlineLevel="0" collapsed="false">
      <c r="A5231" s="5" t="s">
        <v>459</v>
      </c>
      <c r="C5231" s="25" t="n">
        <f aca="false">IF(C5221&gt;0,C5211-C5226,0)</f>
        <v>0</v>
      </c>
    </row>
    <row r="5232" customFormat="false" ht="15" hidden="false" customHeight="false" outlineLevel="0" collapsed="false">
      <c r="A5232" s="5" t="s">
        <v>460</v>
      </c>
      <c r="C5232" s="25" t="n">
        <f aca="false">IF(C5222&gt;0,C5212-C5227,0)</f>
        <v>0</v>
      </c>
    </row>
    <row r="5233" customFormat="false" ht="15" hidden="false" customHeight="false" outlineLevel="0" collapsed="false">
      <c r="A5233" s="23" t="s">
        <v>465</v>
      </c>
      <c r="B5233" s="24"/>
      <c r="C5233" s="24"/>
      <c r="D5233" s="24"/>
      <c r="E5233" s="24"/>
      <c r="F5233" s="24"/>
      <c r="G5233" s="24"/>
      <c r="H5233" s="24"/>
      <c r="I5233" s="24"/>
      <c r="J5233" s="24"/>
      <c r="K5233" s="24"/>
    </row>
    <row r="5234" customFormat="false" ht="15" hidden="false" customHeight="false" outlineLevel="0" collapsed="false">
      <c r="A5234" s="5" t="s">
        <v>457</v>
      </c>
      <c r="C5234" s="25" t="n">
        <f aca="false">IF(C5219&gt;0,C5229,C5209)</f>
        <v>271.6768</v>
      </c>
    </row>
    <row r="5235" customFormat="false" ht="15" hidden="false" customHeight="false" outlineLevel="0" collapsed="false">
      <c r="A5235" s="5" t="s">
        <v>458</v>
      </c>
      <c r="C5235" s="25" t="n">
        <f aca="false">IF(C5220&gt;0,C5230,C5210)</f>
        <v>509.6</v>
      </c>
    </row>
    <row r="5236" customFormat="false" ht="15" hidden="false" customHeight="false" outlineLevel="0" collapsed="false">
      <c r="A5236" s="5" t="s">
        <v>459</v>
      </c>
      <c r="C5236" s="25" t="n">
        <f aca="false">IF(C5221&gt;0,C5231,C5211)</f>
        <v>250</v>
      </c>
    </row>
    <row r="5237" customFormat="false" ht="15" hidden="false" customHeight="false" outlineLevel="0" collapsed="false">
      <c r="A5237" s="5" t="s">
        <v>460</v>
      </c>
      <c r="C5237" s="25" t="n">
        <f aca="false">IF(C5222&gt;0,C5232,C5212)</f>
        <v>300</v>
      </c>
    </row>
    <row r="5238" customFormat="false" ht="15" hidden="false" customHeight="false" outlineLevel="0" collapsed="false">
      <c r="A5238" s="23" t="s">
        <v>466</v>
      </c>
      <c r="B5238" s="24"/>
      <c r="C5238" s="24"/>
      <c r="D5238" s="24"/>
      <c r="E5238" s="24"/>
      <c r="F5238" s="24"/>
      <c r="G5238" s="24"/>
      <c r="H5238" s="24"/>
      <c r="I5238" s="24"/>
      <c r="J5238" s="24"/>
      <c r="K5238" s="24"/>
    </row>
    <row r="5239" customFormat="false" ht="15" hidden="false" customHeight="false" outlineLevel="0" collapsed="false">
      <c r="A5239" s="5" t="s">
        <v>457</v>
      </c>
      <c r="C5239" s="20" t="n">
        <f aca="false">IF(C5219&gt;0,Assumptions!$C$17,C5214)</f>
        <v>1</v>
      </c>
    </row>
    <row r="5240" customFormat="false" ht="15" hidden="false" customHeight="false" outlineLevel="0" collapsed="false">
      <c r="A5240" s="5" t="s">
        <v>458</v>
      </c>
      <c r="C5240" s="20" t="n">
        <f aca="false">IF(C5220&gt;0,Assumptions!$C$17,C5215)</f>
        <v>2</v>
      </c>
    </row>
    <row r="5241" customFormat="false" ht="15" hidden="false" customHeight="false" outlineLevel="0" collapsed="false">
      <c r="A5241" s="5" t="s">
        <v>459</v>
      </c>
      <c r="C5241" s="20" t="n">
        <f aca="false">IF(C5221&gt;0,Assumptions!$C$17,C5216)</f>
        <v>3</v>
      </c>
    </row>
    <row r="5242" customFormat="false" ht="15" hidden="false" customHeight="false" outlineLevel="0" collapsed="false">
      <c r="A5242" s="5" t="s">
        <v>460</v>
      </c>
      <c r="C5242" s="20" t="n">
        <f aca="false">IF(C5222&gt;0,Assumptions!$C$17,C5217)</f>
        <v>4</v>
      </c>
    </row>
    <row r="5243" customFormat="false" ht="15" hidden="false" customHeight="false" outlineLevel="0" collapsed="false">
      <c r="A5243" s="23" t="s">
        <v>467</v>
      </c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</row>
    <row r="5244" customFormat="false" ht="15" hidden="false" customHeight="false" outlineLevel="0" collapsed="false">
      <c r="A5244" s="5" t="s">
        <v>457</v>
      </c>
      <c r="C5244" s="25" t="n">
        <f aca="false">SUMPRODUCT(($C$5239:$C$5242&lt;C5239)*$C$5234:$C$5237)</f>
        <v>0</v>
      </c>
    </row>
    <row r="5245" customFormat="false" ht="15" hidden="false" customHeight="false" outlineLevel="0" collapsed="false">
      <c r="A5245" s="5" t="s">
        <v>458</v>
      </c>
      <c r="C5245" s="25" t="n">
        <f aca="false">SUMPRODUCT(($C$5239:$C$5242&lt;C5240)*$C$5234:$C$5237)</f>
        <v>271.6768</v>
      </c>
    </row>
    <row r="5246" customFormat="false" ht="15" hidden="false" customHeight="false" outlineLevel="0" collapsed="false">
      <c r="A5246" s="5" t="s">
        <v>459</v>
      </c>
      <c r="C5246" s="25" t="n">
        <f aca="false">SUMPRODUCT(($C$5239:$C$5242&lt;C5241)*$C$5234:$C$5237)</f>
        <v>781.2768</v>
      </c>
    </row>
    <row r="5247" customFormat="false" ht="15" hidden="false" customHeight="false" outlineLevel="0" collapsed="false">
      <c r="A5247" s="5" t="s">
        <v>460</v>
      </c>
      <c r="C5247" s="25" t="n">
        <f aca="false">SUMPRODUCT(($C$5239:$C$5242&lt;C5242)*$C$5234:$C$5237)</f>
        <v>1031.2768</v>
      </c>
    </row>
    <row r="5248" customFormat="false" ht="15" hidden="false" customHeight="false" outlineLevel="0" collapsed="false">
      <c r="A5248" s="23" t="s">
        <v>468</v>
      </c>
      <c r="B5248" s="24"/>
      <c r="C5248" s="24"/>
      <c r="D5248" s="24"/>
      <c r="E5248" s="24"/>
      <c r="F5248" s="24"/>
      <c r="G5248" s="24"/>
      <c r="H5248" s="24"/>
      <c r="I5248" s="24"/>
      <c r="J5248" s="24"/>
      <c r="K5248" s="24"/>
    </row>
    <row r="5249" customFormat="false" ht="15" hidden="false" customHeight="false" outlineLevel="0" collapsed="false">
      <c r="A5249" s="5" t="s">
        <v>457</v>
      </c>
      <c r="C5249" s="25" t="n">
        <f aca="false">SUMPRODUCT(($C$5239:$C$5242=C5239)*$C$5234:$C$5237)</f>
        <v>271.6768</v>
      </c>
    </row>
    <row r="5250" customFormat="false" ht="15" hidden="false" customHeight="false" outlineLevel="0" collapsed="false">
      <c r="A5250" s="5" t="s">
        <v>458</v>
      </c>
      <c r="C5250" s="25" t="n">
        <f aca="false">SUMPRODUCT(($C$5239:$C$5242=C5240)*$C$5234:$C$5237)</f>
        <v>509.6</v>
      </c>
    </row>
    <row r="5251" customFormat="false" ht="15" hidden="false" customHeight="false" outlineLevel="0" collapsed="false">
      <c r="A5251" s="5" t="s">
        <v>459</v>
      </c>
      <c r="C5251" s="25" t="n">
        <f aca="false">SUMPRODUCT(($C$5239:$C$5242=C5241)*$C$5234:$C$5237)</f>
        <v>250</v>
      </c>
    </row>
    <row r="5252" customFormat="false" ht="15" hidden="false" customHeight="false" outlineLevel="0" collapsed="false">
      <c r="A5252" s="5" t="s">
        <v>460</v>
      </c>
      <c r="C5252" s="25" t="n">
        <f aca="false">SUMPRODUCT(($C$5239:$C$5242=C5242)*$C$5234:$C$5237)</f>
        <v>300</v>
      </c>
    </row>
    <row r="5253" customFormat="false" ht="15" hidden="false" customHeight="false" outlineLevel="0" collapsed="false">
      <c r="A5253" s="23" t="s">
        <v>469</v>
      </c>
      <c r="B5253" s="24"/>
      <c r="C5253" s="24"/>
      <c r="D5253" s="24"/>
      <c r="E5253" s="24"/>
      <c r="F5253" s="24"/>
      <c r="G5253" s="24"/>
      <c r="H5253" s="24"/>
      <c r="I5253" s="24"/>
      <c r="J5253" s="24"/>
      <c r="K5253" s="24"/>
    </row>
    <row r="5254" customFormat="false" ht="15" hidden="false" customHeight="false" outlineLevel="0" collapsed="false">
      <c r="A5254" s="5" t="s">
        <v>457</v>
      </c>
      <c r="C5254" s="25" t="n">
        <f aca="false">IF(C5249=0,0,C5234/C5249*MAX(0,MIN(C5249,$C$5207-SUM($C$5224:$C$5227)-C5244)))</f>
        <v>0</v>
      </c>
    </row>
    <row r="5255" customFormat="false" ht="15" hidden="false" customHeight="false" outlineLevel="0" collapsed="false">
      <c r="A5255" s="5" t="s">
        <v>458</v>
      </c>
      <c r="C5255" s="25" t="n">
        <f aca="false">IF(C5250=0,0,C5235/C5250*MAX(0,MIN(C5250,$C$5207-SUM($C$5224:$C$5227)-C5245)))</f>
        <v>0</v>
      </c>
    </row>
    <row r="5256" customFormat="false" ht="15" hidden="false" customHeight="false" outlineLevel="0" collapsed="false">
      <c r="A5256" s="5" t="s">
        <v>459</v>
      </c>
      <c r="C5256" s="25" t="n">
        <f aca="false">IF(C5251=0,0,C5236/C5251*MAX(0,MIN(C5251,$C$5207-SUM($C$5224:$C$5227)-C5246)))</f>
        <v>0</v>
      </c>
    </row>
    <row r="5257" customFormat="false" ht="15" hidden="false" customHeight="false" outlineLevel="0" collapsed="false">
      <c r="A5257" s="5" t="s">
        <v>460</v>
      </c>
      <c r="C5257" s="25" t="n">
        <f aca="false">IF(C5252=0,0,C5237/C5252*MAX(0,MIN(C5252,$C$5207-SUM($C$5224:$C$5227)-C5247)))</f>
        <v>0</v>
      </c>
    </row>
    <row r="5258" customFormat="false" ht="15" hidden="false" customHeight="false" outlineLevel="0" collapsed="false">
      <c r="A5258" s="23" t="s">
        <v>470</v>
      </c>
      <c r="B5258" s="24"/>
      <c r="C5258" s="24"/>
      <c r="D5258" s="24"/>
      <c r="E5258" s="24"/>
      <c r="F5258" s="24"/>
      <c r="G5258" s="24"/>
      <c r="H5258" s="24"/>
      <c r="I5258" s="24"/>
      <c r="J5258" s="24"/>
      <c r="K5258" s="24"/>
    </row>
    <row r="5259" customFormat="false" ht="15" hidden="false" customHeight="false" outlineLevel="0" collapsed="false">
      <c r="A5259" s="2" t="s">
        <v>457</v>
      </c>
      <c r="C5259" s="16" t="n">
        <f aca="false">C5224+C5254</f>
        <v>0</v>
      </c>
    </row>
    <row r="5260" customFormat="false" ht="15" hidden="false" customHeight="false" outlineLevel="0" collapsed="false">
      <c r="A5260" s="2" t="s">
        <v>458</v>
      </c>
      <c r="C5260" s="16" t="n">
        <f aca="false">C5225+C5255</f>
        <v>0</v>
      </c>
    </row>
    <row r="5261" customFormat="false" ht="15" hidden="false" customHeight="false" outlineLevel="0" collapsed="false">
      <c r="A5261" s="2" t="s">
        <v>459</v>
      </c>
      <c r="C5261" s="16" t="n">
        <f aca="false">C5226+C5256</f>
        <v>0</v>
      </c>
    </row>
    <row r="5262" customFormat="false" ht="15" hidden="false" customHeight="false" outlineLevel="0" collapsed="false">
      <c r="A5262" s="2" t="s">
        <v>460</v>
      </c>
      <c r="C5262" s="16" t="n">
        <f aca="false">C5227+C5257</f>
        <v>0</v>
      </c>
    </row>
    <row r="5263" customFormat="false" ht="15" hidden="false" customHeight="false" outlineLevel="0" collapsed="false">
      <c r="A5263" s="23" t="s">
        <v>471</v>
      </c>
      <c r="B5263" s="24"/>
      <c r="C5263" s="24"/>
      <c r="D5263" s="24"/>
      <c r="E5263" s="24"/>
      <c r="F5263" s="24"/>
      <c r="G5263" s="24"/>
      <c r="H5263" s="24"/>
      <c r="I5263" s="24"/>
      <c r="J5263" s="24"/>
      <c r="K5263" s="24"/>
    </row>
    <row r="5264" customFormat="false" ht="15" hidden="false" customHeight="false" outlineLevel="0" collapsed="false">
      <c r="A5264" s="5" t="s">
        <v>457</v>
      </c>
      <c r="C5264" s="21" t="n">
        <f aca="false">IF(C5209=0,1,C5259/C5209)</f>
        <v>0</v>
      </c>
    </row>
    <row r="5265" customFormat="false" ht="15" hidden="false" customHeight="false" outlineLevel="0" collapsed="false">
      <c r="A5265" s="5" t="s">
        <v>458</v>
      </c>
      <c r="C5265" s="21" t="n">
        <f aca="false">IF(C5210=0,1,C5260/C5210)</f>
        <v>0</v>
      </c>
    </row>
    <row r="5266" customFormat="false" ht="15" hidden="false" customHeight="false" outlineLevel="0" collapsed="false">
      <c r="A5266" s="5" t="s">
        <v>459</v>
      </c>
      <c r="C5266" s="21" t="n">
        <f aca="false">IF(C5211=0,1,C5261/C5211)</f>
        <v>0</v>
      </c>
    </row>
    <row r="5267" customFormat="false" ht="15" hidden="false" customHeight="false" outlineLevel="0" collapsed="false">
      <c r="A5267" s="5" t="s">
        <v>460</v>
      </c>
      <c r="C5267" s="21" t="n">
        <f aca="false">IF(C5212=0,1,C5262/C5212)</f>
        <v>0</v>
      </c>
    </row>
    <row r="5268" customFormat="false" ht="15" hidden="false" customHeight="false" outlineLevel="0" collapsed="false">
      <c r="A5268" s="23" t="s">
        <v>472</v>
      </c>
      <c r="B5268" s="24"/>
      <c r="C5268" s="24"/>
      <c r="D5268" s="24"/>
      <c r="E5268" s="24"/>
      <c r="F5268" s="24"/>
      <c r="G5268" s="24"/>
      <c r="H5268" s="24"/>
      <c r="I5268" s="24"/>
      <c r="J5268" s="24"/>
      <c r="K5268" s="24"/>
    </row>
    <row r="5269" customFormat="false" ht="15" hidden="false" customHeight="false" outlineLevel="0" collapsed="false">
      <c r="A5269" s="5" t="s">
        <v>457</v>
      </c>
      <c r="C5269" s="25" t="n">
        <f aca="false">C5209-C5259</f>
        <v>271.6768</v>
      </c>
    </row>
    <row r="5270" customFormat="false" ht="15" hidden="false" customHeight="false" outlineLevel="0" collapsed="false">
      <c r="A5270" s="5" t="s">
        <v>458</v>
      </c>
      <c r="C5270" s="25" t="n">
        <f aca="false">C5210-C5260</f>
        <v>509.6</v>
      </c>
    </row>
    <row r="5271" customFormat="false" ht="15" hidden="false" customHeight="false" outlineLevel="0" collapsed="false">
      <c r="A5271" s="5" t="s">
        <v>459</v>
      </c>
      <c r="C5271" s="25" t="n">
        <f aca="false">C5211-C5261</f>
        <v>250</v>
      </c>
    </row>
    <row r="5272" customFormat="false" ht="15" hidden="false" customHeight="false" outlineLevel="0" collapsed="false">
      <c r="A5272" s="5" t="s">
        <v>460</v>
      </c>
      <c r="C5272" s="25" t="n">
        <f aca="false">C5212-C5262</f>
        <v>300</v>
      </c>
    </row>
    <row r="5273" customFormat="false" ht="15" hidden="false" customHeight="false" outlineLevel="0" collapsed="false">
      <c r="A5273" s="23" t="s">
        <v>473</v>
      </c>
      <c r="B5273" s="24"/>
      <c r="C5273" s="24"/>
      <c r="D5273" s="24"/>
      <c r="E5273" s="24"/>
      <c r="F5273" s="24"/>
      <c r="G5273" s="24"/>
      <c r="H5273" s="24"/>
      <c r="I5273" s="24"/>
      <c r="J5273" s="24"/>
      <c r="K5273" s="24"/>
    </row>
    <row r="5274" customFormat="false" ht="15" hidden="false" customHeight="false" outlineLevel="0" collapsed="false">
      <c r="A5274" s="5" t="s">
        <v>457</v>
      </c>
      <c r="C5274" s="21" t="n">
        <f aca="false">IF(C5209=0,0,C5269/C5209)</f>
        <v>1</v>
      </c>
    </row>
    <row r="5275" customFormat="false" ht="15" hidden="false" customHeight="false" outlineLevel="0" collapsed="false">
      <c r="A5275" s="5" t="s">
        <v>458</v>
      </c>
      <c r="C5275" s="21" t="n">
        <f aca="false">IF(C5210=0,0,C5270/C5210)</f>
        <v>1</v>
      </c>
    </row>
    <row r="5276" customFormat="false" ht="15" hidden="false" customHeight="false" outlineLevel="0" collapsed="false">
      <c r="A5276" s="5" t="s">
        <v>459</v>
      </c>
      <c r="C5276" s="21" t="n">
        <f aca="false">IF(C5211=0,0,C5271/C5211)</f>
        <v>1</v>
      </c>
    </row>
    <row r="5277" customFormat="false" ht="15" hidden="false" customHeight="false" outlineLevel="0" collapsed="false">
      <c r="A5277" s="5" t="s">
        <v>460</v>
      </c>
      <c r="C5277" s="21" t="n">
        <f aca="false">IF(C5212=0,0,C5272/C5212)</f>
        <v>1</v>
      </c>
    </row>
    <row r="5278" customFormat="false" ht="15" hidden="false" customHeight="false" outlineLevel="0" collapsed="false">
      <c r="A5278" s="2" t="s">
        <v>474</v>
      </c>
      <c r="C5278" s="16" t="n">
        <f aca="false">MAX(0,$C$5207-SUM($C$5224:$C$5227)-SUM($C$5234:$C$5237))</f>
        <v>0</v>
      </c>
    </row>
    <row r="5279" customFormat="false" ht="15" hidden="false" customHeight="false" outlineLevel="0" collapsed="false">
      <c r="A5279" s="5" t="s">
        <v>492</v>
      </c>
      <c r="C5279" s="33" t="n">
        <f aca="false">MIN(C5206,100*CHOOSE(C5196,C5264,C5265,C5266,C5267))</f>
        <v>0</v>
      </c>
    </row>
    <row r="5280" customFormat="false" ht="15" hidden="false" customHeight="false" outlineLevel="0" collapsed="false">
      <c r="A5280" s="5" t="s">
        <v>493</v>
      </c>
      <c r="C5280" s="20" t="n">
        <f aca="false">IF(C5112=1,C5201+Assumptions!$C$36,C5200)</f>
        <v>3</v>
      </c>
    </row>
    <row r="5281" customFormat="false" ht="15" hidden="false" customHeight="false" outlineLevel="0" collapsed="false">
      <c r="A5281" s="23" t="s">
        <v>494</v>
      </c>
      <c r="B5281" s="24"/>
      <c r="C5281" s="24"/>
      <c r="D5281" s="24"/>
      <c r="E5281" s="24"/>
      <c r="F5281" s="24"/>
      <c r="G5281" s="24"/>
      <c r="H5281" s="24"/>
      <c r="I5281" s="24"/>
      <c r="J5281" s="24"/>
      <c r="K5281" s="24"/>
    </row>
    <row r="5282" customFormat="false" ht="15" hidden="false" customHeight="false" outlineLevel="0" collapsed="false">
      <c r="A5282" s="5" t="s">
        <v>495</v>
      </c>
      <c r="C5282" s="20" t="n">
        <f aca="false">COLUMN()-COLUMN($C$1)</f>
        <v>0</v>
      </c>
      <c r="D5282" s="20" t="n">
        <f aca="false">COLUMN()-COLUMN($C$1)</f>
        <v>1</v>
      </c>
      <c r="E5282" s="20" t="n">
        <f aca="false">COLUMN()-COLUMN($C$1)</f>
        <v>2</v>
      </c>
      <c r="F5282" s="20" t="n">
        <f aca="false">COLUMN()-COLUMN($C$1)</f>
        <v>3</v>
      </c>
      <c r="G5282" s="20" t="n">
        <f aca="false">COLUMN()-COLUMN($C$1)</f>
        <v>4</v>
      </c>
      <c r="H5282" s="20" t="n">
        <f aca="false">COLUMN()-COLUMN($C$1)</f>
        <v>5</v>
      </c>
      <c r="I5282" s="20" t="n">
        <f aca="false">COLUMN()-COLUMN($C$1)</f>
        <v>6</v>
      </c>
    </row>
    <row r="5283" customFormat="false" ht="15" hidden="false" customHeight="false" outlineLevel="0" collapsed="false">
      <c r="A5283" s="5" t="s">
        <v>496</v>
      </c>
      <c r="D5283" s="30" t="n">
        <f aca="false">CHOOSE($C$5196,G4994,G5007,G5020,G5033)</f>
        <v>0.133</v>
      </c>
      <c r="E5283" s="30" t="n">
        <f aca="false">CHOOSE($C$5196,H4994,H5007,H5020,H5033)</f>
        <v>0.1305</v>
      </c>
      <c r="F5283" s="30" t="n">
        <f aca="false">CHOOSE($C$5196,I4994,I5007,I5020,I5033)</f>
        <v>0.128</v>
      </c>
      <c r="G5283" s="30" t="n">
        <f aca="false">CHOOSE($C$5196,J4994,J5007,J5020,J5033)</f>
        <v>0.128</v>
      </c>
      <c r="H5283" s="30" t="n">
        <f aca="false">CHOOSE($C$5196,K4994,K5007,K5020,K5033)</f>
        <v>0.128</v>
      </c>
    </row>
    <row r="5284" customFormat="false" ht="15" hidden="false" customHeight="false" outlineLevel="0" collapsed="false">
      <c r="A5284" s="5" t="s">
        <v>497</v>
      </c>
      <c r="D5284" s="25" t="n">
        <f aca="false">IF(D5282&lt;=$C$5205,$C$5197*D5283,0)</f>
        <v>13.3</v>
      </c>
      <c r="E5284" s="25" t="n">
        <f aca="false">IF(E5282&lt;=$C$5205,$C$5197*E5283,0)</f>
        <v>13.05</v>
      </c>
      <c r="F5284" s="25" t="n">
        <f aca="false">IF(F5282&lt;=$C$5205,$C$5197*F5283,0)</f>
        <v>0</v>
      </c>
      <c r="G5284" s="25" t="n">
        <f aca="false">IF(G5282&lt;=$C$5205,$C$5197*G5283,0)</f>
        <v>0</v>
      </c>
      <c r="H5284" s="25" t="n">
        <f aca="false">IF(H5282&lt;=$C$5205,$C$5197*H5283,0)</f>
        <v>0</v>
      </c>
    </row>
    <row r="5285" customFormat="false" ht="15" hidden="false" customHeight="false" outlineLevel="0" collapsed="false">
      <c r="A5285" s="5" t="s">
        <v>498</v>
      </c>
      <c r="D5285" s="25" t="n">
        <f aca="false">IF(AND($C$5112=0,D5282=$C$5200),$C$5197*$C$5279/100,0)+IF(AND($C$5112=1,D5282=$C$5280),$C$5203,0)</f>
        <v>0</v>
      </c>
      <c r="E5285" s="25" t="n">
        <f aca="false">IF(AND($C$5112=0,E5282=$C$5200),$C$5197*$C$5279/100,0)+IF(AND($C$5112=1,E5282=$C$5280),$C$5203,0)</f>
        <v>0</v>
      </c>
      <c r="F5285" s="25" t="n">
        <f aca="false">IF(AND($C$5112=0,F5282=$C$5200),$C$5197*$C$5279/100,0)+IF(AND($C$5112=1,F5282=$C$5280),$C$5203,0)</f>
        <v>21.5836677394034</v>
      </c>
      <c r="G5285" s="25" t="n">
        <f aca="false">IF(AND($C$5112=0,G5282=$C$5200),$C$5197*$C$5279/100,0)+IF(AND($C$5112=1,G5282=$C$5280),$C$5203,0)</f>
        <v>0</v>
      </c>
      <c r="H5285" s="25" t="n">
        <f aca="false">IF(AND($C$5112=0,H5282=$C$5200),$C$5197*$C$5279/100,0)+IF(AND($C$5112=1,H5282=$C$5280),$C$5203,0)</f>
        <v>0</v>
      </c>
      <c r="I5285" s="25" t="n">
        <f aca="false">IF(AND($C$5112=0,I5282=$C$5200),$C$5197*$C$5279/100,0)+IF(AND($C$5112=1,I5282=$C$5280),$C$5203,0)</f>
        <v>0</v>
      </c>
    </row>
    <row r="5286" customFormat="false" ht="15" hidden="false" customHeight="false" outlineLevel="0" collapsed="false">
      <c r="A5286" s="2" t="s">
        <v>499</v>
      </c>
      <c r="C5286" s="16" t="n">
        <f aca="false">-$C$5199</f>
        <v>-78.39</v>
      </c>
      <c r="D5286" s="16" t="n">
        <f aca="false">D5284+D5285</f>
        <v>13.3</v>
      </c>
      <c r="E5286" s="16" t="n">
        <f aca="false">E5284+E5285</f>
        <v>13.05</v>
      </c>
      <c r="F5286" s="16" t="n">
        <f aca="false">F5284+F5285</f>
        <v>21.5836677394034</v>
      </c>
      <c r="G5286" s="16" t="n">
        <f aca="false">G5284+G5285</f>
        <v>0</v>
      </c>
      <c r="H5286" s="16" t="n">
        <f aca="false">H5284+H5285</f>
        <v>0</v>
      </c>
      <c r="I5286" s="16" t="n">
        <f aca="false">I5284+I5285</f>
        <v>0</v>
      </c>
    </row>
    <row r="5287" customFormat="false" ht="15" hidden="false" customHeight="false" outlineLevel="0" collapsed="false">
      <c r="A5287" s="5" t="s">
        <v>500</v>
      </c>
      <c r="C5287" s="25" t="n">
        <f aca="false">SUM($C$5284:$I$5284)</f>
        <v>26.35</v>
      </c>
    </row>
    <row r="5288" customFormat="false" ht="15" hidden="false" customHeight="false" outlineLevel="0" collapsed="false">
      <c r="A5288" s="5" t="s">
        <v>501</v>
      </c>
      <c r="C5288" s="25" t="n">
        <f aca="false">SUM($C$5285:$I$5285)</f>
        <v>21.5836677394034</v>
      </c>
    </row>
    <row r="5289" customFormat="false" ht="15" hidden="false" customHeight="false" outlineLevel="0" collapsed="false">
      <c r="A5289" s="5" t="s">
        <v>502</v>
      </c>
      <c r="C5289" s="25" t="n">
        <f aca="false">C5287+C5288</f>
        <v>47.9336677394035</v>
      </c>
    </row>
    <row r="5290" customFormat="false" ht="15" hidden="false" customHeight="false" outlineLevel="0" collapsed="false">
      <c r="A5290" s="5" t="s">
        <v>503</v>
      </c>
      <c r="C5290" s="25" t="n">
        <f aca="false">C5288-C5197*C5198/100</f>
        <v>-56.4163322605966</v>
      </c>
    </row>
    <row r="5291" customFormat="false" ht="15" hidden="false" customHeight="false" outlineLevel="0" collapsed="false">
      <c r="A5291" s="5" t="s">
        <v>504</v>
      </c>
      <c r="C5291" s="25" t="n">
        <f aca="false">C5289-C5199</f>
        <v>-30.4563322605965</v>
      </c>
    </row>
    <row r="5292" customFormat="false" ht="15" hidden="false" customHeight="false" outlineLevel="0" collapsed="false">
      <c r="A5292" s="2" t="s">
        <v>385</v>
      </c>
      <c r="C5292" s="43" t="n">
        <f aca="false">C5289/C5199</f>
        <v>0.61147681769873</v>
      </c>
    </row>
    <row r="5293" customFormat="false" ht="15" hidden="false" customHeight="false" outlineLevel="0" collapsed="false">
      <c r="A5293" s="2" t="s">
        <v>384</v>
      </c>
      <c r="C5293" s="41" t="n">
        <f aca="false">IF(C5289&lt;=0,-1,IFERROR(IRR($C$5286:$I$5286,MAX(-0.9,C5292^(1/C5280)-1)),IRR($C$5286:$I$5286,0.1)))</f>
        <v>-0.196574818840628</v>
      </c>
    </row>
    <row r="5294" customFormat="false" ht="15" hidden="false" customHeight="false" outlineLevel="0" collapsed="false">
      <c r="A5294" s="5" t="s">
        <v>505</v>
      </c>
      <c r="C5294" s="31" t="n">
        <f aca="false">MAX($G$5088:$K$5088)</f>
        <v>0</v>
      </c>
    </row>
    <row r="5295" customFormat="false" ht="15" hidden="false" customHeight="false" outlineLevel="0" collapsed="false">
      <c r="A5295" s="5" t="s">
        <v>506</v>
      </c>
      <c r="C5295" s="31" t="n">
        <f aca="false">MIN($G$5089:$K$5089)</f>
        <v>-0.13127677806341</v>
      </c>
    </row>
    <row r="5296" customFormat="false" ht="15" hidden="false" customHeight="false" outlineLevel="0" collapsed="false">
      <c r="A5296" s="5" t="s">
        <v>507</v>
      </c>
      <c r="C5296" s="25" t="n">
        <f aca="false">SUM($G$4978:$K$4978)</f>
        <v>-875.503792190438</v>
      </c>
    </row>
    <row r="5300" customFormat="false" ht="15" hidden="false" customHeight="false" outlineLevel="0" collapsed="false">
      <c r="A5300" s="9" t="s">
        <v>641</v>
      </c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</row>
    <row r="5301" customFormat="false" ht="15" hidden="false" customHeight="false" outlineLevel="0" collapsed="false">
      <c r="A5301" s="5" t="s">
        <v>622</v>
      </c>
      <c r="C5301" s="11" t="n">
        <v>3</v>
      </c>
    </row>
    <row r="5302" customFormat="false" ht="15" hidden="false" customHeight="false" outlineLevel="0" collapsed="false">
      <c r="A5302" s="5" t="s">
        <v>623</v>
      </c>
      <c r="C5302" s="18" t="n">
        <v>0</v>
      </c>
    </row>
    <row r="5303" customFormat="false" ht="15" hidden="false" customHeight="false" outlineLevel="0" collapsed="false">
      <c r="A5303" s="5" t="s">
        <v>624</v>
      </c>
      <c r="C5303" s="29" t="n">
        <f aca="false">Sensitivities!$A$32</f>
        <v>0</v>
      </c>
    </row>
    <row r="5304" customFormat="false" ht="15" hidden="false" customHeight="false" outlineLevel="0" collapsed="false">
      <c r="A5304" s="5" t="s">
        <v>625</v>
      </c>
      <c r="C5304" s="18" t="n">
        <v>0</v>
      </c>
    </row>
    <row r="5305" customFormat="false" ht="15" hidden="false" customHeight="false" outlineLevel="0" collapsed="false">
      <c r="A5305" s="5" t="s">
        <v>626</v>
      </c>
      <c r="C5305" s="15" t="n">
        <v>0</v>
      </c>
    </row>
    <row r="5307" customFormat="false" ht="15" hidden="false" customHeight="false" outlineLevel="0" collapsed="false">
      <c r="A5307" s="23" t="s">
        <v>237</v>
      </c>
      <c r="B5307" s="24"/>
      <c r="C5307" s="24"/>
      <c r="D5307" s="24"/>
      <c r="E5307" s="24"/>
      <c r="F5307" s="24"/>
      <c r="G5307" s="24"/>
      <c r="H5307" s="24"/>
      <c r="I5307" s="24"/>
      <c r="J5307" s="24"/>
      <c r="K5307" s="24"/>
    </row>
    <row r="5308" customFormat="false" ht="15" hidden="false" customHeight="false" outlineLevel="0" collapsed="false">
      <c r="A5308" s="5" t="s">
        <v>238</v>
      </c>
      <c r="F5308" s="26" t="n">
        <f aca="false">Assumptions!$C$6</f>
        <v>2025</v>
      </c>
      <c r="G5308" s="20" t="n">
        <f aca="false">F5308+1</f>
        <v>2026</v>
      </c>
      <c r="H5308" s="20" t="n">
        <f aca="false">G5308+1</f>
        <v>2027</v>
      </c>
      <c r="I5308" s="20" t="n">
        <f aca="false">H5308+1</f>
        <v>2028</v>
      </c>
      <c r="J5308" s="20" t="n">
        <f aca="false">I5308+1</f>
        <v>2029</v>
      </c>
      <c r="K5308" s="20" t="n">
        <f aca="false">J5308+1</f>
        <v>2030</v>
      </c>
    </row>
    <row r="5309" customFormat="false" ht="15" hidden="false" customHeight="false" outlineLevel="0" collapsed="false">
      <c r="A5309" s="5" t="s">
        <v>239</v>
      </c>
      <c r="G5309" s="20" t="n">
        <f aca="false">G5308-Assumptions!$C$6</f>
        <v>1</v>
      </c>
      <c r="H5309" s="20" t="n">
        <f aca="false">H5308-Assumptions!$C$6</f>
        <v>2</v>
      </c>
      <c r="I5309" s="20" t="n">
        <f aca="false">I5308-Assumptions!$C$6</f>
        <v>3</v>
      </c>
      <c r="J5309" s="20" t="n">
        <f aca="false">J5308-Assumptions!$C$6</f>
        <v>4</v>
      </c>
      <c r="K5309" s="20" t="n">
        <f aca="false">K5308-Assumptions!$C$6</f>
        <v>5</v>
      </c>
    </row>
    <row r="5310" customFormat="false" ht="15" hidden="false" customHeight="false" outlineLevel="0" collapsed="false">
      <c r="A5310" s="5" t="s">
        <v>149</v>
      </c>
      <c r="G5310" s="21" t="n">
        <f aca="false">CHOOSE($C$5301,Assumptions!$G$65,Assumptions!$G$84,Assumptions!$G$103)+$C$5302</f>
        <v>-0.234</v>
      </c>
      <c r="H5310" s="21" t="n">
        <f aca="false">CHOOSE($C$5301,Assumptions!$H$65,Assumptions!$H$84,Assumptions!$H$103)+$C$5302</f>
        <v>-0.13</v>
      </c>
      <c r="I5310" s="21" t="n">
        <f aca="false">CHOOSE($C$5301,Assumptions!$I$65,Assumptions!$I$84,Assumptions!$I$103)+$C$5302</f>
        <v>-0.026</v>
      </c>
      <c r="J5310" s="21" t="n">
        <f aca="false">CHOOSE($C$5301,Assumptions!$J$65,Assumptions!$J$84,Assumptions!$J$103)+$C$5302</f>
        <v>-0.01</v>
      </c>
      <c r="K5310" s="21" t="n">
        <f aca="false">CHOOSE($C$5301,Assumptions!$K$65,Assumptions!$K$84,Assumptions!$K$103)+$C$5302</f>
        <v>-0.01</v>
      </c>
    </row>
    <row r="5311" customFormat="false" ht="15" hidden="false" customHeight="false" outlineLevel="0" collapsed="false">
      <c r="A5311" s="5" t="s">
        <v>150</v>
      </c>
      <c r="G5311" s="21" t="n">
        <f aca="false">CHOOSE($C$5301,Assumptions!$G$66,Assumptions!$G$85,Assumptions!$G$104)</f>
        <v>0.305</v>
      </c>
      <c r="H5311" s="21" t="n">
        <f aca="false">CHOOSE($C$5301,Assumptions!$H$66,Assumptions!$H$85,Assumptions!$H$104)</f>
        <v>0.305</v>
      </c>
      <c r="I5311" s="21" t="n">
        <f aca="false">CHOOSE($C$5301,Assumptions!$I$66,Assumptions!$I$85,Assumptions!$I$104)</f>
        <v>0.305</v>
      </c>
      <c r="J5311" s="21" t="n">
        <f aca="false">CHOOSE($C$5301,Assumptions!$J$66,Assumptions!$J$85,Assumptions!$J$104)</f>
        <v>0.305</v>
      </c>
      <c r="K5311" s="21" t="n">
        <f aca="false">CHOOSE($C$5301,Assumptions!$K$66,Assumptions!$K$85,Assumptions!$K$104)</f>
        <v>0.305</v>
      </c>
    </row>
    <row r="5312" customFormat="false" ht="15" hidden="false" customHeight="false" outlineLevel="0" collapsed="false">
      <c r="A5312" s="5" t="s">
        <v>151</v>
      </c>
      <c r="G5312" s="21" t="n">
        <f aca="false">CHOOSE($C$5301,Assumptions!$G$67,Assumptions!$G$86,Assumptions!$G$105)+$C$5303</f>
        <v>0.01</v>
      </c>
      <c r="H5312" s="21" t="n">
        <f aca="false">CHOOSE($C$5301,Assumptions!$H$67,Assumptions!$H$86,Assumptions!$H$105)+$C$5303</f>
        <v>0.01</v>
      </c>
      <c r="I5312" s="21" t="n">
        <f aca="false">CHOOSE($C$5301,Assumptions!$I$67,Assumptions!$I$86,Assumptions!$I$105)+$C$5303</f>
        <v>0.01</v>
      </c>
      <c r="J5312" s="21" t="n">
        <f aca="false">CHOOSE($C$5301,Assumptions!$J$67,Assumptions!$J$86,Assumptions!$J$105)+$C$5303</f>
        <v>0.01</v>
      </c>
      <c r="K5312" s="21" t="n">
        <f aca="false">CHOOSE($C$5301,Assumptions!$K$67,Assumptions!$K$86,Assumptions!$K$105)+$C$5303</f>
        <v>0.01</v>
      </c>
    </row>
    <row r="5313" customFormat="false" ht="15" hidden="false" customHeight="false" outlineLevel="0" collapsed="false">
      <c r="A5313" s="23" t="s">
        <v>240</v>
      </c>
      <c r="B5313" s="24"/>
      <c r="C5313" s="24"/>
      <c r="D5313" s="24"/>
      <c r="E5313" s="24"/>
      <c r="F5313" s="24"/>
      <c r="G5313" s="24"/>
      <c r="H5313" s="24"/>
      <c r="I5313" s="24"/>
      <c r="J5313" s="24"/>
      <c r="K5313" s="24"/>
    </row>
    <row r="5314" customFormat="false" ht="15" hidden="false" customHeight="false" outlineLevel="0" collapsed="false">
      <c r="A5314" s="2" t="s">
        <v>207</v>
      </c>
      <c r="F5314" s="27" t="n">
        <f aca="false">'Historical Financials'!E17</f>
        <v>2400</v>
      </c>
      <c r="G5314" s="16" t="n">
        <f aca="false">F5314*(1+G5310)</f>
        <v>1838.4</v>
      </c>
      <c r="H5314" s="16" t="n">
        <f aca="false">G5314*(1+H5310)</f>
        <v>1599.408</v>
      </c>
      <c r="I5314" s="16" t="n">
        <f aca="false">H5314*(1+I5310)</f>
        <v>1557.823392</v>
      </c>
      <c r="J5314" s="16" t="n">
        <f aca="false">I5314*(1+J5310)</f>
        <v>1542.24515808</v>
      </c>
      <c r="K5314" s="16" t="n">
        <f aca="false">J5314*(1+K5310)</f>
        <v>1526.8227064992</v>
      </c>
    </row>
    <row r="5315" customFormat="false" ht="15" hidden="false" customHeight="false" outlineLevel="0" collapsed="false">
      <c r="A5315" s="5" t="s">
        <v>217</v>
      </c>
      <c r="G5315" s="25" t="n">
        <f aca="false">G5314*(1-G5311)</f>
        <v>1277.688</v>
      </c>
      <c r="H5315" s="25" t="n">
        <f aca="false">H5314*(1-H5311)</f>
        <v>1111.58856</v>
      </c>
      <c r="I5315" s="25" t="n">
        <f aca="false">I5314*(1-I5311)</f>
        <v>1082.68725744</v>
      </c>
      <c r="J5315" s="25" t="n">
        <f aca="false">J5314*(1-J5311)</f>
        <v>1071.8603848656</v>
      </c>
      <c r="K5315" s="25" t="n">
        <f aca="false">K5314*(1-K5311)</f>
        <v>1061.14178101694</v>
      </c>
    </row>
    <row r="5316" customFormat="false" ht="15" hidden="false" customHeight="false" outlineLevel="0" collapsed="false">
      <c r="A5316" s="2" t="s">
        <v>218</v>
      </c>
      <c r="G5316" s="16" t="n">
        <f aca="false">G5314-G5315</f>
        <v>560.712</v>
      </c>
      <c r="H5316" s="16" t="n">
        <f aca="false">H5314-H5315</f>
        <v>487.81944</v>
      </c>
      <c r="I5316" s="16" t="n">
        <f aca="false">I5314-I5315</f>
        <v>475.13613456</v>
      </c>
      <c r="J5316" s="16" t="n">
        <f aca="false">J5314-J5315</f>
        <v>470.3847732144</v>
      </c>
      <c r="K5316" s="16" t="n">
        <f aca="false">K5314-K5315</f>
        <v>465.680925482256</v>
      </c>
    </row>
    <row r="5317" customFormat="false" ht="15" hidden="false" customHeight="false" outlineLevel="0" collapsed="false">
      <c r="A5317" s="5" t="s">
        <v>241</v>
      </c>
      <c r="G5317" s="25" t="n">
        <f aca="false">G5316-G5318</f>
        <v>542.328</v>
      </c>
      <c r="H5317" s="25" t="n">
        <f aca="false">H5316-H5318</f>
        <v>471.82536</v>
      </c>
      <c r="I5317" s="25" t="n">
        <f aca="false">I5316-I5318</f>
        <v>459.55790064</v>
      </c>
      <c r="J5317" s="25" t="n">
        <f aca="false">J5316-J5318</f>
        <v>454.9623216336</v>
      </c>
      <c r="K5317" s="25" t="n">
        <f aca="false">K5316-K5318</f>
        <v>450.412698417264</v>
      </c>
    </row>
    <row r="5318" customFormat="false" ht="15" hidden="false" customHeight="false" outlineLevel="0" collapsed="false">
      <c r="A5318" s="2" t="s">
        <v>242</v>
      </c>
      <c r="G5318" s="16" t="n">
        <f aca="false">G5314*G5312</f>
        <v>18.384</v>
      </c>
      <c r="H5318" s="16" t="n">
        <f aca="false">H5314*H5312</f>
        <v>15.99408</v>
      </c>
      <c r="I5318" s="16" t="n">
        <f aca="false">I5314*I5312</f>
        <v>15.57823392</v>
      </c>
      <c r="J5318" s="16" t="n">
        <f aca="false">J5314*J5312</f>
        <v>15.4224515808</v>
      </c>
      <c r="K5318" s="16" t="n">
        <f aca="false">K5314*K5312</f>
        <v>15.268227064992</v>
      </c>
    </row>
    <row r="5319" customFormat="false" ht="15" hidden="false" customHeight="false" outlineLevel="0" collapsed="false">
      <c r="A5319" s="5" t="s">
        <v>243</v>
      </c>
      <c r="G5319" s="25" t="n">
        <f aca="false">G5314*'Historical Financials'!E22/'Historical Financials'!E17</f>
        <v>40.4448</v>
      </c>
      <c r="H5319" s="25" t="n">
        <f aca="false">H5314*'Historical Financials'!E22/'Historical Financials'!E17</f>
        <v>35.186976</v>
      </c>
      <c r="I5319" s="25" t="n">
        <f aca="false">I5314*'Historical Financials'!E22/'Historical Financials'!E17</f>
        <v>34.272114624</v>
      </c>
      <c r="J5319" s="25" t="n">
        <f aca="false">J5314*'Historical Financials'!E22/'Historical Financials'!E17</f>
        <v>33.92939347776</v>
      </c>
      <c r="K5319" s="25" t="n">
        <f aca="false">K5314*'Historical Financials'!E22/'Historical Financials'!E17</f>
        <v>33.5900995429824</v>
      </c>
    </row>
    <row r="5320" customFormat="false" ht="15" hidden="false" customHeight="false" outlineLevel="0" collapsed="false">
      <c r="A5320" s="5" t="s">
        <v>244</v>
      </c>
      <c r="G5320" s="25" t="n">
        <f aca="false">G5314*'Historical Financials'!E23/'Historical Financials'!E17</f>
        <v>0</v>
      </c>
      <c r="H5320" s="25" t="n">
        <f aca="false">H5314*'Historical Financials'!E23/'Historical Financials'!E17</f>
        <v>0</v>
      </c>
      <c r="I5320" s="25" t="n">
        <f aca="false">I5314*'Historical Financials'!E23/'Historical Financials'!E17</f>
        <v>0</v>
      </c>
      <c r="J5320" s="25" t="n">
        <f aca="false">J5314*'Historical Financials'!E23/'Historical Financials'!E17</f>
        <v>0</v>
      </c>
      <c r="K5320" s="25" t="n">
        <f aca="false">K5314*'Historical Financials'!E23/'Historical Financials'!E17</f>
        <v>0</v>
      </c>
    </row>
    <row r="5321" customFormat="false" ht="15" hidden="false" customHeight="false" outlineLevel="0" collapsed="false">
      <c r="A5321" s="2" t="s">
        <v>245</v>
      </c>
      <c r="G5321" s="16" t="n">
        <f aca="false">G5318-G5319-G5320</f>
        <v>-22.0608</v>
      </c>
      <c r="H5321" s="16" t="n">
        <f aca="false">H5318-H5319-H5320</f>
        <v>-19.192896</v>
      </c>
      <c r="I5321" s="16" t="n">
        <f aca="false">I5318-I5319-I5320</f>
        <v>-18.693880704</v>
      </c>
      <c r="J5321" s="16" t="n">
        <f aca="false">J5318-J5319-J5320</f>
        <v>-18.50694189696</v>
      </c>
      <c r="K5321" s="16" t="n">
        <f aca="false">K5318-K5319-K5320</f>
        <v>-18.3218724779904</v>
      </c>
    </row>
    <row r="5322" customFormat="false" ht="15" hidden="false" customHeight="false" outlineLevel="0" collapsed="false">
      <c r="A5322" s="5" t="s">
        <v>246</v>
      </c>
      <c r="G5322" s="25" t="n">
        <f aca="false">G5348+G5361+G5374+G5387</f>
        <v>140.04</v>
      </c>
      <c r="H5322" s="25" t="n">
        <f aca="false">H5348+H5361+H5374+H5387</f>
        <v>143.8435488</v>
      </c>
      <c r="I5322" s="25" t="n">
        <f aca="false">I5348+I5361+I5374+I5387</f>
        <v>141.3036768</v>
      </c>
      <c r="J5322" s="25" t="n">
        <f aca="false">J5348+J5361+J5374+J5387</f>
        <v>140.6380768</v>
      </c>
      <c r="K5322" s="25" t="n">
        <f aca="false">K5348+K5361+K5374+K5387</f>
        <v>139.9724768</v>
      </c>
    </row>
    <row r="5323" customFormat="false" ht="15" hidden="false" customHeight="false" outlineLevel="0" collapsed="false">
      <c r="A5323" s="5" t="s">
        <v>247</v>
      </c>
      <c r="G5323" s="25" t="n">
        <f aca="false">G5349+G5362+G5375+G5388</f>
        <v>0</v>
      </c>
      <c r="H5323" s="25" t="n">
        <f aca="false">H5349+H5362+H5375+H5388</f>
        <v>0</v>
      </c>
      <c r="I5323" s="25" t="n">
        <f aca="false">I5349+I5362+I5375+I5388</f>
        <v>0</v>
      </c>
      <c r="J5323" s="25" t="n">
        <f aca="false">J5349+J5362+J5375+J5388</f>
        <v>0</v>
      </c>
      <c r="K5323" s="25" t="n">
        <f aca="false">K5349+K5362+K5375+K5388</f>
        <v>0</v>
      </c>
    </row>
    <row r="5324" customFormat="false" ht="15" hidden="false" customHeight="false" outlineLevel="0" collapsed="false">
      <c r="A5324" s="5" t="s">
        <v>212</v>
      </c>
      <c r="G5324" s="25" t="n">
        <f aca="false">G5322+G5323</f>
        <v>140.04</v>
      </c>
      <c r="H5324" s="25" t="n">
        <f aca="false">H5322+H5323</f>
        <v>143.8435488</v>
      </c>
      <c r="I5324" s="25" t="n">
        <f aca="false">I5322+I5323</f>
        <v>141.3036768</v>
      </c>
      <c r="J5324" s="25" t="n">
        <f aca="false">J5322+J5323</f>
        <v>140.6380768</v>
      </c>
      <c r="K5324" s="25" t="n">
        <f aca="false">K5322+K5323</f>
        <v>139.9724768</v>
      </c>
    </row>
    <row r="5325" customFormat="false" ht="15" hidden="false" customHeight="false" outlineLevel="0" collapsed="false">
      <c r="A5325" s="2" t="s">
        <v>223</v>
      </c>
      <c r="G5325" s="16" t="n">
        <f aca="false">G5321-G5324</f>
        <v>-162.1008</v>
      </c>
      <c r="H5325" s="16" t="n">
        <f aca="false">H5321-H5324</f>
        <v>-163.0364448</v>
      </c>
      <c r="I5325" s="16" t="n">
        <f aca="false">I5321-I5324</f>
        <v>-159.997557504</v>
      </c>
      <c r="J5325" s="16" t="n">
        <f aca="false">J5321-J5324</f>
        <v>-159.14501869696</v>
      </c>
      <c r="K5325" s="16" t="n">
        <f aca="false">K5321-K5324</f>
        <v>-158.29434927799</v>
      </c>
    </row>
    <row r="5326" customFormat="false" ht="15" hidden="false" customHeight="false" outlineLevel="0" collapsed="false">
      <c r="A5326" s="5" t="s">
        <v>213</v>
      </c>
      <c r="G5326" s="25" t="n">
        <f aca="false">MAX(0,G5325)*Assumptions!$C$9</f>
        <v>0</v>
      </c>
      <c r="H5326" s="25" t="n">
        <f aca="false">MAX(0,H5325)*Assumptions!$C$9</f>
        <v>0</v>
      </c>
      <c r="I5326" s="25" t="n">
        <f aca="false">MAX(0,I5325)*Assumptions!$C$9</f>
        <v>0</v>
      </c>
      <c r="J5326" s="25" t="n">
        <f aca="false">MAX(0,J5325)*Assumptions!$C$9</f>
        <v>0</v>
      </c>
      <c r="K5326" s="25" t="n">
        <f aca="false">MAX(0,K5325)*Assumptions!$C$9</f>
        <v>0</v>
      </c>
    </row>
    <row r="5327" customFormat="false" ht="15" hidden="false" customHeight="false" outlineLevel="0" collapsed="false">
      <c r="A5327" s="2" t="s">
        <v>248</v>
      </c>
      <c r="G5327" s="16" t="n">
        <f aca="false">G5325-G5326</f>
        <v>-162.1008</v>
      </c>
      <c r="H5327" s="16" t="n">
        <f aca="false">H5325-H5326</f>
        <v>-163.0364448</v>
      </c>
      <c r="I5327" s="16" t="n">
        <f aca="false">I5325-I5326</f>
        <v>-159.997557504</v>
      </c>
      <c r="J5327" s="16" t="n">
        <f aca="false">J5325-J5326</f>
        <v>-159.14501869696</v>
      </c>
      <c r="K5327" s="16" t="n">
        <f aca="false">K5325-K5326</f>
        <v>-158.29434927799</v>
      </c>
    </row>
    <row r="5328" customFormat="false" ht="15" hidden="false" customHeight="false" outlineLevel="0" collapsed="false">
      <c r="A5328" s="23" t="s">
        <v>249</v>
      </c>
      <c r="B5328" s="24"/>
      <c r="C5328" s="24"/>
      <c r="D5328" s="24"/>
      <c r="E5328" s="24"/>
      <c r="F5328" s="24"/>
      <c r="G5328" s="24"/>
      <c r="H5328" s="24"/>
      <c r="I5328" s="24"/>
      <c r="J5328" s="24"/>
      <c r="K5328" s="24"/>
    </row>
    <row r="5329" customFormat="false" ht="15" hidden="false" customHeight="false" outlineLevel="0" collapsed="false">
      <c r="A5329" s="5" t="s">
        <v>153</v>
      </c>
      <c r="G5329" s="25" t="n">
        <f aca="false">G5314*CHOOSE($C$5301,Assumptions!$C$69,Assumptions!$C$88,Assumptions!$C$107)</f>
        <v>29.4144</v>
      </c>
      <c r="H5329" s="25" t="n">
        <f aca="false">H5314*CHOOSE($C$5301,Assumptions!$C$69,Assumptions!$C$88,Assumptions!$C$107)</f>
        <v>25.590528</v>
      </c>
      <c r="I5329" s="25" t="n">
        <f aca="false">I5314*CHOOSE($C$5301,Assumptions!$C$69,Assumptions!$C$88,Assumptions!$C$107)</f>
        <v>24.925174272</v>
      </c>
      <c r="J5329" s="25" t="n">
        <f aca="false">J5314*CHOOSE($C$5301,Assumptions!$C$69,Assumptions!$C$88,Assumptions!$C$107)</f>
        <v>24.67592252928</v>
      </c>
      <c r="K5329" s="25" t="n">
        <f aca="false">K5314*CHOOSE($C$5301,Assumptions!$C$69,Assumptions!$C$88,Assumptions!$C$107)</f>
        <v>24.4291633039872</v>
      </c>
    </row>
    <row r="5330" customFormat="false" ht="15" hidden="false" customHeight="false" outlineLevel="0" collapsed="false">
      <c r="A5330" s="5" t="s">
        <v>250</v>
      </c>
      <c r="G5330" s="25" t="n">
        <f aca="false">CHOOSE($C$5301,Assumptions!$C$70,Assumptions!$C$89,Assumptions!$C$108)*(G5314-F5314)+CHOOSE($C$5301,Assumptions!$C$71,Assumptions!$C$90,Assumptions!$C$109)*G5314</f>
        <v>-56.3616</v>
      </c>
      <c r="H5330" s="25" t="n">
        <f aca="false">CHOOSE($C$5301,Assumptions!$C$70,Assumptions!$C$89,Assumptions!$C$108)*(H5314-G5314)+CHOOSE($C$5301,Assumptions!$C$71,Assumptions!$C$90,Assumptions!$C$109)*H5314</f>
        <v>-19.082592</v>
      </c>
      <c r="I5330" s="25" t="n">
        <f aca="false">CHOOSE($C$5301,Assumptions!$C$70,Assumptions!$C$89,Assumptions!$C$108)*(I5314-H5314)+CHOOSE($C$5301,Assumptions!$C$71,Assumptions!$C$90,Assumptions!$C$109)*I5314</f>
        <v>4.35678739199999</v>
      </c>
      <c r="J5330" s="25" t="n">
        <f aca="false">CHOOSE($C$5301,Assumptions!$C$70,Assumptions!$C$89,Assumptions!$C$108)*(J5314-I5314)+CHOOSE($C$5301,Assumptions!$C$71,Assumptions!$C$90,Assumptions!$C$109)*J5314</f>
        <v>7.38408287808</v>
      </c>
      <c r="K5330" s="25" t="n">
        <f aca="false">CHOOSE($C$5301,Assumptions!$C$70,Assumptions!$C$89,Assumptions!$C$108)*(K5314-J5314)+CHOOSE($C$5301,Assumptions!$C$71,Assumptions!$C$90,Assumptions!$C$109)*K5314</f>
        <v>7.3102420492992</v>
      </c>
    </row>
    <row r="5331" customFormat="false" ht="15" hidden="false" customHeight="false" outlineLevel="0" collapsed="false">
      <c r="A5331" s="2" t="s">
        <v>251</v>
      </c>
      <c r="G5331" s="16" t="n">
        <f aca="false">G5327+G5319+G5320+G5323-G5329-G5330</f>
        <v>-94.7088</v>
      </c>
      <c r="H5331" s="16" t="n">
        <f aca="false">H5327+H5319+H5320+H5323-H5329-H5330</f>
        <v>-134.3574048</v>
      </c>
      <c r="I5331" s="16" t="n">
        <f aca="false">I5327+I5319+I5320+I5323-I5329-I5330</f>
        <v>-155.007404544</v>
      </c>
      <c r="J5331" s="16" t="n">
        <f aca="false">J5327+J5319+J5320+J5323-J5329-J5330</f>
        <v>-157.27563062656</v>
      </c>
      <c r="K5331" s="16" t="n">
        <f aca="false">K5327+K5319+K5320+K5323-K5329-K5330</f>
        <v>-156.443655088294</v>
      </c>
    </row>
    <row r="5333" customFormat="false" ht="15" hidden="false" customHeight="false" outlineLevel="0" collapsed="false">
      <c r="A5333" s="23" t="s">
        <v>253</v>
      </c>
      <c r="B5333" s="24"/>
      <c r="C5333" s="24"/>
      <c r="D5333" s="24"/>
      <c r="E5333" s="24"/>
      <c r="F5333" s="24"/>
      <c r="G5333" s="24"/>
      <c r="H5333" s="24"/>
      <c r="I5333" s="24"/>
      <c r="J5333" s="24"/>
      <c r="K5333" s="24"/>
    </row>
    <row r="5334" customFormat="false" ht="15" hidden="false" customHeight="false" outlineLevel="0" collapsed="false">
      <c r="A5334" s="5" t="s">
        <v>254</v>
      </c>
      <c r="G5334" s="29" t="n">
        <f aca="false">Assumptions!$G$49</f>
        <v>0.0425</v>
      </c>
      <c r="H5334" s="29" t="n">
        <f aca="false">Assumptions!$H$49</f>
        <v>0.04</v>
      </c>
      <c r="I5334" s="29" t="n">
        <f aca="false">Assumptions!$I$49</f>
        <v>0.0375</v>
      </c>
      <c r="J5334" s="29" t="n">
        <f aca="false">Assumptions!$J$49</f>
        <v>0.0375</v>
      </c>
      <c r="K5334" s="29" t="n">
        <f aca="false">Assumptions!$K$49</f>
        <v>0.0375</v>
      </c>
    </row>
    <row r="5335" customFormat="false" ht="15" hidden="false" customHeight="false" outlineLevel="0" collapsed="false">
      <c r="A5335" s="5" t="s">
        <v>255</v>
      </c>
      <c r="C5335" s="30" t="n">
        <f aca="false">CHOOSE($C$5301,Assumptions!$C$72,Assumptions!$C$91,Assumptions!$C$110)+$C$5304</f>
        <v>0.03</v>
      </c>
    </row>
    <row r="5336" customFormat="false" ht="15" hidden="false" customHeight="false" outlineLevel="0" collapsed="false">
      <c r="A5336" s="5" t="s">
        <v>256</v>
      </c>
      <c r="C5336" s="30" t="n">
        <f aca="false">CHOOSE($C$5301,Assumptions!$C$73,Assumptions!$C$92,Assumptions!$C$111)</f>
        <v>0.16</v>
      </c>
    </row>
    <row r="5337" customFormat="false" ht="15" hidden="false" customHeight="false" outlineLevel="0" collapsed="false">
      <c r="A5337" s="5" t="s">
        <v>257</v>
      </c>
      <c r="C5337" s="31" t="n">
        <f aca="false">CHOOSE($C$5301,Assumptions!$C$74,Assumptions!$C$93,Assumptions!$C$112)</f>
        <v>5</v>
      </c>
    </row>
    <row r="5338" customFormat="false" ht="15" hidden="false" customHeight="false" outlineLevel="0" collapsed="false">
      <c r="A5338" s="5" t="s">
        <v>258</v>
      </c>
      <c r="C5338" s="31" t="n">
        <f aca="false">CHOOSE($C$5301,Assumptions!$C$75,Assumptions!$C$94,Assumptions!$C$113)</f>
        <v>2</v>
      </c>
    </row>
    <row r="5339" customFormat="false" ht="15" hidden="false" customHeight="false" outlineLevel="0" collapsed="false">
      <c r="A5339" s="5" t="s">
        <v>259</v>
      </c>
      <c r="G5339" s="25" t="n">
        <f aca="false">G5344+G5357+G5370+G5383</f>
        <v>1250</v>
      </c>
      <c r="H5339" s="25" t="n">
        <f aca="false">H5344+H5357+H5370+H5383</f>
        <v>1299.7088</v>
      </c>
      <c r="I5339" s="25" t="n">
        <f aca="false">I5344+I5357+I5370+I5383</f>
        <v>1294.5088</v>
      </c>
      <c r="J5339" s="25" t="n">
        <f aca="false">J5344+J5357+J5370+J5383</f>
        <v>1289.3088</v>
      </c>
      <c r="K5339" s="25" t="n">
        <f aca="false">K5344+K5357+K5370+K5383</f>
        <v>1284.1088</v>
      </c>
    </row>
    <row r="5340" customFormat="false" ht="15" hidden="false" customHeight="false" outlineLevel="0" collapsed="false">
      <c r="A5340" s="5" t="s">
        <v>260</v>
      </c>
      <c r="G5340" s="25" t="n">
        <f aca="false">F5430</f>
        <v>45</v>
      </c>
      <c r="H5340" s="25" t="n">
        <f aca="false">G5430</f>
        <v>0</v>
      </c>
      <c r="I5340" s="25" t="n">
        <f aca="false">H5430</f>
        <v>-139.5574048</v>
      </c>
      <c r="J5340" s="25" t="n">
        <f aca="false">I5430</f>
        <v>-299.764809344</v>
      </c>
      <c r="K5340" s="25" t="n">
        <f aca="false">J5430</f>
        <v>-462.24043997056</v>
      </c>
    </row>
    <row r="5341" customFormat="false" ht="15" hidden="false" customHeight="false" outlineLevel="0" collapsed="false">
      <c r="A5341" s="5" t="s">
        <v>261</v>
      </c>
      <c r="G5341" s="25" t="n">
        <f aca="false">G5344*IF(G5345=1,$C$5336,IF(Assumptions!$I$53=1,MAX(G5334,Assumptions!$G$53)+Assumptions!$F$53+$C$5335,Assumptions!$E$53))+G5357*IF(G5358=1,$C$5336,IF(Assumptions!$I$54=1,MAX(G5334,Assumptions!$G$54)+Assumptions!$F$54+$C$5335,Assumptions!$E$54))+G5370*IF(G5371=1,$C$5336,IF(Assumptions!$I$55=1,MAX(G5334,Assumptions!$G$55)+Assumptions!$F$55+$C$5335,Assumptions!$E$55))+G5383*IF(G5384=1,$C$5336,IF(Assumptions!$I$56=1,MAX(G5334,Assumptions!$G$56)+Assumptions!$F$56+$C$5335,Assumptions!$E$56))</f>
        <v>140.04</v>
      </c>
      <c r="H5341" s="25" t="n">
        <f aca="false">H5344*IF(OR(H5345=1,G5496=1),$C$5336,IF(Assumptions!$I$53=1,MAX(H5334,Assumptions!$G$53)+Assumptions!$F$53+$C$5335,Assumptions!$E$53))+H5357*IF(OR(H5358=1,G5497=1),$C$5336,IF(Assumptions!$I$54=1,MAX(H5334,Assumptions!$G$54)+Assumptions!$F$54+$C$5335,Assumptions!$E$54))+H5370*IF(OR(H5371=1,G5498=1),$C$5336,IF(Assumptions!$I$55=1,MAX(H5334,Assumptions!$G$55)+Assumptions!$F$55+$C$5335,Assumptions!$E$55))+H5383*IF(OR(H5384=1,G5499=1),$C$5336,IF(Assumptions!$I$56=1,MAX(H5334,Assumptions!$G$56)+Assumptions!$F$56+$C$5335,Assumptions!$E$56))</f>
        <v>180.266808</v>
      </c>
      <c r="I5341" s="25" t="n">
        <f aca="false">I5344*IF(OR(I5345=1,H5496=1),$C$5336,IF(Assumptions!$I$53=1,MAX(I5334,Assumptions!$G$53)+Assumptions!$F$53+$C$5335,Assumptions!$E$53))+I5357*IF(OR(I5358=1,H5497=1),$C$5336,IF(Assumptions!$I$54=1,MAX(I5334,Assumptions!$G$54)+Assumptions!$F$54+$C$5335,Assumptions!$E$54))+I5370*IF(OR(I5371=1,H5498=1),$C$5336,IF(Assumptions!$I$55=1,MAX(I5334,Assumptions!$G$55)+Assumptions!$F$55+$C$5335,Assumptions!$E$55))+I5383*IF(OR(I5384=1,H5499=1),$C$5336,IF(Assumptions!$I$56=1,MAX(I5334,Assumptions!$G$56)+Assumptions!$F$56+$C$5335,Assumptions!$E$56))</f>
        <v>157.6108768</v>
      </c>
      <c r="J5341" s="25" t="n">
        <f aca="false">J5344*IF(OR(J5345=1,I5496=1),$C$5336,IF(Assumptions!$I$53=1,MAX(J5334,Assumptions!$G$53)+Assumptions!$F$53+$C$5335,Assumptions!$E$53))+J5357*IF(OR(J5358=1,I5497=1),$C$5336,IF(Assumptions!$I$54=1,MAX(J5334,Assumptions!$G$54)+Assumptions!$F$54+$C$5335,Assumptions!$E$54))+J5370*IF(OR(J5371=1,I5498=1),$C$5336,IF(Assumptions!$I$55=1,MAX(J5334,Assumptions!$G$55)+Assumptions!$F$55+$C$5335,Assumptions!$E$55))+J5383*IF(OR(J5384=1,I5499=1),$C$5336,IF(Assumptions!$I$56=1,MAX(J5334,Assumptions!$G$56)+Assumptions!$F$56+$C$5335,Assumptions!$E$56))</f>
        <v>153.1380768</v>
      </c>
      <c r="K5341" s="25" t="n">
        <f aca="false">K5344*IF(OR(K5345=1,J5496=1),$C$5336,IF(Assumptions!$I$53=1,MAX(K5334,Assumptions!$G$53)+Assumptions!$F$53+$C$5335,Assumptions!$E$53))+K5357*IF(OR(K5358=1,J5497=1),$C$5336,IF(Assumptions!$I$54=1,MAX(K5334,Assumptions!$G$54)+Assumptions!$F$54+$C$5335,Assumptions!$E$54))+K5370*IF(OR(K5371=1,J5498=1),$C$5336,IF(Assumptions!$I$55=1,MAX(K5334,Assumptions!$G$55)+Assumptions!$F$55+$C$5335,Assumptions!$E$55))+K5383*IF(OR(K5384=1,J5499=1),$C$5336,IF(Assumptions!$I$56=1,MAX(K5334,Assumptions!$G$56)+Assumptions!$F$56+$C$5335,Assumptions!$E$56))</f>
        <v>139.9724768</v>
      </c>
    </row>
    <row r="5342" customFormat="false" ht="15" hidden="false" customHeight="false" outlineLevel="0" collapsed="false">
      <c r="A5342" s="5" t="s">
        <v>262</v>
      </c>
      <c r="G5342" s="20" t="n">
        <f aca="false">IF(G5318&lt;=0,0,IF(AND((G5339-G5340)/G5318&lt;=$C$5337,G5318/G5341&gt;=$C$5338),1,0))</f>
        <v>0</v>
      </c>
      <c r="H5342" s="20" t="n">
        <f aca="false">IF(H5318&lt;=0,0,IF(AND((H5339-H5340)/H5318&lt;=$C$5337,H5318/H5341&gt;=$C$5338),1,0))</f>
        <v>0</v>
      </c>
      <c r="I5342" s="20" t="n">
        <f aca="false">IF(I5318&lt;=0,0,IF(AND((I5339-I5340)/I5318&lt;=$C$5337,I5318/I5341&gt;=$C$5338),1,0))</f>
        <v>0</v>
      </c>
      <c r="J5342" s="20" t="n">
        <f aca="false">IF(J5318&lt;=0,0,IF(AND((J5339-J5340)/J5318&lt;=$C$5337,J5318/J5341&gt;=$C$5338),1,0))</f>
        <v>0</v>
      </c>
      <c r="K5342" s="20" t="n">
        <f aca="false">IF(K5318&lt;=0,0,IF(AND((K5339-K5340)/K5318&lt;=$C$5337,K5318/K5341&gt;=$C$5338),1,0))</f>
        <v>0</v>
      </c>
    </row>
    <row r="5343" customFormat="false" ht="15" hidden="false" customHeight="false" outlineLevel="0" collapsed="false">
      <c r="A5343" s="23" t="s">
        <v>263</v>
      </c>
      <c r="B5343" s="24"/>
      <c r="C5343" s="24"/>
      <c r="D5343" s="24"/>
      <c r="E5343" s="24"/>
      <c r="F5343" s="24"/>
      <c r="G5343" s="24"/>
      <c r="H5343" s="24"/>
      <c r="I5343" s="24"/>
      <c r="J5343" s="24"/>
      <c r="K5343" s="24"/>
    </row>
    <row r="5344" customFormat="false" ht="15" hidden="false" customHeight="false" outlineLevel="0" collapsed="false">
      <c r="A5344" s="5" t="s">
        <v>264</v>
      </c>
      <c r="G5344" s="25" t="n">
        <f aca="false">F5355</f>
        <v>180</v>
      </c>
      <c r="H5344" s="25" t="n">
        <f aca="false">G5355</f>
        <v>234.9088</v>
      </c>
      <c r="I5344" s="25" t="n">
        <f aca="false">H5355</f>
        <v>234.9088</v>
      </c>
      <c r="J5344" s="25" t="n">
        <f aca="false">I5355</f>
        <v>234.9088</v>
      </c>
      <c r="K5344" s="25" t="n">
        <f aca="false">J5355</f>
        <v>234.9088</v>
      </c>
    </row>
    <row r="5345" customFormat="false" ht="15" hidden="false" customHeight="false" outlineLevel="0" collapsed="false">
      <c r="A5345" s="5" t="s">
        <v>265</v>
      </c>
      <c r="G5345" s="20" t="n">
        <f aca="false">IF(G5308=Assumptions!$K$53,1,0)</f>
        <v>0</v>
      </c>
      <c r="H5345" s="20" t="n">
        <f aca="false">IF(H5308=Assumptions!$K$53,1,0)</f>
        <v>1</v>
      </c>
      <c r="I5345" s="20" t="n">
        <f aca="false">IF(I5308=Assumptions!$K$53,1,0)</f>
        <v>0</v>
      </c>
      <c r="J5345" s="20" t="n">
        <f aca="false">IF(J5308=Assumptions!$K$53,1,0)</f>
        <v>0</v>
      </c>
      <c r="K5345" s="20" t="n">
        <f aca="false">IF(K5308=Assumptions!$K$53,1,0)</f>
        <v>0</v>
      </c>
    </row>
    <row r="5347" customFormat="false" ht="15" hidden="false" customHeight="false" outlineLevel="0" collapsed="false">
      <c r="A5347" s="5" t="s">
        <v>266</v>
      </c>
      <c r="G5347" s="30" t="n">
        <f aca="false">IF(Assumptions!$I$53=1,MAX(G5334,Assumptions!$G$53)+Assumptions!$F$53+$C$5335,Assumptions!$E$53)</f>
        <v>0.116</v>
      </c>
      <c r="H5347" s="30" t="n">
        <f aca="false">IF(G5496=1,$C$5336,IF(Assumptions!$I$53=1,MAX(H5334,Assumptions!$G$53)+Assumptions!$F$53+$C$5335,Assumptions!$E$53))</f>
        <v>0.1135</v>
      </c>
      <c r="I5347" s="30" t="n">
        <f aca="false">IF(H5496=1,$C$5336,IF(Assumptions!$I$53=1,MAX(I5334,Assumptions!$G$53)+Assumptions!$F$53+$C$5335,Assumptions!$E$53))</f>
        <v>0.111</v>
      </c>
      <c r="J5347" s="30" t="n">
        <f aca="false">IF(I5496=1,$C$5336,IF(Assumptions!$I$53=1,MAX(J5334,Assumptions!$G$53)+Assumptions!$F$53+$C$5335,Assumptions!$E$53))</f>
        <v>0.111</v>
      </c>
      <c r="K5347" s="30" t="n">
        <f aca="false">IF(J5496=1,$C$5336,IF(Assumptions!$I$53=1,MAX(K5334,Assumptions!$G$53)+Assumptions!$F$53+$C$5335,Assumptions!$E$53))</f>
        <v>0.111</v>
      </c>
    </row>
    <row r="5348" customFormat="false" ht="15" hidden="false" customHeight="false" outlineLevel="0" collapsed="false">
      <c r="A5348" s="5" t="s">
        <v>267</v>
      </c>
      <c r="G5348" s="25" t="n">
        <f aca="false">G5344*G5347</f>
        <v>20.88</v>
      </c>
      <c r="H5348" s="25" t="n">
        <f aca="false">H5344*H5347</f>
        <v>26.6621488</v>
      </c>
      <c r="I5348" s="25" t="n">
        <f aca="false">I5344*I5347</f>
        <v>26.0748768</v>
      </c>
      <c r="J5348" s="25" t="n">
        <f aca="false">J5344*J5347</f>
        <v>26.0748768</v>
      </c>
      <c r="K5348" s="25" t="n">
        <f aca="false">K5344*K5347</f>
        <v>26.0748768</v>
      </c>
    </row>
    <row r="5349" customFormat="false" ht="15" hidden="false" customHeight="false" outlineLevel="0" collapsed="false">
      <c r="A5349" s="5" t="s">
        <v>268</v>
      </c>
      <c r="G5349" s="25" t="n">
        <f aca="false">G5344*Assumptions!$H$53</f>
        <v>0</v>
      </c>
      <c r="H5349" s="25" t="n">
        <f aca="false">H5344*Assumptions!$H$53</f>
        <v>0</v>
      </c>
      <c r="I5349" s="25" t="n">
        <f aca="false">I5344*Assumptions!$H$53</f>
        <v>0</v>
      </c>
      <c r="J5349" s="25" t="n">
        <f aca="false">J5344*Assumptions!$H$53</f>
        <v>0</v>
      </c>
      <c r="K5349" s="25" t="n">
        <f aca="false">K5344*Assumptions!$H$53</f>
        <v>0</v>
      </c>
    </row>
    <row r="5350" customFormat="false" ht="15" hidden="false" customHeight="false" outlineLevel="0" collapsed="false">
      <c r="A5350" s="5" t="s">
        <v>269</v>
      </c>
      <c r="G5350" s="25" t="n">
        <f aca="false">MIN(G5344,Assumptions!$L$53*Assumptions!$C$53)</f>
        <v>0</v>
      </c>
      <c r="H5350" s="25" t="n">
        <f aca="false">MIN(H5344,Assumptions!$L$53*Assumptions!$C$53)</f>
        <v>0</v>
      </c>
      <c r="I5350" s="25" t="n">
        <f aca="false">MIN(I5344,Assumptions!$L$53*Assumptions!$C$53)</f>
        <v>0</v>
      </c>
      <c r="J5350" s="25" t="n">
        <f aca="false">MIN(J5344,Assumptions!$L$53*Assumptions!$C$53)</f>
        <v>0</v>
      </c>
      <c r="K5350" s="25" t="n">
        <f aca="false">MIN(K5344,Assumptions!$L$53*Assumptions!$C$53)</f>
        <v>0</v>
      </c>
    </row>
    <row r="5351" customFormat="false" ht="15" hidden="false" customHeight="false" outlineLevel="0" collapsed="false">
      <c r="A5351" s="5" t="s">
        <v>270</v>
      </c>
      <c r="G5351" s="25" t="n">
        <f aca="false">IF(AND(Assumptions!$P$53=1,G5308&lt;Assumptions!$K$53),MIN(MAX(0,-G5422),MAX(0,Assumptions!$D$53-G5344)),0)</f>
        <v>54.9088</v>
      </c>
      <c r="H5351" s="25" t="n">
        <f aca="false">IF(AND(Assumptions!$P$53=1,OR(H5308&lt;Assumptions!$K$53,G5496=1)),MIN(MAX(0,-H5422),MAX(0,Assumptions!$D$53-H5344)),0)</f>
        <v>0</v>
      </c>
      <c r="I5351" s="25" t="n">
        <f aca="false">IF(AND(Assumptions!$P$53=1,OR(I5308&lt;Assumptions!$K$53,H5496=1)),MIN(MAX(0,-I5422),MAX(0,Assumptions!$D$53-I5344)),0)</f>
        <v>0</v>
      </c>
      <c r="J5351" s="25" t="n">
        <f aca="false">IF(AND(Assumptions!$P$53=1,OR(J5308&lt;Assumptions!$K$53,I5496=1)),MIN(MAX(0,-J5422),MAX(0,Assumptions!$D$53-J5344)),0)</f>
        <v>0</v>
      </c>
      <c r="K5351" s="25" t="n">
        <f aca="false">IF(AND(Assumptions!$P$53=1,OR(K5308&lt;Assumptions!$K$53,J5496=1)),MIN(MAX(0,-K5422),MAX(0,Assumptions!$D$53-K5344)),0)</f>
        <v>0</v>
      </c>
    </row>
    <row r="5352" customFormat="false" ht="15" hidden="false" customHeight="false" outlineLevel="0" collapsed="false">
      <c r="A5352" s="5" t="s">
        <v>271</v>
      </c>
      <c r="G5352" s="25" t="n">
        <f aca="false">G5345*MIN(G5344-G5350+G5349,MAX(0,G5424-Assumptions!$C$12*G5342))</f>
        <v>0</v>
      </c>
      <c r="H5352" s="25" t="n">
        <f aca="false">H5345*MIN(H5344-H5350+H5349,MAX(0,H5424-Assumptions!$C$12*H5342))</f>
        <v>0</v>
      </c>
      <c r="I5352" s="25" t="n">
        <f aca="false">I5345*MIN(I5344-I5350+I5349,MAX(0,I5424-Assumptions!$C$12*I5342))</f>
        <v>0</v>
      </c>
      <c r="J5352" s="25" t="n">
        <f aca="false">J5345*MIN(J5344-J5350+J5349,MAX(0,J5424-Assumptions!$C$12*J5342))</f>
        <v>0</v>
      </c>
      <c r="K5352" s="25" t="n">
        <f aca="false">K5345*MIN(K5344-K5350+K5349,MAX(0,K5424-Assumptions!$C$12*K5342))</f>
        <v>0</v>
      </c>
    </row>
    <row r="5353" customFormat="false" ht="15" hidden="false" customHeight="false" outlineLevel="0" collapsed="false">
      <c r="A5353" s="5" t="s">
        <v>272</v>
      </c>
      <c r="G5353" s="25" t="n">
        <f aca="false">Assumptions!$N$53*MIN(G5344+G5351+G5349-G5350-G5352,MAX(0,G5428))</f>
        <v>0</v>
      </c>
      <c r="H5353" s="25" t="n">
        <f aca="false">Assumptions!$N$53*MIN(H5344+H5351+H5349-H5350-H5352,MAX(0,H5428))</f>
        <v>0</v>
      </c>
      <c r="I5353" s="25" t="n">
        <f aca="false">Assumptions!$N$53*MIN(I5344+I5351+I5349-I5350-I5352,MAX(0,I5428))</f>
        <v>0</v>
      </c>
      <c r="J5353" s="25" t="n">
        <f aca="false">Assumptions!$N$53*MIN(J5344+J5351+J5349-J5350-J5352,MAX(0,J5428))</f>
        <v>0</v>
      </c>
      <c r="K5353" s="25" t="n">
        <f aca="false">Assumptions!$N$53*MIN(K5344+K5351+K5349-K5350-K5352,MAX(0,K5428))</f>
        <v>0</v>
      </c>
    </row>
    <row r="5354" customFormat="false" ht="15" hidden="false" customHeight="false" outlineLevel="0" collapsed="false">
      <c r="A5354" s="5" t="s">
        <v>273</v>
      </c>
      <c r="G5354" s="25" t="n">
        <f aca="false">G5345*(1-G5342)*(G5344-G5350+G5349-G5352)</f>
        <v>0</v>
      </c>
      <c r="H5354" s="25" t="n">
        <f aca="false">H5345*(1-H5342)*(H5344-H5350+H5349-H5352)</f>
        <v>234.9088</v>
      </c>
      <c r="I5354" s="25" t="n">
        <f aca="false">I5345*(1-I5342)*(I5344-I5350+I5349-I5352)</f>
        <v>0</v>
      </c>
      <c r="J5354" s="25" t="n">
        <f aca="false">J5345*(1-J5342)*(J5344-J5350+J5349-J5352)</f>
        <v>0</v>
      </c>
      <c r="K5354" s="25" t="n">
        <f aca="false">K5345*(1-K5342)*(K5344-K5350+K5349-K5352)</f>
        <v>0</v>
      </c>
    </row>
    <row r="5355" customFormat="false" ht="15" hidden="false" customHeight="false" outlineLevel="0" collapsed="false">
      <c r="A5355" s="2" t="s">
        <v>274</v>
      </c>
      <c r="F5355" s="27" t="n">
        <f aca="false">Assumptions!$C$53</f>
        <v>180</v>
      </c>
      <c r="G5355" s="16" t="n">
        <f aca="false">G5344+G5351+G5349-G5350-G5352-G5353</f>
        <v>234.9088</v>
      </c>
      <c r="H5355" s="16" t="n">
        <f aca="false">H5344+H5351+H5349-H5350-H5352-H5353</f>
        <v>234.9088</v>
      </c>
      <c r="I5355" s="16" t="n">
        <f aca="false">I5344+I5351+I5349-I5350-I5352-I5353</f>
        <v>234.9088</v>
      </c>
      <c r="J5355" s="16" t="n">
        <f aca="false">J5344+J5351+J5349-J5350-J5352-J5353</f>
        <v>234.9088</v>
      </c>
      <c r="K5355" s="16" t="n">
        <f aca="false">K5344+K5351+K5349-K5350-K5352-K5353</f>
        <v>234.9088</v>
      </c>
    </row>
    <row r="5356" customFormat="false" ht="15" hidden="false" customHeight="false" outlineLevel="0" collapsed="false">
      <c r="A5356" s="23" t="s">
        <v>275</v>
      </c>
      <c r="B5356" s="24"/>
      <c r="C5356" s="24"/>
      <c r="D5356" s="24"/>
      <c r="E5356" s="24"/>
      <c r="F5356" s="24"/>
      <c r="G5356" s="24"/>
      <c r="H5356" s="24"/>
      <c r="I5356" s="24"/>
      <c r="J5356" s="24"/>
      <c r="K5356" s="24"/>
    </row>
    <row r="5357" customFormat="false" ht="15" hidden="false" customHeight="false" outlineLevel="0" collapsed="false">
      <c r="A5357" s="5" t="s">
        <v>264</v>
      </c>
      <c r="G5357" s="25" t="n">
        <f aca="false">F5368</f>
        <v>520</v>
      </c>
      <c r="H5357" s="25" t="n">
        <f aca="false">G5368</f>
        <v>514.8</v>
      </c>
      <c r="I5357" s="25" t="n">
        <f aca="false">H5368</f>
        <v>509.6</v>
      </c>
      <c r="J5357" s="25" t="n">
        <f aca="false">I5368</f>
        <v>504.4</v>
      </c>
      <c r="K5357" s="25" t="n">
        <f aca="false">J5368</f>
        <v>499.2</v>
      </c>
    </row>
    <row r="5358" customFormat="false" ht="15" hidden="false" customHeight="false" outlineLevel="0" collapsed="false">
      <c r="A5358" s="5" t="s">
        <v>265</v>
      </c>
      <c r="G5358" s="20" t="n">
        <f aca="false">IF(G5308=Assumptions!$K$54,1,0)</f>
        <v>0</v>
      </c>
      <c r="H5358" s="20" t="n">
        <f aca="false">IF(H5308=Assumptions!$K$54,1,0)</f>
        <v>0</v>
      </c>
      <c r="I5358" s="20" t="n">
        <f aca="false">IF(I5308=Assumptions!$K$54,1,0)</f>
        <v>1</v>
      </c>
      <c r="J5358" s="20" t="n">
        <f aca="false">IF(J5308=Assumptions!$K$54,1,0)</f>
        <v>0</v>
      </c>
      <c r="K5358" s="20" t="n">
        <f aca="false">IF(K5308=Assumptions!$K$54,1,0)</f>
        <v>0</v>
      </c>
    </row>
    <row r="5360" customFormat="false" ht="15" hidden="false" customHeight="false" outlineLevel="0" collapsed="false">
      <c r="A5360" s="5" t="s">
        <v>266</v>
      </c>
      <c r="G5360" s="30" t="n">
        <f aca="false">IF(Assumptions!$I$54=1,MAX(G5334,Assumptions!$G$54)+Assumptions!$F$54+$C$5335,Assumptions!$E$54)</f>
        <v>0.133</v>
      </c>
      <c r="H5360" s="30" t="n">
        <f aca="false">IF(G5497=1,$C$5336,IF(Assumptions!$I$54=1,MAX(H5334,Assumptions!$G$54)+Assumptions!$F$54+$C$5335,Assumptions!$E$54))</f>
        <v>0.1305</v>
      </c>
      <c r="I5360" s="30" t="n">
        <f aca="false">IF(H5497=1,$C$5336,IF(Assumptions!$I$54=1,MAX(I5334,Assumptions!$G$54)+Assumptions!$F$54+$C$5335,Assumptions!$E$54))</f>
        <v>0.128</v>
      </c>
      <c r="J5360" s="30" t="n">
        <f aca="false">IF(I5497=1,$C$5336,IF(Assumptions!$I$54=1,MAX(J5334,Assumptions!$G$54)+Assumptions!$F$54+$C$5335,Assumptions!$E$54))</f>
        <v>0.128</v>
      </c>
      <c r="K5360" s="30" t="n">
        <f aca="false">IF(J5497=1,$C$5336,IF(Assumptions!$I$54=1,MAX(K5334,Assumptions!$G$54)+Assumptions!$F$54+$C$5335,Assumptions!$E$54))</f>
        <v>0.128</v>
      </c>
    </row>
    <row r="5361" customFormat="false" ht="15" hidden="false" customHeight="false" outlineLevel="0" collapsed="false">
      <c r="A5361" s="5" t="s">
        <v>267</v>
      </c>
      <c r="G5361" s="25" t="n">
        <f aca="false">G5357*G5360</f>
        <v>69.16</v>
      </c>
      <c r="H5361" s="25" t="n">
        <f aca="false">H5357*H5360</f>
        <v>67.1814</v>
      </c>
      <c r="I5361" s="25" t="n">
        <f aca="false">I5357*I5360</f>
        <v>65.2288</v>
      </c>
      <c r="J5361" s="25" t="n">
        <f aca="false">J5357*J5360</f>
        <v>64.5632</v>
      </c>
      <c r="K5361" s="25" t="n">
        <f aca="false">K5357*K5360</f>
        <v>63.8976</v>
      </c>
    </row>
    <row r="5362" customFormat="false" ht="15" hidden="false" customHeight="false" outlineLevel="0" collapsed="false">
      <c r="A5362" s="5" t="s">
        <v>268</v>
      </c>
      <c r="G5362" s="25" t="n">
        <f aca="false">G5357*Assumptions!$H$54</f>
        <v>0</v>
      </c>
      <c r="H5362" s="25" t="n">
        <f aca="false">H5357*Assumptions!$H$54</f>
        <v>0</v>
      </c>
      <c r="I5362" s="25" t="n">
        <f aca="false">I5357*Assumptions!$H$54</f>
        <v>0</v>
      </c>
      <c r="J5362" s="25" t="n">
        <f aca="false">J5357*Assumptions!$H$54</f>
        <v>0</v>
      </c>
      <c r="K5362" s="25" t="n">
        <f aca="false">K5357*Assumptions!$H$54</f>
        <v>0</v>
      </c>
    </row>
    <row r="5363" customFormat="false" ht="15" hidden="false" customHeight="false" outlineLevel="0" collapsed="false">
      <c r="A5363" s="5" t="s">
        <v>269</v>
      </c>
      <c r="G5363" s="25" t="n">
        <f aca="false">MIN(G5357,Assumptions!$L$54*Assumptions!$C$54)</f>
        <v>5.2</v>
      </c>
      <c r="H5363" s="25" t="n">
        <f aca="false">MIN(H5357,Assumptions!$L$54*Assumptions!$C$54)</f>
        <v>5.2</v>
      </c>
      <c r="I5363" s="25" t="n">
        <f aca="false">MIN(I5357,Assumptions!$L$54*Assumptions!$C$54)</f>
        <v>5.2</v>
      </c>
      <c r="J5363" s="25" t="n">
        <f aca="false">MIN(J5357,Assumptions!$L$54*Assumptions!$C$54)</f>
        <v>5.2</v>
      </c>
      <c r="K5363" s="25" t="n">
        <f aca="false">MIN(K5357,Assumptions!$L$54*Assumptions!$C$54)</f>
        <v>5.2</v>
      </c>
    </row>
    <row r="5364" customFormat="false" ht="15" hidden="false" customHeight="false" outlineLevel="0" collapsed="false">
      <c r="A5364" s="5" t="s">
        <v>270</v>
      </c>
      <c r="G5364" s="25" t="n">
        <f aca="false">IF(AND(Assumptions!$P$54=1,G5308&lt;Assumptions!$K$54),MIN(MAX(0,-G5422),MAX(0,Assumptions!$D$54-G5357)),0)</f>
        <v>0</v>
      </c>
      <c r="H5364" s="25" t="n">
        <f aca="false">IF(AND(Assumptions!$P$54=1,OR(H5308&lt;Assumptions!$K$54,G5497=1)),MIN(MAX(0,-H5422),MAX(0,Assumptions!$D$54-H5357)),0)</f>
        <v>0</v>
      </c>
      <c r="I5364" s="25" t="n">
        <f aca="false">IF(AND(Assumptions!$P$54=1,OR(I5308&lt;Assumptions!$K$54,H5497=1)),MIN(MAX(0,-I5422),MAX(0,Assumptions!$D$54-I5357)),0)</f>
        <v>0</v>
      </c>
      <c r="J5364" s="25" t="n">
        <f aca="false">IF(AND(Assumptions!$P$54=1,OR(J5308&lt;Assumptions!$K$54,I5497=1)),MIN(MAX(0,-J5422),MAX(0,Assumptions!$D$54-J5357)),0)</f>
        <v>0</v>
      </c>
      <c r="K5364" s="25" t="n">
        <f aca="false">IF(AND(Assumptions!$P$54=1,OR(K5308&lt;Assumptions!$K$54,J5497=1)),MIN(MAX(0,-K5422),MAX(0,Assumptions!$D$54-K5357)),0)</f>
        <v>0</v>
      </c>
    </row>
    <row r="5365" customFormat="false" ht="15" hidden="false" customHeight="false" outlineLevel="0" collapsed="false">
      <c r="A5365" s="5" t="s">
        <v>271</v>
      </c>
      <c r="G5365" s="25" t="n">
        <f aca="false">G5358*MIN(G5357-G5363+G5362,MAX(0,G5424-Assumptions!$C$12*G5342-G5352))</f>
        <v>0</v>
      </c>
      <c r="H5365" s="25" t="n">
        <f aca="false">H5358*MIN(H5357-H5363+H5362,MAX(0,H5424-Assumptions!$C$12*H5342-H5352))</f>
        <v>0</v>
      </c>
      <c r="I5365" s="25" t="n">
        <f aca="false">I5358*MIN(I5357-I5363+I5362,MAX(0,I5424-Assumptions!$C$12*I5342-I5352))</f>
        <v>0</v>
      </c>
      <c r="J5365" s="25" t="n">
        <f aca="false">J5358*MIN(J5357-J5363+J5362,MAX(0,J5424-Assumptions!$C$12*J5342-J5352))</f>
        <v>0</v>
      </c>
      <c r="K5365" s="25" t="n">
        <f aca="false">K5358*MIN(K5357-K5363+K5362,MAX(0,K5424-Assumptions!$C$12*K5342-K5352))</f>
        <v>0</v>
      </c>
    </row>
    <row r="5366" customFormat="false" ht="15" hidden="false" customHeight="false" outlineLevel="0" collapsed="false">
      <c r="A5366" s="5" t="s">
        <v>272</v>
      </c>
      <c r="G5366" s="25" t="n">
        <f aca="false">Assumptions!$N$54*MIN(G5357+G5364+G5362-G5363-G5365,MAX(0,G5428-G5353))</f>
        <v>0</v>
      </c>
      <c r="H5366" s="25" t="n">
        <f aca="false">Assumptions!$N$54*MIN(H5357+H5364+H5362-H5363-H5365,MAX(0,H5428-H5353))</f>
        <v>0</v>
      </c>
      <c r="I5366" s="25" t="n">
        <f aca="false">Assumptions!$N$54*MIN(I5357+I5364+I5362-I5363-I5365,MAX(0,I5428-I5353))</f>
        <v>0</v>
      </c>
      <c r="J5366" s="25" t="n">
        <f aca="false">Assumptions!$N$54*MIN(J5357+J5364+J5362-J5363-J5365,MAX(0,J5428-J5353))</f>
        <v>0</v>
      </c>
      <c r="K5366" s="25" t="n">
        <f aca="false">Assumptions!$N$54*MIN(K5357+K5364+K5362-K5363-K5365,MAX(0,K5428-K5353))</f>
        <v>0</v>
      </c>
    </row>
    <row r="5367" customFormat="false" ht="15" hidden="false" customHeight="false" outlineLevel="0" collapsed="false">
      <c r="A5367" s="5" t="s">
        <v>273</v>
      </c>
      <c r="G5367" s="25" t="n">
        <f aca="false">G5358*(1-G5342)*(G5357-G5363+G5362-G5365)</f>
        <v>0</v>
      </c>
      <c r="H5367" s="25" t="n">
        <f aca="false">H5358*(1-H5342)*(H5357-H5363+H5362-H5365)</f>
        <v>0</v>
      </c>
      <c r="I5367" s="25" t="n">
        <f aca="false">I5358*(1-I5342)*(I5357-I5363+I5362-I5365)</f>
        <v>504.4</v>
      </c>
      <c r="J5367" s="25" t="n">
        <f aca="false">J5358*(1-J5342)*(J5357-J5363+J5362-J5365)</f>
        <v>0</v>
      </c>
      <c r="K5367" s="25" t="n">
        <f aca="false">K5358*(1-K5342)*(K5357-K5363+K5362-K5365)</f>
        <v>0</v>
      </c>
    </row>
    <row r="5368" customFormat="false" ht="15" hidden="false" customHeight="false" outlineLevel="0" collapsed="false">
      <c r="A5368" s="2" t="s">
        <v>274</v>
      </c>
      <c r="F5368" s="27" t="n">
        <f aca="false">Assumptions!$C$54</f>
        <v>520</v>
      </c>
      <c r="G5368" s="16" t="n">
        <f aca="false">G5357+G5364+G5362-G5363-G5365-G5366</f>
        <v>514.8</v>
      </c>
      <c r="H5368" s="16" t="n">
        <f aca="false">H5357+H5364+H5362-H5363-H5365-H5366</f>
        <v>509.6</v>
      </c>
      <c r="I5368" s="16" t="n">
        <f aca="false">I5357+I5364+I5362-I5363-I5365-I5366</f>
        <v>504.4</v>
      </c>
      <c r="J5368" s="16" t="n">
        <f aca="false">J5357+J5364+J5362-J5363-J5365-J5366</f>
        <v>499.2</v>
      </c>
      <c r="K5368" s="16" t="n">
        <f aca="false">K5357+K5364+K5362-K5363-K5365-K5366</f>
        <v>494</v>
      </c>
    </row>
    <row r="5369" customFormat="false" ht="15" hidden="false" customHeight="false" outlineLevel="0" collapsed="false">
      <c r="A5369" s="23" t="s">
        <v>276</v>
      </c>
      <c r="B5369" s="24"/>
      <c r="C5369" s="24"/>
      <c r="D5369" s="24"/>
      <c r="E5369" s="24"/>
      <c r="F5369" s="24"/>
      <c r="G5369" s="24"/>
      <c r="H5369" s="24"/>
      <c r="I5369" s="24"/>
      <c r="J5369" s="24"/>
      <c r="K5369" s="24"/>
    </row>
    <row r="5370" customFormat="false" ht="15" hidden="false" customHeight="false" outlineLevel="0" collapsed="false">
      <c r="A5370" s="5" t="s">
        <v>264</v>
      </c>
      <c r="G5370" s="25" t="n">
        <f aca="false">F5381</f>
        <v>250</v>
      </c>
      <c r="H5370" s="25" t="n">
        <f aca="false">G5381</f>
        <v>250</v>
      </c>
      <c r="I5370" s="25" t="n">
        <f aca="false">H5381</f>
        <v>250</v>
      </c>
      <c r="J5370" s="25" t="n">
        <f aca="false">I5381</f>
        <v>250</v>
      </c>
      <c r="K5370" s="25" t="n">
        <f aca="false">J5381</f>
        <v>250</v>
      </c>
    </row>
    <row r="5371" customFormat="false" ht="15" hidden="false" customHeight="false" outlineLevel="0" collapsed="false">
      <c r="A5371" s="5" t="s">
        <v>265</v>
      </c>
      <c r="G5371" s="20" t="n">
        <f aca="false">IF(G5308=Assumptions!$K$55,1,0)</f>
        <v>0</v>
      </c>
      <c r="H5371" s="20" t="n">
        <f aca="false">IF(H5308=Assumptions!$K$55,1,0)</f>
        <v>0</v>
      </c>
      <c r="I5371" s="20" t="n">
        <f aca="false">IF(I5308=Assumptions!$K$55,1,0)</f>
        <v>0</v>
      </c>
      <c r="J5371" s="20" t="n">
        <f aca="false">IF(J5308=Assumptions!$K$55,1,0)</f>
        <v>1</v>
      </c>
      <c r="K5371" s="20" t="n">
        <f aca="false">IF(K5308=Assumptions!$K$55,1,0)</f>
        <v>0</v>
      </c>
    </row>
    <row r="5373" customFormat="false" ht="15" hidden="false" customHeight="false" outlineLevel="0" collapsed="false">
      <c r="A5373" s="5" t="s">
        <v>266</v>
      </c>
      <c r="G5373" s="30" t="n">
        <f aca="false">IF(Assumptions!$I$55=1,MAX(G5334,Assumptions!$G$55)+Assumptions!$F$55+$C$5335,Assumptions!$E$55)</f>
        <v>0.11</v>
      </c>
      <c r="H5373" s="30" t="n">
        <f aca="false">IF(G5498=1,$C$5336,IF(Assumptions!$I$55=1,MAX(H5334,Assumptions!$G$55)+Assumptions!$F$55+$C$5335,Assumptions!$E$55))</f>
        <v>0.11</v>
      </c>
      <c r="I5373" s="30" t="n">
        <f aca="false">IF(H5498=1,$C$5336,IF(Assumptions!$I$55=1,MAX(I5334,Assumptions!$G$55)+Assumptions!$F$55+$C$5335,Assumptions!$E$55))</f>
        <v>0.11</v>
      </c>
      <c r="J5373" s="30" t="n">
        <f aca="false">IF(I5498=1,$C$5336,IF(Assumptions!$I$55=1,MAX(J5334,Assumptions!$G$55)+Assumptions!$F$55+$C$5335,Assumptions!$E$55))</f>
        <v>0.11</v>
      </c>
      <c r="K5373" s="30" t="n">
        <f aca="false">IF(J5498=1,$C$5336,IF(Assumptions!$I$55=1,MAX(K5334,Assumptions!$G$55)+Assumptions!$F$55+$C$5335,Assumptions!$E$55))</f>
        <v>0.11</v>
      </c>
    </row>
    <row r="5374" customFormat="false" ht="15" hidden="false" customHeight="false" outlineLevel="0" collapsed="false">
      <c r="A5374" s="5" t="s">
        <v>267</v>
      </c>
      <c r="G5374" s="25" t="n">
        <f aca="false">G5370*G5373</f>
        <v>27.5</v>
      </c>
      <c r="H5374" s="25" t="n">
        <f aca="false">H5370*H5373</f>
        <v>27.5</v>
      </c>
      <c r="I5374" s="25" t="n">
        <f aca="false">I5370*I5373</f>
        <v>27.5</v>
      </c>
      <c r="J5374" s="25" t="n">
        <f aca="false">J5370*J5373</f>
        <v>27.5</v>
      </c>
      <c r="K5374" s="25" t="n">
        <f aca="false">K5370*K5373</f>
        <v>27.5</v>
      </c>
    </row>
    <row r="5375" customFormat="false" ht="15" hidden="false" customHeight="false" outlineLevel="0" collapsed="false">
      <c r="A5375" s="5" t="s">
        <v>268</v>
      </c>
      <c r="G5375" s="25" t="n">
        <f aca="false">G5370*Assumptions!$H$55</f>
        <v>0</v>
      </c>
      <c r="H5375" s="25" t="n">
        <f aca="false">H5370*Assumptions!$H$55</f>
        <v>0</v>
      </c>
      <c r="I5375" s="25" t="n">
        <f aca="false">I5370*Assumptions!$H$55</f>
        <v>0</v>
      </c>
      <c r="J5375" s="25" t="n">
        <f aca="false">J5370*Assumptions!$H$55</f>
        <v>0</v>
      </c>
      <c r="K5375" s="25" t="n">
        <f aca="false">K5370*Assumptions!$H$55</f>
        <v>0</v>
      </c>
    </row>
    <row r="5376" customFormat="false" ht="15" hidden="false" customHeight="false" outlineLevel="0" collapsed="false">
      <c r="A5376" s="5" t="s">
        <v>269</v>
      </c>
      <c r="G5376" s="25" t="n">
        <f aca="false">MIN(G5370,Assumptions!$L$55*Assumptions!$C$55)</f>
        <v>0</v>
      </c>
      <c r="H5376" s="25" t="n">
        <f aca="false">MIN(H5370,Assumptions!$L$55*Assumptions!$C$55)</f>
        <v>0</v>
      </c>
      <c r="I5376" s="25" t="n">
        <f aca="false">MIN(I5370,Assumptions!$L$55*Assumptions!$C$55)</f>
        <v>0</v>
      </c>
      <c r="J5376" s="25" t="n">
        <f aca="false">MIN(J5370,Assumptions!$L$55*Assumptions!$C$55)</f>
        <v>0</v>
      </c>
      <c r="K5376" s="25" t="n">
        <f aca="false">MIN(K5370,Assumptions!$L$55*Assumptions!$C$55)</f>
        <v>0</v>
      </c>
    </row>
    <row r="5377" customFormat="false" ht="15" hidden="false" customHeight="false" outlineLevel="0" collapsed="false">
      <c r="A5377" s="5" t="s">
        <v>270</v>
      </c>
      <c r="G5377" s="25" t="n">
        <f aca="false">IF(AND(Assumptions!$P$55=1,G5308&lt;Assumptions!$K$55),MIN(MAX(0,-G5422),MAX(0,Assumptions!$D$55-G5370)),0)</f>
        <v>0</v>
      </c>
      <c r="H5377" s="25" t="n">
        <f aca="false">IF(AND(Assumptions!$P$55=1,OR(H5308&lt;Assumptions!$K$55,G5498=1)),MIN(MAX(0,-H5422),MAX(0,Assumptions!$D$55-H5370)),0)</f>
        <v>0</v>
      </c>
      <c r="I5377" s="25" t="n">
        <f aca="false">IF(AND(Assumptions!$P$55=1,OR(I5308&lt;Assumptions!$K$55,H5498=1)),MIN(MAX(0,-I5422),MAX(0,Assumptions!$D$55-I5370)),0)</f>
        <v>0</v>
      </c>
      <c r="J5377" s="25" t="n">
        <f aca="false">IF(AND(Assumptions!$P$55=1,OR(J5308&lt;Assumptions!$K$55,I5498=1)),MIN(MAX(0,-J5422),MAX(0,Assumptions!$D$55-J5370)),0)</f>
        <v>0</v>
      </c>
      <c r="K5377" s="25" t="n">
        <f aca="false">IF(AND(Assumptions!$P$55=1,OR(K5308&lt;Assumptions!$K$55,J5498=1)),MIN(MAX(0,-K5422),MAX(0,Assumptions!$D$55-K5370)),0)</f>
        <v>0</v>
      </c>
    </row>
    <row r="5378" customFormat="false" ht="15" hidden="false" customHeight="false" outlineLevel="0" collapsed="false">
      <c r="A5378" s="5" t="s">
        <v>271</v>
      </c>
      <c r="G5378" s="25" t="n">
        <f aca="false">G5371*MIN(G5370-G5376+G5375,MAX(0,G5424-Assumptions!$C$12*G5342-G5352-G5365))</f>
        <v>0</v>
      </c>
      <c r="H5378" s="25" t="n">
        <f aca="false">H5371*MIN(H5370-H5376+H5375,MAX(0,H5424-Assumptions!$C$12*H5342-H5352-H5365))</f>
        <v>0</v>
      </c>
      <c r="I5378" s="25" t="n">
        <f aca="false">I5371*MIN(I5370-I5376+I5375,MAX(0,I5424-Assumptions!$C$12*I5342-I5352-I5365))</f>
        <v>0</v>
      </c>
      <c r="J5378" s="25" t="n">
        <f aca="false">J5371*MIN(J5370-J5376+J5375,MAX(0,J5424-Assumptions!$C$12*J5342-J5352-J5365))</f>
        <v>0</v>
      </c>
      <c r="K5378" s="25" t="n">
        <f aca="false">K5371*MIN(K5370-K5376+K5375,MAX(0,K5424-Assumptions!$C$12*K5342-K5352-K5365))</f>
        <v>0</v>
      </c>
    </row>
    <row r="5379" customFormat="false" ht="15" hidden="false" customHeight="false" outlineLevel="0" collapsed="false">
      <c r="A5379" s="5" t="s">
        <v>272</v>
      </c>
      <c r="G5379" s="25" t="n">
        <f aca="false">Assumptions!$N$55*MIN(G5370+G5377+G5375-G5376-G5378,MAX(0,G5428-G5353-G5366))</f>
        <v>0</v>
      </c>
      <c r="H5379" s="25" t="n">
        <f aca="false">Assumptions!$N$55*MIN(H5370+H5377+H5375-H5376-H5378,MAX(0,H5428-H5353-H5366))</f>
        <v>0</v>
      </c>
      <c r="I5379" s="25" t="n">
        <f aca="false">Assumptions!$N$55*MIN(I5370+I5377+I5375-I5376-I5378,MAX(0,I5428-I5353-I5366))</f>
        <v>0</v>
      </c>
      <c r="J5379" s="25" t="n">
        <f aca="false">Assumptions!$N$55*MIN(J5370+J5377+J5375-J5376-J5378,MAX(0,J5428-J5353-J5366))</f>
        <v>0</v>
      </c>
      <c r="K5379" s="25" t="n">
        <f aca="false">Assumptions!$N$55*MIN(K5370+K5377+K5375-K5376-K5378,MAX(0,K5428-K5353-K5366))</f>
        <v>0</v>
      </c>
    </row>
    <row r="5380" customFormat="false" ht="15" hidden="false" customHeight="false" outlineLevel="0" collapsed="false">
      <c r="A5380" s="5" t="s">
        <v>273</v>
      </c>
      <c r="G5380" s="25" t="n">
        <f aca="false">G5371*(1-G5342)*(G5370-G5376+G5375-G5378)</f>
        <v>0</v>
      </c>
      <c r="H5380" s="25" t="n">
        <f aca="false">H5371*(1-H5342)*(H5370-H5376+H5375-H5378)</f>
        <v>0</v>
      </c>
      <c r="I5380" s="25" t="n">
        <f aca="false">I5371*(1-I5342)*(I5370-I5376+I5375-I5378)</f>
        <v>0</v>
      </c>
      <c r="J5380" s="25" t="n">
        <f aca="false">J5371*(1-J5342)*(J5370-J5376+J5375-J5378)</f>
        <v>250</v>
      </c>
      <c r="K5380" s="25" t="n">
        <f aca="false">K5371*(1-K5342)*(K5370-K5376+K5375-K5378)</f>
        <v>0</v>
      </c>
    </row>
    <row r="5381" customFormat="false" ht="15" hidden="false" customHeight="false" outlineLevel="0" collapsed="false">
      <c r="A5381" s="2" t="s">
        <v>274</v>
      </c>
      <c r="F5381" s="27" t="n">
        <f aca="false">Assumptions!$C$55</f>
        <v>250</v>
      </c>
      <c r="G5381" s="16" t="n">
        <f aca="false">G5370+G5377+G5375-G5376-G5378-G5379</f>
        <v>250</v>
      </c>
      <c r="H5381" s="16" t="n">
        <f aca="false">H5370+H5377+H5375-H5376-H5378-H5379</f>
        <v>250</v>
      </c>
      <c r="I5381" s="16" t="n">
        <f aca="false">I5370+I5377+I5375-I5376-I5378-I5379</f>
        <v>250</v>
      </c>
      <c r="J5381" s="16" t="n">
        <f aca="false">J5370+J5377+J5375-J5376-J5378-J5379</f>
        <v>250</v>
      </c>
      <c r="K5381" s="16" t="n">
        <f aca="false">K5370+K5377+K5375-K5376-K5378-K5379</f>
        <v>250</v>
      </c>
    </row>
    <row r="5382" customFormat="false" ht="15" hidden="false" customHeight="false" outlineLevel="0" collapsed="false">
      <c r="A5382" s="23" t="s">
        <v>277</v>
      </c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</row>
    <row r="5383" customFormat="false" ht="15" hidden="false" customHeight="false" outlineLevel="0" collapsed="false">
      <c r="A5383" s="5" t="s">
        <v>264</v>
      </c>
      <c r="G5383" s="25" t="n">
        <f aca="false">F5394</f>
        <v>300</v>
      </c>
      <c r="H5383" s="25" t="n">
        <f aca="false">G5394</f>
        <v>300</v>
      </c>
      <c r="I5383" s="25" t="n">
        <f aca="false">H5394</f>
        <v>300</v>
      </c>
      <c r="J5383" s="25" t="n">
        <f aca="false">I5394</f>
        <v>300</v>
      </c>
      <c r="K5383" s="25" t="n">
        <f aca="false">J5394</f>
        <v>300</v>
      </c>
    </row>
    <row r="5384" customFormat="false" ht="15" hidden="false" customHeight="false" outlineLevel="0" collapsed="false">
      <c r="A5384" s="5" t="s">
        <v>265</v>
      </c>
      <c r="G5384" s="20" t="n">
        <f aca="false">IF(G5308=Assumptions!$K$56,1,0)</f>
        <v>0</v>
      </c>
      <c r="H5384" s="20" t="n">
        <f aca="false">IF(H5308=Assumptions!$K$56,1,0)</f>
        <v>1</v>
      </c>
      <c r="I5384" s="20" t="n">
        <f aca="false">IF(I5308=Assumptions!$K$56,1,0)</f>
        <v>0</v>
      </c>
      <c r="J5384" s="20" t="n">
        <f aca="false">IF(J5308=Assumptions!$K$56,1,0)</f>
        <v>0</v>
      </c>
      <c r="K5384" s="20" t="n">
        <f aca="false">IF(K5308=Assumptions!$K$56,1,0)</f>
        <v>0</v>
      </c>
    </row>
    <row r="5386" customFormat="false" ht="15" hidden="false" customHeight="false" outlineLevel="0" collapsed="false">
      <c r="A5386" s="5" t="s">
        <v>266</v>
      </c>
      <c r="G5386" s="30" t="n">
        <f aca="false">IF(Assumptions!$I$56=1,MAX(G5334,Assumptions!$G$56)+Assumptions!$F$56+$C$5335,Assumptions!$E$56)</f>
        <v>0.075</v>
      </c>
      <c r="H5386" s="30" t="n">
        <f aca="false">IF(G5499=1,$C$5336,IF(Assumptions!$I$56=1,MAX(H5334,Assumptions!$G$56)+Assumptions!$F$56+$C$5335,Assumptions!$E$56))</f>
        <v>0.075</v>
      </c>
      <c r="I5386" s="30" t="n">
        <f aca="false">IF(H5499=1,$C$5336,IF(Assumptions!$I$56=1,MAX(I5334,Assumptions!$G$56)+Assumptions!$F$56+$C$5335,Assumptions!$E$56))</f>
        <v>0.075</v>
      </c>
      <c r="J5386" s="30" t="n">
        <f aca="false">IF(I5499=1,$C$5336,IF(Assumptions!$I$56=1,MAX(J5334,Assumptions!$G$56)+Assumptions!$F$56+$C$5335,Assumptions!$E$56))</f>
        <v>0.075</v>
      </c>
      <c r="K5386" s="30" t="n">
        <f aca="false">IF(J5499=1,$C$5336,IF(Assumptions!$I$56=1,MAX(K5334,Assumptions!$G$56)+Assumptions!$F$56+$C$5335,Assumptions!$E$56))</f>
        <v>0.075</v>
      </c>
    </row>
    <row r="5387" customFormat="false" ht="15" hidden="false" customHeight="false" outlineLevel="0" collapsed="false">
      <c r="A5387" s="5" t="s">
        <v>267</v>
      </c>
      <c r="G5387" s="25" t="n">
        <f aca="false">G5383*G5386</f>
        <v>22.5</v>
      </c>
      <c r="H5387" s="25" t="n">
        <f aca="false">H5383*H5386</f>
        <v>22.5</v>
      </c>
      <c r="I5387" s="25" t="n">
        <f aca="false">I5383*I5386</f>
        <v>22.5</v>
      </c>
      <c r="J5387" s="25" t="n">
        <f aca="false">J5383*J5386</f>
        <v>22.5</v>
      </c>
      <c r="K5387" s="25" t="n">
        <f aca="false">K5383*K5386</f>
        <v>22.5</v>
      </c>
    </row>
    <row r="5388" customFormat="false" ht="15" hidden="false" customHeight="false" outlineLevel="0" collapsed="false">
      <c r="A5388" s="5" t="s">
        <v>268</v>
      </c>
      <c r="G5388" s="25" t="n">
        <f aca="false">G5383*Assumptions!$H$56</f>
        <v>0</v>
      </c>
      <c r="H5388" s="25" t="n">
        <f aca="false">H5383*Assumptions!$H$56</f>
        <v>0</v>
      </c>
      <c r="I5388" s="25" t="n">
        <f aca="false">I5383*Assumptions!$H$56</f>
        <v>0</v>
      </c>
      <c r="J5388" s="25" t="n">
        <f aca="false">J5383*Assumptions!$H$56</f>
        <v>0</v>
      </c>
      <c r="K5388" s="25" t="n">
        <f aca="false">K5383*Assumptions!$H$56</f>
        <v>0</v>
      </c>
    </row>
    <row r="5389" customFormat="false" ht="15" hidden="false" customHeight="false" outlineLevel="0" collapsed="false">
      <c r="A5389" s="5" t="s">
        <v>269</v>
      </c>
      <c r="G5389" s="25" t="n">
        <f aca="false">MIN(G5383,Assumptions!$L$56*Assumptions!$C$56)</f>
        <v>0</v>
      </c>
      <c r="H5389" s="25" t="n">
        <f aca="false">MIN(H5383,Assumptions!$L$56*Assumptions!$C$56)</f>
        <v>0</v>
      </c>
      <c r="I5389" s="25" t="n">
        <f aca="false">MIN(I5383,Assumptions!$L$56*Assumptions!$C$56)</f>
        <v>0</v>
      </c>
      <c r="J5389" s="25" t="n">
        <f aca="false">MIN(J5383,Assumptions!$L$56*Assumptions!$C$56)</f>
        <v>0</v>
      </c>
      <c r="K5389" s="25" t="n">
        <f aca="false">MIN(K5383,Assumptions!$L$56*Assumptions!$C$56)</f>
        <v>0</v>
      </c>
    </row>
    <row r="5390" customFormat="false" ht="15" hidden="false" customHeight="false" outlineLevel="0" collapsed="false">
      <c r="A5390" s="5" t="s">
        <v>270</v>
      </c>
      <c r="G5390" s="25" t="n">
        <f aca="false">IF(AND(Assumptions!$P$56=1,G5308&lt;Assumptions!$K$56),MIN(MAX(0,-G5422),MAX(0,Assumptions!$D$56-G5383)),0)</f>
        <v>0</v>
      </c>
      <c r="H5390" s="25" t="n">
        <f aca="false">IF(AND(Assumptions!$P$56=1,OR(H5308&lt;Assumptions!$K$56,G5499=1)),MIN(MAX(0,-H5422),MAX(0,Assumptions!$D$56-H5383)),0)</f>
        <v>0</v>
      </c>
      <c r="I5390" s="25" t="n">
        <f aca="false">IF(AND(Assumptions!$P$56=1,OR(I5308&lt;Assumptions!$K$56,H5499=1)),MIN(MAX(0,-I5422),MAX(0,Assumptions!$D$56-I5383)),0)</f>
        <v>0</v>
      </c>
      <c r="J5390" s="25" t="n">
        <f aca="false">IF(AND(Assumptions!$P$56=1,OR(J5308&lt;Assumptions!$K$56,I5499=1)),MIN(MAX(0,-J5422),MAX(0,Assumptions!$D$56-J5383)),0)</f>
        <v>0</v>
      </c>
      <c r="K5390" s="25" t="n">
        <f aca="false">IF(AND(Assumptions!$P$56=1,OR(K5308&lt;Assumptions!$K$56,J5499=1)),MIN(MAX(0,-K5422),MAX(0,Assumptions!$D$56-K5383)),0)</f>
        <v>0</v>
      </c>
    </row>
    <row r="5391" customFormat="false" ht="15" hidden="false" customHeight="false" outlineLevel="0" collapsed="false">
      <c r="A5391" s="5" t="s">
        <v>271</v>
      </c>
      <c r="G5391" s="25" t="n">
        <f aca="false">G5384*MIN(G5383-G5389+G5388,MAX(0,G5424-Assumptions!$C$12*G5342-G5352-G5365-G5378))</f>
        <v>0</v>
      </c>
      <c r="H5391" s="25" t="n">
        <f aca="false">H5384*MIN(H5383-H5389+H5388,MAX(0,H5424-Assumptions!$C$12*H5342-H5352-H5365-H5378))</f>
        <v>0</v>
      </c>
      <c r="I5391" s="25" t="n">
        <f aca="false">I5384*MIN(I5383-I5389+I5388,MAX(0,I5424-Assumptions!$C$12*I5342-I5352-I5365-I5378))</f>
        <v>0</v>
      </c>
      <c r="J5391" s="25" t="n">
        <f aca="false">J5384*MIN(J5383-J5389+J5388,MAX(0,J5424-Assumptions!$C$12*J5342-J5352-J5365-J5378))</f>
        <v>0</v>
      </c>
      <c r="K5391" s="25" t="n">
        <f aca="false">K5384*MIN(K5383-K5389+K5388,MAX(0,K5424-Assumptions!$C$12*K5342-K5352-K5365-K5378))</f>
        <v>0</v>
      </c>
    </row>
    <row r="5392" customFormat="false" ht="15" hidden="false" customHeight="false" outlineLevel="0" collapsed="false">
      <c r="A5392" s="5" t="s">
        <v>272</v>
      </c>
      <c r="G5392" s="25" t="n">
        <f aca="false">Assumptions!$N$56*MIN(G5383+G5390+G5388-G5389-G5391,MAX(0,G5428-G5353-G5366-G5379))</f>
        <v>0</v>
      </c>
      <c r="H5392" s="25" t="n">
        <f aca="false">Assumptions!$N$56*MIN(H5383+H5390+H5388-H5389-H5391,MAX(0,H5428-H5353-H5366-H5379))</f>
        <v>0</v>
      </c>
      <c r="I5392" s="25" t="n">
        <f aca="false">Assumptions!$N$56*MIN(I5383+I5390+I5388-I5389-I5391,MAX(0,I5428-I5353-I5366-I5379))</f>
        <v>0</v>
      </c>
      <c r="J5392" s="25" t="n">
        <f aca="false">Assumptions!$N$56*MIN(J5383+J5390+J5388-J5389-J5391,MAX(0,J5428-J5353-J5366-J5379))</f>
        <v>0</v>
      </c>
      <c r="K5392" s="25" t="n">
        <f aca="false">Assumptions!$N$56*MIN(K5383+K5390+K5388-K5389-K5391,MAX(0,K5428-K5353-K5366-K5379))</f>
        <v>0</v>
      </c>
    </row>
    <row r="5393" customFormat="false" ht="15" hidden="false" customHeight="false" outlineLevel="0" collapsed="false">
      <c r="A5393" s="5" t="s">
        <v>273</v>
      </c>
      <c r="G5393" s="25" t="n">
        <f aca="false">G5384*(1-G5342)*(G5383-G5389+G5388-G5391)</f>
        <v>0</v>
      </c>
      <c r="H5393" s="25" t="n">
        <f aca="false">H5384*(1-H5342)*(H5383-H5389+H5388-H5391)</f>
        <v>300</v>
      </c>
      <c r="I5393" s="25" t="n">
        <f aca="false">I5384*(1-I5342)*(I5383-I5389+I5388-I5391)</f>
        <v>0</v>
      </c>
      <c r="J5393" s="25" t="n">
        <f aca="false">J5384*(1-J5342)*(J5383-J5389+J5388-J5391)</f>
        <v>0</v>
      </c>
      <c r="K5393" s="25" t="n">
        <f aca="false">K5384*(1-K5342)*(K5383-K5389+K5388-K5391)</f>
        <v>0</v>
      </c>
    </row>
    <row r="5394" customFormat="false" ht="15" hidden="false" customHeight="false" outlineLevel="0" collapsed="false">
      <c r="A5394" s="2" t="s">
        <v>274</v>
      </c>
      <c r="F5394" s="27" t="n">
        <f aca="false">Assumptions!$C$56</f>
        <v>300</v>
      </c>
      <c r="G5394" s="16" t="n">
        <f aca="false">G5383+G5390+G5388-G5389-G5391-G5392</f>
        <v>300</v>
      </c>
      <c r="H5394" s="16" t="n">
        <f aca="false">H5383+H5390+H5388-H5389-H5391-H5392</f>
        <v>300</v>
      </c>
      <c r="I5394" s="16" t="n">
        <f aca="false">I5383+I5390+I5388-I5389-I5391-I5392</f>
        <v>300</v>
      </c>
      <c r="J5394" s="16" t="n">
        <f aca="false">J5383+J5390+J5388-J5389-J5391-J5392</f>
        <v>300</v>
      </c>
      <c r="K5394" s="16" t="n">
        <f aca="false">K5383+K5390+K5388-K5389-K5391-K5392</f>
        <v>300</v>
      </c>
    </row>
    <row r="5395" customFormat="false" ht="15" hidden="false" customHeight="false" outlineLevel="0" collapsed="false">
      <c r="A5395" s="23" t="s">
        <v>278</v>
      </c>
      <c r="B5395" s="24"/>
      <c r="C5395" s="24"/>
      <c r="D5395" s="24"/>
      <c r="E5395" s="24"/>
      <c r="F5395" s="24"/>
      <c r="G5395" s="24"/>
      <c r="H5395" s="24"/>
      <c r="I5395" s="24"/>
      <c r="J5395" s="24"/>
      <c r="K5395" s="24"/>
    </row>
    <row r="5396" customFormat="false" ht="15" hidden="false" customHeight="false" outlineLevel="0" collapsed="false">
      <c r="A5396" s="2" t="s">
        <v>279</v>
      </c>
      <c r="F5396" s="16" t="n">
        <f aca="false">F5355+F5368+F5381+F5394</f>
        <v>1250</v>
      </c>
      <c r="G5396" s="16" t="n">
        <f aca="false">G5355+G5368+G5381+G5394</f>
        <v>1299.7088</v>
      </c>
      <c r="H5396" s="16" t="n">
        <f aca="false">H5355+H5368+H5381+H5394</f>
        <v>1294.5088</v>
      </c>
      <c r="I5396" s="16" t="n">
        <f aca="false">I5355+I5368+I5381+I5394</f>
        <v>1289.3088</v>
      </c>
      <c r="J5396" s="16" t="n">
        <f aca="false">J5355+J5368+J5381+J5394</f>
        <v>1284.1088</v>
      </c>
      <c r="K5396" s="16" t="n">
        <f aca="false">K5355+K5368+K5381+K5394</f>
        <v>1278.9088</v>
      </c>
    </row>
    <row r="5397" customFormat="false" ht="15" hidden="false" customHeight="false" outlineLevel="0" collapsed="false">
      <c r="A5397" s="5" t="s">
        <v>280</v>
      </c>
      <c r="G5397" s="25" t="n">
        <f aca="false">G5345*Assumptions!$C$53+G5358*Assumptions!$C$54+G5371*Assumptions!$C$55+G5384*Assumptions!$C$56</f>
        <v>0</v>
      </c>
      <c r="H5397" s="25" t="n">
        <f aca="false">H5345*Assumptions!$C$53+H5358*Assumptions!$C$54+H5371*Assumptions!$C$55+H5384*Assumptions!$C$56</f>
        <v>480</v>
      </c>
      <c r="I5397" s="25" t="n">
        <f aca="false">I5345*Assumptions!$C$53+I5358*Assumptions!$C$54+I5371*Assumptions!$C$55+I5384*Assumptions!$C$56</f>
        <v>520</v>
      </c>
      <c r="J5397" s="25" t="n">
        <f aca="false">J5345*Assumptions!$C$53+J5358*Assumptions!$C$54+J5371*Assumptions!$C$55+J5384*Assumptions!$C$56</f>
        <v>250</v>
      </c>
      <c r="K5397" s="25" t="n">
        <f aca="false">K5345*Assumptions!$C$53+K5358*Assumptions!$C$54+K5371*Assumptions!$C$55+K5384*Assumptions!$C$56</f>
        <v>0</v>
      </c>
    </row>
    <row r="5398" customFormat="false" ht="15" hidden="false" customHeight="false" outlineLevel="0" collapsed="false">
      <c r="A5398" s="23" t="s">
        <v>281</v>
      </c>
      <c r="B5398" s="24"/>
      <c r="C5398" s="24"/>
      <c r="D5398" s="24"/>
      <c r="E5398" s="24"/>
      <c r="F5398" s="24"/>
      <c r="G5398" s="24"/>
      <c r="H5398" s="24"/>
      <c r="I5398" s="24"/>
      <c r="J5398" s="24"/>
      <c r="K5398" s="24"/>
    </row>
    <row r="5399" customFormat="false" ht="15" hidden="false" customHeight="false" outlineLevel="0" collapsed="false">
      <c r="A5399" s="5" t="s">
        <v>282</v>
      </c>
      <c r="C5399" s="25" t="n">
        <f aca="false">SUMPRODUCT($G$5345:$K$5345,$G$5344:$K$5344-$G$5350:$K$5350+$G$5349:$K$5349)</f>
        <v>234.9088</v>
      </c>
    </row>
    <row r="5400" customFormat="false" ht="15" hidden="false" customHeight="false" outlineLevel="0" collapsed="false">
      <c r="A5400" s="5" t="s">
        <v>283</v>
      </c>
      <c r="C5400" s="25" t="n">
        <f aca="false">SUMPRODUCT($G$5345:$K$5345,$G$5352:$K$5352)</f>
        <v>0</v>
      </c>
    </row>
    <row r="5401" customFormat="false" ht="15" hidden="false" customHeight="false" outlineLevel="0" collapsed="false">
      <c r="A5401" s="5" t="s">
        <v>284</v>
      </c>
      <c r="C5401" s="5" t="str">
        <f aca="false">IF(SUM($G$5345:$K$5345)=0,"n/a (beyond horizon)",IF(SUMPRODUCT($G$5345:$K$5345,$G$5342:$K$5342)&gt;0,"REFINANCING PASS","REFINANCING FAILURE"))</f>
        <v>REFINANCING FAILURE</v>
      </c>
    </row>
    <row r="5402" customFormat="false" ht="15" hidden="false" customHeight="false" outlineLevel="0" collapsed="false">
      <c r="A5402" s="5" t="s">
        <v>285</v>
      </c>
      <c r="C5402" s="5" t="str">
        <f aca="false">IF(SUM($G$5345:$K$5345)=0,"n/a",IF(C5400&gt;=C5399-0.001,"Repaid from cash",IF(SUMPRODUCT($G$5345:$K$5345,$G$5342:$K$5342)&gt;0,IF(C5400&gt;0,"Partly repaid; remainder refinanced","Refinanced"),IF(SUM($G$5354:$K$5354)&gt;0.001,IF(C5400&gt;0,"Partial repayment; PAYMENT DEFAULT","PAYMENT DEFAULT"),"Repaid from cash"))))</f>
        <v>PAYMENT DEFAULT</v>
      </c>
    </row>
    <row r="5403" customFormat="false" ht="15" hidden="false" customHeight="false" outlineLevel="0" collapsed="false">
      <c r="A5403" s="5" t="s">
        <v>286</v>
      </c>
      <c r="C5403" s="25" t="n">
        <f aca="false">SUMPRODUCT($G$5358:$K$5358,$G$5357:$K$5357-$G$5363:$K$5363+$G$5362:$K$5362)</f>
        <v>504.4</v>
      </c>
    </row>
    <row r="5404" customFormat="false" ht="15" hidden="false" customHeight="false" outlineLevel="0" collapsed="false">
      <c r="A5404" s="5" t="s">
        <v>287</v>
      </c>
      <c r="C5404" s="25" t="n">
        <f aca="false">SUMPRODUCT($G$5358:$K$5358,$G$5365:$K$5365)</f>
        <v>0</v>
      </c>
    </row>
    <row r="5405" customFormat="false" ht="15" hidden="false" customHeight="false" outlineLevel="0" collapsed="false">
      <c r="A5405" s="5" t="s">
        <v>288</v>
      </c>
      <c r="C5405" s="5" t="str">
        <f aca="false">IF(SUM($G$5358:$K$5358)=0,"n/a (beyond horizon)",IF(SUMPRODUCT($G$5358:$K$5358,$G$5342:$K$5342)&gt;0,"REFINANCING PASS","REFINANCING FAILURE"))</f>
        <v>REFINANCING FAILURE</v>
      </c>
    </row>
    <row r="5406" customFormat="false" ht="15" hidden="false" customHeight="false" outlineLevel="0" collapsed="false">
      <c r="A5406" s="5" t="s">
        <v>289</v>
      </c>
      <c r="C5406" s="5" t="str">
        <f aca="false">IF(SUM($G$5358:$K$5358)=0,"n/a",IF(C5404&gt;=C5403-0.001,"Repaid from cash",IF(SUMPRODUCT($G$5358:$K$5358,$G$5342:$K$5342)&gt;0,IF(C5404&gt;0,"Partly repaid; remainder refinanced","Refinanced"),IF(SUM($G$5367:$K$5367)&gt;0.001,IF(C5404&gt;0,"Partial repayment; PAYMENT DEFAULT","PAYMENT DEFAULT"),"Repaid from cash"))))</f>
        <v>PAYMENT DEFAULT</v>
      </c>
    </row>
    <row r="5407" customFormat="false" ht="15" hidden="false" customHeight="false" outlineLevel="0" collapsed="false">
      <c r="A5407" s="5" t="s">
        <v>290</v>
      </c>
      <c r="C5407" s="25" t="n">
        <f aca="false">SUMPRODUCT($G$5371:$K$5371,$G$5370:$K$5370-$G$5376:$K$5376+$G$5375:$K$5375)</f>
        <v>250</v>
      </c>
    </row>
    <row r="5408" customFormat="false" ht="15" hidden="false" customHeight="false" outlineLevel="0" collapsed="false">
      <c r="A5408" s="5" t="s">
        <v>291</v>
      </c>
      <c r="C5408" s="25" t="n">
        <f aca="false">SUMPRODUCT($G$5371:$K$5371,$G$5378:$K$5378)</f>
        <v>0</v>
      </c>
    </row>
    <row r="5409" customFormat="false" ht="15" hidden="false" customHeight="false" outlineLevel="0" collapsed="false">
      <c r="A5409" s="5" t="s">
        <v>292</v>
      </c>
      <c r="C5409" s="5" t="str">
        <f aca="false">IF(SUM($G$5371:$K$5371)=0,"n/a (beyond horizon)",IF(SUMPRODUCT($G$5371:$K$5371,$G$5342:$K$5342)&gt;0,"REFINANCING PASS","REFINANCING FAILURE"))</f>
        <v>REFINANCING FAILURE</v>
      </c>
    </row>
    <row r="5410" customFormat="false" ht="15" hidden="false" customHeight="false" outlineLevel="0" collapsed="false">
      <c r="A5410" s="5" t="s">
        <v>293</v>
      </c>
      <c r="C5410" s="5" t="str">
        <f aca="false">IF(SUM($G$5371:$K$5371)=0,"n/a",IF(C5408&gt;=C5407-0.001,"Repaid from cash",IF(SUMPRODUCT($G$5371:$K$5371,$G$5342:$K$5342)&gt;0,IF(C5408&gt;0,"Partly repaid; remainder refinanced","Refinanced"),IF(SUM($G$5380:$K$5380)&gt;0.001,IF(C5408&gt;0,"Partial repayment; PAYMENT DEFAULT","PAYMENT DEFAULT"),"Repaid from cash"))))</f>
        <v>PAYMENT DEFAULT</v>
      </c>
    </row>
    <row r="5411" customFormat="false" ht="15" hidden="false" customHeight="false" outlineLevel="0" collapsed="false">
      <c r="A5411" s="5" t="s">
        <v>294</v>
      </c>
      <c r="C5411" s="25" t="n">
        <f aca="false">SUMPRODUCT($G$5384:$K$5384,$G$5383:$K$5383-$G$5389:$K$5389+$G$5388:$K$5388)</f>
        <v>300</v>
      </c>
    </row>
    <row r="5412" customFormat="false" ht="15" hidden="false" customHeight="false" outlineLevel="0" collapsed="false">
      <c r="A5412" s="5" t="s">
        <v>295</v>
      </c>
      <c r="C5412" s="25" t="n">
        <f aca="false">SUMPRODUCT($G$5384:$K$5384,$G$5391:$K$5391)</f>
        <v>0</v>
      </c>
    </row>
    <row r="5413" customFormat="false" ht="15" hidden="false" customHeight="false" outlineLevel="0" collapsed="false">
      <c r="A5413" s="5" t="s">
        <v>296</v>
      </c>
      <c r="C5413" s="5" t="str">
        <f aca="false">IF(SUM($G$5384:$K$5384)=0,"n/a (beyond horizon)",IF(SUMPRODUCT($G$5384:$K$5384,$G$5342:$K$5342)&gt;0,"REFINANCING PASS","REFINANCING FAILURE"))</f>
        <v>REFINANCING FAILURE</v>
      </c>
    </row>
    <row r="5414" customFormat="false" ht="15" hidden="false" customHeight="false" outlineLevel="0" collapsed="false">
      <c r="A5414" s="5" t="s">
        <v>297</v>
      </c>
      <c r="C5414" s="5" t="str">
        <f aca="false">IF(SUM($G$5384:$K$5384)=0,"n/a",IF(C5412&gt;=C5411-0.001,"Repaid from cash",IF(SUMPRODUCT($G$5384:$K$5384,$G$5342:$K$5342)&gt;0,IF(C5412&gt;0,"Partly repaid; remainder refinanced","Refinanced"),IF(SUM($G$5393:$K$5393)&gt;0.001,IF(C5412&gt;0,"Partial repayment; PAYMENT DEFAULT","PAYMENT DEFAULT"),"Repaid from cash"))))</f>
        <v>PAYMENT DEFAULT</v>
      </c>
    </row>
    <row r="5415" customFormat="false" ht="15" hidden="false" customHeight="false" outlineLevel="0" collapsed="false">
      <c r="A5415" s="5" t="s">
        <v>298</v>
      </c>
      <c r="C5415" s="20" t="n">
        <f aca="false">IF(C5401="REFINANCING FAILURE",1,0)+IF(C5405="REFINANCING FAILURE",1,0)+IF(C5409="REFINANCING FAILURE",1,0)+IF(C5413="REFINANCING FAILURE",1,0)</f>
        <v>4</v>
      </c>
    </row>
    <row r="5417" customFormat="false" ht="15" hidden="false" customHeight="false" outlineLevel="0" collapsed="false">
      <c r="A5417" s="23" t="s">
        <v>300</v>
      </c>
      <c r="B5417" s="24"/>
      <c r="C5417" s="24"/>
      <c r="D5417" s="24"/>
      <c r="E5417" s="24"/>
      <c r="F5417" s="24"/>
      <c r="G5417" s="24"/>
      <c r="H5417" s="24"/>
      <c r="I5417" s="24"/>
      <c r="J5417" s="24"/>
      <c r="K5417" s="24"/>
    </row>
    <row r="5418" customFormat="false" ht="15" hidden="false" customHeight="false" outlineLevel="0" collapsed="false">
      <c r="A5418" s="5" t="s">
        <v>260</v>
      </c>
      <c r="G5418" s="25" t="n">
        <f aca="false">F5430</f>
        <v>45</v>
      </c>
      <c r="H5418" s="25" t="n">
        <f aca="false">G5430</f>
        <v>0</v>
      </c>
      <c r="I5418" s="25" t="n">
        <f aca="false">H5430</f>
        <v>-139.5574048</v>
      </c>
      <c r="J5418" s="25" t="n">
        <f aca="false">I5430</f>
        <v>-299.764809344</v>
      </c>
      <c r="K5418" s="25" t="n">
        <f aca="false">J5430</f>
        <v>-462.24043997056</v>
      </c>
    </row>
    <row r="5419" customFormat="false" ht="15" hidden="false" customHeight="false" outlineLevel="0" collapsed="false">
      <c r="A5419" s="5" t="s">
        <v>301</v>
      </c>
      <c r="G5419" s="25" t="n">
        <f aca="false">G5331</f>
        <v>-94.7088</v>
      </c>
      <c r="H5419" s="25" t="n">
        <f aca="false">H5331</f>
        <v>-134.3574048</v>
      </c>
      <c r="I5419" s="25" t="n">
        <f aca="false">I5331</f>
        <v>-155.007404544</v>
      </c>
      <c r="J5419" s="25" t="n">
        <f aca="false">J5331</f>
        <v>-157.27563062656</v>
      </c>
      <c r="K5419" s="25" t="n">
        <f aca="false">K5331</f>
        <v>-156.443655088294</v>
      </c>
    </row>
    <row r="5420" customFormat="false" ht="15" hidden="false" customHeight="false" outlineLevel="0" collapsed="false">
      <c r="A5420" s="5" t="s">
        <v>302</v>
      </c>
      <c r="G5420" s="25" t="n">
        <f aca="false">CHOOSE($C$5301,Assumptions!$G$68,Assumptions!$G$87,Assumptions!$G$106)</f>
        <v>0</v>
      </c>
      <c r="H5420" s="25" t="n">
        <f aca="false">CHOOSE($C$5301,Assumptions!$H$68,Assumptions!$H$87,Assumptions!$H$106)</f>
        <v>0</v>
      </c>
      <c r="I5420" s="25" t="n">
        <f aca="false">CHOOSE($C$5301,Assumptions!$I$68,Assumptions!$I$87,Assumptions!$I$106)</f>
        <v>0</v>
      </c>
      <c r="J5420" s="25" t="n">
        <f aca="false">CHOOSE($C$5301,Assumptions!$J$68,Assumptions!$J$87,Assumptions!$J$106)</f>
        <v>0</v>
      </c>
      <c r="K5420" s="25" t="n">
        <f aca="false">CHOOSE($C$5301,Assumptions!$K$68,Assumptions!$K$87,Assumptions!$K$106)</f>
        <v>0</v>
      </c>
    </row>
    <row r="5421" customFormat="false" ht="15" hidden="false" customHeight="false" outlineLevel="0" collapsed="false">
      <c r="A5421" s="5" t="s">
        <v>303</v>
      </c>
      <c r="G5421" s="25" t="n">
        <f aca="false">G5350+G5363+G5376+G5389</f>
        <v>5.2</v>
      </c>
      <c r="H5421" s="25" t="n">
        <f aca="false">H5350+H5363+H5376+H5389</f>
        <v>5.2</v>
      </c>
      <c r="I5421" s="25" t="n">
        <f aca="false">I5350+I5363+I5376+I5389</f>
        <v>5.2</v>
      </c>
      <c r="J5421" s="25" t="n">
        <f aca="false">J5350+J5363+J5376+J5389</f>
        <v>5.2</v>
      </c>
      <c r="K5421" s="25" t="n">
        <f aca="false">K5350+K5363+K5376+K5389</f>
        <v>5.2</v>
      </c>
    </row>
    <row r="5422" customFormat="false" ht="15" hidden="false" customHeight="false" outlineLevel="0" collapsed="false">
      <c r="A5422" s="2" t="s">
        <v>304</v>
      </c>
      <c r="G5422" s="16" t="n">
        <f aca="false">G5418+G5419+G5420-G5421</f>
        <v>-54.9088</v>
      </c>
      <c r="H5422" s="16" t="n">
        <f aca="false">H5418+H5419+H5420-H5421</f>
        <v>-139.5574048</v>
      </c>
      <c r="I5422" s="16" t="n">
        <f aca="false">I5418+I5419+I5420-I5421</f>
        <v>-299.764809344</v>
      </c>
      <c r="J5422" s="16" t="n">
        <f aca="false">J5418+J5419+J5420-J5421</f>
        <v>-462.24043997056</v>
      </c>
      <c r="K5422" s="16" t="n">
        <f aca="false">K5418+K5419+K5420-K5421</f>
        <v>-623.884095058854</v>
      </c>
    </row>
    <row r="5423" customFormat="false" ht="15" hidden="false" customHeight="false" outlineLevel="0" collapsed="false">
      <c r="A5423" s="5" t="s">
        <v>305</v>
      </c>
      <c r="G5423" s="25" t="n">
        <f aca="false">G5351+G5364+G5377+G5390</f>
        <v>54.9088</v>
      </c>
      <c r="H5423" s="25" t="n">
        <f aca="false">H5351+H5364+H5377+H5390</f>
        <v>0</v>
      </c>
      <c r="I5423" s="25" t="n">
        <f aca="false">I5351+I5364+I5377+I5390</f>
        <v>0</v>
      </c>
      <c r="J5423" s="25" t="n">
        <f aca="false">J5351+J5364+J5377+J5390</f>
        <v>0</v>
      </c>
      <c r="K5423" s="25" t="n">
        <f aca="false">K5351+K5364+K5377+K5390</f>
        <v>0</v>
      </c>
    </row>
    <row r="5424" customFormat="false" ht="15" hidden="false" customHeight="false" outlineLevel="0" collapsed="false">
      <c r="A5424" s="2" t="s">
        <v>306</v>
      </c>
      <c r="G5424" s="16" t="n">
        <f aca="false">G5422+G5423</f>
        <v>0</v>
      </c>
      <c r="H5424" s="16" t="n">
        <f aca="false">H5422+H5423</f>
        <v>-139.5574048</v>
      </c>
      <c r="I5424" s="16" t="n">
        <f aca="false">I5422+I5423</f>
        <v>-299.764809344</v>
      </c>
      <c r="J5424" s="16" t="n">
        <f aca="false">J5422+J5423</f>
        <v>-462.24043997056</v>
      </c>
      <c r="K5424" s="16" t="n">
        <f aca="false">K5422+K5423</f>
        <v>-623.884095058854</v>
      </c>
    </row>
    <row r="5425" customFormat="false" ht="15" hidden="false" customHeight="false" outlineLevel="0" collapsed="false">
      <c r="A5425" s="5" t="s">
        <v>307</v>
      </c>
      <c r="G5425" s="25" t="n">
        <f aca="false">G5352+G5365+G5378+G5391</f>
        <v>0</v>
      </c>
      <c r="H5425" s="25" t="n">
        <f aca="false">H5352+H5365+H5378+H5391</f>
        <v>0</v>
      </c>
      <c r="I5425" s="25" t="n">
        <f aca="false">I5352+I5365+I5378+I5391</f>
        <v>0</v>
      </c>
      <c r="J5425" s="25" t="n">
        <f aca="false">J5352+J5365+J5378+J5391</f>
        <v>0</v>
      </c>
      <c r="K5425" s="25" t="n">
        <f aca="false">K5352+K5365+K5378+K5391</f>
        <v>0</v>
      </c>
    </row>
    <row r="5426" customFormat="false" ht="15" hidden="false" customHeight="false" outlineLevel="0" collapsed="false">
      <c r="A5426" s="2" t="s">
        <v>308</v>
      </c>
      <c r="G5426" s="16" t="n">
        <f aca="false">G5424-G5425</f>
        <v>0</v>
      </c>
      <c r="H5426" s="16" t="n">
        <f aca="false">H5424-H5425</f>
        <v>-139.5574048</v>
      </c>
      <c r="I5426" s="16" t="n">
        <f aca="false">I5424-I5425</f>
        <v>-299.764809344</v>
      </c>
      <c r="J5426" s="16" t="n">
        <f aca="false">J5424-J5425</f>
        <v>-462.24043997056</v>
      </c>
      <c r="K5426" s="16" t="n">
        <f aca="false">K5424-K5425</f>
        <v>-623.884095058854</v>
      </c>
    </row>
    <row r="5427" customFormat="false" ht="15" hidden="false" customHeight="false" outlineLevel="0" collapsed="false">
      <c r="A5427" s="5" t="s">
        <v>309</v>
      </c>
      <c r="G5427" s="25" t="n">
        <f aca="false">MAX(0,-G5426)</f>
        <v>-0</v>
      </c>
      <c r="H5427" s="25" t="n">
        <f aca="false">MAX(0,-H5426)</f>
        <v>139.5574048</v>
      </c>
      <c r="I5427" s="25" t="n">
        <f aca="false">MAX(0,-I5426)</f>
        <v>299.764809344</v>
      </c>
      <c r="J5427" s="25" t="n">
        <f aca="false">MAX(0,-J5426)</f>
        <v>462.24043997056</v>
      </c>
      <c r="K5427" s="25" t="n">
        <f aca="false">MAX(0,-K5426)</f>
        <v>623.884095058854</v>
      </c>
    </row>
    <row r="5428" customFormat="false" ht="15" hidden="false" customHeight="false" outlineLevel="0" collapsed="false">
      <c r="A5428" s="5" t="s">
        <v>310</v>
      </c>
      <c r="G5428" s="25" t="n">
        <f aca="false">MAX(0,G5426-Assumptions!$C$12)*Assumptions!$C$13</f>
        <v>0</v>
      </c>
      <c r="H5428" s="25" t="n">
        <f aca="false">MAX(0,H5426-Assumptions!$C$12)*Assumptions!$C$13</f>
        <v>0</v>
      </c>
      <c r="I5428" s="25" t="n">
        <f aca="false">MAX(0,I5426-Assumptions!$C$12)*Assumptions!$C$13</f>
        <v>0</v>
      </c>
      <c r="J5428" s="25" t="n">
        <f aca="false">MAX(0,J5426-Assumptions!$C$12)*Assumptions!$C$13</f>
        <v>0</v>
      </c>
      <c r="K5428" s="25" t="n">
        <f aca="false">MAX(0,K5426-Assumptions!$C$12)*Assumptions!$C$13</f>
        <v>0</v>
      </c>
    </row>
    <row r="5429" customFormat="false" ht="15" hidden="false" customHeight="false" outlineLevel="0" collapsed="false">
      <c r="A5429" s="5" t="s">
        <v>311</v>
      </c>
      <c r="G5429" s="25" t="n">
        <f aca="false">G5353+G5366+G5379+G5392</f>
        <v>0</v>
      </c>
      <c r="H5429" s="25" t="n">
        <f aca="false">H5353+H5366+H5379+H5392</f>
        <v>0</v>
      </c>
      <c r="I5429" s="25" t="n">
        <f aca="false">I5353+I5366+I5379+I5392</f>
        <v>0</v>
      </c>
      <c r="J5429" s="25" t="n">
        <f aca="false">J5353+J5366+J5379+J5392</f>
        <v>0</v>
      </c>
      <c r="K5429" s="25" t="n">
        <f aca="false">K5353+K5366+K5379+K5392</f>
        <v>0</v>
      </c>
    </row>
    <row r="5430" customFormat="false" ht="15" hidden="false" customHeight="false" outlineLevel="0" collapsed="false">
      <c r="A5430" s="2" t="s">
        <v>312</v>
      </c>
      <c r="F5430" s="27" t="n">
        <f aca="false">Assumptions!$C$11</f>
        <v>45</v>
      </c>
      <c r="G5430" s="16" t="n">
        <f aca="false">G5426-G5429</f>
        <v>0</v>
      </c>
      <c r="H5430" s="16" t="n">
        <f aca="false">H5426-H5429</f>
        <v>-139.5574048</v>
      </c>
      <c r="I5430" s="16" t="n">
        <f aca="false">I5426-I5429</f>
        <v>-299.764809344</v>
      </c>
      <c r="J5430" s="16" t="n">
        <f aca="false">J5426-J5429</f>
        <v>-462.24043997056</v>
      </c>
      <c r="K5430" s="16" t="n">
        <f aca="false">K5426-K5429</f>
        <v>-623.884095058854</v>
      </c>
    </row>
    <row r="5431" customFormat="false" ht="15" hidden="false" customHeight="false" outlineLevel="0" collapsed="false">
      <c r="A5431" s="5" t="s">
        <v>313</v>
      </c>
      <c r="G5431" s="25" t="n">
        <f aca="false">G5354+G5367+G5380+G5393</f>
        <v>0</v>
      </c>
      <c r="H5431" s="25" t="n">
        <f aca="false">H5354+H5367+H5380+H5393</f>
        <v>534.9088</v>
      </c>
      <c r="I5431" s="25" t="n">
        <f aca="false">I5354+I5367+I5380+I5393</f>
        <v>504.4</v>
      </c>
      <c r="J5431" s="25" t="n">
        <f aca="false">J5354+J5367+J5380+J5393</f>
        <v>250</v>
      </c>
      <c r="K5431" s="25" t="n">
        <f aca="false">K5354+K5367+K5380+K5393</f>
        <v>0</v>
      </c>
    </row>
    <row r="5432" customFormat="false" ht="15" hidden="false" customHeight="false" outlineLevel="0" collapsed="false">
      <c r="A5432" s="5" t="s">
        <v>314</v>
      </c>
      <c r="G5432" s="20" t="n">
        <f aca="false">IF(OR(G5427&gt;0.001,G5431&gt;0.001),1,0)</f>
        <v>0</v>
      </c>
      <c r="H5432" s="20" t="n">
        <f aca="false">IF(OR(H5427&gt;0.001,H5431&gt;0.001),1,0)</f>
        <v>1</v>
      </c>
      <c r="I5432" s="20" t="n">
        <f aca="false">IF(OR(I5427&gt;0.001,I5431&gt;0.001),1,0)</f>
        <v>1</v>
      </c>
      <c r="J5432" s="20" t="n">
        <f aca="false">IF(OR(J5427&gt;0.001,J5431&gt;0.001),1,0)</f>
        <v>1</v>
      </c>
      <c r="K5432" s="20" t="n">
        <f aca="false">IF(OR(K5427&gt;0.001,K5431&gt;0.001),1,0)</f>
        <v>1</v>
      </c>
    </row>
    <row r="5433" customFormat="false" ht="15" hidden="false" customHeight="false" outlineLevel="0" collapsed="false">
      <c r="A5433" s="5" t="s">
        <v>315</v>
      </c>
      <c r="G5433" s="20" t="n">
        <f aca="false">IF(G5432=1,1,0)</f>
        <v>0</v>
      </c>
      <c r="H5433" s="20" t="n">
        <f aca="false">IF(AND(H5432=1,SUM($G$5432:G5432)=0),1,0)</f>
        <v>1</v>
      </c>
      <c r="I5433" s="20" t="n">
        <f aca="false">IF(AND(I5432=1,SUM($G$5432:H5432)=0),1,0)</f>
        <v>0</v>
      </c>
      <c r="J5433" s="20" t="n">
        <f aca="false">IF(AND(J5432=1,SUM($G$5432:I5432)=0),1,0)</f>
        <v>0</v>
      </c>
      <c r="K5433" s="20" t="n">
        <f aca="false">IF(AND(K5432=1,SUM($G$5432:J5432)=0),1,0)</f>
        <v>0</v>
      </c>
    </row>
    <row r="5434" customFormat="false" ht="15" hidden="false" customHeight="false" outlineLevel="0" collapsed="false">
      <c r="A5434" s="5" t="s">
        <v>316</v>
      </c>
      <c r="G5434" s="25" t="n">
        <f aca="false">(G5396-F5396)-(G5423+G5323-G5421-G5425-G5429)</f>
        <v>0</v>
      </c>
      <c r="H5434" s="25" t="n">
        <f aca="false">(H5396-G5396)-(H5423+H5323-H5421-H5425-H5429)</f>
        <v>1.82076576038526E-013</v>
      </c>
      <c r="I5434" s="25" t="n">
        <f aca="false">(I5396-H5396)-(I5423+I5323-I5421-I5425-I5429)</f>
        <v>-4.52970994047064E-014</v>
      </c>
      <c r="J5434" s="25" t="n">
        <f aca="false">(J5396-I5396)-(J5423+J5323-J5421-J5425-J5429)</f>
        <v>-4.52970994047064E-014</v>
      </c>
      <c r="K5434" s="25" t="n">
        <f aca="false">(K5396-J5396)-(K5423+K5323-K5421-K5425-K5429)</f>
        <v>1.82076576038526E-013</v>
      </c>
    </row>
    <row r="5436" customFormat="false" ht="15" hidden="false" customHeight="false" outlineLevel="0" collapsed="false">
      <c r="A5436" s="23" t="s">
        <v>318</v>
      </c>
      <c r="B5436" s="24"/>
      <c r="C5436" s="24"/>
      <c r="D5436" s="24"/>
      <c r="E5436" s="24"/>
      <c r="F5436" s="24"/>
      <c r="G5436" s="24"/>
      <c r="H5436" s="24"/>
      <c r="I5436" s="24"/>
      <c r="J5436" s="24"/>
      <c r="K5436" s="24"/>
    </row>
    <row r="5437" customFormat="false" ht="15" hidden="false" customHeight="false" outlineLevel="0" collapsed="false">
      <c r="A5437" s="5" t="s">
        <v>319</v>
      </c>
      <c r="G5437" s="25" t="n">
        <f aca="false">G5396</f>
        <v>1299.7088</v>
      </c>
      <c r="H5437" s="25" t="n">
        <f aca="false">H5396</f>
        <v>1294.5088</v>
      </c>
      <c r="I5437" s="25" t="n">
        <f aca="false">I5396</f>
        <v>1289.3088</v>
      </c>
      <c r="J5437" s="25" t="n">
        <f aca="false">J5396</f>
        <v>1284.1088</v>
      </c>
      <c r="K5437" s="25" t="n">
        <f aca="false">K5396</f>
        <v>1278.9088</v>
      </c>
    </row>
    <row r="5438" customFormat="false" ht="15" hidden="false" customHeight="false" outlineLevel="0" collapsed="false">
      <c r="A5438" s="5" t="s">
        <v>320</v>
      </c>
      <c r="G5438" s="25" t="n">
        <f aca="false">Assumptions!$O$53*G5355+Assumptions!$O$54*G5368+Assumptions!$O$55*G5381+Assumptions!$O$56*G5394</f>
        <v>999.7088</v>
      </c>
      <c r="H5438" s="25" t="n">
        <f aca="false">Assumptions!$O$53*H5355+Assumptions!$O$54*H5368+Assumptions!$O$55*H5381+Assumptions!$O$56*H5394</f>
        <v>994.5088</v>
      </c>
      <c r="I5438" s="25" t="n">
        <f aca="false">Assumptions!$O$53*I5355+Assumptions!$O$54*I5368+Assumptions!$O$55*I5381+Assumptions!$O$56*I5394</f>
        <v>989.3088</v>
      </c>
      <c r="J5438" s="25" t="n">
        <f aca="false">Assumptions!$O$53*J5355+Assumptions!$O$54*J5368+Assumptions!$O$55*J5381+Assumptions!$O$56*J5394</f>
        <v>984.1088</v>
      </c>
      <c r="K5438" s="25" t="n">
        <f aca="false">Assumptions!$O$53*K5355+Assumptions!$O$54*K5368+Assumptions!$O$55*K5381+Assumptions!$O$56*K5394</f>
        <v>978.9088</v>
      </c>
    </row>
    <row r="5439" customFormat="false" ht="15" hidden="false" customHeight="false" outlineLevel="0" collapsed="false">
      <c r="A5439" s="5" t="s">
        <v>321</v>
      </c>
      <c r="G5439" s="25" t="n">
        <f aca="false">G5437-G5430</f>
        <v>1299.7088</v>
      </c>
      <c r="H5439" s="25" t="n">
        <f aca="false">H5437-H5430</f>
        <v>1434.0662048</v>
      </c>
      <c r="I5439" s="25" t="n">
        <f aca="false">I5437-I5430</f>
        <v>1589.073609344</v>
      </c>
      <c r="J5439" s="25" t="n">
        <f aca="false">J5437-J5430</f>
        <v>1746.34923997056</v>
      </c>
      <c r="K5439" s="25" t="n">
        <f aca="false">K5437-K5430</f>
        <v>1902.79289505885</v>
      </c>
    </row>
    <row r="5440" customFormat="false" ht="15" hidden="false" customHeight="false" outlineLevel="0" collapsed="false">
      <c r="A5440" s="5" t="s">
        <v>322</v>
      </c>
      <c r="G5440" s="31" t="n">
        <f aca="false">IF(G5318&gt;0,G5437/G5318,0)</f>
        <v>70.6978241949521</v>
      </c>
      <c r="H5440" s="31" t="n">
        <f aca="false">IF(H5318&gt;0,H5437/H5318,0)</f>
        <v>80.9367465962406</v>
      </c>
      <c r="I5440" s="31" t="n">
        <f aca="false">IF(I5318&gt;0,I5437/I5318,0)</f>
        <v>82.763476695823</v>
      </c>
      <c r="J5440" s="31" t="n">
        <f aca="false">IF(J5318&gt;0,J5437/J5318,0)</f>
        <v>83.2623006318033</v>
      </c>
      <c r="K5440" s="31" t="n">
        <f aca="false">IF(K5318&gt;0,K5437/K5318,0)</f>
        <v>83.762757427964</v>
      </c>
    </row>
    <row r="5441" customFormat="false" ht="15" hidden="false" customHeight="false" outlineLevel="0" collapsed="false">
      <c r="A5441" s="5" t="s">
        <v>323</v>
      </c>
      <c r="G5441" s="31" t="n">
        <f aca="false">IF(G5318&gt;0,G5439/G5318,0)</f>
        <v>70.6978241949521</v>
      </c>
      <c r="H5441" s="31" t="n">
        <f aca="false">IF(H5318&gt;0,H5439/H5318,0)</f>
        <v>89.6623128557566</v>
      </c>
      <c r="I5441" s="31" t="n">
        <f aca="false">IF(I5318&gt;0,I5439/I5318,0)</f>
        <v>102.006017980246</v>
      </c>
      <c r="J5441" s="31" t="n">
        <f aca="false">IF(J5318&gt;0,J5439/J5318,0)</f>
        <v>113.234217713133</v>
      </c>
      <c r="K5441" s="31" t="n">
        <f aca="false">IF(K5318&gt;0,K5439/K5318,0)</f>
        <v>124.624351403687</v>
      </c>
    </row>
    <row r="5442" customFormat="false" ht="15" hidden="false" customHeight="false" outlineLevel="0" collapsed="false">
      <c r="A5442" s="5" t="s">
        <v>324</v>
      </c>
      <c r="G5442" s="31" t="n">
        <f aca="false">IF(G5322&gt;0,G5318/G5322,0)</f>
        <v>0.13127677806341</v>
      </c>
      <c r="H5442" s="31" t="n">
        <f aca="false">IF(H5322&gt;0,H5318/H5322,0)</f>
        <v>0.111190805103385</v>
      </c>
      <c r="I5442" s="31" t="n">
        <f aca="false">IF(I5322&gt;0,I5318/I5322,0)</f>
        <v>0.11024648666467</v>
      </c>
      <c r="J5442" s="31" t="n">
        <f aca="false">IF(J5322&gt;0,J5318/J5322,0)</f>
        <v>0.109660569397092</v>
      </c>
      <c r="K5442" s="31" t="n">
        <f aca="false">IF(K5322&gt;0,K5318/K5322,0)</f>
        <v>0.109080209295775</v>
      </c>
    </row>
    <row r="5443" customFormat="false" ht="15" hidden="false" customHeight="false" outlineLevel="0" collapsed="false">
      <c r="A5443" s="5" t="s">
        <v>325</v>
      </c>
      <c r="G5443" s="31" t="n">
        <f aca="false">IF(G5322&gt;0,G5321/G5322,0)</f>
        <v>-0.157532133676093</v>
      </c>
      <c r="H5443" s="31" t="n">
        <f aca="false">IF(H5322&gt;0,H5321/H5322,0)</f>
        <v>-0.133428966124062</v>
      </c>
      <c r="I5443" s="31" t="n">
        <f aca="false">IF(I5322&gt;0,I5321/I5322,0)</f>
        <v>-0.132295783997604</v>
      </c>
      <c r="J5443" s="31" t="n">
        <f aca="false">IF(J5322&gt;0,J5321/J5322,0)</f>
        <v>-0.131592683276511</v>
      </c>
      <c r="K5443" s="31" t="n">
        <f aca="false">IF(K5322&gt;0,K5321/K5322,0)</f>
        <v>-0.13089625115493</v>
      </c>
    </row>
    <row r="5444" customFormat="false" ht="15" hidden="false" customHeight="false" outlineLevel="0" collapsed="false">
      <c r="A5444" s="5" t="s">
        <v>182</v>
      </c>
      <c r="G5444" s="21" t="n">
        <f aca="false">IF(G5437&gt;0,G5331/G5437,0)</f>
        <v>-0.0728692457879796</v>
      </c>
      <c r="H5444" s="21" t="n">
        <f aca="false">IF(H5437&gt;0,H5331/H5437,0)</f>
        <v>-0.103790259903988</v>
      </c>
      <c r="I5444" s="21" t="n">
        <f aca="false">IF(I5437&gt;0,I5331/I5437,0)</f>
        <v>-0.120225197054422</v>
      </c>
      <c r="J5444" s="21" t="n">
        <f aca="false">IF(J5437&gt;0,J5331/J5437,0)</f>
        <v>-0.122478430664567</v>
      </c>
      <c r="K5444" s="21" t="n">
        <f aca="false">IF(K5437&gt;0,K5331/K5437,0)</f>
        <v>-0.122325888357555</v>
      </c>
    </row>
    <row r="5445" customFormat="false" ht="15" hidden="false" customHeight="false" outlineLevel="0" collapsed="false">
      <c r="A5445" s="5" t="s">
        <v>326</v>
      </c>
      <c r="G5445" s="31" t="n">
        <f aca="false">IF(G5322+G5421&gt;0,(G5318-G5329-G5326)/(G5322+G5421),0)</f>
        <v>-0.0759460203800606</v>
      </c>
      <c r="H5445" s="31" t="n">
        <f aca="false">IF(H5322+H5421&gt;0,(H5318-H5329-H5326)/(H5322+H5421),0)</f>
        <v>-0.0643868726775781</v>
      </c>
      <c r="I5445" s="31" t="n">
        <f aca="false">IF(I5322+I5421&gt;0,(I5318-I5329-I5326)/(I5322+I5421),0)</f>
        <v>-0.0638000393994207</v>
      </c>
      <c r="J5445" s="31" t="n">
        <f aca="false">IF(J5322+J5421&gt;0,(J5318-J5329-J5326)/(J5322+J5421),0)</f>
        <v>-0.0634503083935347</v>
      </c>
      <c r="K5445" s="31" t="n">
        <f aca="false">IF(K5322+K5421&gt;0,(K5318-K5329-K5326)/(K5322+K5421),0)</f>
        <v>-0.0631038089376677</v>
      </c>
    </row>
    <row r="5446" customFormat="false" ht="15" hidden="false" customHeight="false" outlineLevel="0" collapsed="false">
      <c r="A5446" s="5" t="s">
        <v>327</v>
      </c>
      <c r="G5446" s="25" t="n">
        <f aca="false">MAX(0,G5430)+Assumptions!$P$53*MAX(0,Assumptions!$D$53-G5355)+Assumptions!$P$54*MAX(0,Assumptions!$D$54-G5368)+Assumptions!$P$55*MAX(0,Assumptions!$D$55-G5381)+Assumptions!$P$56*MAX(0,Assumptions!$D$56-G5394)</f>
        <v>65.0912</v>
      </c>
      <c r="H5446" s="25" t="n">
        <f aca="false">MAX(0,H5430)+Assumptions!$P$53*MAX(0,Assumptions!$D$53-H5355)+Assumptions!$P$54*MAX(0,Assumptions!$D$54-H5368)+Assumptions!$P$55*MAX(0,Assumptions!$D$55-H5381)+Assumptions!$P$56*MAX(0,Assumptions!$D$56-H5394)</f>
        <v>65.0912</v>
      </c>
      <c r="I5446" s="25" t="n">
        <f aca="false">MAX(0,I5430)+Assumptions!$P$53*MAX(0,Assumptions!$D$53-I5355)+Assumptions!$P$54*MAX(0,Assumptions!$D$54-I5368)+Assumptions!$P$55*MAX(0,Assumptions!$D$55-I5381)+Assumptions!$P$56*MAX(0,Assumptions!$D$56-I5394)</f>
        <v>65.0912</v>
      </c>
      <c r="J5446" s="25" t="n">
        <f aca="false">MAX(0,J5430)+Assumptions!$P$53*MAX(0,Assumptions!$D$53-J5355)+Assumptions!$P$54*MAX(0,Assumptions!$D$54-J5368)+Assumptions!$P$55*MAX(0,Assumptions!$D$55-J5381)+Assumptions!$P$56*MAX(0,Assumptions!$D$56-J5394)</f>
        <v>65.0912</v>
      </c>
      <c r="K5446" s="25" t="n">
        <f aca="false">MAX(0,K5430)+Assumptions!$P$53*MAX(0,Assumptions!$D$53-K5355)+Assumptions!$P$54*MAX(0,Assumptions!$D$54-K5368)+Assumptions!$P$55*MAX(0,Assumptions!$D$55-K5381)+Assumptions!$P$56*MAX(0,Assumptions!$D$56-K5394)</f>
        <v>65.0912</v>
      </c>
    </row>
    <row r="5447" customFormat="false" ht="15" hidden="false" customHeight="false" outlineLevel="0" collapsed="false">
      <c r="A5447" s="5" t="s">
        <v>328</v>
      </c>
      <c r="G5447" s="21" t="n">
        <f aca="false">IF(G5437&gt;0,G5437/(G5437+MAX(0,G5318*CHOOSE($C$5301,Assumptions!$C$76,Assumptions!$C$95,Assumptions!$C$114)-G5439)),0)</f>
        <v>1</v>
      </c>
      <c r="H5447" s="21" t="n">
        <f aca="false">IF(H5437&gt;0,H5437/(H5437+MAX(0,H5318*CHOOSE($C$5301,Assumptions!$C$76,Assumptions!$C$95,Assumptions!$C$114)-H5439)),0)</f>
        <v>1</v>
      </c>
      <c r="I5447" s="21" t="n">
        <f aca="false">IF(I5437&gt;0,I5437/(I5437+MAX(0,I5318*CHOOSE($C$5301,Assumptions!$C$76,Assumptions!$C$95,Assumptions!$C$114)-I5439)),0)</f>
        <v>1</v>
      </c>
      <c r="J5447" s="21" t="n">
        <f aca="false">IF(J5437&gt;0,J5437/(J5437+MAX(0,J5318*CHOOSE($C$5301,Assumptions!$C$76,Assumptions!$C$95,Assumptions!$C$114)-J5439)),0)</f>
        <v>1</v>
      </c>
      <c r="K5447" s="21" t="n">
        <f aca="false">IF(K5437&gt;0,K5437/(K5437+MAX(0,K5318*CHOOSE($C$5301,Assumptions!$C$76,Assumptions!$C$95,Assumptions!$C$114)-K5439)),0)</f>
        <v>1</v>
      </c>
    </row>
    <row r="5448" customFormat="false" ht="15" hidden="false" customHeight="false" outlineLevel="0" collapsed="false">
      <c r="A5448" s="5" t="s">
        <v>329</v>
      </c>
      <c r="G5448" s="21" t="n">
        <f aca="false">IF(G5437&gt;0,MAX(0,G5430)/G5437,0)</f>
        <v>0</v>
      </c>
      <c r="H5448" s="21" t="n">
        <f aca="false">IF(H5437&gt;0,MAX(0,H5430)/H5437,0)</f>
        <v>0</v>
      </c>
      <c r="I5448" s="21" t="n">
        <f aca="false">IF(I5437&gt;0,MAX(0,I5430)/I5437,0)</f>
        <v>0</v>
      </c>
      <c r="J5448" s="21" t="n">
        <f aca="false">IF(J5437&gt;0,MAX(0,J5430)/J5437,0)</f>
        <v>0</v>
      </c>
      <c r="K5448" s="21" t="n">
        <f aca="false">IF(K5437&gt;0,MAX(0,K5430)/K5437,0)</f>
        <v>0</v>
      </c>
    </row>
    <row r="5449" customFormat="false" ht="15" hidden="false" customHeight="false" outlineLevel="0" collapsed="false">
      <c r="A5449" s="5" t="s">
        <v>330</v>
      </c>
      <c r="G5449" s="25" t="n">
        <f aca="false">Assumptions!$C$27*(1-CHOOSE($C$5301,Assumptions!$C$79,Assumptions!$C$98,Assumptions!$C$117))</f>
        <v>676</v>
      </c>
      <c r="H5449" s="25" t="n">
        <f aca="false">Assumptions!$C$27*(1-CHOOSE($C$5301,Assumptions!$C$79,Assumptions!$C$98,Assumptions!$C$117))</f>
        <v>676</v>
      </c>
      <c r="I5449" s="25" t="n">
        <f aca="false">Assumptions!$C$27*(1-CHOOSE($C$5301,Assumptions!$C$79,Assumptions!$C$98,Assumptions!$C$117))</f>
        <v>676</v>
      </c>
      <c r="J5449" s="25" t="n">
        <f aca="false">Assumptions!$C$27*(1-CHOOSE($C$5301,Assumptions!$C$79,Assumptions!$C$98,Assumptions!$C$117))</f>
        <v>676</v>
      </c>
      <c r="K5449" s="25" t="n">
        <f aca="false">Assumptions!$C$27*(1-CHOOSE($C$5301,Assumptions!$C$79,Assumptions!$C$98,Assumptions!$C$117))</f>
        <v>676</v>
      </c>
    </row>
    <row r="5450" customFormat="false" ht="15" hidden="false" customHeight="false" outlineLevel="0" collapsed="false">
      <c r="A5450" s="23" t="s">
        <v>331</v>
      </c>
      <c r="B5450" s="24"/>
      <c r="C5450" s="24"/>
      <c r="D5450" s="24"/>
      <c r="E5450" s="24"/>
      <c r="F5450" s="24"/>
      <c r="G5450" s="24"/>
      <c r="H5450" s="24"/>
      <c r="I5450" s="24"/>
      <c r="J5450" s="24"/>
      <c r="K5450" s="24"/>
    </row>
    <row r="5451" customFormat="false" ht="15" hidden="false" customHeight="false" outlineLevel="0" collapsed="false">
      <c r="A5451" s="23" t="s">
        <v>332</v>
      </c>
      <c r="B5451" s="24"/>
      <c r="C5451" s="24"/>
      <c r="D5451" s="24"/>
      <c r="E5451" s="24"/>
      <c r="F5451" s="24"/>
      <c r="G5451" s="24"/>
      <c r="H5451" s="24"/>
      <c r="I5451" s="24"/>
      <c r="J5451" s="24"/>
      <c r="K5451" s="24"/>
    </row>
    <row r="5452" customFormat="false" ht="15" hidden="false" customHeight="false" outlineLevel="0" collapsed="false">
      <c r="A5452" s="5" t="s">
        <v>333</v>
      </c>
      <c r="G5452" s="31" t="n">
        <f aca="false">IF(G5318&gt;0,G5439/G5318,99)</f>
        <v>70.6978241949521</v>
      </c>
      <c r="H5452" s="31" t="n">
        <f aca="false">IF(H5318&gt;0,H5439/H5318,99)</f>
        <v>89.6623128557566</v>
      </c>
      <c r="I5452" s="31" t="n">
        <f aca="false">IF(I5318&gt;0,I5439/I5318,99)</f>
        <v>102.006017980246</v>
      </c>
      <c r="J5452" s="31" t="n">
        <f aca="false">IF(J5318&gt;0,J5439/J5318,99)</f>
        <v>113.234217713133</v>
      </c>
      <c r="K5452" s="31" t="n">
        <f aca="false">IF(K5318&gt;0,K5439/K5318,99)</f>
        <v>124.624351403687</v>
      </c>
    </row>
    <row r="5453" customFormat="false" ht="15" hidden="false" customHeight="false" outlineLevel="0" collapsed="false">
      <c r="A5453" s="5" t="s">
        <v>334</v>
      </c>
      <c r="G5453" s="32" t="n">
        <f aca="false">Assumptions!$G$61</f>
        <v>8.5</v>
      </c>
      <c r="H5453" s="32" t="n">
        <f aca="false">Assumptions!$H$61</f>
        <v>8.5</v>
      </c>
      <c r="I5453" s="32" t="n">
        <f aca="false">Assumptions!$I$61</f>
        <v>8.5</v>
      </c>
      <c r="J5453" s="32" t="n">
        <f aca="false">Assumptions!$J$61</f>
        <v>8.5</v>
      </c>
      <c r="K5453" s="32" t="n">
        <f aca="false">Assumptions!$K$61</f>
        <v>8.5</v>
      </c>
    </row>
    <row r="5454" customFormat="false" ht="15" hidden="false" customHeight="false" outlineLevel="0" collapsed="false">
      <c r="A5454" s="5" t="s">
        <v>335</v>
      </c>
      <c r="G5454" s="31" t="n">
        <f aca="false">G5453-G5452</f>
        <v>-62.1978241949521</v>
      </c>
      <c r="H5454" s="31" t="n">
        <f aca="false">H5453-H5452</f>
        <v>-81.1623128557566</v>
      </c>
      <c r="I5454" s="31" t="n">
        <f aca="false">I5453-I5452</f>
        <v>-93.5060179802461</v>
      </c>
      <c r="J5454" s="31" t="n">
        <f aca="false">J5453-J5452</f>
        <v>-104.734217713133</v>
      </c>
      <c r="K5454" s="31" t="n">
        <f aca="false">K5453-K5452</f>
        <v>-116.124351403687</v>
      </c>
    </row>
    <row r="5455" customFormat="false" ht="15" hidden="false" customHeight="false" outlineLevel="0" collapsed="false">
      <c r="A5455" s="5" t="s">
        <v>336</v>
      </c>
      <c r="G5455" s="21" t="n">
        <f aca="false">IF(G5453=0,0,G5454/ABS(G5453))</f>
        <v>-7.31739108175907</v>
      </c>
      <c r="H5455" s="21" t="n">
        <f aca="false">IF(H5453=0,0,H5454/ABS(H5453))</f>
        <v>-9.5485073947949</v>
      </c>
      <c r="I5455" s="21" t="n">
        <f aca="false">IF(I5453=0,0,I5454/ABS(I5453))</f>
        <v>-11.000707997676</v>
      </c>
      <c r="J5455" s="21" t="n">
        <f aca="false">IF(J5453=0,0,J5454/ABS(J5453))</f>
        <v>-12.3216726721333</v>
      </c>
      <c r="K5455" s="21" t="n">
        <f aca="false">IF(K5453=0,0,K5454/ABS(K5453))</f>
        <v>-13.6616884004338</v>
      </c>
    </row>
    <row r="5456" customFormat="false" ht="15" hidden="false" customHeight="false" outlineLevel="0" collapsed="false">
      <c r="A5456" s="5" t="s">
        <v>337</v>
      </c>
      <c r="G5456" s="20" t="n">
        <f aca="false">IF(G5454&lt;0,1,0)</f>
        <v>1</v>
      </c>
      <c r="H5456" s="20" t="n">
        <f aca="false">IF(H5454&lt;0,1,0)</f>
        <v>1</v>
      </c>
      <c r="I5456" s="20" t="n">
        <f aca="false">IF(I5454&lt;0,1,0)</f>
        <v>1</v>
      </c>
      <c r="J5456" s="20" t="n">
        <f aca="false">IF(J5454&lt;0,1,0)</f>
        <v>1</v>
      </c>
      <c r="K5456" s="20" t="n">
        <f aca="false">IF(K5454&lt;0,1,0)</f>
        <v>1</v>
      </c>
    </row>
    <row r="5457" customFormat="false" ht="15" hidden="false" customHeight="false" outlineLevel="0" collapsed="false">
      <c r="A5457" s="5" t="s">
        <v>338</v>
      </c>
      <c r="C5457" s="20" t="n">
        <f aca="false">IFERROR(INDEX($G$5308:$K$5308,MATCH(1,$G$5456:$K$5456,0)),0)</f>
        <v>2026</v>
      </c>
    </row>
    <row r="5458" customFormat="false" ht="15" hidden="false" customHeight="false" outlineLevel="0" collapsed="false">
      <c r="A5458" s="5" t="s">
        <v>339</v>
      </c>
      <c r="C5458" s="21" t="n">
        <f aca="false">MIN($G$5455:$K$5455)</f>
        <v>-13.6616884004338</v>
      </c>
    </row>
    <row r="5459" customFormat="false" ht="15" hidden="false" customHeight="false" outlineLevel="0" collapsed="false">
      <c r="A5459" s="5" t="s">
        <v>340</v>
      </c>
      <c r="G5459" s="20" t="n">
        <f aca="false">G5456</f>
        <v>1</v>
      </c>
      <c r="H5459" s="20" t="n">
        <f aca="false">H5456</f>
        <v>1</v>
      </c>
      <c r="I5459" s="20" t="n">
        <f aca="false">I5456</f>
        <v>1</v>
      </c>
      <c r="J5459" s="20" t="n">
        <f aca="false">J5456</f>
        <v>1</v>
      </c>
      <c r="K5459" s="20" t="n">
        <f aca="false">K5456</f>
        <v>1</v>
      </c>
    </row>
    <row r="5460" customFormat="false" ht="15" hidden="false" customHeight="false" outlineLevel="0" collapsed="false">
      <c r="A5460" s="5" t="s">
        <v>341</v>
      </c>
      <c r="C5460" s="20" t="n">
        <f aca="false">SUM($G$5459:$K$5459)</f>
        <v>5</v>
      </c>
    </row>
    <row r="5461" customFormat="false" ht="15" hidden="false" customHeight="false" outlineLevel="0" collapsed="false">
      <c r="A5461" s="5" t="s">
        <v>342</v>
      </c>
      <c r="C5461" s="21" t="n">
        <f aca="false">MIN(C5458)</f>
        <v>-13.6616884004338</v>
      </c>
    </row>
    <row r="5463" customFormat="false" ht="15" hidden="false" customHeight="false" outlineLevel="0" collapsed="false">
      <c r="A5463" s="23" t="s">
        <v>444</v>
      </c>
      <c r="B5463" s="24"/>
      <c r="C5463" s="24"/>
      <c r="D5463" s="24"/>
      <c r="E5463" s="24"/>
      <c r="F5463" s="24"/>
      <c r="G5463" s="24"/>
      <c r="H5463" s="24"/>
      <c r="I5463" s="24"/>
      <c r="J5463" s="24"/>
      <c r="K5463" s="24"/>
    </row>
    <row r="5464" customFormat="false" ht="15" hidden="false" customHeight="false" outlineLevel="0" collapsed="false">
      <c r="A5464" s="5" t="s">
        <v>445</v>
      </c>
      <c r="G5464" s="20" t="n">
        <f aca="false">IF($C$5465=1,G5433,IF(G5318=MIN($G$5318:$K$5318),1,0))</f>
        <v>0</v>
      </c>
      <c r="H5464" s="20" t="n">
        <f aca="false">IF($C$5465=1,H5433,IF(AND(H5318=MIN($G$5318:$K$5318),SUM($G$5464:G5464)=0),1,0))</f>
        <v>1</v>
      </c>
      <c r="I5464" s="20" t="n">
        <f aca="false">IF($C$5465=1,I5433,IF(AND(I5318=MIN($G$5318:$K$5318),SUM($G$5464:H5464)=0),1,0))</f>
        <v>0</v>
      </c>
      <c r="J5464" s="20" t="n">
        <f aca="false">IF($C$5465=1,J5433,IF(AND(J5318=MIN($G$5318:$K$5318),SUM($G$5464:I5464)=0),1,0))</f>
        <v>0</v>
      </c>
      <c r="K5464" s="20" t="n">
        <f aca="false">IF($C$5465=1,K5433,IF(AND(K5318=MIN($G$5318:$K$5318),SUM($G$5464:J5464)=0),1,0))</f>
        <v>0</v>
      </c>
    </row>
    <row r="5465" customFormat="false" ht="15" hidden="false" customHeight="false" outlineLevel="0" collapsed="false">
      <c r="A5465" s="5" t="s">
        <v>446</v>
      </c>
      <c r="C5465" s="20" t="n">
        <f aca="false">IF(SUM($G$5433:$K$5433)&gt;0,1,0)</f>
        <v>1</v>
      </c>
    </row>
    <row r="5466" customFormat="false" ht="15" hidden="false" customHeight="false" outlineLevel="0" collapsed="false">
      <c r="A5466" s="5" t="s">
        <v>447</v>
      </c>
      <c r="C5466" s="20" t="n">
        <f aca="false">SUMPRODUCT($G$5464:$K$5464,$G$5308:$K$5308)</f>
        <v>2027</v>
      </c>
    </row>
    <row r="5467" customFormat="false" ht="15" hidden="false" customHeight="false" outlineLevel="0" collapsed="false">
      <c r="A5467" s="5" t="s">
        <v>448</v>
      </c>
      <c r="C5467" s="25" t="n">
        <f aca="false">SUMPRODUCT($G$5464:$K$5464,$G$5318:$K$5318)</f>
        <v>15.99408</v>
      </c>
    </row>
    <row r="5468" customFormat="false" ht="15" hidden="false" customHeight="false" outlineLevel="0" collapsed="false">
      <c r="A5468" s="5" t="s">
        <v>449</v>
      </c>
      <c r="C5468" s="25" t="n">
        <f aca="false">MAX(0,SUMPRODUCT($G$5464:$K$5464,$G$5430:$K$5430))</f>
        <v>0</v>
      </c>
    </row>
    <row r="5469" customFormat="false" ht="15" hidden="false" customHeight="false" outlineLevel="0" collapsed="false">
      <c r="A5469" s="5" t="s">
        <v>450</v>
      </c>
      <c r="C5469" s="25" t="n">
        <f aca="false">(CHOOSE($C$5301,Assumptions!$C$78,Assumptions!$C$97,Assumptions!$C$116)+$C$5305)*C5467</f>
        <v>63.97632</v>
      </c>
    </row>
    <row r="5470" customFormat="false" ht="15" hidden="false" customHeight="false" outlineLevel="0" collapsed="false">
      <c r="A5470" s="5" t="s">
        <v>451</v>
      </c>
      <c r="C5470" s="25" t="n">
        <f aca="false">Assumptions!$C$27*(1-CHOOSE($C$5301,Assumptions!$C$79,Assumptions!$C$98,Assumptions!$C$117))*CHOOSE($C$5301,Assumptions!$C$80,Assumptions!$C$99,Assumptions!$C$118)</f>
        <v>405.6</v>
      </c>
    </row>
    <row r="5471" customFormat="false" ht="15" hidden="false" customHeight="false" outlineLevel="0" collapsed="false">
      <c r="A5471" s="5" t="s">
        <v>452</v>
      </c>
      <c r="C5471" s="25" t="n">
        <f aca="false">MAX(C5469,C5470)+C5468</f>
        <v>405.6</v>
      </c>
    </row>
    <row r="5472" customFormat="false" ht="15" hidden="false" customHeight="false" outlineLevel="0" collapsed="false">
      <c r="A5472" s="2" t="s">
        <v>453</v>
      </c>
      <c r="C5472" s="16" t="n">
        <f aca="false">IF(ISNUMBER(Assumptions!$C$14),Assumptions!$C$14,C5471)</f>
        <v>405.6</v>
      </c>
    </row>
    <row r="5473" customFormat="false" ht="15" hidden="false" customHeight="false" outlineLevel="0" collapsed="false">
      <c r="A5473" s="5" t="s">
        <v>454</v>
      </c>
      <c r="C5473" s="25" t="n">
        <f aca="false">C5472*Assumptions!$C$15</f>
        <v>16.224</v>
      </c>
    </row>
    <row r="5474" customFormat="false" ht="15" hidden="false" customHeight="false" outlineLevel="0" collapsed="false">
      <c r="A5474" s="2" t="s">
        <v>455</v>
      </c>
      <c r="C5474" s="16" t="n">
        <f aca="false">C5472-C5473</f>
        <v>389.376</v>
      </c>
    </row>
    <row r="5475" customFormat="false" ht="15" hidden="false" customHeight="false" outlineLevel="0" collapsed="false">
      <c r="A5475" s="23" t="s">
        <v>456</v>
      </c>
      <c r="B5475" s="24"/>
      <c r="C5475" s="24"/>
      <c r="D5475" s="24"/>
      <c r="E5475" s="24"/>
      <c r="F5475" s="24"/>
      <c r="G5475" s="24"/>
      <c r="H5475" s="24"/>
      <c r="I5475" s="24"/>
      <c r="J5475" s="24"/>
      <c r="K5475" s="24"/>
    </row>
    <row r="5476" customFormat="false" ht="15" hidden="false" customHeight="false" outlineLevel="0" collapsed="false">
      <c r="A5476" s="5" t="s">
        <v>457</v>
      </c>
      <c r="C5476" s="25" t="n">
        <f aca="false">SUMPRODUCT($G$5464:$K$5464,$G$5355:$K$5355)*(1+SUMPRODUCT($G$5464:$K$5464,$G$5347:$K$5347)*Assumptions!$C$16/12)</f>
        <v>241.5743372</v>
      </c>
    </row>
    <row r="5477" customFormat="false" ht="15" hidden="false" customHeight="false" outlineLevel="0" collapsed="false">
      <c r="A5477" s="5" t="s">
        <v>458</v>
      </c>
      <c r="C5477" s="25" t="n">
        <f aca="false">SUMPRODUCT($G$5464:$K$5464,$G$5368:$K$5368)*(1+SUMPRODUCT($G$5464:$K$5464,$G$5360:$K$5360)*Assumptions!$C$16/12)</f>
        <v>526.2257</v>
      </c>
    </row>
    <row r="5478" customFormat="false" ht="15" hidden="false" customHeight="false" outlineLevel="0" collapsed="false">
      <c r="A5478" s="5" t="s">
        <v>459</v>
      </c>
      <c r="C5478" s="25" t="n">
        <f aca="false">SUMPRODUCT($G$5464:$K$5464,$G$5381:$K$5381)*(1+SUMPRODUCT($G$5464:$K$5464,$G$5373:$K$5373)*Assumptions!$C$16/12)</f>
        <v>256.875</v>
      </c>
    </row>
    <row r="5479" customFormat="false" ht="15" hidden="false" customHeight="false" outlineLevel="0" collapsed="false">
      <c r="A5479" s="5" t="s">
        <v>460</v>
      </c>
      <c r="C5479" s="25" t="n">
        <f aca="false">SUMPRODUCT($G$5464:$K$5464,$G$5394:$K$5394)*(1+SUMPRODUCT($G$5464:$K$5464,$G$5386:$K$5386)*Assumptions!$C$16/12)</f>
        <v>305.625</v>
      </c>
    </row>
    <row r="5480" customFormat="false" ht="15" hidden="false" customHeight="false" outlineLevel="0" collapsed="false">
      <c r="A5480" s="23" t="s">
        <v>461</v>
      </c>
      <c r="B5480" s="24"/>
      <c r="C5480" s="24"/>
      <c r="D5480" s="24"/>
      <c r="E5480" s="24"/>
      <c r="F5480" s="24"/>
      <c r="G5480" s="24"/>
      <c r="H5480" s="24"/>
      <c r="I5480" s="24"/>
      <c r="J5480" s="24"/>
      <c r="K5480" s="24"/>
    </row>
    <row r="5481" customFormat="false" ht="15" hidden="false" customHeight="false" outlineLevel="0" collapsed="false">
      <c r="A5481" s="5" t="s">
        <v>457</v>
      </c>
      <c r="C5481" s="26" t="n">
        <f aca="false">Assumptions!$M$53</f>
        <v>1</v>
      </c>
    </row>
    <row r="5482" customFormat="false" ht="15" hidden="false" customHeight="false" outlineLevel="0" collapsed="false">
      <c r="A5482" s="5" t="s">
        <v>458</v>
      </c>
      <c r="C5482" s="26" t="n">
        <f aca="false">Assumptions!$M$54</f>
        <v>2</v>
      </c>
    </row>
    <row r="5483" customFormat="false" ht="15" hidden="false" customHeight="false" outlineLevel="0" collapsed="false">
      <c r="A5483" s="5" t="s">
        <v>459</v>
      </c>
      <c r="C5483" s="26" t="n">
        <f aca="false">Assumptions!$M$55</f>
        <v>3</v>
      </c>
    </row>
    <row r="5484" customFormat="false" ht="15" hidden="false" customHeight="false" outlineLevel="0" collapsed="false">
      <c r="A5484" s="5" t="s">
        <v>460</v>
      </c>
      <c r="C5484" s="26" t="n">
        <f aca="false">Assumptions!$M$56</f>
        <v>4</v>
      </c>
    </row>
    <row r="5485" customFormat="false" ht="15" hidden="false" customHeight="false" outlineLevel="0" collapsed="false">
      <c r="A5485" s="23" t="s">
        <v>462</v>
      </c>
      <c r="B5485" s="24"/>
      <c r="C5485" s="24"/>
      <c r="D5485" s="24"/>
      <c r="E5485" s="24"/>
      <c r="F5485" s="24"/>
      <c r="G5485" s="24"/>
      <c r="H5485" s="24"/>
      <c r="I5485" s="24"/>
      <c r="J5485" s="24"/>
      <c r="K5485" s="24"/>
    </row>
    <row r="5486" customFormat="false" ht="15" hidden="false" customHeight="false" outlineLevel="0" collapsed="false">
      <c r="A5486" s="5" t="s">
        <v>457</v>
      </c>
      <c r="C5486" s="34" t="n">
        <f aca="false">Assumptions!$Q$53</f>
        <v>0</v>
      </c>
    </row>
    <row r="5487" customFormat="false" ht="15" hidden="false" customHeight="false" outlineLevel="0" collapsed="false">
      <c r="A5487" s="5" t="s">
        <v>458</v>
      </c>
      <c r="C5487" s="34" t="n">
        <f aca="false">Assumptions!$Q$54</f>
        <v>0</v>
      </c>
    </row>
    <row r="5488" customFormat="false" ht="15" hidden="false" customHeight="false" outlineLevel="0" collapsed="false">
      <c r="A5488" s="5" t="s">
        <v>459</v>
      </c>
      <c r="C5488" s="34" t="n">
        <f aca="false">Assumptions!$Q$55</f>
        <v>0</v>
      </c>
    </row>
    <row r="5489" customFormat="false" ht="15" hidden="false" customHeight="false" outlineLevel="0" collapsed="false">
      <c r="A5489" s="5" t="s">
        <v>460</v>
      </c>
      <c r="C5489" s="34" t="n">
        <f aca="false">Assumptions!$Q$56</f>
        <v>0</v>
      </c>
    </row>
    <row r="5490" customFormat="false" ht="15" hidden="false" customHeight="false" outlineLevel="0" collapsed="false">
      <c r="A5490" s="23" t="s">
        <v>463</v>
      </c>
      <c r="B5490" s="24"/>
      <c r="C5490" s="24"/>
      <c r="D5490" s="24"/>
      <c r="E5490" s="24"/>
      <c r="F5490" s="24"/>
      <c r="G5490" s="24"/>
      <c r="H5490" s="24"/>
      <c r="I5490" s="24"/>
      <c r="J5490" s="24"/>
      <c r="K5490" s="24"/>
    </row>
    <row r="5491" customFormat="false" ht="15" hidden="false" customHeight="false" outlineLevel="0" collapsed="false">
      <c r="A5491" s="5" t="s">
        <v>457</v>
      </c>
      <c r="C5491" s="25" t="n">
        <f aca="false">IF(C5486&gt;0,MIN(C5476,C5486*$C$5474),0)</f>
        <v>0</v>
      </c>
    </row>
    <row r="5492" customFormat="false" ht="15" hidden="false" customHeight="false" outlineLevel="0" collapsed="false">
      <c r="A5492" s="5" t="s">
        <v>458</v>
      </c>
      <c r="C5492" s="25" t="n">
        <f aca="false">IF(C5487&gt;0,MIN(C5477,C5487*$C$5474),0)</f>
        <v>0</v>
      </c>
    </row>
    <row r="5493" customFormat="false" ht="15" hidden="false" customHeight="false" outlineLevel="0" collapsed="false">
      <c r="A5493" s="5" t="s">
        <v>459</v>
      </c>
      <c r="C5493" s="25" t="n">
        <f aca="false">IF(C5488&gt;0,MIN(C5478,C5488*$C$5474),0)</f>
        <v>0</v>
      </c>
    </row>
    <row r="5494" customFormat="false" ht="15" hidden="false" customHeight="false" outlineLevel="0" collapsed="false">
      <c r="A5494" s="5" t="s">
        <v>460</v>
      </c>
      <c r="C5494" s="25" t="n">
        <f aca="false">IF(C5489&gt;0,MIN(C5479,C5489*$C$5474),0)</f>
        <v>0</v>
      </c>
    </row>
    <row r="5495" customFormat="false" ht="15" hidden="false" customHeight="false" outlineLevel="0" collapsed="false">
      <c r="A5495" s="23" t="s">
        <v>464</v>
      </c>
      <c r="B5495" s="24"/>
      <c r="C5495" s="24"/>
      <c r="D5495" s="24"/>
      <c r="E5495" s="24"/>
      <c r="F5495" s="24"/>
      <c r="G5495" s="24"/>
      <c r="H5495" s="24"/>
      <c r="I5495" s="24"/>
      <c r="J5495" s="24"/>
      <c r="K5495" s="24"/>
    </row>
    <row r="5496" customFormat="false" ht="15" hidden="false" customHeight="false" outlineLevel="0" collapsed="false">
      <c r="A5496" s="5" t="s">
        <v>457</v>
      </c>
      <c r="C5496" s="25" t="n">
        <f aca="false">IF(C5486&gt;0,C5476-C5491,0)</f>
        <v>0</v>
      </c>
      <c r="G5496" s="20" t="n">
        <f aca="false">IF(AND(G5345=1,G5342=1),1,0)</f>
        <v>0</v>
      </c>
      <c r="H5496" s="20" t="n">
        <f aca="false">IF(G5496=1,1,IF(AND(H5345=1,H5342=1),1,0))</f>
        <v>0</v>
      </c>
      <c r="I5496" s="20" t="n">
        <f aca="false">IF(H5496=1,1,IF(AND(I5345=1,I5342=1),1,0))</f>
        <v>0</v>
      </c>
      <c r="J5496" s="20" t="n">
        <f aca="false">IF(I5496=1,1,IF(AND(J5345=1,J5342=1),1,0))</f>
        <v>0</v>
      </c>
      <c r="K5496" s="20" t="n">
        <f aca="false">IF(J5496=1,1,IF(AND(K5345=1,K5342=1),1,0))</f>
        <v>0</v>
      </c>
    </row>
    <row r="5497" customFormat="false" ht="15" hidden="false" customHeight="false" outlineLevel="0" collapsed="false">
      <c r="A5497" s="5" t="s">
        <v>458</v>
      </c>
      <c r="C5497" s="25" t="n">
        <f aca="false">IF(C5487&gt;0,C5477-C5492,0)</f>
        <v>0</v>
      </c>
      <c r="G5497" s="20" t="n">
        <f aca="false">IF(AND(G5358=1,G5342=1),1,0)</f>
        <v>0</v>
      </c>
      <c r="H5497" s="20" t="n">
        <f aca="false">IF(G5497=1,1,IF(AND(H5358=1,H5342=1),1,0))</f>
        <v>0</v>
      </c>
      <c r="I5497" s="20" t="n">
        <f aca="false">IF(H5497=1,1,IF(AND(I5358=1,I5342=1),1,0))</f>
        <v>0</v>
      </c>
      <c r="J5497" s="20" t="n">
        <f aca="false">IF(I5497=1,1,IF(AND(J5358=1,J5342=1),1,0))</f>
        <v>0</v>
      </c>
      <c r="K5497" s="20" t="n">
        <f aca="false">IF(J5497=1,1,IF(AND(K5358=1,K5342=1),1,0))</f>
        <v>0</v>
      </c>
    </row>
    <row r="5498" customFormat="false" ht="15" hidden="false" customHeight="false" outlineLevel="0" collapsed="false">
      <c r="A5498" s="5" t="s">
        <v>459</v>
      </c>
      <c r="C5498" s="25" t="n">
        <f aca="false">IF(C5488&gt;0,C5478-C5493,0)</f>
        <v>0</v>
      </c>
      <c r="G5498" s="20" t="n">
        <f aca="false">IF(AND(G5371=1,G5342=1),1,0)</f>
        <v>0</v>
      </c>
      <c r="H5498" s="20" t="n">
        <f aca="false">IF(G5498=1,1,IF(AND(H5371=1,H5342=1),1,0))</f>
        <v>0</v>
      </c>
      <c r="I5498" s="20" t="n">
        <f aca="false">IF(H5498=1,1,IF(AND(I5371=1,I5342=1),1,0))</f>
        <v>0</v>
      </c>
      <c r="J5498" s="20" t="n">
        <f aca="false">IF(I5498=1,1,IF(AND(J5371=1,J5342=1),1,0))</f>
        <v>0</v>
      </c>
      <c r="K5498" s="20" t="n">
        <f aca="false">IF(J5498=1,1,IF(AND(K5371=1,K5342=1),1,0))</f>
        <v>0</v>
      </c>
    </row>
    <row r="5499" customFormat="false" ht="15" hidden="false" customHeight="false" outlineLevel="0" collapsed="false">
      <c r="A5499" s="5" t="s">
        <v>460</v>
      </c>
      <c r="C5499" s="25" t="n">
        <f aca="false">IF(C5489&gt;0,C5479-C5494,0)</f>
        <v>0</v>
      </c>
      <c r="G5499" s="20" t="n">
        <f aca="false">IF(AND(G5384=1,G5342=1),1,0)</f>
        <v>0</v>
      </c>
      <c r="H5499" s="20" t="n">
        <f aca="false">IF(G5499=1,1,IF(AND(H5384=1,H5342=1),1,0))</f>
        <v>0</v>
      </c>
      <c r="I5499" s="20" t="n">
        <f aca="false">IF(H5499=1,1,IF(AND(I5384=1,I5342=1),1,0))</f>
        <v>0</v>
      </c>
      <c r="J5499" s="20" t="n">
        <f aca="false">IF(I5499=1,1,IF(AND(J5384=1,J5342=1),1,0))</f>
        <v>0</v>
      </c>
      <c r="K5499" s="20" t="n">
        <f aca="false">IF(J5499=1,1,IF(AND(K5384=1,K5342=1),1,0))</f>
        <v>0</v>
      </c>
    </row>
    <row r="5500" customFormat="false" ht="15" hidden="false" customHeight="false" outlineLevel="0" collapsed="false">
      <c r="A5500" s="23" t="s">
        <v>465</v>
      </c>
      <c r="B5500" s="24"/>
      <c r="C5500" s="24"/>
      <c r="D5500" s="24"/>
      <c r="E5500" s="24"/>
      <c r="F5500" s="24"/>
      <c r="G5500" s="24"/>
      <c r="H5500" s="24"/>
      <c r="I5500" s="24"/>
      <c r="J5500" s="24"/>
      <c r="K5500" s="24"/>
    </row>
    <row r="5501" customFormat="false" ht="15" hidden="false" customHeight="false" outlineLevel="0" collapsed="false">
      <c r="A5501" s="5" t="s">
        <v>457</v>
      </c>
      <c r="C5501" s="25" t="n">
        <f aca="false">IF(C5486&gt;0,C5496,C5476)</f>
        <v>241.5743372</v>
      </c>
    </row>
    <row r="5502" customFormat="false" ht="15" hidden="false" customHeight="false" outlineLevel="0" collapsed="false">
      <c r="A5502" s="5" t="s">
        <v>458</v>
      </c>
      <c r="C5502" s="25" t="n">
        <f aca="false">IF(C5487&gt;0,C5497,C5477)</f>
        <v>526.2257</v>
      </c>
    </row>
    <row r="5503" customFormat="false" ht="15" hidden="false" customHeight="false" outlineLevel="0" collapsed="false">
      <c r="A5503" s="5" t="s">
        <v>459</v>
      </c>
      <c r="C5503" s="25" t="n">
        <f aca="false">IF(C5488&gt;0,C5498,C5478)</f>
        <v>256.875</v>
      </c>
    </row>
    <row r="5504" customFormat="false" ht="15" hidden="false" customHeight="false" outlineLevel="0" collapsed="false">
      <c r="A5504" s="5" t="s">
        <v>460</v>
      </c>
      <c r="C5504" s="25" t="n">
        <f aca="false">IF(C5489&gt;0,C5499,C5479)</f>
        <v>305.625</v>
      </c>
    </row>
    <row r="5505" customFormat="false" ht="15" hidden="false" customHeight="false" outlineLevel="0" collapsed="false">
      <c r="A5505" s="23" t="s">
        <v>466</v>
      </c>
      <c r="B5505" s="24"/>
      <c r="C5505" s="24"/>
      <c r="D5505" s="24"/>
      <c r="E5505" s="24"/>
      <c r="F5505" s="24"/>
      <c r="G5505" s="24"/>
      <c r="H5505" s="24"/>
      <c r="I5505" s="24"/>
      <c r="J5505" s="24"/>
      <c r="K5505" s="24"/>
    </row>
    <row r="5506" customFormat="false" ht="15" hidden="false" customHeight="false" outlineLevel="0" collapsed="false">
      <c r="A5506" s="5" t="s">
        <v>457</v>
      </c>
      <c r="C5506" s="20" t="n">
        <f aca="false">IF(C5486&gt;0,Assumptions!$C$17,C5481)</f>
        <v>1</v>
      </c>
    </row>
    <row r="5507" customFormat="false" ht="15" hidden="false" customHeight="false" outlineLevel="0" collapsed="false">
      <c r="A5507" s="5" t="s">
        <v>458</v>
      </c>
      <c r="C5507" s="20" t="n">
        <f aca="false">IF(C5487&gt;0,Assumptions!$C$17,C5482)</f>
        <v>2</v>
      </c>
    </row>
    <row r="5508" customFormat="false" ht="15" hidden="false" customHeight="false" outlineLevel="0" collapsed="false">
      <c r="A5508" s="5" t="s">
        <v>459</v>
      </c>
      <c r="C5508" s="20" t="n">
        <f aca="false">IF(C5488&gt;0,Assumptions!$C$17,C5483)</f>
        <v>3</v>
      </c>
    </row>
    <row r="5509" customFormat="false" ht="15" hidden="false" customHeight="false" outlineLevel="0" collapsed="false">
      <c r="A5509" s="5" t="s">
        <v>460</v>
      </c>
      <c r="C5509" s="20" t="n">
        <f aca="false">IF(C5489&gt;0,Assumptions!$C$17,C5484)</f>
        <v>4</v>
      </c>
    </row>
    <row r="5510" customFormat="false" ht="15" hidden="false" customHeight="false" outlineLevel="0" collapsed="false">
      <c r="A5510" s="23" t="s">
        <v>467</v>
      </c>
      <c r="B5510" s="24"/>
      <c r="C5510" s="24"/>
      <c r="D5510" s="24"/>
      <c r="E5510" s="24"/>
      <c r="F5510" s="24"/>
      <c r="G5510" s="24"/>
      <c r="H5510" s="24"/>
      <c r="I5510" s="24"/>
      <c r="J5510" s="24"/>
      <c r="K5510" s="24"/>
    </row>
    <row r="5511" customFormat="false" ht="15" hidden="false" customHeight="false" outlineLevel="0" collapsed="false">
      <c r="A5511" s="5" t="s">
        <v>457</v>
      </c>
      <c r="C5511" s="25" t="n">
        <f aca="false">SUMPRODUCT(($C$5506:$C$5509&lt;C5506)*$C$5501:$C$5504)</f>
        <v>0</v>
      </c>
    </row>
    <row r="5512" customFormat="false" ht="15" hidden="false" customHeight="false" outlineLevel="0" collapsed="false">
      <c r="A5512" s="5" t="s">
        <v>458</v>
      </c>
      <c r="C5512" s="25" t="n">
        <f aca="false">SUMPRODUCT(($C$5506:$C$5509&lt;C5507)*$C$5501:$C$5504)</f>
        <v>241.5743372</v>
      </c>
    </row>
    <row r="5513" customFormat="false" ht="15" hidden="false" customHeight="false" outlineLevel="0" collapsed="false">
      <c r="A5513" s="5" t="s">
        <v>459</v>
      </c>
      <c r="C5513" s="25" t="n">
        <f aca="false">SUMPRODUCT(($C$5506:$C$5509&lt;C5508)*$C$5501:$C$5504)</f>
        <v>767.8000372</v>
      </c>
    </row>
    <row r="5514" customFormat="false" ht="15" hidden="false" customHeight="false" outlineLevel="0" collapsed="false">
      <c r="A5514" s="5" t="s">
        <v>460</v>
      </c>
      <c r="C5514" s="25" t="n">
        <f aca="false">SUMPRODUCT(($C$5506:$C$5509&lt;C5509)*$C$5501:$C$5504)</f>
        <v>1024.6750372</v>
      </c>
    </row>
    <row r="5515" customFormat="false" ht="15" hidden="false" customHeight="false" outlineLevel="0" collapsed="false">
      <c r="A5515" s="23" t="s">
        <v>468</v>
      </c>
      <c r="B5515" s="24"/>
      <c r="C5515" s="24"/>
      <c r="D5515" s="24"/>
      <c r="E5515" s="24"/>
      <c r="F5515" s="24"/>
      <c r="G5515" s="24"/>
      <c r="H5515" s="24"/>
      <c r="I5515" s="24"/>
      <c r="J5515" s="24"/>
      <c r="K5515" s="24"/>
    </row>
    <row r="5516" customFormat="false" ht="15" hidden="false" customHeight="false" outlineLevel="0" collapsed="false">
      <c r="A5516" s="5" t="s">
        <v>457</v>
      </c>
      <c r="C5516" s="25" t="n">
        <f aca="false">SUMPRODUCT(($C$5506:$C$5509=C5506)*$C$5501:$C$5504)</f>
        <v>241.5743372</v>
      </c>
    </row>
    <row r="5517" customFormat="false" ht="15" hidden="false" customHeight="false" outlineLevel="0" collapsed="false">
      <c r="A5517" s="5" t="s">
        <v>458</v>
      </c>
      <c r="C5517" s="25" t="n">
        <f aca="false">SUMPRODUCT(($C$5506:$C$5509=C5507)*$C$5501:$C$5504)</f>
        <v>526.2257</v>
      </c>
    </row>
    <row r="5518" customFormat="false" ht="15" hidden="false" customHeight="false" outlineLevel="0" collapsed="false">
      <c r="A5518" s="5" t="s">
        <v>459</v>
      </c>
      <c r="C5518" s="25" t="n">
        <f aca="false">SUMPRODUCT(($C$5506:$C$5509=C5508)*$C$5501:$C$5504)</f>
        <v>256.875</v>
      </c>
    </row>
    <row r="5519" customFormat="false" ht="15" hidden="false" customHeight="false" outlineLevel="0" collapsed="false">
      <c r="A5519" s="5" t="s">
        <v>460</v>
      </c>
      <c r="C5519" s="25" t="n">
        <f aca="false">SUMPRODUCT(($C$5506:$C$5509=C5509)*$C$5501:$C$5504)</f>
        <v>305.625</v>
      </c>
    </row>
    <row r="5520" customFormat="false" ht="15" hidden="false" customHeight="false" outlineLevel="0" collapsed="false">
      <c r="A5520" s="23" t="s">
        <v>469</v>
      </c>
      <c r="B5520" s="24"/>
      <c r="C5520" s="24"/>
      <c r="D5520" s="24"/>
      <c r="E5520" s="24"/>
      <c r="F5520" s="24"/>
      <c r="G5520" s="24"/>
      <c r="H5520" s="24"/>
      <c r="I5520" s="24"/>
      <c r="J5520" s="24"/>
      <c r="K5520" s="24"/>
    </row>
    <row r="5521" customFormat="false" ht="15" hidden="false" customHeight="false" outlineLevel="0" collapsed="false">
      <c r="A5521" s="5" t="s">
        <v>457</v>
      </c>
      <c r="C5521" s="25" t="n">
        <f aca="false">IF(C5516=0,0,C5501/C5516*MAX(0,MIN(C5516,$C$5474-SUM($C$5491:$C$5494)-C5511)))</f>
        <v>241.5743372</v>
      </c>
    </row>
    <row r="5522" customFormat="false" ht="15" hidden="false" customHeight="false" outlineLevel="0" collapsed="false">
      <c r="A5522" s="5" t="s">
        <v>458</v>
      </c>
      <c r="C5522" s="25" t="n">
        <f aca="false">IF(C5517=0,0,C5502/C5517*MAX(0,MIN(C5517,$C$5474-SUM($C$5491:$C$5494)-C5512)))</f>
        <v>147.8016628</v>
      </c>
    </row>
    <row r="5523" customFormat="false" ht="15" hidden="false" customHeight="false" outlineLevel="0" collapsed="false">
      <c r="A5523" s="5" t="s">
        <v>459</v>
      </c>
      <c r="C5523" s="25" t="n">
        <f aca="false">IF(C5518=0,0,C5503/C5518*MAX(0,MIN(C5518,$C$5474-SUM($C$5491:$C$5494)-C5513)))</f>
        <v>0</v>
      </c>
    </row>
    <row r="5524" customFormat="false" ht="15" hidden="false" customHeight="false" outlineLevel="0" collapsed="false">
      <c r="A5524" s="5" t="s">
        <v>460</v>
      </c>
      <c r="C5524" s="25" t="n">
        <f aca="false">IF(C5519=0,0,C5504/C5519*MAX(0,MIN(C5519,$C$5474-SUM($C$5491:$C$5494)-C5514)))</f>
        <v>0</v>
      </c>
    </row>
    <row r="5525" customFormat="false" ht="15" hidden="false" customHeight="false" outlineLevel="0" collapsed="false">
      <c r="A5525" s="23" t="s">
        <v>470</v>
      </c>
      <c r="B5525" s="24"/>
      <c r="C5525" s="24"/>
      <c r="D5525" s="24"/>
      <c r="E5525" s="24"/>
      <c r="F5525" s="24"/>
      <c r="G5525" s="24"/>
      <c r="H5525" s="24"/>
      <c r="I5525" s="24"/>
      <c r="J5525" s="24"/>
      <c r="K5525" s="24"/>
    </row>
    <row r="5526" customFormat="false" ht="15" hidden="false" customHeight="false" outlineLevel="0" collapsed="false">
      <c r="A5526" s="2" t="s">
        <v>457</v>
      </c>
      <c r="C5526" s="16" t="n">
        <f aca="false">C5491+C5521</f>
        <v>241.5743372</v>
      </c>
    </row>
    <row r="5527" customFormat="false" ht="15" hidden="false" customHeight="false" outlineLevel="0" collapsed="false">
      <c r="A5527" s="2" t="s">
        <v>458</v>
      </c>
      <c r="C5527" s="16" t="n">
        <f aca="false">C5492+C5522</f>
        <v>147.8016628</v>
      </c>
    </row>
    <row r="5528" customFormat="false" ht="15" hidden="false" customHeight="false" outlineLevel="0" collapsed="false">
      <c r="A5528" s="2" t="s">
        <v>459</v>
      </c>
      <c r="C5528" s="16" t="n">
        <f aca="false">C5493+C5523</f>
        <v>0</v>
      </c>
    </row>
    <row r="5529" customFormat="false" ht="15" hidden="false" customHeight="false" outlineLevel="0" collapsed="false">
      <c r="A5529" s="2" t="s">
        <v>460</v>
      </c>
      <c r="C5529" s="16" t="n">
        <f aca="false">C5494+C5524</f>
        <v>0</v>
      </c>
    </row>
    <row r="5530" customFormat="false" ht="15" hidden="false" customHeight="false" outlineLevel="0" collapsed="false">
      <c r="A5530" s="23" t="s">
        <v>471</v>
      </c>
      <c r="B5530" s="24"/>
      <c r="C5530" s="24"/>
      <c r="D5530" s="24"/>
      <c r="E5530" s="24"/>
      <c r="F5530" s="24"/>
      <c r="G5530" s="24"/>
      <c r="H5530" s="24"/>
      <c r="I5530" s="24"/>
      <c r="J5530" s="24"/>
      <c r="K5530" s="24"/>
    </row>
    <row r="5531" customFormat="false" ht="15" hidden="false" customHeight="false" outlineLevel="0" collapsed="false">
      <c r="A5531" s="5" t="s">
        <v>457</v>
      </c>
      <c r="C5531" s="21" t="n">
        <f aca="false">IF(C5476=0,1,C5526/C5476)</f>
        <v>1</v>
      </c>
    </row>
    <row r="5532" customFormat="false" ht="15" hidden="false" customHeight="false" outlineLevel="0" collapsed="false">
      <c r="A5532" s="5" t="s">
        <v>458</v>
      </c>
      <c r="C5532" s="21" t="n">
        <f aca="false">IF(C5477=0,1,C5527/C5477)</f>
        <v>0.280871236049474</v>
      </c>
    </row>
    <row r="5533" customFormat="false" ht="15" hidden="false" customHeight="false" outlineLevel="0" collapsed="false">
      <c r="A5533" s="5" t="s">
        <v>459</v>
      </c>
      <c r="C5533" s="21" t="n">
        <f aca="false">IF(C5478=0,1,C5528/C5478)</f>
        <v>0</v>
      </c>
    </row>
    <row r="5534" customFormat="false" ht="15" hidden="false" customHeight="false" outlineLevel="0" collapsed="false">
      <c r="A5534" s="5" t="s">
        <v>460</v>
      </c>
      <c r="C5534" s="21" t="n">
        <f aca="false">IF(C5479=0,1,C5529/C5479)</f>
        <v>0</v>
      </c>
    </row>
    <row r="5535" customFormat="false" ht="15" hidden="false" customHeight="false" outlineLevel="0" collapsed="false">
      <c r="A5535" s="23" t="s">
        <v>472</v>
      </c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</row>
    <row r="5536" customFormat="false" ht="15" hidden="false" customHeight="false" outlineLevel="0" collapsed="false">
      <c r="A5536" s="5" t="s">
        <v>457</v>
      </c>
      <c r="C5536" s="25" t="n">
        <f aca="false">C5476-C5526</f>
        <v>0</v>
      </c>
    </row>
    <row r="5537" customFormat="false" ht="15" hidden="false" customHeight="false" outlineLevel="0" collapsed="false">
      <c r="A5537" s="5" t="s">
        <v>458</v>
      </c>
      <c r="C5537" s="25" t="n">
        <f aca="false">C5477-C5527</f>
        <v>378.4240372</v>
      </c>
    </row>
    <row r="5538" customFormat="false" ht="15" hidden="false" customHeight="false" outlineLevel="0" collapsed="false">
      <c r="A5538" s="5" t="s">
        <v>459</v>
      </c>
      <c r="C5538" s="25" t="n">
        <f aca="false">C5478-C5528</f>
        <v>256.875</v>
      </c>
    </row>
    <row r="5539" customFormat="false" ht="15" hidden="false" customHeight="false" outlineLevel="0" collapsed="false">
      <c r="A5539" s="5" t="s">
        <v>460</v>
      </c>
      <c r="C5539" s="25" t="n">
        <f aca="false">C5479-C5529</f>
        <v>305.625</v>
      </c>
    </row>
    <row r="5540" customFormat="false" ht="15" hidden="false" customHeight="false" outlineLevel="0" collapsed="false">
      <c r="A5540" s="23" t="s">
        <v>473</v>
      </c>
      <c r="B5540" s="24"/>
      <c r="C5540" s="24"/>
      <c r="D5540" s="24"/>
      <c r="E5540" s="24"/>
      <c r="F5540" s="24"/>
      <c r="G5540" s="24"/>
      <c r="H5540" s="24"/>
      <c r="I5540" s="24"/>
      <c r="J5540" s="24"/>
      <c r="K5540" s="24"/>
    </row>
    <row r="5541" customFormat="false" ht="15" hidden="false" customHeight="false" outlineLevel="0" collapsed="false">
      <c r="A5541" s="5" t="s">
        <v>457</v>
      </c>
      <c r="C5541" s="21" t="n">
        <f aca="false">IF(C5476=0,0,C5536/C5476)</f>
        <v>0</v>
      </c>
    </row>
    <row r="5542" customFormat="false" ht="15" hidden="false" customHeight="false" outlineLevel="0" collapsed="false">
      <c r="A5542" s="5" t="s">
        <v>458</v>
      </c>
      <c r="C5542" s="21" t="n">
        <f aca="false">IF(C5477=0,0,C5537/C5477)</f>
        <v>0.719128763950526</v>
      </c>
    </row>
    <row r="5543" customFormat="false" ht="15" hidden="false" customHeight="false" outlineLevel="0" collapsed="false">
      <c r="A5543" s="5" t="s">
        <v>459</v>
      </c>
      <c r="C5543" s="21" t="n">
        <f aca="false">IF(C5478=0,0,C5538/C5478)</f>
        <v>1</v>
      </c>
    </row>
    <row r="5544" customFormat="false" ht="15" hidden="false" customHeight="false" outlineLevel="0" collapsed="false">
      <c r="A5544" s="5" t="s">
        <v>460</v>
      </c>
      <c r="C5544" s="21" t="n">
        <f aca="false">IF(C5479=0,0,C5539/C5479)</f>
        <v>1</v>
      </c>
    </row>
    <row r="5545" customFormat="false" ht="15" hidden="false" customHeight="false" outlineLevel="0" collapsed="false">
      <c r="A5545" s="2" t="s">
        <v>474</v>
      </c>
      <c r="C5545" s="16" t="n">
        <f aca="false">MAX(0,$C$5474-SUM($C$5491:$C$5494)-SUM($C$5501:$C$5504))</f>
        <v>0</v>
      </c>
    </row>
    <row r="5546" customFormat="false" ht="15" hidden="false" customHeight="false" outlineLevel="0" collapsed="false">
      <c r="A5546" s="5" t="s">
        <v>475</v>
      </c>
      <c r="C5546" s="25" t="n">
        <f aca="false">SUM($C$5526:$C$5529)+C5545+C5473-C5472</f>
        <v>0</v>
      </c>
    </row>
    <row r="5548" customFormat="false" ht="15" hidden="false" customHeight="false" outlineLevel="0" collapsed="false">
      <c r="A5548" s="23" t="s">
        <v>478</v>
      </c>
      <c r="B5548" s="24"/>
      <c r="C5548" s="24"/>
      <c r="D5548" s="24"/>
      <c r="E5548" s="24"/>
      <c r="F5548" s="24"/>
      <c r="G5548" s="24"/>
      <c r="H5548" s="24"/>
      <c r="I5548" s="24"/>
      <c r="J5548" s="24"/>
      <c r="K5548" s="24"/>
    </row>
    <row r="5549" customFormat="false" ht="15" hidden="false" customHeight="false" outlineLevel="0" collapsed="false">
      <c r="A5549" s="5" t="s">
        <v>479</v>
      </c>
      <c r="C5549" s="26" t="n">
        <f aca="false">Assumptions!$C$30</f>
        <v>2</v>
      </c>
    </row>
    <row r="5550" customFormat="false" ht="15" hidden="false" customHeight="false" outlineLevel="0" collapsed="false">
      <c r="A5550" s="5" t="s">
        <v>480</v>
      </c>
      <c r="C5550" s="28" t="n">
        <f aca="false">Assumptions!$C$31</f>
        <v>100</v>
      </c>
    </row>
    <row r="5551" customFormat="false" ht="15" hidden="false" customHeight="false" outlineLevel="0" collapsed="false">
      <c r="A5551" s="5" t="s">
        <v>481</v>
      </c>
      <c r="C5551" s="39" t="n">
        <f aca="false">Assumptions!$C$32</f>
        <v>78</v>
      </c>
    </row>
    <row r="5552" customFormat="false" ht="15" hidden="false" customHeight="false" outlineLevel="0" collapsed="false">
      <c r="A5552" s="5" t="s">
        <v>482</v>
      </c>
      <c r="C5552" s="25" t="n">
        <f aca="false">C5550*C5551/100*(1+Assumptions!$C$33)</f>
        <v>78.39</v>
      </c>
    </row>
    <row r="5553" customFormat="false" ht="15" hidden="false" customHeight="false" outlineLevel="0" collapsed="false">
      <c r="A5553" s="5" t="s">
        <v>483</v>
      </c>
      <c r="C5553" s="26" t="n">
        <f aca="false">Assumptions!$C$34</f>
        <v>2</v>
      </c>
    </row>
    <row r="5554" customFormat="false" ht="15" hidden="false" customHeight="false" outlineLevel="0" collapsed="false">
      <c r="A5554" s="5" t="s">
        <v>484</v>
      </c>
      <c r="C5554" s="20" t="n">
        <f aca="false">IF(C5465=1,SUMPRODUCT($G$5433:$K$5433,$G$5309:$K$5309),0)</f>
        <v>2</v>
      </c>
    </row>
    <row r="5555" customFormat="false" ht="15" hidden="false" customHeight="false" outlineLevel="0" collapsed="false">
      <c r="A5555" s="5" t="s">
        <v>485</v>
      </c>
      <c r="C5555" s="21" t="n">
        <f aca="false">IFERROR(C5550/CHOOSE(C5549,SUMPRODUCT($G$5464:$K$5464,$G$5355:$K$5355),SUMPRODUCT($G$5464:$K$5464,$G$5368:$K$5368),SUMPRODUCT($G$5464:$K$5464,$G$5381:$K$5381),SUMPRODUCT($G$5464:$K$5464,$G$5394:$K$5394)),0)</f>
        <v>0.196232339089482</v>
      </c>
    </row>
    <row r="5556" customFormat="false" ht="15" hidden="false" customHeight="false" outlineLevel="0" collapsed="false">
      <c r="A5556" s="5" t="s">
        <v>486</v>
      </c>
      <c r="C5556" s="25" t="n">
        <f aca="false">CHOOSE(C5549,C5526,C5527,C5528,C5529)*C5555</f>
        <v>29.0034660125589</v>
      </c>
    </row>
    <row r="5557" customFormat="false" ht="15" hidden="false" customHeight="false" outlineLevel="0" collapsed="false">
      <c r="A5557" s="5" t="s">
        <v>487</v>
      </c>
      <c r="C5557" s="21" t="n">
        <f aca="false">CHOOSE(C5549,C5531,C5532,C5533,C5534)</f>
        <v>0.280871236049474</v>
      </c>
    </row>
    <row r="5558" customFormat="false" ht="15" hidden="false" customHeight="false" outlineLevel="0" collapsed="false">
      <c r="A5558" s="5" t="s">
        <v>488</v>
      </c>
      <c r="C5558" s="20" t="n">
        <f aca="false">IF(C5465=1,C5554,C5553)</f>
        <v>2</v>
      </c>
    </row>
    <row r="5559" customFormat="false" ht="15" hidden="false" customHeight="false" outlineLevel="0" collapsed="false">
      <c r="A5559" s="5" t="s">
        <v>489</v>
      </c>
      <c r="C5559" s="33" t="n">
        <f aca="false">CHOOSE($C$5301,Assumptions!$C$77,Assumptions!$C$96,Assumptions!$C$115)</f>
        <v>70</v>
      </c>
    </row>
    <row r="5560" customFormat="false" ht="15" hidden="false" customHeight="false" outlineLevel="0" collapsed="false">
      <c r="A5560" s="5" t="s">
        <v>490</v>
      </c>
      <c r="C5560" s="25" t="n">
        <f aca="false">INDEX($G$5318:$K$5318,C5553)*CHOOSE($C$5301,Assumptions!$C$76,Assumptions!$C$95,Assumptions!$C$114)+MAX(0,INDEX($G$5430:$K$5430,C5553))</f>
        <v>55.97928</v>
      </c>
    </row>
    <row r="5561" customFormat="false" ht="15" hidden="false" customHeight="false" outlineLevel="0" collapsed="false">
      <c r="A5561" s="23" t="s">
        <v>491</v>
      </c>
      <c r="B5561" s="24"/>
      <c r="C5561" s="24"/>
      <c r="D5561" s="24"/>
      <c r="E5561" s="24"/>
      <c r="F5561" s="24"/>
      <c r="G5561" s="24"/>
      <c r="H5561" s="24"/>
      <c r="I5561" s="24"/>
      <c r="J5561" s="24"/>
      <c r="K5561" s="24"/>
    </row>
    <row r="5562" customFormat="false" ht="15" hidden="false" customHeight="false" outlineLevel="0" collapsed="false">
      <c r="A5562" s="5" t="s">
        <v>457</v>
      </c>
      <c r="C5562" s="25" t="n">
        <f aca="false">INDEX($G$5355:$K$5355,C5553)</f>
        <v>234.9088</v>
      </c>
    </row>
    <row r="5563" customFormat="false" ht="15" hidden="false" customHeight="false" outlineLevel="0" collapsed="false">
      <c r="A5563" s="5" t="s">
        <v>458</v>
      </c>
      <c r="C5563" s="25" t="n">
        <f aca="false">INDEX($G$5368:$K$5368,C5553)</f>
        <v>509.6</v>
      </c>
    </row>
    <row r="5564" customFormat="false" ht="15" hidden="false" customHeight="false" outlineLevel="0" collapsed="false">
      <c r="A5564" s="5" t="s">
        <v>459</v>
      </c>
      <c r="C5564" s="25" t="n">
        <f aca="false">INDEX($G$5381:$K$5381,C5553)</f>
        <v>250</v>
      </c>
    </row>
    <row r="5565" customFormat="false" ht="15" hidden="false" customHeight="false" outlineLevel="0" collapsed="false">
      <c r="A5565" s="5" t="s">
        <v>460</v>
      </c>
      <c r="C5565" s="25" t="n">
        <f aca="false">INDEX($G$5394:$K$5394,C5553)</f>
        <v>300</v>
      </c>
    </row>
    <row r="5566" customFormat="false" ht="15" hidden="false" customHeight="false" outlineLevel="0" collapsed="false">
      <c r="A5566" s="23" t="s">
        <v>461</v>
      </c>
      <c r="B5566" s="24"/>
      <c r="C5566" s="24"/>
      <c r="D5566" s="24"/>
      <c r="E5566" s="24"/>
      <c r="F5566" s="24"/>
      <c r="G5566" s="24"/>
      <c r="H5566" s="24"/>
      <c r="I5566" s="24"/>
      <c r="J5566" s="24"/>
      <c r="K5566" s="24"/>
    </row>
    <row r="5567" customFormat="false" ht="15" hidden="false" customHeight="false" outlineLevel="0" collapsed="false">
      <c r="A5567" s="5" t="s">
        <v>457</v>
      </c>
      <c r="C5567" s="26" t="n">
        <f aca="false">Assumptions!$M$53</f>
        <v>1</v>
      </c>
    </row>
    <row r="5568" customFormat="false" ht="15" hidden="false" customHeight="false" outlineLevel="0" collapsed="false">
      <c r="A5568" s="5" t="s">
        <v>458</v>
      </c>
      <c r="C5568" s="26" t="n">
        <f aca="false">Assumptions!$M$54</f>
        <v>2</v>
      </c>
    </row>
    <row r="5569" customFormat="false" ht="15" hidden="false" customHeight="false" outlineLevel="0" collapsed="false">
      <c r="A5569" s="5" t="s">
        <v>459</v>
      </c>
      <c r="C5569" s="26" t="n">
        <f aca="false">Assumptions!$M$55</f>
        <v>3</v>
      </c>
    </row>
    <row r="5570" customFormat="false" ht="15" hidden="false" customHeight="false" outlineLevel="0" collapsed="false">
      <c r="A5570" s="5" t="s">
        <v>460</v>
      </c>
      <c r="C5570" s="26" t="n">
        <f aca="false">Assumptions!$M$56</f>
        <v>4</v>
      </c>
    </row>
    <row r="5571" customFormat="false" ht="15" hidden="false" customHeight="false" outlineLevel="0" collapsed="false">
      <c r="A5571" s="23" t="s">
        <v>462</v>
      </c>
      <c r="B5571" s="24"/>
      <c r="C5571" s="24"/>
      <c r="D5571" s="24"/>
      <c r="E5571" s="24"/>
      <c r="F5571" s="24"/>
      <c r="G5571" s="24"/>
      <c r="H5571" s="24"/>
      <c r="I5571" s="24"/>
      <c r="J5571" s="24"/>
      <c r="K5571" s="24"/>
    </row>
    <row r="5572" customFormat="false" ht="15" hidden="false" customHeight="false" outlineLevel="0" collapsed="false">
      <c r="A5572" s="5" t="s">
        <v>457</v>
      </c>
      <c r="C5572" s="34" t="n">
        <f aca="false">Assumptions!$Q$53</f>
        <v>0</v>
      </c>
    </row>
    <row r="5573" customFormat="false" ht="15" hidden="false" customHeight="false" outlineLevel="0" collapsed="false">
      <c r="A5573" s="5" t="s">
        <v>458</v>
      </c>
      <c r="C5573" s="34" t="n">
        <f aca="false">Assumptions!$Q$54</f>
        <v>0</v>
      </c>
    </row>
    <row r="5574" customFormat="false" ht="15" hidden="false" customHeight="false" outlineLevel="0" collapsed="false">
      <c r="A5574" s="5" t="s">
        <v>459</v>
      </c>
      <c r="C5574" s="34" t="n">
        <f aca="false">Assumptions!$Q$55</f>
        <v>0</v>
      </c>
    </row>
    <row r="5575" customFormat="false" ht="15" hidden="false" customHeight="false" outlineLevel="0" collapsed="false">
      <c r="A5575" s="5" t="s">
        <v>460</v>
      </c>
      <c r="C5575" s="34" t="n">
        <f aca="false">Assumptions!$Q$56</f>
        <v>0</v>
      </c>
    </row>
    <row r="5576" customFormat="false" ht="15" hidden="false" customHeight="false" outlineLevel="0" collapsed="false">
      <c r="A5576" s="23" t="s">
        <v>463</v>
      </c>
      <c r="B5576" s="24"/>
      <c r="C5576" s="24"/>
      <c r="D5576" s="24"/>
      <c r="E5576" s="24"/>
      <c r="F5576" s="24"/>
      <c r="G5576" s="24"/>
      <c r="H5576" s="24"/>
      <c r="I5576" s="24"/>
      <c r="J5576" s="24"/>
      <c r="K5576" s="24"/>
    </row>
    <row r="5577" customFormat="false" ht="15" hidden="false" customHeight="false" outlineLevel="0" collapsed="false">
      <c r="A5577" s="5" t="s">
        <v>457</v>
      </c>
      <c r="C5577" s="25" t="n">
        <f aca="false">IF(C5572&gt;0,MIN(C5562,C5572*$C$5560),0)</f>
        <v>0</v>
      </c>
    </row>
    <row r="5578" customFormat="false" ht="15" hidden="false" customHeight="false" outlineLevel="0" collapsed="false">
      <c r="A5578" s="5" t="s">
        <v>458</v>
      </c>
      <c r="C5578" s="25" t="n">
        <f aca="false">IF(C5573&gt;0,MIN(C5563,C5573*$C$5560),0)</f>
        <v>0</v>
      </c>
    </row>
    <row r="5579" customFormat="false" ht="15" hidden="false" customHeight="false" outlineLevel="0" collapsed="false">
      <c r="A5579" s="5" t="s">
        <v>459</v>
      </c>
      <c r="C5579" s="25" t="n">
        <f aca="false">IF(C5574&gt;0,MIN(C5564,C5574*$C$5560),0)</f>
        <v>0</v>
      </c>
    </row>
    <row r="5580" customFormat="false" ht="15" hidden="false" customHeight="false" outlineLevel="0" collapsed="false">
      <c r="A5580" s="5" t="s">
        <v>460</v>
      </c>
      <c r="C5580" s="25" t="n">
        <f aca="false">IF(C5575&gt;0,MIN(C5565,C5575*$C$5560),0)</f>
        <v>0</v>
      </c>
    </row>
    <row r="5581" customFormat="false" ht="15" hidden="false" customHeight="false" outlineLevel="0" collapsed="false">
      <c r="A5581" s="23" t="s">
        <v>464</v>
      </c>
      <c r="B5581" s="24"/>
      <c r="C5581" s="24"/>
      <c r="D5581" s="24"/>
      <c r="E5581" s="24"/>
      <c r="F5581" s="24"/>
      <c r="G5581" s="24"/>
      <c r="H5581" s="24"/>
      <c r="I5581" s="24"/>
      <c r="J5581" s="24"/>
      <c r="K5581" s="24"/>
    </row>
    <row r="5582" customFormat="false" ht="15" hidden="false" customHeight="false" outlineLevel="0" collapsed="false">
      <c r="A5582" s="5" t="s">
        <v>457</v>
      </c>
      <c r="C5582" s="25" t="n">
        <f aca="false">IF(C5572&gt;0,C5562-C5577,0)</f>
        <v>0</v>
      </c>
    </row>
    <row r="5583" customFormat="false" ht="15" hidden="false" customHeight="false" outlineLevel="0" collapsed="false">
      <c r="A5583" s="5" t="s">
        <v>458</v>
      </c>
      <c r="C5583" s="25" t="n">
        <f aca="false">IF(C5573&gt;0,C5563-C5578,0)</f>
        <v>0</v>
      </c>
    </row>
    <row r="5584" customFormat="false" ht="15" hidden="false" customHeight="false" outlineLevel="0" collapsed="false">
      <c r="A5584" s="5" t="s">
        <v>459</v>
      </c>
      <c r="C5584" s="25" t="n">
        <f aca="false">IF(C5574&gt;0,C5564-C5579,0)</f>
        <v>0</v>
      </c>
    </row>
    <row r="5585" customFormat="false" ht="15" hidden="false" customHeight="false" outlineLevel="0" collapsed="false">
      <c r="A5585" s="5" t="s">
        <v>460</v>
      </c>
      <c r="C5585" s="25" t="n">
        <f aca="false">IF(C5575&gt;0,C5565-C5580,0)</f>
        <v>0</v>
      </c>
    </row>
    <row r="5586" customFormat="false" ht="15" hidden="false" customHeight="false" outlineLevel="0" collapsed="false">
      <c r="A5586" s="23" t="s">
        <v>465</v>
      </c>
      <c r="B5586" s="24"/>
      <c r="C5586" s="24"/>
      <c r="D5586" s="24"/>
      <c r="E5586" s="24"/>
      <c r="F5586" s="24"/>
      <c r="G5586" s="24"/>
      <c r="H5586" s="24"/>
      <c r="I5586" s="24"/>
      <c r="J5586" s="24"/>
      <c r="K5586" s="24"/>
    </row>
    <row r="5587" customFormat="false" ht="15" hidden="false" customHeight="false" outlineLevel="0" collapsed="false">
      <c r="A5587" s="5" t="s">
        <v>457</v>
      </c>
      <c r="C5587" s="25" t="n">
        <f aca="false">IF(C5572&gt;0,C5582,C5562)</f>
        <v>234.9088</v>
      </c>
    </row>
    <row r="5588" customFormat="false" ht="15" hidden="false" customHeight="false" outlineLevel="0" collapsed="false">
      <c r="A5588" s="5" t="s">
        <v>458</v>
      </c>
      <c r="C5588" s="25" t="n">
        <f aca="false">IF(C5573&gt;0,C5583,C5563)</f>
        <v>509.6</v>
      </c>
    </row>
    <row r="5589" customFormat="false" ht="15" hidden="false" customHeight="false" outlineLevel="0" collapsed="false">
      <c r="A5589" s="5" t="s">
        <v>459</v>
      </c>
      <c r="C5589" s="25" t="n">
        <f aca="false">IF(C5574&gt;0,C5584,C5564)</f>
        <v>250</v>
      </c>
    </row>
    <row r="5590" customFormat="false" ht="15" hidden="false" customHeight="false" outlineLevel="0" collapsed="false">
      <c r="A5590" s="5" t="s">
        <v>460</v>
      </c>
      <c r="C5590" s="25" t="n">
        <f aca="false">IF(C5575&gt;0,C5585,C5565)</f>
        <v>300</v>
      </c>
    </row>
    <row r="5591" customFormat="false" ht="15" hidden="false" customHeight="false" outlineLevel="0" collapsed="false">
      <c r="A5591" s="23" t="s">
        <v>466</v>
      </c>
      <c r="B5591" s="24"/>
      <c r="C5591" s="24"/>
      <c r="D5591" s="24"/>
      <c r="E5591" s="24"/>
      <c r="F5591" s="24"/>
      <c r="G5591" s="24"/>
      <c r="H5591" s="24"/>
      <c r="I5591" s="24"/>
      <c r="J5591" s="24"/>
      <c r="K5591" s="24"/>
    </row>
    <row r="5592" customFormat="false" ht="15" hidden="false" customHeight="false" outlineLevel="0" collapsed="false">
      <c r="A5592" s="5" t="s">
        <v>457</v>
      </c>
      <c r="C5592" s="20" t="n">
        <f aca="false">IF(C5572&gt;0,Assumptions!$C$17,C5567)</f>
        <v>1</v>
      </c>
    </row>
    <row r="5593" customFormat="false" ht="15" hidden="false" customHeight="false" outlineLevel="0" collapsed="false">
      <c r="A5593" s="5" t="s">
        <v>458</v>
      </c>
      <c r="C5593" s="20" t="n">
        <f aca="false">IF(C5573&gt;0,Assumptions!$C$17,C5568)</f>
        <v>2</v>
      </c>
    </row>
    <row r="5594" customFormat="false" ht="15" hidden="false" customHeight="false" outlineLevel="0" collapsed="false">
      <c r="A5594" s="5" t="s">
        <v>459</v>
      </c>
      <c r="C5594" s="20" t="n">
        <f aca="false">IF(C5574&gt;0,Assumptions!$C$17,C5569)</f>
        <v>3</v>
      </c>
    </row>
    <row r="5595" customFormat="false" ht="15" hidden="false" customHeight="false" outlineLevel="0" collapsed="false">
      <c r="A5595" s="5" t="s">
        <v>460</v>
      </c>
      <c r="C5595" s="20" t="n">
        <f aca="false">IF(C5575&gt;0,Assumptions!$C$17,C5570)</f>
        <v>4</v>
      </c>
    </row>
    <row r="5596" customFormat="false" ht="15" hidden="false" customHeight="false" outlineLevel="0" collapsed="false">
      <c r="A5596" s="23" t="s">
        <v>467</v>
      </c>
      <c r="B5596" s="24"/>
      <c r="C5596" s="24"/>
      <c r="D5596" s="24"/>
      <c r="E5596" s="24"/>
      <c r="F5596" s="24"/>
      <c r="G5596" s="24"/>
      <c r="H5596" s="24"/>
      <c r="I5596" s="24"/>
      <c r="J5596" s="24"/>
      <c r="K5596" s="24"/>
    </row>
    <row r="5597" customFormat="false" ht="15" hidden="false" customHeight="false" outlineLevel="0" collapsed="false">
      <c r="A5597" s="5" t="s">
        <v>457</v>
      </c>
      <c r="C5597" s="25" t="n">
        <f aca="false">SUMPRODUCT(($C$5592:$C$5595&lt;C5592)*$C$5587:$C$5590)</f>
        <v>0</v>
      </c>
    </row>
    <row r="5598" customFormat="false" ht="15" hidden="false" customHeight="false" outlineLevel="0" collapsed="false">
      <c r="A5598" s="5" t="s">
        <v>458</v>
      </c>
      <c r="C5598" s="25" t="n">
        <f aca="false">SUMPRODUCT(($C$5592:$C$5595&lt;C5593)*$C$5587:$C$5590)</f>
        <v>234.9088</v>
      </c>
    </row>
    <row r="5599" customFormat="false" ht="15" hidden="false" customHeight="false" outlineLevel="0" collapsed="false">
      <c r="A5599" s="5" t="s">
        <v>459</v>
      </c>
      <c r="C5599" s="25" t="n">
        <f aca="false">SUMPRODUCT(($C$5592:$C$5595&lt;C5594)*$C$5587:$C$5590)</f>
        <v>744.5088</v>
      </c>
    </row>
    <row r="5600" customFormat="false" ht="15" hidden="false" customHeight="false" outlineLevel="0" collapsed="false">
      <c r="A5600" s="5" t="s">
        <v>460</v>
      </c>
      <c r="C5600" s="25" t="n">
        <f aca="false">SUMPRODUCT(($C$5592:$C$5595&lt;C5595)*$C$5587:$C$5590)</f>
        <v>994.5088</v>
      </c>
    </row>
    <row r="5601" customFormat="false" ht="15" hidden="false" customHeight="false" outlineLevel="0" collapsed="false">
      <c r="A5601" s="23" t="s">
        <v>468</v>
      </c>
      <c r="B5601" s="24"/>
      <c r="C5601" s="24"/>
      <c r="D5601" s="24"/>
      <c r="E5601" s="24"/>
      <c r="F5601" s="24"/>
      <c r="G5601" s="24"/>
      <c r="H5601" s="24"/>
      <c r="I5601" s="24"/>
      <c r="J5601" s="24"/>
      <c r="K5601" s="24"/>
    </row>
    <row r="5602" customFormat="false" ht="15" hidden="false" customHeight="false" outlineLevel="0" collapsed="false">
      <c r="A5602" s="5" t="s">
        <v>457</v>
      </c>
      <c r="C5602" s="25" t="n">
        <f aca="false">SUMPRODUCT(($C$5592:$C$5595=C5592)*$C$5587:$C$5590)</f>
        <v>234.9088</v>
      </c>
    </row>
    <row r="5603" customFormat="false" ht="15" hidden="false" customHeight="false" outlineLevel="0" collapsed="false">
      <c r="A5603" s="5" t="s">
        <v>458</v>
      </c>
      <c r="C5603" s="25" t="n">
        <f aca="false">SUMPRODUCT(($C$5592:$C$5595=C5593)*$C$5587:$C$5590)</f>
        <v>509.6</v>
      </c>
    </row>
    <row r="5604" customFormat="false" ht="15" hidden="false" customHeight="false" outlineLevel="0" collapsed="false">
      <c r="A5604" s="5" t="s">
        <v>459</v>
      </c>
      <c r="C5604" s="25" t="n">
        <f aca="false">SUMPRODUCT(($C$5592:$C$5595=C5594)*$C$5587:$C$5590)</f>
        <v>250</v>
      </c>
    </row>
    <row r="5605" customFormat="false" ht="15" hidden="false" customHeight="false" outlineLevel="0" collapsed="false">
      <c r="A5605" s="5" t="s">
        <v>460</v>
      </c>
      <c r="C5605" s="25" t="n">
        <f aca="false">SUMPRODUCT(($C$5592:$C$5595=C5595)*$C$5587:$C$5590)</f>
        <v>300</v>
      </c>
    </row>
    <row r="5606" customFormat="false" ht="15" hidden="false" customHeight="false" outlineLevel="0" collapsed="false">
      <c r="A5606" s="23" t="s">
        <v>469</v>
      </c>
      <c r="B5606" s="24"/>
      <c r="C5606" s="24"/>
      <c r="D5606" s="24"/>
      <c r="E5606" s="24"/>
      <c r="F5606" s="24"/>
      <c r="G5606" s="24"/>
      <c r="H5606" s="24"/>
      <c r="I5606" s="24"/>
      <c r="J5606" s="24"/>
      <c r="K5606" s="24"/>
    </row>
    <row r="5607" customFormat="false" ht="15" hidden="false" customHeight="false" outlineLevel="0" collapsed="false">
      <c r="A5607" s="5" t="s">
        <v>457</v>
      </c>
      <c r="C5607" s="25" t="n">
        <f aca="false">IF(C5602=0,0,C5587/C5602*MAX(0,MIN(C5602,$C$5560-SUM($C$5577:$C$5580)-C5597)))</f>
        <v>55.97928</v>
      </c>
    </row>
    <row r="5608" customFormat="false" ht="15" hidden="false" customHeight="false" outlineLevel="0" collapsed="false">
      <c r="A5608" s="5" t="s">
        <v>458</v>
      </c>
      <c r="C5608" s="25" t="n">
        <f aca="false">IF(C5603=0,0,C5588/C5603*MAX(0,MIN(C5603,$C$5560-SUM($C$5577:$C$5580)-C5598)))</f>
        <v>0</v>
      </c>
    </row>
    <row r="5609" customFormat="false" ht="15" hidden="false" customHeight="false" outlineLevel="0" collapsed="false">
      <c r="A5609" s="5" t="s">
        <v>459</v>
      </c>
      <c r="C5609" s="25" t="n">
        <f aca="false">IF(C5604=0,0,C5589/C5604*MAX(0,MIN(C5604,$C$5560-SUM($C$5577:$C$5580)-C5599)))</f>
        <v>0</v>
      </c>
    </row>
    <row r="5610" customFormat="false" ht="15" hidden="false" customHeight="false" outlineLevel="0" collapsed="false">
      <c r="A5610" s="5" t="s">
        <v>460</v>
      </c>
      <c r="C5610" s="25" t="n">
        <f aca="false">IF(C5605=0,0,C5590/C5605*MAX(0,MIN(C5605,$C$5560-SUM($C$5577:$C$5580)-C5600)))</f>
        <v>0</v>
      </c>
    </row>
    <row r="5611" customFormat="false" ht="15" hidden="false" customHeight="false" outlineLevel="0" collapsed="false">
      <c r="A5611" s="23" t="s">
        <v>470</v>
      </c>
      <c r="B5611" s="24"/>
      <c r="C5611" s="24"/>
      <c r="D5611" s="24"/>
      <c r="E5611" s="24"/>
      <c r="F5611" s="24"/>
      <c r="G5611" s="24"/>
      <c r="H5611" s="24"/>
      <c r="I5611" s="24"/>
      <c r="J5611" s="24"/>
      <c r="K5611" s="24"/>
    </row>
    <row r="5612" customFormat="false" ht="15" hidden="false" customHeight="false" outlineLevel="0" collapsed="false">
      <c r="A5612" s="2" t="s">
        <v>457</v>
      </c>
      <c r="C5612" s="16" t="n">
        <f aca="false">C5577+C5607</f>
        <v>55.97928</v>
      </c>
    </row>
    <row r="5613" customFormat="false" ht="15" hidden="false" customHeight="false" outlineLevel="0" collapsed="false">
      <c r="A5613" s="2" t="s">
        <v>458</v>
      </c>
      <c r="C5613" s="16" t="n">
        <f aca="false">C5578+C5608</f>
        <v>0</v>
      </c>
    </row>
    <row r="5614" customFormat="false" ht="15" hidden="false" customHeight="false" outlineLevel="0" collapsed="false">
      <c r="A5614" s="2" t="s">
        <v>459</v>
      </c>
      <c r="C5614" s="16" t="n">
        <f aca="false">C5579+C5609</f>
        <v>0</v>
      </c>
    </row>
    <row r="5615" customFormat="false" ht="15" hidden="false" customHeight="false" outlineLevel="0" collapsed="false">
      <c r="A5615" s="2" t="s">
        <v>460</v>
      </c>
      <c r="C5615" s="16" t="n">
        <f aca="false">C5580+C5610</f>
        <v>0</v>
      </c>
    </row>
    <row r="5616" customFormat="false" ht="15" hidden="false" customHeight="false" outlineLevel="0" collapsed="false">
      <c r="A5616" s="23" t="s">
        <v>471</v>
      </c>
      <c r="B5616" s="24"/>
      <c r="C5616" s="24"/>
      <c r="D5616" s="24"/>
      <c r="E5616" s="24"/>
      <c r="F5616" s="24"/>
      <c r="G5616" s="24"/>
      <c r="H5616" s="24"/>
      <c r="I5616" s="24"/>
      <c r="J5616" s="24"/>
      <c r="K5616" s="24"/>
    </row>
    <row r="5617" customFormat="false" ht="15" hidden="false" customHeight="false" outlineLevel="0" collapsed="false">
      <c r="A5617" s="5" t="s">
        <v>457</v>
      </c>
      <c r="C5617" s="21" t="n">
        <f aca="false">IF(C5562=0,1,C5612/C5562)</f>
        <v>0.238302183655955</v>
      </c>
    </row>
    <row r="5618" customFormat="false" ht="15" hidden="false" customHeight="false" outlineLevel="0" collapsed="false">
      <c r="A5618" s="5" t="s">
        <v>458</v>
      </c>
      <c r="C5618" s="21" t="n">
        <f aca="false">IF(C5563=0,1,C5613/C5563)</f>
        <v>0</v>
      </c>
    </row>
    <row r="5619" customFormat="false" ht="15" hidden="false" customHeight="false" outlineLevel="0" collapsed="false">
      <c r="A5619" s="5" t="s">
        <v>459</v>
      </c>
      <c r="C5619" s="21" t="n">
        <f aca="false">IF(C5564=0,1,C5614/C5564)</f>
        <v>0</v>
      </c>
    </row>
    <row r="5620" customFormat="false" ht="15" hidden="false" customHeight="false" outlineLevel="0" collapsed="false">
      <c r="A5620" s="5" t="s">
        <v>460</v>
      </c>
      <c r="C5620" s="21" t="n">
        <f aca="false">IF(C5565=0,1,C5615/C5565)</f>
        <v>0</v>
      </c>
    </row>
    <row r="5621" customFormat="false" ht="15" hidden="false" customHeight="false" outlineLevel="0" collapsed="false">
      <c r="A5621" s="23" t="s">
        <v>472</v>
      </c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</row>
    <row r="5622" customFormat="false" ht="15" hidden="false" customHeight="false" outlineLevel="0" collapsed="false">
      <c r="A5622" s="5" t="s">
        <v>457</v>
      </c>
      <c r="C5622" s="25" t="n">
        <f aca="false">C5562-C5612</f>
        <v>178.92952</v>
      </c>
    </row>
    <row r="5623" customFormat="false" ht="15" hidden="false" customHeight="false" outlineLevel="0" collapsed="false">
      <c r="A5623" s="5" t="s">
        <v>458</v>
      </c>
      <c r="C5623" s="25" t="n">
        <f aca="false">C5563-C5613</f>
        <v>509.6</v>
      </c>
    </row>
    <row r="5624" customFormat="false" ht="15" hidden="false" customHeight="false" outlineLevel="0" collapsed="false">
      <c r="A5624" s="5" t="s">
        <v>459</v>
      </c>
      <c r="C5624" s="25" t="n">
        <f aca="false">C5564-C5614</f>
        <v>250</v>
      </c>
    </row>
    <row r="5625" customFormat="false" ht="15" hidden="false" customHeight="false" outlineLevel="0" collapsed="false">
      <c r="A5625" s="5" t="s">
        <v>460</v>
      </c>
      <c r="C5625" s="25" t="n">
        <f aca="false">C5565-C5615</f>
        <v>300</v>
      </c>
    </row>
    <row r="5626" customFormat="false" ht="15" hidden="false" customHeight="false" outlineLevel="0" collapsed="false">
      <c r="A5626" s="23" t="s">
        <v>473</v>
      </c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</row>
    <row r="5627" customFormat="false" ht="15" hidden="false" customHeight="false" outlineLevel="0" collapsed="false">
      <c r="A5627" s="5" t="s">
        <v>457</v>
      </c>
      <c r="C5627" s="21" t="n">
        <f aca="false">IF(C5562=0,0,C5622/C5562)</f>
        <v>0.761697816344045</v>
      </c>
    </row>
    <row r="5628" customFormat="false" ht="15" hidden="false" customHeight="false" outlineLevel="0" collapsed="false">
      <c r="A5628" s="5" t="s">
        <v>458</v>
      </c>
      <c r="C5628" s="21" t="n">
        <f aca="false">IF(C5563=0,0,C5623/C5563)</f>
        <v>1</v>
      </c>
    </row>
    <row r="5629" customFormat="false" ht="15" hidden="false" customHeight="false" outlineLevel="0" collapsed="false">
      <c r="A5629" s="5" t="s">
        <v>459</v>
      </c>
      <c r="C5629" s="21" t="n">
        <f aca="false">IF(C5564=0,0,C5624/C5564)</f>
        <v>1</v>
      </c>
    </row>
    <row r="5630" customFormat="false" ht="15" hidden="false" customHeight="false" outlineLevel="0" collapsed="false">
      <c r="A5630" s="5" t="s">
        <v>460</v>
      </c>
      <c r="C5630" s="21" t="n">
        <f aca="false">IF(C5565=0,0,C5625/C5565)</f>
        <v>1</v>
      </c>
    </row>
    <row r="5631" customFormat="false" ht="15" hidden="false" customHeight="false" outlineLevel="0" collapsed="false">
      <c r="A5631" s="2" t="s">
        <v>474</v>
      </c>
      <c r="C5631" s="16" t="n">
        <f aca="false">MAX(0,$C$5560-SUM($C$5577:$C$5580)-SUM($C$5587:$C$5590))</f>
        <v>0</v>
      </c>
    </row>
    <row r="5632" customFormat="false" ht="15" hidden="false" customHeight="false" outlineLevel="0" collapsed="false">
      <c r="A5632" s="5" t="s">
        <v>492</v>
      </c>
      <c r="C5632" s="33" t="n">
        <f aca="false">MIN(C5559,100*CHOOSE(C5549,C5617,C5618,C5619,C5620))</f>
        <v>0</v>
      </c>
    </row>
    <row r="5633" customFormat="false" ht="15" hidden="false" customHeight="false" outlineLevel="0" collapsed="false">
      <c r="A5633" s="5" t="s">
        <v>493</v>
      </c>
      <c r="C5633" s="20" t="n">
        <f aca="false">IF(C5465=1,C5554+Assumptions!$C$36,C5553)</f>
        <v>3</v>
      </c>
    </row>
    <row r="5634" customFormat="false" ht="15" hidden="false" customHeight="false" outlineLevel="0" collapsed="false">
      <c r="A5634" s="23" t="s">
        <v>494</v>
      </c>
      <c r="B5634" s="24"/>
      <c r="C5634" s="24"/>
      <c r="D5634" s="24"/>
      <c r="E5634" s="24"/>
      <c r="F5634" s="24"/>
      <c r="G5634" s="24"/>
      <c r="H5634" s="24"/>
      <c r="I5634" s="24"/>
      <c r="J5634" s="24"/>
      <c r="K5634" s="24"/>
    </row>
    <row r="5635" customFormat="false" ht="15" hidden="false" customHeight="false" outlineLevel="0" collapsed="false">
      <c r="A5635" s="5" t="s">
        <v>495</v>
      </c>
      <c r="C5635" s="20" t="n">
        <f aca="false">COLUMN()-COLUMN($C$1)</f>
        <v>0</v>
      </c>
      <c r="D5635" s="20" t="n">
        <f aca="false">COLUMN()-COLUMN($C$1)</f>
        <v>1</v>
      </c>
      <c r="E5635" s="20" t="n">
        <f aca="false">COLUMN()-COLUMN($C$1)</f>
        <v>2</v>
      </c>
      <c r="F5635" s="20" t="n">
        <f aca="false">COLUMN()-COLUMN($C$1)</f>
        <v>3</v>
      </c>
      <c r="G5635" s="20" t="n">
        <f aca="false">COLUMN()-COLUMN($C$1)</f>
        <v>4</v>
      </c>
      <c r="H5635" s="20" t="n">
        <f aca="false">COLUMN()-COLUMN($C$1)</f>
        <v>5</v>
      </c>
      <c r="I5635" s="20" t="n">
        <f aca="false">COLUMN()-COLUMN($C$1)</f>
        <v>6</v>
      </c>
    </row>
    <row r="5636" customFormat="false" ht="15" hidden="false" customHeight="false" outlineLevel="0" collapsed="false">
      <c r="A5636" s="5" t="s">
        <v>496</v>
      </c>
      <c r="D5636" s="30" t="n">
        <f aca="false">CHOOSE($C$5549,G5347,G5360,G5373,G5386)</f>
        <v>0.133</v>
      </c>
      <c r="E5636" s="30" t="n">
        <f aca="false">CHOOSE($C$5549,H5347,H5360,H5373,H5386)</f>
        <v>0.1305</v>
      </c>
      <c r="F5636" s="30" t="n">
        <f aca="false">CHOOSE($C$5549,I5347,I5360,I5373,I5386)</f>
        <v>0.128</v>
      </c>
      <c r="G5636" s="30" t="n">
        <f aca="false">CHOOSE($C$5549,J5347,J5360,J5373,J5386)</f>
        <v>0.128</v>
      </c>
      <c r="H5636" s="30" t="n">
        <f aca="false">CHOOSE($C$5549,K5347,K5360,K5373,K5386)</f>
        <v>0.128</v>
      </c>
    </row>
    <row r="5637" customFormat="false" ht="15" hidden="false" customHeight="false" outlineLevel="0" collapsed="false">
      <c r="A5637" s="5" t="s">
        <v>497</v>
      </c>
      <c r="D5637" s="25" t="n">
        <f aca="false">IF(D5635&lt;=$C$5558,$C$5550*D5636,0)</f>
        <v>13.3</v>
      </c>
      <c r="E5637" s="25" t="n">
        <f aca="false">IF(E5635&lt;=$C$5558,$C$5550*E5636,0)</f>
        <v>13.05</v>
      </c>
      <c r="F5637" s="25" t="n">
        <f aca="false">IF(F5635&lt;=$C$5558,$C$5550*F5636,0)</f>
        <v>0</v>
      </c>
      <c r="G5637" s="25" t="n">
        <f aca="false">IF(G5635&lt;=$C$5558,$C$5550*G5636,0)</f>
        <v>0</v>
      </c>
      <c r="H5637" s="25" t="n">
        <f aca="false">IF(H5635&lt;=$C$5558,$C$5550*H5636,0)</f>
        <v>0</v>
      </c>
    </row>
    <row r="5638" customFormat="false" ht="15" hidden="false" customHeight="false" outlineLevel="0" collapsed="false">
      <c r="A5638" s="5" t="s">
        <v>498</v>
      </c>
      <c r="D5638" s="25" t="n">
        <f aca="false">IF(AND($C$5465=0,D5635=$C$5553),$C$5550*$C$5632/100,0)+IF(AND($C$5465=1,D5635=$C$5633),$C$5556,0)</f>
        <v>0</v>
      </c>
      <c r="E5638" s="25" t="n">
        <f aca="false">IF(AND($C$5465=0,E5635=$C$5553),$C$5550*$C$5632/100,0)+IF(AND($C$5465=1,E5635=$C$5633),$C$5556,0)</f>
        <v>0</v>
      </c>
      <c r="F5638" s="25" t="n">
        <f aca="false">IF(AND($C$5465=0,F5635=$C$5553),$C$5550*$C$5632/100,0)+IF(AND($C$5465=1,F5635=$C$5633),$C$5556,0)</f>
        <v>29.0034660125589</v>
      </c>
      <c r="G5638" s="25" t="n">
        <f aca="false">IF(AND($C$5465=0,G5635=$C$5553),$C$5550*$C$5632/100,0)+IF(AND($C$5465=1,G5635=$C$5633),$C$5556,0)</f>
        <v>0</v>
      </c>
      <c r="H5638" s="25" t="n">
        <f aca="false">IF(AND($C$5465=0,H5635=$C$5553),$C$5550*$C$5632/100,0)+IF(AND($C$5465=1,H5635=$C$5633),$C$5556,0)</f>
        <v>0</v>
      </c>
      <c r="I5638" s="25" t="n">
        <f aca="false">IF(AND($C$5465=0,I5635=$C$5553),$C$5550*$C$5632/100,0)+IF(AND($C$5465=1,I5635=$C$5633),$C$5556,0)</f>
        <v>0</v>
      </c>
    </row>
    <row r="5639" customFormat="false" ht="15" hidden="false" customHeight="false" outlineLevel="0" collapsed="false">
      <c r="A5639" s="2" t="s">
        <v>499</v>
      </c>
      <c r="C5639" s="16" t="n">
        <f aca="false">-$C$5552</f>
        <v>-78.39</v>
      </c>
      <c r="D5639" s="16" t="n">
        <f aca="false">D5637+D5638</f>
        <v>13.3</v>
      </c>
      <c r="E5639" s="16" t="n">
        <f aca="false">E5637+E5638</f>
        <v>13.05</v>
      </c>
      <c r="F5639" s="16" t="n">
        <f aca="false">F5637+F5638</f>
        <v>29.0034660125589</v>
      </c>
      <c r="G5639" s="16" t="n">
        <f aca="false">G5637+G5638</f>
        <v>0</v>
      </c>
      <c r="H5639" s="16" t="n">
        <f aca="false">H5637+H5638</f>
        <v>0</v>
      </c>
      <c r="I5639" s="16" t="n">
        <f aca="false">I5637+I5638</f>
        <v>0</v>
      </c>
    </row>
    <row r="5640" customFormat="false" ht="15" hidden="false" customHeight="false" outlineLevel="0" collapsed="false">
      <c r="A5640" s="5" t="s">
        <v>500</v>
      </c>
      <c r="C5640" s="25" t="n">
        <f aca="false">SUM($C$5637:$I$5637)</f>
        <v>26.35</v>
      </c>
    </row>
    <row r="5641" customFormat="false" ht="15" hidden="false" customHeight="false" outlineLevel="0" collapsed="false">
      <c r="A5641" s="5" t="s">
        <v>501</v>
      </c>
      <c r="C5641" s="25" t="n">
        <f aca="false">SUM($C$5638:$I$5638)</f>
        <v>29.0034660125589</v>
      </c>
    </row>
    <row r="5642" customFormat="false" ht="15" hidden="false" customHeight="false" outlineLevel="0" collapsed="false">
      <c r="A5642" s="5" t="s">
        <v>502</v>
      </c>
      <c r="C5642" s="25" t="n">
        <f aca="false">C5640+C5641</f>
        <v>55.3534660125589</v>
      </c>
    </row>
    <row r="5643" customFormat="false" ht="15" hidden="false" customHeight="false" outlineLevel="0" collapsed="false">
      <c r="A5643" s="5" t="s">
        <v>503</v>
      </c>
      <c r="C5643" s="25" t="n">
        <f aca="false">C5641-C5550*C5551/100</f>
        <v>-48.9965339874412</v>
      </c>
    </row>
    <row r="5644" customFormat="false" ht="15" hidden="false" customHeight="false" outlineLevel="0" collapsed="false">
      <c r="A5644" s="5" t="s">
        <v>504</v>
      </c>
      <c r="C5644" s="25" t="n">
        <f aca="false">C5642-C5552</f>
        <v>-23.0365339874411</v>
      </c>
    </row>
    <row r="5645" customFormat="false" ht="15" hidden="false" customHeight="false" outlineLevel="0" collapsed="false">
      <c r="A5645" s="2" t="s">
        <v>385</v>
      </c>
      <c r="C5645" s="43" t="n">
        <f aca="false">C5642/C5552</f>
        <v>0.706129174799832</v>
      </c>
    </row>
    <row r="5646" customFormat="false" ht="15" hidden="false" customHeight="false" outlineLevel="0" collapsed="false">
      <c r="A5646" s="2" t="s">
        <v>384</v>
      </c>
      <c r="C5646" s="41" t="n">
        <f aca="false">IF(C5642&lt;=0,-1,IFERROR(IRR($C$5639:$I$5639,MAX(-0.9,C5645^(1/C5633)-1)),IRR($C$5639:$I$5639,0.1)))</f>
        <v>-0.138534047289136</v>
      </c>
    </row>
    <row r="5647" customFormat="false" ht="15" hidden="false" customHeight="false" outlineLevel="0" collapsed="false">
      <c r="A5647" s="5" t="s">
        <v>505</v>
      </c>
      <c r="C5647" s="31" t="n">
        <f aca="false">MAX($G$5441:$K$5441)</f>
        <v>124.624351403687</v>
      </c>
    </row>
    <row r="5648" customFormat="false" ht="15" hidden="false" customHeight="false" outlineLevel="0" collapsed="false">
      <c r="A5648" s="5" t="s">
        <v>506</v>
      </c>
      <c r="C5648" s="31" t="n">
        <f aca="false">MIN($G$5442:$K$5442)</f>
        <v>0.109080209295775</v>
      </c>
    </row>
    <row r="5649" customFormat="false" ht="15" hidden="false" customHeight="false" outlineLevel="0" collapsed="false">
      <c r="A5649" s="5" t="s">
        <v>507</v>
      </c>
      <c r="C5649" s="25" t="n">
        <f aca="false">SUM($G$5331:$K$5331)</f>
        <v>-697.792895058854</v>
      </c>
    </row>
    <row r="5653" customFormat="false" ht="15" hidden="false" customHeight="false" outlineLevel="0" collapsed="false">
      <c r="A5653" s="9" t="s">
        <v>642</v>
      </c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</row>
    <row r="5654" customFormat="false" ht="15" hidden="false" customHeight="false" outlineLevel="0" collapsed="false">
      <c r="A5654" s="5" t="s">
        <v>622</v>
      </c>
      <c r="C5654" s="11" t="n">
        <v>3</v>
      </c>
    </row>
    <row r="5655" customFormat="false" ht="15" hidden="false" customHeight="false" outlineLevel="0" collapsed="false">
      <c r="A5655" s="5" t="s">
        <v>623</v>
      </c>
      <c r="C5655" s="18" t="n">
        <v>0</v>
      </c>
    </row>
    <row r="5656" customFormat="false" ht="15" hidden="false" customHeight="false" outlineLevel="0" collapsed="false">
      <c r="A5656" s="5" t="s">
        <v>624</v>
      </c>
      <c r="C5656" s="29" t="n">
        <f aca="false">Sensitivities!$A$33</f>
        <v>0.02</v>
      </c>
    </row>
    <row r="5657" customFormat="false" ht="15" hidden="false" customHeight="false" outlineLevel="0" collapsed="false">
      <c r="A5657" s="5" t="s">
        <v>625</v>
      </c>
      <c r="C5657" s="18" t="n">
        <v>0</v>
      </c>
    </row>
    <row r="5658" customFormat="false" ht="15" hidden="false" customHeight="false" outlineLevel="0" collapsed="false">
      <c r="A5658" s="5" t="s">
        <v>626</v>
      </c>
      <c r="C5658" s="15" t="n">
        <v>0</v>
      </c>
    </row>
    <row r="5660" customFormat="false" ht="15" hidden="false" customHeight="false" outlineLevel="0" collapsed="false">
      <c r="A5660" s="23" t="s">
        <v>237</v>
      </c>
      <c r="B5660" s="24"/>
      <c r="C5660" s="24"/>
      <c r="D5660" s="24"/>
      <c r="E5660" s="24"/>
      <c r="F5660" s="24"/>
      <c r="G5660" s="24"/>
      <c r="H5660" s="24"/>
      <c r="I5660" s="24"/>
      <c r="J5660" s="24"/>
      <c r="K5660" s="24"/>
    </row>
    <row r="5661" customFormat="false" ht="15" hidden="false" customHeight="false" outlineLevel="0" collapsed="false">
      <c r="A5661" s="5" t="s">
        <v>238</v>
      </c>
      <c r="F5661" s="26" t="n">
        <f aca="false">Assumptions!$C$6</f>
        <v>2025</v>
      </c>
      <c r="G5661" s="20" t="n">
        <f aca="false">F5661+1</f>
        <v>2026</v>
      </c>
      <c r="H5661" s="20" t="n">
        <f aca="false">G5661+1</f>
        <v>2027</v>
      </c>
      <c r="I5661" s="20" t="n">
        <f aca="false">H5661+1</f>
        <v>2028</v>
      </c>
      <c r="J5661" s="20" t="n">
        <f aca="false">I5661+1</f>
        <v>2029</v>
      </c>
      <c r="K5661" s="20" t="n">
        <f aca="false">J5661+1</f>
        <v>2030</v>
      </c>
    </row>
    <row r="5662" customFormat="false" ht="15" hidden="false" customHeight="false" outlineLevel="0" collapsed="false">
      <c r="A5662" s="5" t="s">
        <v>239</v>
      </c>
      <c r="G5662" s="20" t="n">
        <f aca="false">G5661-Assumptions!$C$6</f>
        <v>1</v>
      </c>
      <c r="H5662" s="20" t="n">
        <f aca="false">H5661-Assumptions!$C$6</f>
        <v>2</v>
      </c>
      <c r="I5662" s="20" t="n">
        <f aca="false">I5661-Assumptions!$C$6</f>
        <v>3</v>
      </c>
      <c r="J5662" s="20" t="n">
        <f aca="false">J5661-Assumptions!$C$6</f>
        <v>4</v>
      </c>
      <c r="K5662" s="20" t="n">
        <f aca="false">K5661-Assumptions!$C$6</f>
        <v>5</v>
      </c>
    </row>
    <row r="5663" customFormat="false" ht="15" hidden="false" customHeight="false" outlineLevel="0" collapsed="false">
      <c r="A5663" s="5" t="s">
        <v>149</v>
      </c>
      <c r="G5663" s="21" t="n">
        <f aca="false">CHOOSE($C$5654,Assumptions!$G$65,Assumptions!$G$84,Assumptions!$G$103)+$C$5655</f>
        <v>-0.234</v>
      </c>
      <c r="H5663" s="21" t="n">
        <f aca="false">CHOOSE($C$5654,Assumptions!$H$65,Assumptions!$H$84,Assumptions!$H$103)+$C$5655</f>
        <v>-0.13</v>
      </c>
      <c r="I5663" s="21" t="n">
        <f aca="false">CHOOSE($C$5654,Assumptions!$I$65,Assumptions!$I$84,Assumptions!$I$103)+$C$5655</f>
        <v>-0.026</v>
      </c>
      <c r="J5663" s="21" t="n">
        <f aca="false">CHOOSE($C$5654,Assumptions!$J$65,Assumptions!$J$84,Assumptions!$J$103)+$C$5655</f>
        <v>-0.01</v>
      </c>
      <c r="K5663" s="21" t="n">
        <f aca="false">CHOOSE($C$5654,Assumptions!$K$65,Assumptions!$K$84,Assumptions!$K$103)+$C$5655</f>
        <v>-0.01</v>
      </c>
    </row>
    <row r="5664" customFormat="false" ht="15" hidden="false" customHeight="false" outlineLevel="0" collapsed="false">
      <c r="A5664" s="5" t="s">
        <v>150</v>
      </c>
      <c r="G5664" s="21" t="n">
        <f aca="false">CHOOSE($C$5654,Assumptions!$G$66,Assumptions!$G$85,Assumptions!$G$104)</f>
        <v>0.305</v>
      </c>
      <c r="H5664" s="21" t="n">
        <f aca="false">CHOOSE($C$5654,Assumptions!$H$66,Assumptions!$H$85,Assumptions!$H$104)</f>
        <v>0.305</v>
      </c>
      <c r="I5664" s="21" t="n">
        <f aca="false">CHOOSE($C$5654,Assumptions!$I$66,Assumptions!$I$85,Assumptions!$I$104)</f>
        <v>0.305</v>
      </c>
      <c r="J5664" s="21" t="n">
        <f aca="false">CHOOSE($C$5654,Assumptions!$J$66,Assumptions!$J$85,Assumptions!$J$104)</f>
        <v>0.305</v>
      </c>
      <c r="K5664" s="21" t="n">
        <f aca="false">CHOOSE($C$5654,Assumptions!$K$66,Assumptions!$K$85,Assumptions!$K$104)</f>
        <v>0.305</v>
      </c>
    </row>
    <row r="5665" customFormat="false" ht="15" hidden="false" customHeight="false" outlineLevel="0" collapsed="false">
      <c r="A5665" s="5" t="s">
        <v>151</v>
      </c>
      <c r="G5665" s="21" t="n">
        <f aca="false">CHOOSE($C$5654,Assumptions!$G$67,Assumptions!$G$86,Assumptions!$G$105)+$C$5656</f>
        <v>0.03</v>
      </c>
      <c r="H5665" s="21" t="n">
        <f aca="false">CHOOSE($C$5654,Assumptions!$H$67,Assumptions!$H$86,Assumptions!$H$105)+$C$5656</f>
        <v>0.03</v>
      </c>
      <c r="I5665" s="21" t="n">
        <f aca="false">CHOOSE($C$5654,Assumptions!$I$67,Assumptions!$I$86,Assumptions!$I$105)+$C$5656</f>
        <v>0.03</v>
      </c>
      <c r="J5665" s="21" t="n">
        <f aca="false">CHOOSE($C$5654,Assumptions!$J$67,Assumptions!$J$86,Assumptions!$J$105)+$C$5656</f>
        <v>0.03</v>
      </c>
      <c r="K5665" s="21" t="n">
        <f aca="false">CHOOSE($C$5654,Assumptions!$K$67,Assumptions!$K$86,Assumptions!$K$105)+$C$5656</f>
        <v>0.03</v>
      </c>
    </row>
    <row r="5666" customFormat="false" ht="15" hidden="false" customHeight="false" outlineLevel="0" collapsed="false">
      <c r="A5666" s="23" t="s">
        <v>240</v>
      </c>
      <c r="B5666" s="24"/>
      <c r="C5666" s="24"/>
      <c r="D5666" s="24"/>
      <c r="E5666" s="24"/>
      <c r="F5666" s="24"/>
      <c r="G5666" s="24"/>
      <c r="H5666" s="24"/>
      <c r="I5666" s="24"/>
      <c r="J5666" s="24"/>
      <c r="K5666" s="24"/>
    </row>
    <row r="5667" customFormat="false" ht="15" hidden="false" customHeight="false" outlineLevel="0" collapsed="false">
      <c r="A5667" s="2" t="s">
        <v>207</v>
      </c>
      <c r="F5667" s="27" t="n">
        <f aca="false">'Historical Financials'!E17</f>
        <v>2400</v>
      </c>
      <c r="G5667" s="16" t="n">
        <f aca="false">F5667*(1+G5663)</f>
        <v>1838.4</v>
      </c>
      <c r="H5667" s="16" t="n">
        <f aca="false">G5667*(1+H5663)</f>
        <v>1599.408</v>
      </c>
      <c r="I5667" s="16" t="n">
        <f aca="false">H5667*(1+I5663)</f>
        <v>1557.823392</v>
      </c>
      <c r="J5667" s="16" t="n">
        <f aca="false">I5667*(1+J5663)</f>
        <v>1542.24515808</v>
      </c>
      <c r="K5667" s="16" t="n">
        <f aca="false">J5667*(1+K5663)</f>
        <v>1526.8227064992</v>
      </c>
    </row>
    <row r="5668" customFormat="false" ht="15" hidden="false" customHeight="false" outlineLevel="0" collapsed="false">
      <c r="A5668" s="5" t="s">
        <v>217</v>
      </c>
      <c r="G5668" s="25" t="n">
        <f aca="false">G5667*(1-G5664)</f>
        <v>1277.688</v>
      </c>
      <c r="H5668" s="25" t="n">
        <f aca="false">H5667*(1-H5664)</f>
        <v>1111.58856</v>
      </c>
      <c r="I5668" s="25" t="n">
        <f aca="false">I5667*(1-I5664)</f>
        <v>1082.68725744</v>
      </c>
      <c r="J5668" s="25" t="n">
        <f aca="false">J5667*(1-J5664)</f>
        <v>1071.8603848656</v>
      </c>
      <c r="K5668" s="25" t="n">
        <f aca="false">K5667*(1-K5664)</f>
        <v>1061.14178101694</v>
      </c>
    </row>
    <row r="5669" customFormat="false" ht="15" hidden="false" customHeight="false" outlineLevel="0" collapsed="false">
      <c r="A5669" s="2" t="s">
        <v>218</v>
      </c>
      <c r="G5669" s="16" t="n">
        <f aca="false">G5667-G5668</f>
        <v>560.712</v>
      </c>
      <c r="H5669" s="16" t="n">
        <f aca="false">H5667-H5668</f>
        <v>487.81944</v>
      </c>
      <c r="I5669" s="16" t="n">
        <f aca="false">I5667-I5668</f>
        <v>475.13613456</v>
      </c>
      <c r="J5669" s="16" t="n">
        <f aca="false">J5667-J5668</f>
        <v>470.3847732144</v>
      </c>
      <c r="K5669" s="16" t="n">
        <f aca="false">K5667-K5668</f>
        <v>465.680925482256</v>
      </c>
    </row>
    <row r="5670" customFormat="false" ht="15" hidden="false" customHeight="false" outlineLevel="0" collapsed="false">
      <c r="A5670" s="5" t="s">
        <v>241</v>
      </c>
      <c r="G5670" s="25" t="n">
        <f aca="false">G5669-G5671</f>
        <v>505.56</v>
      </c>
      <c r="H5670" s="25" t="n">
        <f aca="false">H5669-H5671</f>
        <v>439.8372</v>
      </c>
      <c r="I5670" s="25" t="n">
        <f aca="false">I5669-I5671</f>
        <v>428.4014328</v>
      </c>
      <c r="J5670" s="25" t="n">
        <f aca="false">J5669-J5671</f>
        <v>424.117418472</v>
      </c>
      <c r="K5670" s="25" t="n">
        <f aca="false">K5669-K5671</f>
        <v>419.87624428728</v>
      </c>
    </row>
    <row r="5671" customFormat="false" ht="15" hidden="false" customHeight="false" outlineLevel="0" collapsed="false">
      <c r="A5671" s="2" t="s">
        <v>242</v>
      </c>
      <c r="G5671" s="16" t="n">
        <f aca="false">G5667*G5665</f>
        <v>55.152</v>
      </c>
      <c r="H5671" s="16" t="n">
        <f aca="false">H5667*H5665</f>
        <v>47.98224</v>
      </c>
      <c r="I5671" s="16" t="n">
        <f aca="false">I5667*I5665</f>
        <v>46.73470176</v>
      </c>
      <c r="J5671" s="16" t="n">
        <f aca="false">J5667*J5665</f>
        <v>46.2673547424</v>
      </c>
      <c r="K5671" s="16" t="n">
        <f aca="false">K5667*K5665</f>
        <v>45.804681194976</v>
      </c>
    </row>
    <row r="5672" customFormat="false" ht="15" hidden="false" customHeight="false" outlineLevel="0" collapsed="false">
      <c r="A5672" s="5" t="s">
        <v>243</v>
      </c>
      <c r="G5672" s="25" t="n">
        <f aca="false">G5667*'Historical Financials'!E22/'Historical Financials'!E17</f>
        <v>40.4448</v>
      </c>
      <c r="H5672" s="25" t="n">
        <f aca="false">H5667*'Historical Financials'!E22/'Historical Financials'!E17</f>
        <v>35.186976</v>
      </c>
      <c r="I5672" s="25" t="n">
        <f aca="false">I5667*'Historical Financials'!E22/'Historical Financials'!E17</f>
        <v>34.272114624</v>
      </c>
      <c r="J5672" s="25" t="n">
        <f aca="false">J5667*'Historical Financials'!E22/'Historical Financials'!E17</f>
        <v>33.92939347776</v>
      </c>
      <c r="K5672" s="25" t="n">
        <f aca="false">K5667*'Historical Financials'!E22/'Historical Financials'!E17</f>
        <v>33.5900995429824</v>
      </c>
    </row>
    <row r="5673" customFormat="false" ht="15" hidden="false" customHeight="false" outlineLevel="0" collapsed="false">
      <c r="A5673" s="5" t="s">
        <v>244</v>
      </c>
      <c r="G5673" s="25" t="n">
        <f aca="false">G5667*'Historical Financials'!E23/'Historical Financials'!E17</f>
        <v>0</v>
      </c>
      <c r="H5673" s="25" t="n">
        <f aca="false">H5667*'Historical Financials'!E23/'Historical Financials'!E17</f>
        <v>0</v>
      </c>
      <c r="I5673" s="25" t="n">
        <f aca="false">I5667*'Historical Financials'!E23/'Historical Financials'!E17</f>
        <v>0</v>
      </c>
      <c r="J5673" s="25" t="n">
        <f aca="false">J5667*'Historical Financials'!E23/'Historical Financials'!E17</f>
        <v>0</v>
      </c>
      <c r="K5673" s="25" t="n">
        <f aca="false">K5667*'Historical Financials'!E23/'Historical Financials'!E17</f>
        <v>0</v>
      </c>
    </row>
    <row r="5674" customFormat="false" ht="15" hidden="false" customHeight="false" outlineLevel="0" collapsed="false">
      <c r="A5674" s="2" t="s">
        <v>245</v>
      </c>
      <c r="G5674" s="16" t="n">
        <f aca="false">G5671-G5672-G5673</f>
        <v>14.7072</v>
      </c>
      <c r="H5674" s="16" t="n">
        <f aca="false">H5671-H5672-H5673</f>
        <v>12.795264</v>
      </c>
      <c r="I5674" s="16" t="n">
        <f aca="false">I5671-I5672-I5673</f>
        <v>12.462587136</v>
      </c>
      <c r="J5674" s="16" t="n">
        <f aca="false">J5671-J5672-J5673</f>
        <v>12.33796126464</v>
      </c>
      <c r="K5674" s="16" t="n">
        <f aca="false">K5671-K5672-K5673</f>
        <v>12.2145816519936</v>
      </c>
    </row>
    <row r="5675" customFormat="false" ht="15" hidden="false" customHeight="false" outlineLevel="0" collapsed="false">
      <c r="A5675" s="5" t="s">
        <v>246</v>
      </c>
      <c r="G5675" s="25" t="n">
        <f aca="false">G5701+G5714+G5727+G5740</f>
        <v>140.04</v>
      </c>
      <c r="H5675" s="25" t="n">
        <f aca="false">H5701+H5714+H5727+H5740</f>
        <v>139.6703808</v>
      </c>
      <c r="I5675" s="25" t="n">
        <f aca="false">I5701+I5714+I5727+I5740</f>
        <v>137.2224288</v>
      </c>
      <c r="J5675" s="25" t="n">
        <f aca="false">J5701+J5714+J5727+J5740</f>
        <v>136.5568288</v>
      </c>
      <c r="K5675" s="25" t="n">
        <f aca="false">K5701+K5714+K5727+K5740</f>
        <v>135.8912288</v>
      </c>
    </row>
    <row r="5676" customFormat="false" ht="15" hidden="false" customHeight="false" outlineLevel="0" collapsed="false">
      <c r="A5676" s="5" t="s">
        <v>247</v>
      </c>
      <c r="G5676" s="25" t="n">
        <f aca="false">G5702+G5715+G5728+G5741</f>
        <v>0</v>
      </c>
      <c r="H5676" s="25" t="n">
        <f aca="false">H5702+H5715+H5728+H5741</f>
        <v>0</v>
      </c>
      <c r="I5676" s="25" t="n">
        <f aca="false">I5702+I5715+I5728+I5741</f>
        <v>0</v>
      </c>
      <c r="J5676" s="25" t="n">
        <f aca="false">J5702+J5715+J5728+J5741</f>
        <v>0</v>
      </c>
      <c r="K5676" s="25" t="n">
        <f aca="false">K5702+K5715+K5728+K5741</f>
        <v>0</v>
      </c>
    </row>
    <row r="5677" customFormat="false" ht="15" hidden="false" customHeight="false" outlineLevel="0" collapsed="false">
      <c r="A5677" s="5" t="s">
        <v>212</v>
      </c>
      <c r="G5677" s="25" t="n">
        <f aca="false">G5675+G5676</f>
        <v>140.04</v>
      </c>
      <c r="H5677" s="25" t="n">
        <f aca="false">H5675+H5676</f>
        <v>139.6703808</v>
      </c>
      <c r="I5677" s="25" t="n">
        <f aca="false">I5675+I5676</f>
        <v>137.2224288</v>
      </c>
      <c r="J5677" s="25" t="n">
        <f aca="false">J5675+J5676</f>
        <v>136.5568288</v>
      </c>
      <c r="K5677" s="25" t="n">
        <f aca="false">K5675+K5676</f>
        <v>135.8912288</v>
      </c>
    </row>
    <row r="5678" customFormat="false" ht="15" hidden="false" customHeight="false" outlineLevel="0" collapsed="false">
      <c r="A5678" s="2" t="s">
        <v>223</v>
      </c>
      <c r="G5678" s="16" t="n">
        <f aca="false">G5674-G5677</f>
        <v>-125.3328</v>
      </c>
      <c r="H5678" s="16" t="n">
        <f aca="false">H5674-H5677</f>
        <v>-126.8751168</v>
      </c>
      <c r="I5678" s="16" t="n">
        <f aca="false">I5674-I5677</f>
        <v>-124.759841664</v>
      </c>
      <c r="J5678" s="16" t="n">
        <f aca="false">J5674-J5677</f>
        <v>-124.21886753536</v>
      </c>
      <c r="K5678" s="16" t="n">
        <f aca="false">K5674-K5677</f>
        <v>-123.676647148006</v>
      </c>
    </row>
    <row r="5679" customFormat="false" ht="15" hidden="false" customHeight="false" outlineLevel="0" collapsed="false">
      <c r="A5679" s="5" t="s">
        <v>213</v>
      </c>
      <c r="G5679" s="25" t="n">
        <f aca="false">MAX(0,G5678)*Assumptions!$C$9</f>
        <v>0</v>
      </c>
      <c r="H5679" s="25" t="n">
        <f aca="false">MAX(0,H5678)*Assumptions!$C$9</f>
        <v>0</v>
      </c>
      <c r="I5679" s="25" t="n">
        <f aca="false">MAX(0,I5678)*Assumptions!$C$9</f>
        <v>0</v>
      </c>
      <c r="J5679" s="25" t="n">
        <f aca="false">MAX(0,J5678)*Assumptions!$C$9</f>
        <v>0</v>
      </c>
      <c r="K5679" s="25" t="n">
        <f aca="false">MAX(0,K5678)*Assumptions!$C$9</f>
        <v>0</v>
      </c>
    </row>
    <row r="5680" customFormat="false" ht="15" hidden="false" customHeight="false" outlineLevel="0" collapsed="false">
      <c r="A5680" s="2" t="s">
        <v>248</v>
      </c>
      <c r="G5680" s="16" t="n">
        <f aca="false">G5678-G5679</f>
        <v>-125.3328</v>
      </c>
      <c r="H5680" s="16" t="n">
        <f aca="false">H5678-H5679</f>
        <v>-126.8751168</v>
      </c>
      <c r="I5680" s="16" t="n">
        <f aca="false">I5678-I5679</f>
        <v>-124.759841664</v>
      </c>
      <c r="J5680" s="16" t="n">
        <f aca="false">J5678-J5679</f>
        <v>-124.21886753536</v>
      </c>
      <c r="K5680" s="16" t="n">
        <f aca="false">K5678-K5679</f>
        <v>-123.676647148006</v>
      </c>
    </row>
    <row r="5681" customFormat="false" ht="15" hidden="false" customHeight="false" outlineLevel="0" collapsed="false">
      <c r="A5681" s="23" t="s">
        <v>249</v>
      </c>
      <c r="B5681" s="24"/>
      <c r="C5681" s="24"/>
      <c r="D5681" s="24"/>
      <c r="E5681" s="24"/>
      <c r="F5681" s="24"/>
      <c r="G5681" s="24"/>
      <c r="H5681" s="24"/>
      <c r="I5681" s="24"/>
      <c r="J5681" s="24"/>
      <c r="K5681" s="24"/>
    </row>
    <row r="5682" customFormat="false" ht="15" hidden="false" customHeight="false" outlineLevel="0" collapsed="false">
      <c r="A5682" s="5" t="s">
        <v>153</v>
      </c>
      <c r="G5682" s="25" t="n">
        <f aca="false">G5667*CHOOSE($C$5654,Assumptions!$C$69,Assumptions!$C$88,Assumptions!$C$107)</f>
        <v>29.4144</v>
      </c>
      <c r="H5682" s="25" t="n">
        <f aca="false">H5667*CHOOSE($C$5654,Assumptions!$C$69,Assumptions!$C$88,Assumptions!$C$107)</f>
        <v>25.590528</v>
      </c>
      <c r="I5682" s="25" t="n">
        <f aca="false">I5667*CHOOSE($C$5654,Assumptions!$C$69,Assumptions!$C$88,Assumptions!$C$107)</f>
        <v>24.925174272</v>
      </c>
      <c r="J5682" s="25" t="n">
        <f aca="false">J5667*CHOOSE($C$5654,Assumptions!$C$69,Assumptions!$C$88,Assumptions!$C$107)</f>
        <v>24.67592252928</v>
      </c>
      <c r="K5682" s="25" t="n">
        <f aca="false">K5667*CHOOSE($C$5654,Assumptions!$C$69,Assumptions!$C$88,Assumptions!$C$107)</f>
        <v>24.4291633039872</v>
      </c>
    </row>
    <row r="5683" customFormat="false" ht="15" hidden="false" customHeight="false" outlineLevel="0" collapsed="false">
      <c r="A5683" s="5" t="s">
        <v>250</v>
      </c>
      <c r="G5683" s="25" t="n">
        <f aca="false">CHOOSE($C$5654,Assumptions!$C$70,Assumptions!$C$89,Assumptions!$C$108)*(G5667-F5667)+CHOOSE($C$5654,Assumptions!$C$71,Assumptions!$C$90,Assumptions!$C$109)*G5667</f>
        <v>-56.3616</v>
      </c>
      <c r="H5683" s="25" t="n">
        <f aca="false">CHOOSE($C$5654,Assumptions!$C$70,Assumptions!$C$89,Assumptions!$C$108)*(H5667-G5667)+CHOOSE($C$5654,Assumptions!$C$71,Assumptions!$C$90,Assumptions!$C$109)*H5667</f>
        <v>-19.082592</v>
      </c>
      <c r="I5683" s="25" t="n">
        <f aca="false">CHOOSE($C$5654,Assumptions!$C$70,Assumptions!$C$89,Assumptions!$C$108)*(I5667-H5667)+CHOOSE($C$5654,Assumptions!$C$71,Assumptions!$C$90,Assumptions!$C$109)*I5667</f>
        <v>4.35678739199999</v>
      </c>
      <c r="J5683" s="25" t="n">
        <f aca="false">CHOOSE($C$5654,Assumptions!$C$70,Assumptions!$C$89,Assumptions!$C$108)*(J5667-I5667)+CHOOSE($C$5654,Assumptions!$C$71,Assumptions!$C$90,Assumptions!$C$109)*J5667</f>
        <v>7.38408287808</v>
      </c>
      <c r="K5683" s="25" t="n">
        <f aca="false">CHOOSE($C$5654,Assumptions!$C$70,Assumptions!$C$89,Assumptions!$C$108)*(K5667-J5667)+CHOOSE($C$5654,Assumptions!$C$71,Assumptions!$C$90,Assumptions!$C$109)*K5667</f>
        <v>7.3102420492992</v>
      </c>
    </row>
    <row r="5684" customFormat="false" ht="15" hidden="false" customHeight="false" outlineLevel="0" collapsed="false">
      <c r="A5684" s="2" t="s">
        <v>251</v>
      </c>
      <c r="G5684" s="16" t="n">
        <f aca="false">G5680+G5672+G5673+G5676-G5682-G5683</f>
        <v>-57.9408</v>
      </c>
      <c r="H5684" s="16" t="n">
        <f aca="false">H5680+H5672+H5673+H5676-H5682-H5683</f>
        <v>-98.1960768</v>
      </c>
      <c r="I5684" s="16" t="n">
        <f aca="false">I5680+I5672+I5673+I5676-I5682-I5683</f>
        <v>-119.769688704</v>
      </c>
      <c r="J5684" s="16" t="n">
        <f aca="false">J5680+J5672+J5673+J5676-J5682-J5683</f>
        <v>-122.34947946496</v>
      </c>
      <c r="K5684" s="16" t="n">
        <f aca="false">K5680+K5672+K5673+K5676-K5682-K5683</f>
        <v>-121.82595295831</v>
      </c>
    </row>
    <row r="5686" customFormat="false" ht="15" hidden="false" customHeight="false" outlineLevel="0" collapsed="false">
      <c r="A5686" s="23" t="s">
        <v>253</v>
      </c>
      <c r="B5686" s="24"/>
      <c r="C5686" s="24"/>
      <c r="D5686" s="24"/>
      <c r="E5686" s="24"/>
      <c r="F5686" s="24"/>
      <c r="G5686" s="24"/>
      <c r="H5686" s="24"/>
      <c r="I5686" s="24"/>
      <c r="J5686" s="24"/>
      <c r="K5686" s="24"/>
    </row>
    <row r="5687" customFormat="false" ht="15" hidden="false" customHeight="false" outlineLevel="0" collapsed="false">
      <c r="A5687" s="5" t="s">
        <v>254</v>
      </c>
      <c r="G5687" s="29" t="n">
        <f aca="false">Assumptions!$G$49</f>
        <v>0.0425</v>
      </c>
      <c r="H5687" s="29" t="n">
        <f aca="false">Assumptions!$H$49</f>
        <v>0.04</v>
      </c>
      <c r="I5687" s="29" t="n">
        <f aca="false">Assumptions!$I$49</f>
        <v>0.0375</v>
      </c>
      <c r="J5687" s="29" t="n">
        <f aca="false">Assumptions!$J$49</f>
        <v>0.0375</v>
      </c>
      <c r="K5687" s="29" t="n">
        <f aca="false">Assumptions!$K$49</f>
        <v>0.0375</v>
      </c>
    </row>
    <row r="5688" customFormat="false" ht="15" hidden="false" customHeight="false" outlineLevel="0" collapsed="false">
      <c r="A5688" s="5" t="s">
        <v>255</v>
      </c>
      <c r="C5688" s="30" t="n">
        <f aca="false">CHOOSE($C$5654,Assumptions!$C$72,Assumptions!$C$91,Assumptions!$C$110)+$C$5657</f>
        <v>0.03</v>
      </c>
    </row>
    <row r="5689" customFormat="false" ht="15" hidden="false" customHeight="false" outlineLevel="0" collapsed="false">
      <c r="A5689" s="5" t="s">
        <v>256</v>
      </c>
      <c r="C5689" s="30" t="n">
        <f aca="false">CHOOSE($C$5654,Assumptions!$C$73,Assumptions!$C$92,Assumptions!$C$111)</f>
        <v>0.16</v>
      </c>
    </row>
    <row r="5690" customFormat="false" ht="15" hidden="false" customHeight="false" outlineLevel="0" collapsed="false">
      <c r="A5690" s="5" t="s">
        <v>257</v>
      </c>
      <c r="C5690" s="31" t="n">
        <f aca="false">CHOOSE($C$5654,Assumptions!$C$74,Assumptions!$C$93,Assumptions!$C$112)</f>
        <v>5</v>
      </c>
    </row>
    <row r="5691" customFormat="false" ht="15" hidden="false" customHeight="false" outlineLevel="0" collapsed="false">
      <c r="A5691" s="5" t="s">
        <v>258</v>
      </c>
      <c r="C5691" s="31" t="n">
        <f aca="false">CHOOSE($C$5654,Assumptions!$C$75,Assumptions!$C$94,Assumptions!$C$113)</f>
        <v>2</v>
      </c>
    </row>
    <row r="5692" customFormat="false" ht="15" hidden="false" customHeight="false" outlineLevel="0" collapsed="false">
      <c r="A5692" s="5" t="s">
        <v>259</v>
      </c>
      <c r="G5692" s="25" t="n">
        <f aca="false">G5697+G5710+G5723+G5736</f>
        <v>1250</v>
      </c>
      <c r="H5692" s="25" t="n">
        <f aca="false">H5697+H5710+H5723+H5736</f>
        <v>1262.9408</v>
      </c>
      <c r="I5692" s="25" t="n">
        <f aca="false">I5697+I5710+I5723+I5736</f>
        <v>1257.7408</v>
      </c>
      <c r="J5692" s="25" t="n">
        <f aca="false">J5697+J5710+J5723+J5736</f>
        <v>1252.5408</v>
      </c>
      <c r="K5692" s="25" t="n">
        <f aca="false">K5697+K5710+K5723+K5736</f>
        <v>1247.3408</v>
      </c>
    </row>
    <row r="5693" customFormat="false" ht="15" hidden="false" customHeight="false" outlineLevel="0" collapsed="false">
      <c r="A5693" s="5" t="s">
        <v>260</v>
      </c>
      <c r="G5693" s="25" t="n">
        <f aca="false">F5783</f>
        <v>45</v>
      </c>
      <c r="H5693" s="25" t="n">
        <f aca="false">G5783</f>
        <v>0</v>
      </c>
      <c r="I5693" s="25" t="n">
        <f aca="false">H5783</f>
        <v>-103.3960768</v>
      </c>
      <c r="J5693" s="25" t="n">
        <f aca="false">I5783</f>
        <v>-228.365765504</v>
      </c>
      <c r="K5693" s="25" t="n">
        <f aca="false">J5783</f>
        <v>-355.91524496896</v>
      </c>
    </row>
    <row r="5694" customFormat="false" ht="15" hidden="false" customHeight="false" outlineLevel="0" collapsed="false">
      <c r="A5694" s="5" t="s">
        <v>261</v>
      </c>
      <c r="G5694" s="25" t="n">
        <f aca="false">G5697*IF(G5698=1,$C$5689,IF(Assumptions!$I$53=1,MAX(G5687,Assumptions!$G$53)+Assumptions!$F$53+$C$5688,Assumptions!$E$53))+G5710*IF(G5711=1,$C$5689,IF(Assumptions!$I$54=1,MAX(G5687,Assumptions!$G$54)+Assumptions!$F$54+$C$5688,Assumptions!$E$54))+G5723*IF(G5724=1,$C$5689,IF(Assumptions!$I$55=1,MAX(G5687,Assumptions!$G$55)+Assumptions!$F$55+$C$5688,Assumptions!$E$55))+G5736*IF(G5737=1,$C$5689,IF(Assumptions!$I$56=1,MAX(G5687,Assumptions!$G$56)+Assumptions!$F$56+$C$5688,Assumptions!$E$56))</f>
        <v>140.04</v>
      </c>
      <c r="H5694" s="25" t="n">
        <f aca="false">H5697*IF(OR(H5698=1,G5849=1),$C$5689,IF(Assumptions!$I$53=1,MAX(H5687,Assumptions!$G$53)+Assumptions!$F$53+$C$5688,Assumptions!$E$53))+H5710*IF(OR(H5711=1,G5850=1),$C$5689,IF(Assumptions!$I$54=1,MAX(H5687,Assumptions!$G$54)+Assumptions!$F$54+$C$5688,Assumptions!$E$54))+H5723*IF(OR(H5724=1,G5851=1),$C$5689,IF(Assumptions!$I$55=1,MAX(H5687,Assumptions!$G$55)+Assumptions!$F$55+$C$5688,Assumptions!$E$55))+H5736*IF(OR(H5737=1,G5852=1),$C$5689,IF(Assumptions!$I$56=1,MAX(H5687,Assumptions!$G$56)+Assumptions!$F$56+$C$5688,Assumptions!$E$56))</f>
        <v>174.383928</v>
      </c>
      <c r="I5694" s="25" t="n">
        <f aca="false">I5697*IF(OR(I5698=1,H5849=1),$C$5689,IF(Assumptions!$I$53=1,MAX(I5687,Assumptions!$G$53)+Assumptions!$F$53+$C$5688,Assumptions!$E$53))+I5710*IF(OR(I5711=1,H5850=1),$C$5689,IF(Assumptions!$I$54=1,MAX(I5687,Assumptions!$G$54)+Assumptions!$F$54+$C$5688,Assumptions!$E$54))+I5723*IF(OR(I5724=1,H5851=1),$C$5689,IF(Assumptions!$I$55=1,MAX(I5687,Assumptions!$G$55)+Assumptions!$F$55+$C$5688,Assumptions!$E$55))+I5736*IF(OR(I5737=1,H5852=1),$C$5689,IF(Assumptions!$I$56=1,MAX(I5687,Assumptions!$G$56)+Assumptions!$F$56+$C$5688,Assumptions!$E$56))</f>
        <v>153.5296288</v>
      </c>
      <c r="J5694" s="25" t="n">
        <f aca="false">J5697*IF(OR(J5698=1,I5849=1),$C$5689,IF(Assumptions!$I$53=1,MAX(J5687,Assumptions!$G$53)+Assumptions!$F$53+$C$5688,Assumptions!$E$53))+J5710*IF(OR(J5711=1,I5850=1),$C$5689,IF(Assumptions!$I$54=1,MAX(J5687,Assumptions!$G$54)+Assumptions!$F$54+$C$5688,Assumptions!$E$54))+J5723*IF(OR(J5724=1,I5851=1),$C$5689,IF(Assumptions!$I$55=1,MAX(J5687,Assumptions!$G$55)+Assumptions!$F$55+$C$5688,Assumptions!$E$55))+J5736*IF(OR(J5737=1,I5852=1),$C$5689,IF(Assumptions!$I$56=1,MAX(J5687,Assumptions!$G$56)+Assumptions!$F$56+$C$5688,Assumptions!$E$56))</f>
        <v>149.0568288</v>
      </c>
      <c r="K5694" s="25" t="n">
        <f aca="false">K5697*IF(OR(K5698=1,J5849=1),$C$5689,IF(Assumptions!$I$53=1,MAX(K5687,Assumptions!$G$53)+Assumptions!$F$53+$C$5688,Assumptions!$E$53))+K5710*IF(OR(K5711=1,J5850=1),$C$5689,IF(Assumptions!$I$54=1,MAX(K5687,Assumptions!$G$54)+Assumptions!$F$54+$C$5688,Assumptions!$E$54))+K5723*IF(OR(K5724=1,J5851=1),$C$5689,IF(Assumptions!$I$55=1,MAX(K5687,Assumptions!$G$55)+Assumptions!$F$55+$C$5688,Assumptions!$E$55))+K5736*IF(OR(K5737=1,J5852=1),$C$5689,IF(Assumptions!$I$56=1,MAX(K5687,Assumptions!$G$56)+Assumptions!$F$56+$C$5688,Assumptions!$E$56))</f>
        <v>135.8912288</v>
      </c>
    </row>
    <row r="5695" customFormat="false" ht="15" hidden="false" customHeight="false" outlineLevel="0" collapsed="false">
      <c r="A5695" s="5" t="s">
        <v>262</v>
      </c>
      <c r="G5695" s="20" t="n">
        <f aca="false">IF(G5671&lt;=0,0,IF(AND((G5692-G5693)/G5671&lt;=$C$5690,G5671/G5694&gt;=$C$5691),1,0))</f>
        <v>0</v>
      </c>
      <c r="H5695" s="20" t="n">
        <f aca="false">IF(H5671&lt;=0,0,IF(AND((H5692-H5693)/H5671&lt;=$C$5690,H5671/H5694&gt;=$C$5691),1,0))</f>
        <v>0</v>
      </c>
      <c r="I5695" s="20" t="n">
        <f aca="false">IF(I5671&lt;=0,0,IF(AND((I5692-I5693)/I5671&lt;=$C$5690,I5671/I5694&gt;=$C$5691),1,0))</f>
        <v>0</v>
      </c>
      <c r="J5695" s="20" t="n">
        <f aca="false">IF(J5671&lt;=0,0,IF(AND((J5692-J5693)/J5671&lt;=$C$5690,J5671/J5694&gt;=$C$5691),1,0))</f>
        <v>0</v>
      </c>
      <c r="K5695" s="20" t="n">
        <f aca="false">IF(K5671&lt;=0,0,IF(AND((K5692-K5693)/K5671&lt;=$C$5690,K5671/K5694&gt;=$C$5691),1,0))</f>
        <v>0</v>
      </c>
    </row>
    <row r="5696" customFormat="false" ht="15" hidden="false" customHeight="false" outlineLevel="0" collapsed="false">
      <c r="A5696" s="23" t="s">
        <v>263</v>
      </c>
      <c r="B5696" s="24"/>
      <c r="C5696" s="24"/>
      <c r="D5696" s="24"/>
      <c r="E5696" s="24"/>
      <c r="F5696" s="24"/>
      <c r="G5696" s="24"/>
      <c r="H5696" s="24"/>
      <c r="I5696" s="24"/>
      <c r="J5696" s="24"/>
      <c r="K5696" s="24"/>
    </row>
    <row r="5697" customFormat="false" ht="15" hidden="false" customHeight="false" outlineLevel="0" collapsed="false">
      <c r="A5697" s="5" t="s">
        <v>264</v>
      </c>
      <c r="G5697" s="25" t="n">
        <f aca="false">F5708</f>
        <v>180</v>
      </c>
      <c r="H5697" s="25" t="n">
        <f aca="false">G5708</f>
        <v>198.1408</v>
      </c>
      <c r="I5697" s="25" t="n">
        <f aca="false">H5708</f>
        <v>198.1408</v>
      </c>
      <c r="J5697" s="25" t="n">
        <f aca="false">I5708</f>
        <v>198.1408</v>
      </c>
      <c r="K5697" s="25" t="n">
        <f aca="false">J5708</f>
        <v>198.1408</v>
      </c>
    </row>
    <row r="5698" customFormat="false" ht="15" hidden="false" customHeight="false" outlineLevel="0" collapsed="false">
      <c r="A5698" s="5" t="s">
        <v>265</v>
      </c>
      <c r="G5698" s="20" t="n">
        <f aca="false">IF(G5661=Assumptions!$K$53,1,0)</f>
        <v>0</v>
      </c>
      <c r="H5698" s="20" t="n">
        <f aca="false">IF(H5661=Assumptions!$K$53,1,0)</f>
        <v>1</v>
      </c>
      <c r="I5698" s="20" t="n">
        <f aca="false">IF(I5661=Assumptions!$K$53,1,0)</f>
        <v>0</v>
      </c>
      <c r="J5698" s="20" t="n">
        <f aca="false">IF(J5661=Assumptions!$K$53,1,0)</f>
        <v>0</v>
      </c>
      <c r="K5698" s="20" t="n">
        <f aca="false">IF(K5661=Assumptions!$K$53,1,0)</f>
        <v>0</v>
      </c>
    </row>
    <row r="5700" customFormat="false" ht="15" hidden="false" customHeight="false" outlineLevel="0" collapsed="false">
      <c r="A5700" s="5" t="s">
        <v>266</v>
      </c>
      <c r="G5700" s="30" t="n">
        <f aca="false">IF(Assumptions!$I$53=1,MAX(G5687,Assumptions!$G$53)+Assumptions!$F$53+$C$5688,Assumptions!$E$53)</f>
        <v>0.116</v>
      </c>
      <c r="H5700" s="30" t="n">
        <f aca="false">IF(G5849=1,$C$5689,IF(Assumptions!$I$53=1,MAX(H5687,Assumptions!$G$53)+Assumptions!$F$53+$C$5688,Assumptions!$E$53))</f>
        <v>0.1135</v>
      </c>
      <c r="I5700" s="30" t="n">
        <f aca="false">IF(H5849=1,$C$5689,IF(Assumptions!$I$53=1,MAX(I5687,Assumptions!$G$53)+Assumptions!$F$53+$C$5688,Assumptions!$E$53))</f>
        <v>0.111</v>
      </c>
      <c r="J5700" s="30" t="n">
        <f aca="false">IF(I5849=1,$C$5689,IF(Assumptions!$I$53=1,MAX(J5687,Assumptions!$G$53)+Assumptions!$F$53+$C$5688,Assumptions!$E$53))</f>
        <v>0.111</v>
      </c>
      <c r="K5700" s="30" t="n">
        <f aca="false">IF(J5849=1,$C$5689,IF(Assumptions!$I$53=1,MAX(K5687,Assumptions!$G$53)+Assumptions!$F$53+$C$5688,Assumptions!$E$53))</f>
        <v>0.111</v>
      </c>
    </row>
    <row r="5701" customFormat="false" ht="15" hidden="false" customHeight="false" outlineLevel="0" collapsed="false">
      <c r="A5701" s="5" t="s">
        <v>267</v>
      </c>
      <c r="G5701" s="25" t="n">
        <f aca="false">G5697*G5700</f>
        <v>20.88</v>
      </c>
      <c r="H5701" s="25" t="n">
        <f aca="false">H5697*H5700</f>
        <v>22.4889808</v>
      </c>
      <c r="I5701" s="25" t="n">
        <f aca="false">I5697*I5700</f>
        <v>21.9936288</v>
      </c>
      <c r="J5701" s="25" t="n">
        <f aca="false">J5697*J5700</f>
        <v>21.9936288</v>
      </c>
      <c r="K5701" s="25" t="n">
        <f aca="false">K5697*K5700</f>
        <v>21.9936288</v>
      </c>
    </row>
    <row r="5702" customFormat="false" ht="15" hidden="false" customHeight="false" outlineLevel="0" collapsed="false">
      <c r="A5702" s="5" t="s">
        <v>268</v>
      </c>
      <c r="G5702" s="25" t="n">
        <f aca="false">G5697*Assumptions!$H$53</f>
        <v>0</v>
      </c>
      <c r="H5702" s="25" t="n">
        <f aca="false">H5697*Assumptions!$H$53</f>
        <v>0</v>
      </c>
      <c r="I5702" s="25" t="n">
        <f aca="false">I5697*Assumptions!$H$53</f>
        <v>0</v>
      </c>
      <c r="J5702" s="25" t="n">
        <f aca="false">J5697*Assumptions!$H$53</f>
        <v>0</v>
      </c>
      <c r="K5702" s="25" t="n">
        <f aca="false">K5697*Assumptions!$H$53</f>
        <v>0</v>
      </c>
    </row>
    <row r="5703" customFormat="false" ht="15" hidden="false" customHeight="false" outlineLevel="0" collapsed="false">
      <c r="A5703" s="5" t="s">
        <v>269</v>
      </c>
      <c r="G5703" s="25" t="n">
        <f aca="false">MIN(G5697,Assumptions!$L$53*Assumptions!$C$53)</f>
        <v>0</v>
      </c>
      <c r="H5703" s="25" t="n">
        <f aca="false">MIN(H5697,Assumptions!$L$53*Assumptions!$C$53)</f>
        <v>0</v>
      </c>
      <c r="I5703" s="25" t="n">
        <f aca="false">MIN(I5697,Assumptions!$L$53*Assumptions!$C$53)</f>
        <v>0</v>
      </c>
      <c r="J5703" s="25" t="n">
        <f aca="false">MIN(J5697,Assumptions!$L$53*Assumptions!$C$53)</f>
        <v>0</v>
      </c>
      <c r="K5703" s="25" t="n">
        <f aca="false">MIN(K5697,Assumptions!$L$53*Assumptions!$C$53)</f>
        <v>0</v>
      </c>
    </row>
    <row r="5704" customFormat="false" ht="15" hidden="false" customHeight="false" outlineLevel="0" collapsed="false">
      <c r="A5704" s="5" t="s">
        <v>270</v>
      </c>
      <c r="G5704" s="25" t="n">
        <f aca="false">IF(AND(Assumptions!$P$53=1,G5661&lt;Assumptions!$K$53),MIN(MAX(0,-G5775),MAX(0,Assumptions!$D$53-G5697)),0)</f>
        <v>18.1408</v>
      </c>
      <c r="H5704" s="25" t="n">
        <f aca="false">IF(AND(Assumptions!$P$53=1,OR(H5661&lt;Assumptions!$K$53,G5849=1)),MIN(MAX(0,-H5775),MAX(0,Assumptions!$D$53-H5697)),0)</f>
        <v>0</v>
      </c>
      <c r="I5704" s="25" t="n">
        <f aca="false">IF(AND(Assumptions!$P$53=1,OR(I5661&lt;Assumptions!$K$53,H5849=1)),MIN(MAX(0,-I5775),MAX(0,Assumptions!$D$53-I5697)),0)</f>
        <v>0</v>
      </c>
      <c r="J5704" s="25" t="n">
        <f aca="false">IF(AND(Assumptions!$P$53=1,OR(J5661&lt;Assumptions!$K$53,I5849=1)),MIN(MAX(0,-J5775),MAX(0,Assumptions!$D$53-J5697)),0)</f>
        <v>0</v>
      </c>
      <c r="K5704" s="25" t="n">
        <f aca="false">IF(AND(Assumptions!$P$53=1,OR(K5661&lt;Assumptions!$K$53,J5849=1)),MIN(MAX(0,-K5775),MAX(0,Assumptions!$D$53-K5697)),0)</f>
        <v>0</v>
      </c>
    </row>
    <row r="5705" customFormat="false" ht="15" hidden="false" customHeight="false" outlineLevel="0" collapsed="false">
      <c r="A5705" s="5" t="s">
        <v>271</v>
      </c>
      <c r="G5705" s="25" t="n">
        <f aca="false">G5698*MIN(G5697-G5703+G5702,MAX(0,G5777-Assumptions!$C$12*G5695))</f>
        <v>0</v>
      </c>
      <c r="H5705" s="25" t="n">
        <f aca="false">H5698*MIN(H5697-H5703+H5702,MAX(0,H5777-Assumptions!$C$12*H5695))</f>
        <v>0</v>
      </c>
      <c r="I5705" s="25" t="n">
        <f aca="false">I5698*MIN(I5697-I5703+I5702,MAX(0,I5777-Assumptions!$C$12*I5695))</f>
        <v>0</v>
      </c>
      <c r="J5705" s="25" t="n">
        <f aca="false">J5698*MIN(J5697-J5703+J5702,MAX(0,J5777-Assumptions!$C$12*J5695))</f>
        <v>0</v>
      </c>
      <c r="K5705" s="25" t="n">
        <f aca="false">K5698*MIN(K5697-K5703+K5702,MAX(0,K5777-Assumptions!$C$12*K5695))</f>
        <v>0</v>
      </c>
    </row>
    <row r="5706" customFormat="false" ht="15" hidden="false" customHeight="false" outlineLevel="0" collapsed="false">
      <c r="A5706" s="5" t="s">
        <v>272</v>
      </c>
      <c r="G5706" s="25" t="n">
        <f aca="false">Assumptions!$N$53*MIN(G5697+G5704+G5702-G5703-G5705,MAX(0,G5781))</f>
        <v>0</v>
      </c>
      <c r="H5706" s="25" t="n">
        <f aca="false">Assumptions!$N$53*MIN(H5697+H5704+H5702-H5703-H5705,MAX(0,H5781))</f>
        <v>0</v>
      </c>
      <c r="I5706" s="25" t="n">
        <f aca="false">Assumptions!$N$53*MIN(I5697+I5704+I5702-I5703-I5705,MAX(0,I5781))</f>
        <v>0</v>
      </c>
      <c r="J5706" s="25" t="n">
        <f aca="false">Assumptions!$N$53*MIN(J5697+J5704+J5702-J5703-J5705,MAX(0,J5781))</f>
        <v>0</v>
      </c>
      <c r="K5706" s="25" t="n">
        <f aca="false">Assumptions!$N$53*MIN(K5697+K5704+K5702-K5703-K5705,MAX(0,K5781))</f>
        <v>0</v>
      </c>
    </row>
    <row r="5707" customFormat="false" ht="15" hidden="false" customHeight="false" outlineLevel="0" collapsed="false">
      <c r="A5707" s="5" t="s">
        <v>273</v>
      </c>
      <c r="G5707" s="25" t="n">
        <f aca="false">G5698*(1-G5695)*(G5697-G5703+G5702-G5705)</f>
        <v>0</v>
      </c>
      <c r="H5707" s="25" t="n">
        <f aca="false">H5698*(1-H5695)*(H5697-H5703+H5702-H5705)</f>
        <v>198.1408</v>
      </c>
      <c r="I5707" s="25" t="n">
        <f aca="false">I5698*(1-I5695)*(I5697-I5703+I5702-I5705)</f>
        <v>0</v>
      </c>
      <c r="J5707" s="25" t="n">
        <f aca="false">J5698*(1-J5695)*(J5697-J5703+J5702-J5705)</f>
        <v>0</v>
      </c>
      <c r="K5707" s="25" t="n">
        <f aca="false">K5698*(1-K5695)*(K5697-K5703+K5702-K5705)</f>
        <v>0</v>
      </c>
    </row>
    <row r="5708" customFormat="false" ht="15" hidden="false" customHeight="false" outlineLevel="0" collapsed="false">
      <c r="A5708" s="2" t="s">
        <v>274</v>
      </c>
      <c r="F5708" s="27" t="n">
        <f aca="false">Assumptions!$C$53</f>
        <v>180</v>
      </c>
      <c r="G5708" s="16" t="n">
        <f aca="false">G5697+G5704+G5702-G5703-G5705-G5706</f>
        <v>198.1408</v>
      </c>
      <c r="H5708" s="16" t="n">
        <f aca="false">H5697+H5704+H5702-H5703-H5705-H5706</f>
        <v>198.1408</v>
      </c>
      <c r="I5708" s="16" t="n">
        <f aca="false">I5697+I5704+I5702-I5703-I5705-I5706</f>
        <v>198.1408</v>
      </c>
      <c r="J5708" s="16" t="n">
        <f aca="false">J5697+J5704+J5702-J5703-J5705-J5706</f>
        <v>198.1408</v>
      </c>
      <c r="K5708" s="16" t="n">
        <f aca="false">K5697+K5704+K5702-K5703-K5705-K5706</f>
        <v>198.1408</v>
      </c>
    </row>
    <row r="5709" customFormat="false" ht="15" hidden="false" customHeight="false" outlineLevel="0" collapsed="false">
      <c r="A5709" s="23" t="s">
        <v>275</v>
      </c>
      <c r="B5709" s="24"/>
      <c r="C5709" s="24"/>
      <c r="D5709" s="24"/>
      <c r="E5709" s="24"/>
      <c r="F5709" s="24"/>
      <c r="G5709" s="24"/>
      <c r="H5709" s="24"/>
      <c r="I5709" s="24"/>
      <c r="J5709" s="24"/>
      <c r="K5709" s="24"/>
    </row>
    <row r="5710" customFormat="false" ht="15" hidden="false" customHeight="false" outlineLevel="0" collapsed="false">
      <c r="A5710" s="5" t="s">
        <v>264</v>
      </c>
      <c r="G5710" s="25" t="n">
        <f aca="false">F5721</f>
        <v>520</v>
      </c>
      <c r="H5710" s="25" t="n">
        <f aca="false">G5721</f>
        <v>514.8</v>
      </c>
      <c r="I5710" s="25" t="n">
        <f aca="false">H5721</f>
        <v>509.6</v>
      </c>
      <c r="J5710" s="25" t="n">
        <f aca="false">I5721</f>
        <v>504.4</v>
      </c>
      <c r="K5710" s="25" t="n">
        <f aca="false">J5721</f>
        <v>499.2</v>
      </c>
    </row>
    <row r="5711" customFormat="false" ht="15" hidden="false" customHeight="false" outlineLevel="0" collapsed="false">
      <c r="A5711" s="5" t="s">
        <v>265</v>
      </c>
      <c r="G5711" s="20" t="n">
        <f aca="false">IF(G5661=Assumptions!$K$54,1,0)</f>
        <v>0</v>
      </c>
      <c r="H5711" s="20" t="n">
        <f aca="false">IF(H5661=Assumptions!$K$54,1,0)</f>
        <v>0</v>
      </c>
      <c r="I5711" s="20" t="n">
        <f aca="false">IF(I5661=Assumptions!$K$54,1,0)</f>
        <v>1</v>
      </c>
      <c r="J5711" s="20" t="n">
        <f aca="false">IF(J5661=Assumptions!$K$54,1,0)</f>
        <v>0</v>
      </c>
      <c r="K5711" s="20" t="n">
        <f aca="false">IF(K5661=Assumptions!$K$54,1,0)</f>
        <v>0</v>
      </c>
    </row>
    <row r="5713" customFormat="false" ht="15" hidden="false" customHeight="false" outlineLevel="0" collapsed="false">
      <c r="A5713" s="5" t="s">
        <v>266</v>
      </c>
      <c r="G5713" s="30" t="n">
        <f aca="false">IF(Assumptions!$I$54=1,MAX(G5687,Assumptions!$G$54)+Assumptions!$F$54+$C$5688,Assumptions!$E$54)</f>
        <v>0.133</v>
      </c>
      <c r="H5713" s="30" t="n">
        <f aca="false">IF(G5850=1,$C$5689,IF(Assumptions!$I$54=1,MAX(H5687,Assumptions!$G$54)+Assumptions!$F$54+$C$5688,Assumptions!$E$54))</f>
        <v>0.1305</v>
      </c>
      <c r="I5713" s="30" t="n">
        <f aca="false">IF(H5850=1,$C$5689,IF(Assumptions!$I$54=1,MAX(I5687,Assumptions!$G$54)+Assumptions!$F$54+$C$5688,Assumptions!$E$54))</f>
        <v>0.128</v>
      </c>
      <c r="J5713" s="30" t="n">
        <f aca="false">IF(I5850=1,$C$5689,IF(Assumptions!$I$54=1,MAX(J5687,Assumptions!$G$54)+Assumptions!$F$54+$C$5688,Assumptions!$E$54))</f>
        <v>0.128</v>
      </c>
      <c r="K5713" s="30" t="n">
        <f aca="false">IF(J5850=1,$C$5689,IF(Assumptions!$I$54=1,MAX(K5687,Assumptions!$G$54)+Assumptions!$F$54+$C$5688,Assumptions!$E$54))</f>
        <v>0.128</v>
      </c>
    </row>
    <row r="5714" customFormat="false" ht="15" hidden="false" customHeight="false" outlineLevel="0" collapsed="false">
      <c r="A5714" s="5" t="s">
        <v>267</v>
      </c>
      <c r="G5714" s="25" t="n">
        <f aca="false">G5710*G5713</f>
        <v>69.16</v>
      </c>
      <c r="H5714" s="25" t="n">
        <f aca="false">H5710*H5713</f>
        <v>67.1814</v>
      </c>
      <c r="I5714" s="25" t="n">
        <f aca="false">I5710*I5713</f>
        <v>65.2288</v>
      </c>
      <c r="J5714" s="25" t="n">
        <f aca="false">J5710*J5713</f>
        <v>64.5632</v>
      </c>
      <c r="K5714" s="25" t="n">
        <f aca="false">K5710*K5713</f>
        <v>63.8976</v>
      </c>
    </row>
    <row r="5715" customFormat="false" ht="15" hidden="false" customHeight="false" outlineLevel="0" collapsed="false">
      <c r="A5715" s="5" t="s">
        <v>268</v>
      </c>
      <c r="G5715" s="25" t="n">
        <f aca="false">G5710*Assumptions!$H$54</f>
        <v>0</v>
      </c>
      <c r="H5715" s="25" t="n">
        <f aca="false">H5710*Assumptions!$H$54</f>
        <v>0</v>
      </c>
      <c r="I5715" s="25" t="n">
        <f aca="false">I5710*Assumptions!$H$54</f>
        <v>0</v>
      </c>
      <c r="J5715" s="25" t="n">
        <f aca="false">J5710*Assumptions!$H$54</f>
        <v>0</v>
      </c>
      <c r="K5715" s="25" t="n">
        <f aca="false">K5710*Assumptions!$H$54</f>
        <v>0</v>
      </c>
    </row>
    <row r="5716" customFormat="false" ht="15" hidden="false" customHeight="false" outlineLevel="0" collapsed="false">
      <c r="A5716" s="5" t="s">
        <v>269</v>
      </c>
      <c r="G5716" s="25" t="n">
        <f aca="false">MIN(G5710,Assumptions!$L$54*Assumptions!$C$54)</f>
        <v>5.2</v>
      </c>
      <c r="H5716" s="25" t="n">
        <f aca="false">MIN(H5710,Assumptions!$L$54*Assumptions!$C$54)</f>
        <v>5.2</v>
      </c>
      <c r="I5716" s="25" t="n">
        <f aca="false">MIN(I5710,Assumptions!$L$54*Assumptions!$C$54)</f>
        <v>5.2</v>
      </c>
      <c r="J5716" s="25" t="n">
        <f aca="false">MIN(J5710,Assumptions!$L$54*Assumptions!$C$54)</f>
        <v>5.2</v>
      </c>
      <c r="K5716" s="25" t="n">
        <f aca="false">MIN(K5710,Assumptions!$L$54*Assumptions!$C$54)</f>
        <v>5.2</v>
      </c>
    </row>
    <row r="5717" customFormat="false" ht="15" hidden="false" customHeight="false" outlineLevel="0" collapsed="false">
      <c r="A5717" s="5" t="s">
        <v>270</v>
      </c>
      <c r="G5717" s="25" t="n">
        <f aca="false">IF(AND(Assumptions!$P$54=1,G5661&lt;Assumptions!$K$54),MIN(MAX(0,-G5775),MAX(0,Assumptions!$D$54-G5710)),0)</f>
        <v>0</v>
      </c>
      <c r="H5717" s="25" t="n">
        <f aca="false">IF(AND(Assumptions!$P$54=1,OR(H5661&lt;Assumptions!$K$54,G5850=1)),MIN(MAX(0,-H5775),MAX(0,Assumptions!$D$54-H5710)),0)</f>
        <v>0</v>
      </c>
      <c r="I5717" s="25" t="n">
        <f aca="false">IF(AND(Assumptions!$P$54=1,OR(I5661&lt;Assumptions!$K$54,H5850=1)),MIN(MAX(0,-I5775),MAX(0,Assumptions!$D$54-I5710)),0)</f>
        <v>0</v>
      </c>
      <c r="J5717" s="25" t="n">
        <f aca="false">IF(AND(Assumptions!$P$54=1,OR(J5661&lt;Assumptions!$K$54,I5850=1)),MIN(MAX(0,-J5775),MAX(0,Assumptions!$D$54-J5710)),0)</f>
        <v>0</v>
      </c>
      <c r="K5717" s="25" t="n">
        <f aca="false">IF(AND(Assumptions!$P$54=1,OR(K5661&lt;Assumptions!$K$54,J5850=1)),MIN(MAX(0,-K5775),MAX(0,Assumptions!$D$54-K5710)),0)</f>
        <v>0</v>
      </c>
    </row>
    <row r="5718" customFormat="false" ht="15" hidden="false" customHeight="false" outlineLevel="0" collapsed="false">
      <c r="A5718" s="5" t="s">
        <v>271</v>
      </c>
      <c r="G5718" s="25" t="n">
        <f aca="false">G5711*MIN(G5710-G5716+G5715,MAX(0,G5777-Assumptions!$C$12*G5695-G5705))</f>
        <v>0</v>
      </c>
      <c r="H5718" s="25" t="n">
        <f aca="false">H5711*MIN(H5710-H5716+H5715,MAX(0,H5777-Assumptions!$C$12*H5695-H5705))</f>
        <v>0</v>
      </c>
      <c r="I5718" s="25" t="n">
        <f aca="false">I5711*MIN(I5710-I5716+I5715,MAX(0,I5777-Assumptions!$C$12*I5695-I5705))</f>
        <v>0</v>
      </c>
      <c r="J5718" s="25" t="n">
        <f aca="false">J5711*MIN(J5710-J5716+J5715,MAX(0,J5777-Assumptions!$C$12*J5695-J5705))</f>
        <v>0</v>
      </c>
      <c r="K5718" s="25" t="n">
        <f aca="false">K5711*MIN(K5710-K5716+K5715,MAX(0,K5777-Assumptions!$C$12*K5695-K5705))</f>
        <v>0</v>
      </c>
    </row>
    <row r="5719" customFormat="false" ht="15" hidden="false" customHeight="false" outlineLevel="0" collapsed="false">
      <c r="A5719" s="5" t="s">
        <v>272</v>
      </c>
      <c r="G5719" s="25" t="n">
        <f aca="false">Assumptions!$N$54*MIN(G5710+G5717+G5715-G5716-G5718,MAX(0,G5781-G5706))</f>
        <v>0</v>
      </c>
      <c r="H5719" s="25" t="n">
        <f aca="false">Assumptions!$N$54*MIN(H5710+H5717+H5715-H5716-H5718,MAX(0,H5781-H5706))</f>
        <v>0</v>
      </c>
      <c r="I5719" s="25" t="n">
        <f aca="false">Assumptions!$N$54*MIN(I5710+I5717+I5715-I5716-I5718,MAX(0,I5781-I5706))</f>
        <v>0</v>
      </c>
      <c r="J5719" s="25" t="n">
        <f aca="false">Assumptions!$N$54*MIN(J5710+J5717+J5715-J5716-J5718,MAX(0,J5781-J5706))</f>
        <v>0</v>
      </c>
      <c r="K5719" s="25" t="n">
        <f aca="false">Assumptions!$N$54*MIN(K5710+K5717+K5715-K5716-K5718,MAX(0,K5781-K5706))</f>
        <v>0</v>
      </c>
    </row>
    <row r="5720" customFormat="false" ht="15" hidden="false" customHeight="false" outlineLevel="0" collapsed="false">
      <c r="A5720" s="5" t="s">
        <v>273</v>
      </c>
      <c r="G5720" s="25" t="n">
        <f aca="false">G5711*(1-G5695)*(G5710-G5716+G5715-G5718)</f>
        <v>0</v>
      </c>
      <c r="H5720" s="25" t="n">
        <f aca="false">H5711*(1-H5695)*(H5710-H5716+H5715-H5718)</f>
        <v>0</v>
      </c>
      <c r="I5720" s="25" t="n">
        <f aca="false">I5711*(1-I5695)*(I5710-I5716+I5715-I5718)</f>
        <v>504.4</v>
      </c>
      <c r="J5720" s="25" t="n">
        <f aca="false">J5711*(1-J5695)*(J5710-J5716+J5715-J5718)</f>
        <v>0</v>
      </c>
      <c r="K5720" s="25" t="n">
        <f aca="false">K5711*(1-K5695)*(K5710-K5716+K5715-K5718)</f>
        <v>0</v>
      </c>
    </row>
    <row r="5721" customFormat="false" ht="15" hidden="false" customHeight="false" outlineLevel="0" collapsed="false">
      <c r="A5721" s="2" t="s">
        <v>274</v>
      </c>
      <c r="F5721" s="27" t="n">
        <f aca="false">Assumptions!$C$54</f>
        <v>520</v>
      </c>
      <c r="G5721" s="16" t="n">
        <f aca="false">G5710+G5717+G5715-G5716-G5718-G5719</f>
        <v>514.8</v>
      </c>
      <c r="H5721" s="16" t="n">
        <f aca="false">H5710+H5717+H5715-H5716-H5718-H5719</f>
        <v>509.6</v>
      </c>
      <c r="I5721" s="16" t="n">
        <f aca="false">I5710+I5717+I5715-I5716-I5718-I5719</f>
        <v>504.4</v>
      </c>
      <c r="J5721" s="16" t="n">
        <f aca="false">J5710+J5717+J5715-J5716-J5718-J5719</f>
        <v>499.2</v>
      </c>
      <c r="K5721" s="16" t="n">
        <f aca="false">K5710+K5717+K5715-K5716-K5718-K5719</f>
        <v>494</v>
      </c>
    </row>
    <row r="5722" customFormat="false" ht="15" hidden="false" customHeight="false" outlineLevel="0" collapsed="false">
      <c r="A5722" s="23" t="s">
        <v>276</v>
      </c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</row>
    <row r="5723" customFormat="false" ht="15" hidden="false" customHeight="false" outlineLevel="0" collapsed="false">
      <c r="A5723" s="5" t="s">
        <v>264</v>
      </c>
      <c r="G5723" s="25" t="n">
        <f aca="false">F5734</f>
        <v>250</v>
      </c>
      <c r="H5723" s="25" t="n">
        <f aca="false">G5734</f>
        <v>250</v>
      </c>
      <c r="I5723" s="25" t="n">
        <f aca="false">H5734</f>
        <v>250</v>
      </c>
      <c r="J5723" s="25" t="n">
        <f aca="false">I5734</f>
        <v>250</v>
      </c>
      <c r="K5723" s="25" t="n">
        <f aca="false">J5734</f>
        <v>250</v>
      </c>
    </row>
    <row r="5724" customFormat="false" ht="15" hidden="false" customHeight="false" outlineLevel="0" collapsed="false">
      <c r="A5724" s="5" t="s">
        <v>265</v>
      </c>
      <c r="G5724" s="20" t="n">
        <f aca="false">IF(G5661=Assumptions!$K$55,1,0)</f>
        <v>0</v>
      </c>
      <c r="H5724" s="20" t="n">
        <f aca="false">IF(H5661=Assumptions!$K$55,1,0)</f>
        <v>0</v>
      </c>
      <c r="I5724" s="20" t="n">
        <f aca="false">IF(I5661=Assumptions!$K$55,1,0)</f>
        <v>0</v>
      </c>
      <c r="J5724" s="20" t="n">
        <f aca="false">IF(J5661=Assumptions!$K$55,1,0)</f>
        <v>1</v>
      </c>
      <c r="K5724" s="20" t="n">
        <f aca="false">IF(K5661=Assumptions!$K$55,1,0)</f>
        <v>0</v>
      </c>
    </row>
    <row r="5726" customFormat="false" ht="15" hidden="false" customHeight="false" outlineLevel="0" collapsed="false">
      <c r="A5726" s="5" t="s">
        <v>266</v>
      </c>
      <c r="G5726" s="30" t="n">
        <f aca="false">IF(Assumptions!$I$55=1,MAX(G5687,Assumptions!$G$55)+Assumptions!$F$55+$C$5688,Assumptions!$E$55)</f>
        <v>0.11</v>
      </c>
      <c r="H5726" s="30" t="n">
        <f aca="false">IF(G5851=1,$C$5689,IF(Assumptions!$I$55=1,MAX(H5687,Assumptions!$G$55)+Assumptions!$F$55+$C$5688,Assumptions!$E$55))</f>
        <v>0.11</v>
      </c>
      <c r="I5726" s="30" t="n">
        <f aca="false">IF(H5851=1,$C$5689,IF(Assumptions!$I$55=1,MAX(I5687,Assumptions!$G$55)+Assumptions!$F$55+$C$5688,Assumptions!$E$55))</f>
        <v>0.11</v>
      </c>
      <c r="J5726" s="30" t="n">
        <f aca="false">IF(I5851=1,$C$5689,IF(Assumptions!$I$55=1,MAX(J5687,Assumptions!$G$55)+Assumptions!$F$55+$C$5688,Assumptions!$E$55))</f>
        <v>0.11</v>
      </c>
      <c r="K5726" s="30" t="n">
        <f aca="false">IF(J5851=1,$C$5689,IF(Assumptions!$I$55=1,MAX(K5687,Assumptions!$G$55)+Assumptions!$F$55+$C$5688,Assumptions!$E$55))</f>
        <v>0.11</v>
      </c>
    </row>
    <row r="5727" customFormat="false" ht="15" hidden="false" customHeight="false" outlineLevel="0" collapsed="false">
      <c r="A5727" s="5" t="s">
        <v>267</v>
      </c>
      <c r="G5727" s="25" t="n">
        <f aca="false">G5723*G5726</f>
        <v>27.5</v>
      </c>
      <c r="H5727" s="25" t="n">
        <f aca="false">H5723*H5726</f>
        <v>27.5</v>
      </c>
      <c r="I5727" s="25" t="n">
        <f aca="false">I5723*I5726</f>
        <v>27.5</v>
      </c>
      <c r="J5727" s="25" t="n">
        <f aca="false">J5723*J5726</f>
        <v>27.5</v>
      </c>
      <c r="K5727" s="25" t="n">
        <f aca="false">K5723*K5726</f>
        <v>27.5</v>
      </c>
    </row>
    <row r="5728" customFormat="false" ht="15" hidden="false" customHeight="false" outlineLevel="0" collapsed="false">
      <c r="A5728" s="5" t="s">
        <v>268</v>
      </c>
      <c r="G5728" s="25" t="n">
        <f aca="false">G5723*Assumptions!$H$55</f>
        <v>0</v>
      </c>
      <c r="H5728" s="25" t="n">
        <f aca="false">H5723*Assumptions!$H$55</f>
        <v>0</v>
      </c>
      <c r="I5728" s="25" t="n">
        <f aca="false">I5723*Assumptions!$H$55</f>
        <v>0</v>
      </c>
      <c r="J5728" s="25" t="n">
        <f aca="false">J5723*Assumptions!$H$55</f>
        <v>0</v>
      </c>
      <c r="K5728" s="25" t="n">
        <f aca="false">K5723*Assumptions!$H$55</f>
        <v>0</v>
      </c>
    </row>
    <row r="5729" customFormat="false" ht="15" hidden="false" customHeight="false" outlineLevel="0" collapsed="false">
      <c r="A5729" s="5" t="s">
        <v>269</v>
      </c>
      <c r="G5729" s="25" t="n">
        <f aca="false">MIN(G5723,Assumptions!$L$55*Assumptions!$C$55)</f>
        <v>0</v>
      </c>
      <c r="H5729" s="25" t="n">
        <f aca="false">MIN(H5723,Assumptions!$L$55*Assumptions!$C$55)</f>
        <v>0</v>
      </c>
      <c r="I5729" s="25" t="n">
        <f aca="false">MIN(I5723,Assumptions!$L$55*Assumptions!$C$55)</f>
        <v>0</v>
      </c>
      <c r="J5729" s="25" t="n">
        <f aca="false">MIN(J5723,Assumptions!$L$55*Assumptions!$C$55)</f>
        <v>0</v>
      </c>
      <c r="K5729" s="25" t="n">
        <f aca="false">MIN(K5723,Assumptions!$L$55*Assumptions!$C$55)</f>
        <v>0</v>
      </c>
    </row>
    <row r="5730" customFormat="false" ht="15" hidden="false" customHeight="false" outlineLevel="0" collapsed="false">
      <c r="A5730" s="5" t="s">
        <v>270</v>
      </c>
      <c r="G5730" s="25" t="n">
        <f aca="false">IF(AND(Assumptions!$P$55=1,G5661&lt;Assumptions!$K$55),MIN(MAX(0,-G5775),MAX(0,Assumptions!$D$55-G5723)),0)</f>
        <v>0</v>
      </c>
      <c r="H5730" s="25" t="n">
        <f aca="false">IF(AND(Assumptions!$P$55=1,OR(H5661&lt;Assumptions!$K$55,G5851=1)),MIN(MAX(0,-H5775),MAX(0,Assumptions!$D$55-H5723)),0)</f>
        <v>0</v>
      </c>
      <c r="I5730" s="25" t="n">
        <f aca="false">IF(AND(Assumptions!$P$55=1,OR(I5661&lt;Assumptions!$K$55,H5851=1)),MIN(MAX(0,-I5775),MAX(0,Assumptions!$D$55-I5723)),0)</f>
        <v>0</v>
      </c>
      <c r="J5730" s="25" t="n">
        <f aca="false">IF(AND(Assumptions!$P$55=1,OR(J5661&lt;Assumptions!$K$55,I5851=1)),MIN(MAX(0,-J5775),MAX(0,Assumptions!$D$55-J5723)),0)</f>
        <v>0</v>
      </c>
      <c r="K5730" s="25" t="n">
        <f aca="false">IF(AND(Assumptions!$P$55=1,OR(K5661&lt;Assumptions!$K$55,J5851=1)),MIN(MAX(0,-K5775),MAX(0,Assumptions!$D$55-K5723)),0)</f>
        <v>0</v>
      </c>
    </row>
    <row r="5731" customFormat="false" ht="15" hidden="false" customHeight="false" outlineLevel="0" collapsed="false">
      <c r="A5731" s="5" t="s">
        <v>271</v>
      </c>
      <c r="G5731" s="25" t="n">
        <f aca="false">G5724*MIN(G5723-G5729+G5728,MAX(0,G5777-Assumptions!$C$12*G5695-G5705-G5718))</f>
        <v>0</v>
      </c>
      <c r="H5731" s="25" t="n">
        <f aca="false">H5724*MIN(H5723-H5729+H5728,MAX(0,H5777-Assumptions!$C$12*H5695-H5705-H5718))</f>
        <v>0</v>
      </c>
      <c r="I5731" s="25" t="n">
        <f aca="false">I5724*MIN(I5723-I5729+I5728,MAX(0,I5777-Assumptions!$C$12*I5695-I5705-I5718))</f>
        <v>0</v>
      </c>
      <c r="J5731" s="25" t="n">
        <f aca="false">J5724*MIN(J5723-J5729+J5728,MAX(0,J5777-Assumptions!$C$12*J5695-J5705-J5718))</f>
        <v>0</v>
      </c>
      <c r="K5731" s="25" t="n">
        <f aca="false">K5724*MIN(K5723-K5729+K5728,MAX(0,K5777-Assumptions!$C$12*K5695-K5705-K5718))</f>
        <v>0</v>
      </c>
    </row>
    <row r="5732" customFormat="false" ht="15" hidden="false" customHeight="false" outlineLevel="0" collapsed="false">
      <c r="A5732" s="5" t="s">
        <v>272</v>
      </c>
      <c r="G5732" s="25" t="n">
        <f aca="false">Assumptions!$N$55*MIN(G5723+G5730+G5728-G5729-G5731,MAX(0,G5781-G5706-G5719))</f>
        <v>0</v>
      </c>
      <c r="H5732" s="25" t="n">
        <f aca="false">Assumptions!$N$55*MIN(H5723+H5730+H5728-H5729-H5731,MAX(0,H5781-H5706-H5719))</f>
        <v>0</v>
      </c>
      <c r="I5732" s="25" t="n">
        <f aca="false">Assumptions!$N$55*MIN(I5723+I5730+I5728-I5729-I5731,MAX(0,I5781-I5706-I5719))</f>
        <v>0</v>
      </c>
      <c r="J5732" s="25" t="n">
        <f aca="false">Assumptions!$N$55*MIN(J5723+J5730+J5728-J5729-J5731,MAX(0,J5781-J5706-J5719))</f>
        <v>0</v>
      </c>
      <c r="K5732" s="25" t="n">
        <f aca="false">Assumptions!$N$55*MIN(K5723+K5730+K5728-K5729-K5731,MAX(0,K5781-K5706-K5719))</f>
        <v>0</v>
      </c>
    </row>
    <row r="5733" customFormat="false" ht="15" hidden="false" customHeight="false" outlineLevel="0" collapsed="false">
      <c r="A5733" s="5" t="s">
        <v>273</v>
      </c>
      <c r="G5733" s="25" t="n">
        <f aca="false">G5724*(1-G5695)*(G5723-G5729+G5728-G5731)</f>
        <v>0</v>
      </c>
      <c r="H5733" s="25" t="n">
        <f aca="false">H5724*(1-H5695)*(H5723-H5729+H5728-H5731)</f>
        <v>0</v>
      </c>
      <c r="I5733" s="25" t="n">
        <f aca="false">I5724*(1-I5695)*(I5723-I5729+I5728-I5731)</f>
        <v>0</v>
      </c>
      <c r="J5733" s="25" t="n">
        <f aca="false">J5724*(1-J5695)*(J5723-J5729+J5728-J5731)</f>
        <v>250</v>
      </c>
      <c r="K5733" s="25" t="n">
        <f aca="false">K5724*(1-K5695)*(K5723-K5729+K5728-K5731)</f>
        <v>0</v>
      </c>
    </row>
    <row r="5734" customFormat="false" ht="15" hidden="false" customHeight="false" outlineLevel="0" collapsed="false">
      <c r="A5734" s="2" t="s">
        <v>274</v>
      </c>
      <c r="F5734" s="27" t="n">
        <f aca="false">Assumptions!$C$55</f>
        <v>250</v>
      </c>
      <c r="G5734" s="16" t="n">
        <f aca="false">G5723+G5730+G5728-G5729-G5731-G5732</f>
        <v>250</v>
      </c>
      <c r="H5734" s="16" t="n">
        <f aca="false">H5723+H5730+H5728-H5729-H5731-H5732</f>
        <v>250</v>
      </c>
      <c r="I5734" s="16" t="n">
        <f aca="false">I5723+I5730+I5728-I5729-I5731-I5732</f>
        <v>250</v>
      </c>
      <c r="J5734" s="16" t="n">
        <f aca="false">J5723+J5730+J5728-J5729-J5731-J5732</f>
        <v>250</v>
      </c>
      <c r="K5734" s="16" t="n">
        <f aca="false">K5723+K5730+K5728-K5729-K5731-K5732</f>
        <v>250</v>
      </c>
    </row>
    <row r="5735" customFormat="false" ht="15" hidden="false" customHeight="false" outlineLevel="0" collapsed="false">
      <c r="A5735" s="23" t="s">
        <v>277</v>
      </c>
      <c r="B5735" s="24"/>
      <c r="C5735" s="24"/>
      <c r="D5735" s="24"/>
      <c r="E5735" s="24"/>
      <c r="F5735" s="24"/>
      <c r="G5735" s="24"/>
      <c r="H5735" s="24"/>
      <c r="I5735" s="24"/>
      <c r="J5735" s="24"/>
      <c r="K5735" s="24"/>
    </row>
    <row r="5736" customFormat="false" ht="15" hidden="false" customHeight="false" outlineLevel="0" collapsed="false">
      <c r="A5736" s="5" t="s">
        <v>264</v>
      </c>
      <c r="G5736" s="25" t="n">
        <f aca="false">F5747</f>
        <v>300</v>
      </c>
      <c r="H5736" s="25" t="n">
        <f aca="false">G5747</f>
        <v>300</v>
      </c>
      <c r="I5736" s="25" t="n">
        <f aca="false">H5747</f>
        <v>300</v>
      </c>
      <c r="J5736" s="25" t="n">
        <f aca="false">I5747</f>
        <v>300</v>
      </c>
      <c r="K5736" s="25" t="n">
        <f aca="false">J5747</f>
        <v>300</v>
      </c>
    </row>
    <row r="5737" customFormat="false" ht="15" hidden="false" customHeight="false" outlineLevel="0" collapsed="false">
      <c r="A5737" s="5" t="s">
        <v>265</v>
      </c>
      <c r="G5737" s="20" t="n">
        <f aca="false">IF(G5661=Assumptions!$K$56,1,0)</f>
        <v>0</v>
      </c>
      <c r="H5737" s="20" t="n">
        <f aca="false">IF(H5661=Assumptions!$K$56,1,0)</f>
        <v>1</v>
      </c>
      <c r="I5737" s="20" t="n">
        <f aca="false">IF(I5661=Assumptions!$K$56,1,0)</f>
        <v>0</v>
      </c>
      <c r="J5737" s="20" t="n">
        <f aca="false">IF(J5661=Assumptions!$K$56,1,0)</f>
        <v>0</v>
      </c>
      <c r="K5737" s="20" t="n">
        <f aca="false">IF(K5661=Assumptions!$K$56,1,0)</f>
        <v>0</v>
      </c>
    </row>
    <row r="5739" customFormat="false" ht="15" hidden="false" customHeight="false" outlineLevel="0" collapsed="false">
      <c r="A5739" s="5" t="s">
        <v>266</v>
      </c>
      <c r="G5739" s="30" t="n">
        <f aca="false">IF(Assumptions!$I$56=1,MAX(G5687,Assumptions!$G$56)+Assumptions!$F$56+$C$5688,Assumptions!$E$56)</f>
        <v>0.075</v>
      </c>
      <c r="H5739" s="30" t="n">
        <f aca="false">IF(G5852=1,$C$5689,IF(Assumptions!$I$56=1,MAX(H5687,Assumptions!$G$56)+Assumptions!$F$56+$C$5688,Assumptions!$E$56))</f>
        <v>0.075</v>
      </c>
      <c r="I5739" s="30" t="n">
        <f aca="false">IF(H5852=1,$C$5689,IF(Assumptions!$I$56=1,MAX(I5687,Assumptions!$G$56)+Assumptions!$F$56+$C$5688,Assumptions!$E$56))</f>
        <v>0.075</v>
      </c>
      <c r="J5739" s="30" t="n">
        <f aca="false">IF(I5852=1,$C$5689,IF(Assumptions!$I$56=1,MAX(J5687,Assumptions!$G$56)+Assumptions!$F$56+$C$5688,Assumptions!$E$56))</f>
        <v>0.075</v>
      </c>
      <c r="K5739" s="30" t="n">
        <f aca="false">IF(J5852=1,$C$5689,IF(Assumptions!$I$56=1,MAX(K5687,Assumptions!$G$56)+Assumptions!$F$56+$C$5688,Assumptions!$E$56))</f>
        <v>0.075</v>
      </c>
    </row>
    <row r="5740" customFormat="false" ht="15" hidden="false" customHeight="false" outlineLevel="0" collapsed="false">
      <c r="A5740" s="5" t="s">
        <v>267</v>
      </c>
      <c r="G5740" s="25" t="n">
        <f aca="false">G5736*G5739</f>
        <v>22.5</v>
      </c>
      <c r="H5740" s="25" t="n">
        <f aca="false">H5736*H5739</f>
        <v>22.5</v>
      </c>
      <c r="I5740" s="25" t="n">
        <f aca="false">I5736*I5739</f>
        <v>22.5</v>
      </c>
      <c r="J5740" s="25" t="n">
        <f aca="false">J5736*J5739</f>
        <v>22.5</v>
      </c>
      <c r="K5740" s="25" t="n">
        <f aca="false">K5736*K5739</f>
        <v>22.5</v>
      </c>
    </row>
    <row r="5741" customFormat="false" ht="15" hidden="false" customHeight="false" outlineLevel="0" collapsed="false">
      <c r="A5741" s="5" t="s">
        <v>268</v>
      </c>
      <c r="G5741" s="25" t="n">
        <f aca="false">G5736*Assumptions!$H$56</f>
        <v>0</v>
      </c>
      <c r="H5741" s="25" t="n">
        <f aca="false">H5736*Assumptions!$H$56</f>
        <v>0</v>
      </c>
      <c r="I5741" s="25" t="n">
        <f aca="false">I5736*Assumptions!$H$56</f>
        <v>0</v>
      </c>
      <c r="J5741" s="25" t="n">
        <f aca="false">J5736*Assumptions!$H$56</f>
        <v>0</v>
      </c>
      <c r="K5741" s="25" t="n">
        <f aca="false">K5736*Assumptions!$H$56</f>
        <v>0</v>
      </c>
    </row>
    <row r="5742" customFormat="false" ht="15" hidden="false" customHeight="false" outlineLevel="0" collapsed="false">
      <c r="A5742" s="5" t="s">
        <v>269</v>
      </c>
      <c r="G5742" s="25" t="n">
        <f aca="false">MIN(G5736,Assumptions!$L$56*Assumptions!$C$56)</f>
        <v>0</v>
      </c>
      <c r="H5742" s="25" t="n">
        <f aca="false">MIN(H5736,Assumptions!$L$56*Assumptions!$C$56)</f>
        <v>0</v>
      </c>
      <c r="I5742" s="25" t="n">
        <f aca="false">MIN(I5736,Assumptions!$L$56*Assumptions!$C$56)</f>
        <v>0</v>
      </c>
      <c r="J5742" s="25" t="n">
        <f aca="false">MIN(J5736,Assumptions!$L$56*Assumptions!$C$56)</f>
        <v>0</v>
      </c>
      <c r="K5742" s="25" t="n">
        <f aca="false">MIN(K5736,Assumptions!$L$56*Assumptions!$C$56)</f>
        <v>0</v>
      </c>
    </row>
    <row r="5743" customFormat="false" ht="15" hidden="false" customHeight="false" outlineLevel="0" collapsed="false">
      <c r="A5743" s="5" t="s">
        <v>270</v>
      </c>
      <c r="G5743" s="25" t="n">
        <f aca="false">IF(AND(Assumptions!$P$56=1,G5661&lt;Assumptions!$K$56),MIN(MAX(0,-G5775),MAX(0,Assumptions!$D$56-G5736)),0)</f>
        <v>0</v>
      </c>
      <c r="H5743" s="25" t="n">
        <f aca="false">IF(AND(Assumptions!$P$56=1,OR(H5661&lt;Assumptions!$K$56,G5852=1)),MIN(MAX(0,-H5775),MAX(0,Assumptions!$D$56-H5736)),0)</f>
        <v>0</v>
      </c>
      <c r="I5743" s="25" t="n">
        <f aca="false">IF(AND(Assumptions!$P$56=1,OR(I5661&lt;Assumptions!$K$56,H5852=1)),MIN(MAX(0,-I5775),MAX(0,Assumptions!$D$56-I5736)),0)</f>
        <v>0</v>
      </c>
      <c r="J5743" s="25" t="n">
        <f aca="false">IF(AND(Assumptions!$P$56=1,OR(J5661&lt;Assumptions!$K$56,I5852=1)),MIN(MAX(0,-J5775),MAX(0,Assumptions!$D$56-J5736)),0)</f>
        <v>0</v>
      </c>
      <c r="K5743" s="25" t="n">
        <f aca="false">IF(AND(Assumptions!$P$56=1,OR(K5661&lt;Assumptions!$K$56,J5852=1)),MIN(MAX(0,-K5775),MAX(0,Assumptions!$D$56-K5736)),0)</f>
        <v>0</v>
      </c>
    </row>
    <row r="5744" customFormat="false" ht="15" hidden="false" customHeight="false" outlineLevel="0" collapsed="false">
      <c r="A5744" s="5" t="s">
        <v>271</v>
      </c>
      <c r="G5744" s="25" t="n">
        <f aca="false">G5737*MIN(G5736-G5742+G5741,MAX(0,G5777-Assumptions!$C$12*G5695-G5705-G5718-G5731))</f>
        <v>0</v>
      </c>
      <c r="H5744" s="25" t="n">
        <f aca="false">H5737*MIN(H5736-H5742+H5741,MAX(0,H5777-Assumptions!$C$12*H5695-H5705-H5718-H5731))</f>
        <v>0</v>
      </c>
      <c r="I5744" s="25" t="n">
        <f aca="false">I5737*MIN(I5736-I5742+I5741,MAX(0,I5777-Assumptions!$C$12*I5695-I5705-I5718-I5731))</f>
        <v>0</v>
      </c>
      <c r="J5744" s="25" t="n">
        <f aca="false">J5737*MIN(J5736-J5742+J5741,MAX(0,J5777-Assumptions!$C$12*J5695-J5705-J5718-J5731))</f>
        <v>0</v>
      </c>
      <c r="K5744" s="25" t="n">
        <f aca="false">K5737*MIN(K5736-K5742+K5741,MAX(0,K5777-Assumptions!$C$12*K5695-K5705-K5718-K5731))</f>
        <v>0</v>
      </c>
    </row>
    <row r="5745" customFormat="false" ht="15" hidden="false" customHeight="false" outlineLevel="0" collapsed="false">
      <c r="A5745" s="5" t="s">
        <v>272</v>
      </c>
      <c r="G5745" s="25" t="n">
        <f aca="false">Assumptions!$N$56*MIN(G5736+G5743+G5741-G5742-G5744,MAX(0,G5781-G5706-G5719-G5732))</f>
        <v>0</v>
      </c>
      <c r="H5745" s="25" t="n">
        <f aca="false">Assumptions!$N$56*MIN(H5736+H5743+H5741-H5742-H5744,MAX(0,H5781-H5706-H5719-H5732))</f>
        <v>0</v>
      </c>
      <c r="I5745" s="25" t="n">
        <f aca="false">Assumptions!$N$56*MIN(I5736+I5743+I5741-I5742-I5744,MAX(0,I5781-I5706-I5719-I5732))</f>
        <v>0</v>
      </c>
      <c r="J5745" s="25" t="n">
        <f aca="false">Assumptions!$N$56*MIN(J5736+J5743+J5741-J5742-J5744,MAX(0,J5781-J5706-J5719-J5732))</f>
        <v>0</v>
      </c>
      <c r="K5745" s="25" t="n">
        <f aca="false">Assumptions!$N$56*MIN(K5736+K5743+K5741-K5742-K5744,MAX(0,K5781-K5706-K5719-K5732))</f>
        <v>0</v>
      </c>
    </row>
    <row r="5746" customFormat="false" ht="15" hidden="false" customHeight="false" outlineLevel="0" collapsed="false">
      <c r="A5746" s="5" t="s">
        <v>273</v>
      </c>
      <c r="G5746" s="25" t="n">
        <f aca="false">G5737*(1-G5695)*(G5736-G5742+G5741-G5744)</f>
        <v>0</v>
      </c>
      <c r="H5746" s="25" t="n">
        <f aca="false">H5737*(1-H5695)*(H5736-H5742+H5741-H5744)</f>
        <v>300</v>
      </c>
      <c r="I5746" s="25" t="n">
        <f aca="false">I5737*(1-I5695)*(I5736-I5742+I5741-I5744)</f>
        <v>0</v>
      </c>
      <c r="J5746" s="25" t="n">
        <f aca="false">J5737*(1-J5695)*(J5736-J5742+J5741-J5744)</f>
        <v>0</v>
      </c>
      <c r="K5746" s="25" t="n">
        <f aca="false">K5737*(1-K5695)*(K5736-K5742+K5741-K5744)</f>
        <v>0</v>
      </c>
    </row>
    <row r="5747" customFormat="false" ht="15" hidden="false" customHeight="false" outlineLevel="0" collapsed="false">
      <c r="A5747" s="2" t="s">
        <v>274</v>
      </c>
      <c r="F5747" s="27" t="n">
        <f aca="false">Assumptions!$C$56</f>
        <v>300</v>
      </c>
      <c r="G5747" s="16" t="n">
        <f aca="false">G5736+G5743+G5741-G5742-G5744-G5745</f>
        <v>300</v>
      </c>
      <c r="H5747" s="16" t="n">
        <f aca="false">H5736+H5743+H5741-H5742-H5744-H5745</f>
        <v>300</v>
      </c>
      <c r="I5747" s="16" t="n">
        <f aca="false">I5736+I5743+I5741-I5742-I5744-I5745</f>
        <v>300</v>
      </c>
      <c r="J5747" s="16" t="n">
        <f aca="false">J5736+J5743+J5741-J5742-J5744-J5745</f>
        <v>300</v>
      </c>
      <c r="K5747" s="16" t="n">
        <f aca="false">K5736+K5743+K5741-K5742-K5744-K5745</f>
        <v>300</v>
      </c>
    </row>
    <row r="5748" customFormat="false" ht="15" hidden="false" customHeight="false" outlineLevel="0" collapsed="false">
      <c r="A5748" s="23" t="s">
        <v>278</v>
      </c>
      <c r="B5748" s="24"/>
      <c r="C5748" s="24"/>
      <c r="D5748" s="24"/>
      <c r="E5748" s="24"/>
      <c r="F5748" s="24"/>
      <c r="G5748" s="24"/>
      <c r="H5748" s="24"/>
      <c r="I5748" s="24"/>
      <c r="J5748" s="24"/>
      <c r="K5748" s="24"/>
    </row>
    <row r="5749" customFormat="false" ht="15" hidden="false" customHeight="false" outlineLevel="0" collapsed="false">
      <c r="A5749" s="2" t="s">
        <v>279</v>
      </c>
      <c r="F5749" s="16" t="n">
        <f aca="false">F5708+F5721+F5734+F5747</f>
        <v>1250</v>
      </c>
      <c r="G5749" s="16" t="n">
        <f aca="false">G5708+G5721+G5734+G5747</f>
        <v>1262.9408</v>
      </c>
      <c r="H5749" s="16" t="n">
        <f aca="false">H5708+H5721+H5734+H5747</f>
        <v>1257.7408</v>
      </c>
      <c r="I5749" s="16" t="n">
        <f aca="false">I5708+I5721+I5734+I5747</f>
        <v>1252.5408</v>
      </c>
      <c r="J5749" s="16" t="n">
        <f aca="false">J5708+J5721+J5734+J5747</f>
        <v>1247.3408</v>
      </c>
      <c r="K5749" s="16" t="n">
        <f aca="false">K5708+K5721+K5734+K5747</f>
        <v>1242.1408</v>
      </c>
    </row>
    <row r="5750" customFormat="false" ht="15" hidden="false" customHeight="false" outlineLevel="0" collapsed="false">
      <c r="A5750" s="5" t="s">
        <v>280</v>
      </c>
      <c r="G5750" s="25" t="n">
        <f aca="false">G5698*Assumptions!$C$53+G5711*Assumptions!$C$54+G5724*Assumptions!$C$55+G5737*Assumptions!$C$56</f>
        <v>0</v>
      </c>
      <c r="H5750" s="25" t="n">
        <f aca="false">H5698*Assumptions!$C$53+H5711*Assumptions!$C$54+H5724*Assumptions!$C$55+H5737*Assumptions!$C$56</f>
        <v>480</v>
      </c>
      <c r="I5750" s="25" t="n">
        <f aca="false">I5698*Assumptions!$C$53+I5711*Assumptions!$C$54+I5724*Assumptions!$C$55+I5737*Assumptions!$C$56</f>
        <v>520</v>
      </c>
      <c r="J5750" s="25" t="n">
        <f aca="false">J5698*Assumptions!$C$53+J5711*Assumptions!$C$54+J5724*Assumptions!$C$55+J5737*Assumptions!$C$56</f>
        <v>250</v>
      </c>
      <c r="K5750" s="25" t="n">
        <f aca="false">K5698*Assumptions!$C$53+K5711*Assumptions!$C$54+K5724*Assumptions!$C$55+K5737*Assumptions!$C$56</f>
        <v>0</v>
      </c>
    </row>
    <row r="5751" customFormat="false" ht="15" hidden="false" customHeight="false" outlineLevel="0" collapsed="false">
      <c r="A5751" s="23" t="s">
        <v>281</v>
      </c>
      <c r="B5751" s="24"/>
      <c r="C5751" s="24"/>
      <c r="D5751" s="24"/>
      <c r="E5751" s="24"/>
      <c r="F5751" s="24"/>
      <c r="G5751" s="24"/>
      <c r="H5751" s="24"/>
      <c r="I5751" s="24"/>
      <c r="J5751" s="24"/>
      <c r="K5751" s="24"/>
    </row>
    <row r="5752" customFormat="false" ht="15" hidden="false" customHeight="false" outlineLevel="0" collapsed="false">
      <c r="A5752" s="5" t="s">
        <v>282</v>
      </c>
      <c r="C5752" s="25" t="n">
        <f aca="false">SUMPRODUCT($G$5698:$K$5698,$G$5697:$K$5697-$G$5703:$K$5703+$G$5702:$K$5702)</f>
        <v>198.1408</v>
      </c>
    </row>
    <row r="5753" customFormat="false" ht="15" hidden="false" customHeight="false" outlineLevel="0" collapsed="false">
      <c r="A5753" s="5" t="s">
        <v>283</v>
      </c>
      <c r="C5753" s="25" t="n">
        <f aca="false">SUMPRODUCT($G$5698:$K$5698,$G$5705:$K$5705)</f>
        <v>0</v>
      </c>
    </row>
    <row r="5754" customFormat="false" ht="15" hidden="false" customHeight="false" outlineLevel="0" collapsed="false">
      <c r="A5754" s="5" t="s">
        <v>284</v>
      </c>
      <c r="C5754" s="5" t="str">
        <f aca="false">IF(SUM($G$5698:$K$5698)=0,"n/a (beyond horizon)",IF(SUMPRODUCT($G$5698:$K$5698,$G$5695:$K$5695)&gt;0,"REFINANCING PASS","REFINANCING FAILURE"))</f>
        <v>REFINANCING FAILURE</v>
      </c>
    </row>
    <row r="5755" customFormat="false" ht="15" hidden="false" customHeight="false" outlineLevel="0" collapsed="false">
      <c r="A5755" s="5" t="s">
        <v>285</v>
      </c>
      <c r="C5755" s="5" t="str">
        <f aca="false">IF(SUM($G$5698:$K$5698)=0,"n/a",IF(C5753&gt;=C5752-0.001,"Repaid from cash",IF(SUMPRODUCT($G$5698:$K$5698,$G$5695:$K$5695)&gt;0,IF(C5753&gt;0,"Partly repaid; remainder refinanced","Refinanced"),IF(SUM($G$5707:$K$5707)&gt;0.001,IF(C5753&gt;0,"Partial repayment; PAYMENT DEFAULT","PAYMENT DEFAULT"),"Repaid from cash"))))</f>
        <v>PAYMENT DEFAULT</v>
      </c>
    </row>
    <row r="5756" customFormat="false" ht="15" hidden="false" customHeight="false" outlineLevel="0" collapsed="false">
      <c r="A5756" s="5" t="s">
        <v>286</v>
      </c>
      <c r="C5756" s="25" t="n">
        <f aca="false">SUMPRODUCT($G$5711:$K$5711,$G$5710:$K$5710-$G$5716:$K$5716+$G$5715:$K$5715)</f>
        <v>504.4</v>
      </c>
    </row>
    <row r="5757" customFormat="false" ht="15" hidden="false" customHeight="false" outlineLevel="0" collapsed="false">
      <c r="A5757" s="5" t="s">
        <v>287</v>
      </c>
      <c r="C5757" s="25" t="n">
        <f aca="false">SUMPRODUCT($G$5711:$K$5711,$G$5718:$K$5718)</f>
        <v>0</v>
      </c>
    </row>
    <row r="5758" customFormat="false" ht="15" hidden="false" customHeight="false" outlineLevel="0" collapsed="false">
      <c r="A5758" s="5" t="s">
        <v>288</v>
      </c>
      <c r="C5758" s="5" t="str">
        <f aca="false">IF(SUM($G$5711:$K$5711)=0,"n/a (beyond horizon)",IF(SUMPRODUCT($G$5711:$K$5711,$G$5695:$K$5695)&gt;0,"REFINANCING PASS","REFINANCING FAILURE"))</f>
        <v>REFINANCING FAILURE</v>
      </c>
    </row>
    <row r="5759" customFormat="false" ht="15" hidden="false" customHeight="false" outlineLevel="0" collapsed="false">
      <c r="A5759" s="5" t="s">
        <v>289</v>
      </c>
      <c r="C5759" s="5" t="str">
        <f aca="false">IF(SUM($G$5711:$K$5711)=0,"n/a",IF(C5757&gt;=C5756-0.001,"Repaid from cash",IF(SUMPRODUCT($G$5711:$K$5711,$G$5695:$K$5695)&gt;0,IF(C5757&gt;0,"Partly repaid; remainder refinanced","Refinanced"),IF(SUM($G$5720:$K$5720)&gt;0.001,IF(C5757&gt;0,"Partial repayment; PAYMENT DEFAULT","PAYMENT DEFAULT"),"Repaid from cash"))))</f>
        <v>PAYMENT DEFAULT</v>
      </c>
    </row>
    <row r="5760" customFormat="false" ht="15" hidden="false" customHeight="false" outlineLevel="0" collapsed="false">
      <c r="A5760" s="5" t="s">
        <v>290</v>
      </c>
      <c r="C5760" s="25" t="n">
        <f aca="false">SUMPRODUCT($G$5724:$K$5724,$G$5723:$K$5723-$G$5729:$K$5729+$G$5728:$K$5728)</f>
        <v>250</v>
      </c>
    </row>
    <row r="5761" customFormat="false" ht="15" hidden="false" customHeight="false" outlineLevel="0" collapsed="false">
      <c r="A5761" s="5" t="s">
        <v>291</v>
      </c>
      <c r="C5761" s="25" t="n">
        <f aca="false">SUMPRODUCT($G$5724:$K$5724,$G$5731:$K$5731)</f>
        <v>0</v>
      </c>
    </row>
    <row r="5762" customFormat="false" ht="15" hidden="false" customHeight="false" outlineLevel="0" collapsed="false">
      <c r="A5762" s="5" t="s">
        <v>292</v>
      </c>
      <c r="C5762" s="5" t="str">
        <f aca="false">IF(SUM($G$5724:$K$5724)=0,"n/a (beyond horizon)",IF(SUMPRODUCT($G$5724:$K$5724,$G$5695:$K$5695)&gt;0,"REFINANCING PASS","REFINANCING FAILURE"))</f>
        <v>REFINANCING FAILURE</v>
      </c>
    </row>
    <row r="5763" customFormat="false" ht="15" hidden="false" customHeight="false" outlineLevel="0" collapsed="false">
      <c r="A5763" s="5" t="s">
        <v>293</v>
      </c>
      <c r="C5763" s="5" t="str">
        <f aca="false">IF(SUM($G$5724:$K$5724)=0,"n/a",IF(C5761&gt;=C5760-0.001,"Repaid from cash",IF(SUMPRODUCT($G$5724:$K$5724,$G$5695:$K$5695)&gt;0,IF(C5761&gt;0,"Partly repaid; remainder refinanced","Refinanced"),IF(SUM($G$5733:$K$5733)&gt;0.001,IF(C5761&gt;0,"Partial repayment; PAYMENT DEFAULT","PAYMENT DEFAULT"),"Repaid from cash"))))</f>
        <v>PAYMENT DEFAULT</v>
      </c>
    </row>
    <row r="5764" customFormat="false" ht="15" hidden="false" customHeight="false" outlineLevel="0" collapsed="false">
      <c r="A5764" s="5" t="s">
        <v>294</v>
      </c>
      <c r="C5764" s="25" t="n">
        <f aca="false">SUMPRODUCT($G$5737:$K$5737,$G$5736:$K$5736-$G$5742:$K$5742+$G$5741:$K$5741)</f>
        <v>300</v>
      </c>
    </row>
    <row r="5765" customFormat="false" ht="15" hidden="false" customHeight="false" outlineLevel="0" collapsed="false">
      <c r="A5765" s="5" t="s">
        <v>295</v>
      </c>
      <c r="C5765" s="25" t="n">
        <f aca="false">SUMPRODUCT($G$5737:$K$5737,$G$5744:$K$5744)</f>
        <v>0</v>
      </c>
    </row>
    <row r="5766" customFormat="false" ht="15" hidden="false" customHeight="false" outlineLevel="0" collapsed="false">
      <c r="A5766" s="5" t="s">
        <v>296</v>
      </c>
      <c r="C5766" s="5" t="str">
        <f aca="false">IF(SUM($G$5737:$K$5737)=0,"n/a (beyond horizon)",IF(SUMPRODUCT($G$5737:$K$5737,$G$5695:$K$5695)&gt;0,"REFINANCING PASS","REFINANCING FAILURE"))</f>
        <v>REFINANCING FAILURE</v>
      </c>
    </row>
    <row r="5767" customFormat="false" ht="15" hidden="false" customHeight="false" outlineLevel="0" collapsed="false">
      <c r="A5767" s="5" t="s">
        <v>297</v>
      </c>
      <c r="C5767" s="5" t="str">
        <f aca="false">IF(SUM($G$5737:$K$5737)=0,"n/a",IF(C5765&gt;=C5764-0.001,"Repaid from cash",IF(SUMPRODUCT($G$5737:$K$5737,$G$5695:$K$5695)&gt;0,IF(C5765&gt;0,"Partly repaid; remainder refinanced","Refinanced"),IF(SUM($G$5746:$K$5746)&gt;0.001,IF(C5765&gt;0,"Partial repayment; PAYMENT DEFAULT","PAYMENT DEFAULT"),"Repaid from cash"))))</f>
        <v>PAYMENT DEFAULT</v>
      </c>
    </row>
    <row r="5768" customFormat="false" ht="15" hidden="false" customHeight="false" outlineLevel="0" collapsed="false">
      <c r="A5768" s="5" t="s">
        <v>298</v>
      </c>
      <c r="C5768" s="20" t="n">
        <f aca="false">IF(C5754="REFINANCING FAILURE",1,0)+IF(C5758="REFINANCING FAILURE",1,0)+IF(C5762="REFINANCING FAILURE",1,0)+IF(C5766="REFINANCING FAILURE",1,0)</f>
        <v>4</v>
      </c>
    </row>
    <row r="5770" customFormat="false" ht="15" hidden="false" customHeight="false" outlineLevel="0" collapsed="false">
      <c r="A5770" s="23" t="s">
        <v>300</v>
      </c>
      <c r="B5770" s="24"/>
      <c r="C5770" s="24"/>
      <c r="D5770" s="24"/>
      <c r="E5770" s="24"/>
      <c r="F5770" s="24"/>
      <c r="G5770" s="24"/>
      <c r="H5770" s="24"/>
      <c r="I5770" s="24"/>
      <c r="J5770" s="24"/>
      <c r="K5770" s="24"/>
    </row>
    <row r="5771" customFormat="false" ht="15" hidden="false" customHeight="false" outlineLevel="0" collapsed="false">
      <c r="A5771" s="5" t="s">
        <v>260</v>
      </c>
      <c r="G5771" s="25" t="n">
        <f aca="false">F5783</f>
        <v>45</v>
      </c>
      <c r="H5771" s="25" t="n">
        <f aca="false">G5783</f>
        <v>0</v>
      </c>
      <c r="I5771" s="25" t="n">
        <f aca="false">H5783</f>
        <v>-103.3960768</v>
      </c>
      <c r="J5771" s="25" t="n">
        <f aca="false">I5783</f>
        <v>-228.365765504</v>
      </c>
      <c r="K5771" s="25" t="n">
        <f aca="false">J5783</f>
        <v>-355.91524496896</v>
      </c>
    </row>
    <row r="5772" customFormat="false" ht="15" hidden="false" customHeight="false" outlineLevel="0" collapsed="false">
      <c r="A5772" s="5" t="s">
        <v>301</v>
      </c>
      <c r="G5772" s="25" t="n">
        <f aca="false">G5684</f>
        <v>-57.9408</v>
      </c>
      <c r="H5772" s="25" t="n">
        <f aca="false">H5684</f>
        <v>-98.1960768</v>
      </c>
      <c r="I5772" s="25" t="n">
        <f aca="false">I5684</f>
        <v>-119.769688704</v>
      </c>
      <c r="J5772" s="25" t="n">
        <f aca="false">J5684</f>
        <v>-122.34947946496</v>
      </c>
      <c r="K5772" s="25" t="n">
        <f aca="false">K5684</f>
        <v>-121.82595295831</v>
      </c>
    </row>
    <row r="5773" customFormat="false" ht="15" hidden="false" customHeight="false" outlineLevel="0" collapsed="false">
      <c r="A5773" s="5" t="s">
        <v>302</v>
      </c>
      <c r="G5773" s="25" t="n">
        <f aca="false">CHOOSE($C$5654,Assumptions!$G$68,Assumptions!$G$87,Assumptions!$G$106)</f>
        <v>0</v>
      </c>
      <c r="H5773" s="25" t="n">
        <f aca="false">CHOOSE($C$5654,Assumptions!$H$68,Assumptions!$H$87,Assumptions!$H$106)</f>
        <v>0</v>
      </c>
      <c r="I5773" s="25" t="n">
        <f aca="false">CHOOSE($C$5654,Assumptions!$I$68,Assumptions!$I$87,Assumptions!$I$106)</f>
        <v>0</v>
      </c>
      <c r="J5773" s="25" t="n">
        <f aca="false">CHOOSE($C$5654,Assumptions!$J$68,Assumptions!$J$87,Assumptions!$J$106)</f>
        <v>0</v>
      </c>
      <c r="K5773" s="25" t="n">
        <f aca="false">CHOOSE($C$5654,Assumptions!$K$68,Assumptions!$K$87,Assumptions!$K$106)</f>
        <v>0</v>
      </c>
    </row>
    <row r="5774" customFormat="false" ht="15" hidden="false" customHeight="false" outlineLevel="0" collapsed="false">
      <c r="A5774" s="5" t="s">
        <v>303</v>
      </c>
      <c r="G5774" s="25" t="n">
        <f aca="false">G5703+G5716+G5729+G5742</f>
        <v>5.2</v>
      </c>
      <c r="H5774" s="25" t="n">
        <f aca="false">H5703+H5716+H5729+H5742</f>
        <v>5.2</v>
      </c>
      <c r="I5774" s="25" t="n">
        <f aca="false">I5703+I5716+I5729+I5742</f>
        <v>5.2</v>
      </c>
      <c r="J5774" s="25" t="n">
        <f aca="false">J5703+J5716+J5729+J5742</f>
        <v>5.2</v>
      </c>
      <c r="K5774" s="25" t="n">
        <f aca="false">K5703+K5716+K5729+K5742</f>
        <v>5.2</v>
      </c>
    </row>
    <row r="5775" customFormat="false" ht="15" hidden="false" customHeight="false" outlineLevel="0" collapsed="false">
      <c r="A5775" s="2" t="s">
        <v>304</v>
      </c>
      <c r="G5775" s="16" t="n">
        <f aca="false">G5771+G5772+G5773-G5774</f>
        <v>-18.1408</v>
      </c>
      <c r="H5775" s="16" t="n">
        <f aca="false">H5771+H5772+H5773-H5774</f>
        <v>-103.3960768</v>
      </c>
      <c r="I5775" s="16" t="n">
        <f aca="false">I5771+I5772+I5773-I5774</f>
        <v>-228.365765504</v>
      </c>
      <c r="J5775" s="16" t="n">
        <f aca="false">J5771+J5772+J5773-J5774</f>
        <v>-355.91524496896</v>
      </c>
      <c r="K5775" s="16" t="n">
        <f aca="false">K5771+K5772+K5773-K5774</f>
        <v>-482.94119792727</v>
      </c>
    </row>
    <row r="5776" customFormat="false" ht="15" hidden="false" customHeight="false" outlineLevel="0" collapsed="false">
      <c r="A5776" s="5" t="s">
        <v>305</v>
      </c>
      <c r="G5776" s="25" t="n">
        <f aca="false">G5704+G5717+G5730+G5743</f>
        <v>18.1408</v>
      </c>
      <c r="H5776" s="25" t="n">
        <f aca="false">H5704+H5717+H5730+H5743</f>
        <v>0</v>
      </c>
      <c r="I5776" s="25" t="n">
        <f aca="false">I5704+I5717+I5730+I5743</f>
        <v>0</v>
      </c>
      <c r="J5776" s="25" t="n">
        <f aca="false">J5704+J5717+J5730+J5743</f>
        <v>0</v>
      </c>
      <c r="K5776" s="25" t="n">
        <f aca="false">K5704+K5717+K5730+K5743</f>
        <v>0</v>
      </c>
    </row>
    <row r="5777" customFormat="false" ht="15" hidden="false" customHeight="false" outlineLevel="0" collapsed="false">
      <c r="A5777" s="2" t="s">
        <v>306</v>
      </c>
      <c r="G5777" s="16" t="n">
        <f aca="false">G5775+G5776</f>
        <v>0</v>
      </c>
      <c r="H5777" s="16" t="n">
        <f aca="false">H5775+H5776</f>
        <v>-103.3960768</v>
      </c>
      <c r="I5777" s="16" t="n">
        <f aca="false">I5775+I5776</f>
        <v>-228.365765504</v>
      </c>
      <c r="J5777" s="16" t="n">
        <f aca="false">J5775+J5776</f>
        <v>-355.91524496896</v>
      </c>
      <c r="K5777" s="16" t="n">
        <f aca="false">K5775+K5776</f>
        <v>-482.94119792727</v>
      </c>
    </row>
    <row r="5778" customFormat="false" ht="15" hidden="false" customHeight="false" outlineLevel="0" collapsed="false">
      <c r="A5778" s="5" t="s">
        <v>307</v>
      </c>
      <c r="G5778" s="25" t="n">
        <f aca="false">G5705+G5718+G5731+G5744</f>
        <v>0</v>
      </c>
      <c r="H5778" s="25" t="n">
        <f aca="false">H5705+H5718+H5731+H5744</f>
        <v>0</v>
      </c>
      <c r="I5778" s="25" t="n">
        <f aca="false">I5705+I5718+I5731+I5744</f>
        <v>0</v>
      </c>
      <c r="J5778" s="25" t="n">
        <f aca="false">J5705+J5718+J5731+J5744</f>
        <v>0</v>
      </c>
      <c r="K5778" s="25" t="n">
        <f aca="false">K5705+K5718+K5731+K5744</f>
        <v>0</v>
      </c>
    </row>
    <row r="5779" customFormat="false" ht="15" hidden="false" customHeight="false" outlineLevel="0" collapsed="false">
      <c r="A5779" s="2" t="s">
        <v>308</v>
      </c>
      <c r="G5779" s="16" t="n">
        <f aca="false">G5777-G5778</f>
        <v>0</v>
      </c>
      <c r="H5779" s="16" t="n">
        <f aca="false">H5777-H5778</f>
        <v>-103.3960768</v>
      </c>
      <c r="I5779" s="16" t="n">
        <f aca="false">I5777-I5778</f>
        <v>-228.365765504</v>
      </c>
      <c r="J5779" s="16" t="n">
        <f aca="false">J5777-J5778</f>
        <v>-355.91524496896</v>
      </c>
      <c r="K5779" s="16" t="n">
        <f aca="false">K5777-K5778</f>
        <v>-482.94119792727</v>
      </c>
    </row>
    <row r="5780" customFormat="false" ht="15" hidden="false" customHeight="false" outlineLevel="0" collapsed="false">
      <c r="A5780" s="5" t="s">
        <v>309</v>
      </c>
      <c r="G5780" s="25" t="n">
        <f aca="false">MAX(0,-G5779)</f>
        <v>-0</v>
      </c>
      <c r="H5780" s="25" t="n">
        <f aca="false">MAX(0,-H5779)</f>
        <v>103.3960768</v>
      </c>
      <c r="I5780" s="25" t="n">
        <f aca="false">MAX(0,-I5779)</f>
        <v>228.365765504</v>
      </c>
      <c r="J5780" s="25" t="n">
        <f aca="false">MAX(0,-J5779)</f>
        <v>355.91524496896</v>
      </c>
      <c r="K5780" s="25" t="n">
        <f aca="false">MAX(0,-K5779)</f>
        <v>482.94119792727</v>
      </c>
    </row>
    <row r="5781" customFormat="false" ht="15" hidden="false" customHeight="false" outlineLevel="0" collapsed="false">
      <c r="A5781" s="5" t="s">
        <v>310</v>
      </c>
      <c r="G5781" s="25" t="n">
        <f aca="false">MAX(0,G5779-Assumptions!$C$12)*Assumptions!$C$13</f>
        <v>0</v>
      </c>
      <c r="H5781" s="25" t="n">
        <f aca="false">MAX(0,H5779-Assumptions!$C$12)*Assumptions!$C$13</f>
        <v>0</v>
      </c>
      <c r="I5781" s="25" t="n">
        <f aca="false">MAX(0,I5779-Assumptions!$C$12)*Assumptions!$C$13</f>
        <v>0</v>
      </c>
      <c r="J5781" s="25" t="n">
        <f aca="false">MAX(0,J5779-Assumptions!$C$12)*Assumptions!$C$13</f>
        <v>0</v>
      </c>
      <c r="K5781" s="25" t="n">
        <f aca="false">MAX(0,K5779-Assumptions!$C$12)*Assumptions!$C$13</f>
        <v>0</v>
      </c>
    </row>
    <row r="5782" customFormat="false" ht="15" hidden="false" customHeight="false" outlineLevel="0" collapsed="false">
      <c r="A5782" s="5" t="s">
        <v>311</v>
      </c>
      <c r="G5782" s="25" t="n">
        <f aca="false">G5706+G5719+G5732+G5745</f>
        <v>0</v>
      </c>
      <c r="H5782" s="25" t="n">
        <f aca="false">H5706+H5719+H5732+H5745</f>
        <v>0</v>
      </c>
      <c r="I5782" s="25" t="n">
        <f aca="false">I5706+I5719+I5732+I5745</f>
        <v>0</v>
      </c>
      <c r="J5782" s="25" t="n">
        <f aca="false">J5706+J5719+J5732+J5745</f>
        <v>0</v>
      </c>
      <c r="K5782" s="25" t="n">
        <f aca="false">K5706+K5719+K5732+K5745</f>
        <v>0</v>
      </c>
    </row>
    <row r="5783" customFormat="false" ht="15" hidden="false" customHeight="false" outlineLevel="0" collapsed="false">
      <c r="A5783" s="2" t="s">
        <v>312</v>
      </c>
      <c r="F5783" s="27" t="n">
        <f aca="false">Assumptions!$C$11</f>
        <v>45</v>
      </c>
      <c r="G5783" s="16" t="n">
        <f aca="false">G5779-G5782</f>
        <v>0</v>
      </c>
      <c r="H5783" s="16" t="n">
        <f aca="false">H5779-H5782</f>
        <v>-103.3960768</v>
      </c>
      <c r="I5783" s="16" t="n">
        <f aca="false">I5779-I5782</f>
        <v>-228.365765504</v>
      </c>
      <c r="J5783" s="16" t="n">
        <f aca="false">J5779-J5782</f>
        <v>-355.91524496896</v>
      </c>
      <c r="K5783" s="16" t="n">
        <f aca="false">K5779-K5782</f>
        <v>-482.94119792727</v>
      </c>
    </row>
    <row r="5784" customFormat="false" ht="15" hidden="false" customHeight="false" outlineLevel="0" collapsed="false">
      <c r="A5784" s="5" t="s">
        <v>313</v>
      </c>
      <c r="G5784" s="25" t="n">
        <f aca="false">G5707+G5720+G5733+G5746</f>
        <v>0</v>
      </c>
      <c r="H5784" s="25" t="n">
        <f aca="false">H5707+H5720+H5733+H5746</f>
        <v>498.1408</v>
      </c>
      <c r="I5784" s="25" t="n">
        <f aca="false">I5707+I5720+I5733+I5746</f>
        <v>504.4</v>
      </c>
      <c r="J5784" s="25" t="n">
        <f aca="false">J5707+J5720+J5733+J5746</f>
        <v>250</v>
      </c>
      <c r="K5784" s="25" t="n">
        <f aca="false">K5707+K5720+K5733+K5746</f>
        <v>0</v>
      </c>
    </row>
    <row r="5785" customFormat="false" ht="15" hidden="false" customHeight="false" outlineLevel="0" collapsed="false">
      <c r="A5785" s="5" t="s">
        <v>314</v>
      </c>
      <c r="G5785" s="20" t="n">
        <f aca="false">IF(OR(G5780&gt;0.001,G5784&gt;0.001),1,0)</f>
        <v>0</v>
      </c>
      <c r="H5785" s="20" t="n">
        <f aca="false">IF(OR(H5780&gt;0.001,H5784&gt;0.001),1,0)</f>
        <v>1</v>
      </c>
      <c r="I5785" s="20" t="n">
        <f aca="false">IF(OR(I5780&gt;0.001,I5784&gt;0.001),1,0)</f>
        <v>1</v>
      </c>
      <c r="J5785" s="20" t="n">
        <f aca="false">IF(OR(J5780&gt;0.001,J5784&gt;0.001),1,0)</f>
        <v>1</v>
      </c>
      <c r="K5785" s="20" t="n">
        <f aca="false">IF(OR(K5780&gt;0.001,K5784&gt;0.001),1,0)</f>
        <v>1</v>
      </c>
    </row>
    <row r="5786" customFormat="false" ht="15" hidden="false" customHeight="false" outlineLevel="0" collapsed="false">
      <c r="A5786" s="5" t="s">
        <v>315</v>
      </c>
      <c r="G5786" s="20" t="n">
        <f aca="false">IF(G5785=1,1,0)</f>
        <v>0</v>
      </c>
      <c r="H5786" s="20" t="n">
        <f aca="false">IF(AND(H5785=1,SUM($G$5785:G5785)=0),1,0)</f>
        <v>1</v>
      </c>
      <c r="I5786" s="20" t="n">
        <f aca="false">IF(AND(I5785=1,SUM($G$5785:H5785)=0),1,0)</f>
        <v>0</v>
      </c>
      <c r="J5786" s="20" t="n">
        <f aca="false">IF(AND(J5785=1,SUM($G$5785:I5785)=0),1,0)</f>
        <v>0</v>
      </c>
      <c r="K5786" s="20" t="n">
        <f aca="false">IF(AND(K5785=1,SUM($G$5785:J5785)=0),1,0)</f>
        <v>0</v>
      </c>
    </row>
    <row r="5787" customFormat="false" ht="15" hidden="false" customHeight="false" outlineLevel="0" collapsed="false">
      <c r="A5787" s="5" t="s">
        <v>316</v>
      </c>
      <c r="G5787" s="25" t="n">
        <f aca="false">(G5749-F5749)-(G5776+G5676-G5774-G5778-G5782)</f>
        <v>-1.56319401867222E-013</v>
      </c>
      <c r="H5787" s="25" t="n">
        <f aca="false">(H5749-G5749)-(H5776+H5676-H5774-H5778-H5782)</f>
        <v>1.82076576038526E-013</v>
      </c>
      <c r="I5787" s="25" t="n">
        <f aca="false">(I5749-H5749)-(I5776+I5676-I5774-I5778-I5782)</f>
        <v>-4.52970994047064E-014</v>
      </c>
      <c r="J5787" s="25" t="n">
        <f aca="false">(J5749-I5749)-(J5776+J5676-J5774-J5778-J5782)</f>
        <v>-4.52970994047064E-014</v>
      </c>
      <c r="K5787" s="25" t="n">
        <f aca="false">(K5749-J5749)-(K5776+K5676-K5774-K5778-K5782)</f>
        <v>1.82076576038526E-013</v>
      </c>
    </row>
    <row r="5789" customFormat="false" ht="15" hidden="false" customHeight="false" outlineLevel="0" collapsed="false">
      <c r="A5789" s="23" t="s">
        <v>318</v>
      </c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</row>
    <row r="5790" customFormat="false" ht="15" hidden="false" customHeight="false" outlineLevel="0" collapsed="false">
      <c r="A5790" s="5" t="s">
        <v>319</v>
      </c>
      <c r="G5790" s="25" t="n">
        <f aca="false">G5749</f>
        <v>1262.9408</v>
      </c>
      <c r="H5790" s="25" t="n">
        <f aca="false">H5749</f>
        <v>1257.7408</v>
      </c>
      <c r="I5790" s="25" t="n">
        <f aca="false">I5749</f>
        <v>1252.5408</v>
      </c>
      <c r="J5790" s="25" t="n">
        <f aca="false">J5749</f>
        <v>1247.3408</v>
      </c>
      <c r="K5790" s="25" t="n">
        <f aca="false">K5749</f>
        <v>1242.1408</v>
      </c>
    </row>
    <row r="5791" customFormat="false" ht="15" hidden="false" customHeight="false" outlineLevel="0" collapsed="false">
      <c r="A5791" s="5" t="s">
        <v>320</v>
      </c>
      <c r="G5791" s="25" t="n">
        <f aca="false">Assumptions!$O$53*G5708+Assumptions!$O$54*G5721+Assumptions!$O$55*G5734+Assumptions!$O$56*G5747</f>
        <v>962.9408</v>
      </c>
      <c r="H5791" s="25" t="n">
        <f aca="false">Assumptions!$O$53*H5708+Assumptions!$O$54*H5721+Assumptions!$O$55*H5734+Assumptions!$O$56*H5747</f>
        <v>957.7408</v>
      </c>
      <c r="I5791" s="25" t="n">
        <f aca="false">Assumptions!$O$53*I5708+Assumptions!$O$54*I5721+Assumptions!$O$55*I5734+Assumptions!$O$56*I5747</f>
        <v>952.5408</v>
      </c>
      <c r="J5791" s="25" t="n">
        <f aca="false">Assumptions!$O$53*J5708+Assumptions!$O$54*J5721+Assumptions!$O$55*J5734+Assumptions!$O$56*J5747</f>
        <v>947.3408</v>
      </c>
      <c r="K5791" s="25" t="n">
        <f aca="false">Assumptions!$O$53*K5708+Assumptions!$O$54*K5721+Assumptions!$O$55*K5734+Assumptions!$O$56*K5747</f>
        <v>942.1408</v>
      </c>
    </row>
    <row r="5792" customFormat="false" ht="15" hidden="false" customHeight="false" outlineLevel="0" collapsed="false">
      <c r="A5792" s="5" t="s">
        <v>321</v>
      </c>
      <c r="G5792" s="25" t="n">
        <f aca="false">G5790-G5783</f>
        <v>1262.9408</v>
      </c>
      <c r="H5792" s="25" t="n">
        <f aca="false">H5790-H5783</f>
        <v>1361.1368768</v>
      </c>
      <c r="I5792" s="25" t="n">
        <f aca="false">I5790-I5783</f>
        <v>1480.906565504</v>
      </c>
      <c r="J5792" s="25" t="n">
        <f aca="false">J5790-J5783</f>
        <v>1603.25604496896</v>
      </c>
      <c r="K5792" s="25" t="n">
        <f aca="false">K5790-K5783</f>
        <v>1725.08199792727</v>
      </c>
    </row>
    <row r="5793" customFormat="false" ht="15" hidden="false" customHeight="false" outlineLevel="0" collapsed="false">
      <c r="A5793" s="5" t="s">
        <v>322</v>
      </c>
      <c r="G5793" s="31" t="n">
        <f aca="false">IF(G5671&gt;0,G5790/G5671,0)</f>
        <v>22.8992747316507</v>
      </c>
      <c r="H5793" s="31" t="n">
        <f aca="false">IF(H5671&gt;0,H5790/H5671,0)</f>
        <v>26.212632007176</v>
      </c>
      <c r="I5793" s="31" t="n">
        <f aca="false">IF(I5671&gt;0,I5790/I5671,0)</f>
        <v>26.8010868333398</v>
      </c>
      <c r="J5793" s="31" t="n">
        <f aca="false">IF(J5671&gt;0,J5790/J5671,0)</f>
        <v>26.9594146227885</v>
      </c>
      <c r="K5793" s="31" t="n">
        <f aca="false">IF(K5671&gt;0,K5790/K5671,0)</f>
        <v>27.1182064276924</v>
      </c>
    </row>
    <row r="5794" customFormat="false" ht="15" hidden="false" customHeight="false" outlineLevel="0" collapsed="false">
      <c r="A5794" s="5" t="s">
        <v>323</v>
      </c>
      <c r="G5794" s="31" t="n">
        <f aca="false">IF(G5671&gt;0,G5792/G5671,0)</f>
        <v>22.8992747316507</v>
      </c>
      <c r="H5794" s="31" t="n">
        <f aca="false">IF(H5671&gt;0,H5792/H5671,0)</f>
        <v>28.367514246938</v>
      </c>
      <c r="I5794" s="31" t="n">
        <f aca="false">IF(I5671&gt;0,I5792/I5671,0)</f>
        <v>31.6875150527119</v>
      </c>
      <c r="J5794" s="31" t="n">
        <f aca="false">IF(J5671&gt;0,J5792/J5671,0)</f>
        <v>34.6519928337229</v>
      </c>
      <c r="K5794" s="31" t="n">
        <f aca="false">IF(K5671&gt;0,K5792/K5671,0)</f>
        <v>37.6616964232137</v>
      </c>
    </row>
    <row r="5795" customFormat="false" ht="15" hidden="false" customHeight="false" outlineLevel="0" collapsed="false">
      <c r="A5795" s="5" t="s">
        <v>324</v>
      </c>
      <c r="G5795" s="31" t="n">
        <f aca="false">IF(G5675&gt;0,G5671/G5675,0)</f>
        <v>0.393830334190231</v>
      </c>
      <c r="H5795" s="31" t="n">
        <f aca="false">IF(H5675&gt;0,H5671/H5675,0)</f>
        <v>0.343539122075623</v>
      </c>
      <c r="I5795" s="31" t="n">
        <f aca="false">IF(I5675&gt;0,I5671/I5675,0)</f>
        <v>0.340576261247462</v>
      </c>
      <c r="J5795" s="31" t="n">
        <f aca="false">IF(J5675&gt;0,J5671/J5675,0)</f>
        <v>0.338813922005781</v>
      </c>
      <c r="K5795" s="31" t="n">
        <f aca="false">IF(K5675&gt;0,K5671/K5675,0)</f>
        <v>0.337068710022409</v>
      </c>
    </row>
    <row r="5796" customFormat="false" ht="15" hidden="false" customHeight="false" outlineLevel="0" collapsed="false">
      <c r="A5796" s="5" t="s">
        <v>325</v>
      </c>
      <c r="G5796" s="31" t="n">
        <f aca="false">IF(G5675&gt;0,G5674/G5675,0)</f>
        <v>0.105021422450728</v>
      </c>
      <c r="H5796" s="31" t="n">
        <f aca="false">IF(H5675&gt;0,H5674/H5675,0)</f>
        <v>0.0916104325534996</v>
      </c>
      <c r="I5796" s="31" t="n">
        <f aca="false">IF(I5675&gt;0,I5674/I5675,0)</f>
        <v>0.0908203363326565</v>
      </c>
      <c r="J5796" s="31" t="n">
        <f aca="false">IF(J5675&gt;0,J5674/J5675,0)</f>
        <v>0.0903503792015416</v>
      </c>
      <c r="K5796" s="31" t="n">
        <f aca="false">IF(K5675&gt;0,K5674/K5675,0)</f>
        <v>0.089884989339309</v>
      </c>
    </row>
    <row r="5797" customFormat="false" ht="15" hidden="false" customHeight="false" outlineLevel="0" collapsed="false">
      <c r="A5797" s="5" t="s">
        <v>182</v>
      </c>
      <c r="G5797" s="21" t="n">
        <f aca="false">IF(G5790&gt;0,G5684/G5790,0)</f>
        <v>-0.0458776848447687</v>
      </c>
      <c r="H5797" s="21" t="n">
        <f aca="false">IF(H5790&gt;0,H5684/H5790,0)</f>
        <v>-0.0780733810972817</v>
      </c>
      <c r="I5797" s="21" t="n">
        <f aca="false">IF(I5790&gt;0,I5684/I5790,0)</f>
        <v>-0.095621387106911</v>
      </c>
      <c r="J5797" s="21" t="n">
        <f aca="false">IF(J5790&gt;0,J5684/J5790,0)</f>
        <v>-0.0980882525970128</v>
      </c>
      <c r="K5797" s="21" t="n">
        <f aca="false">IF(K5790&gt;0,K5684/K5790,0)</f>
        <v>-0.0980774103534079</v>
      </c>
    </row>
    <row r="5798" customFormat="false" ht="15" hidden="false" customHeight="false" outlineLevel="0" collapsed="false">
      <c r="A5798" s="5" t="s">
        <v>326</v>
      </c>
      <c r="G5798" s="31" t="n">
        <f aca="false">IF(G5675+G5774&gt;0,(G5671-G5682-G5679)/(G5675+G5774),0)</f>
        <v>0.177207380886808</v>
      </c>
      <c r="H5798" s="31" t="n">
        <f aca="false">IF(H5675+H5774&gt;0,(H5671-H5682-H5679)/(H5675+H5774),0)</f>
        <v>0.1545637684967</v>
      </c>
      <c r="I5798" s="31" t="n">
        <f aca="false">IF(I5675+I5774&gt;0,(I5671-I5682-I5679)/(I5675+I5774),0)</f>
        <v>0.153132674900711</v>
      </c>
      <c r="J5798" s="31" t="n">
        <f aca="false">IF(J5675+J5774&gt;0,(J5671-J5682-J5679)/(J5675+J5774),0)</f>
        <v>0.152313171759666</v>
      </c>
      <c r="K5798" s="31" t="n">
        <f aca="false">IF(K5675+K5774&gt;0,(K5671-K5682-K5679)/(K5675+K5774),0)</f>
        <v>0.151501394330395</v>
      </c>
    </row>
    <row r="5799" customFormat="false" ht="15" hidden="false" customHeight="false" outlineLevel="0" collapsed="false">
      <c r="A5799" s="5" t="s">
        <v>327</v>
      </c>
      <c r="G5799" s="25" t="n">
        <f aca="false">MAX(0,G5783)+Assumptions!$P$53*MAX(0,Assumptions!$D$53-G5708)+Assumptions!$P$54*MAX(0,Assumptions!$D$54-G5721)+Assumptions!$P$55*MAX(0,Assumptions!$D$55-G5734)+Assumptions!$P$56*MAX(0,Assumptions!$D$56-G5747)</f>
        <v>101.8592</v>
      </c>
      <c r="H5799" s="25" t="n">
        <f aca="false">MAX(0,H5783)+Assumptions!$P$53*MAX(0,Assumptions!$D$53-H5708)+Assumptions!$P$54*MAX(0,Assumptions!$D$54-H5721)+Assumptions!$P$55*MAX(0,Assumptions!$D$55-H5734)+Assumptions!$P$56*MAX(0,Assumptions!$D$56-H5747)</f>
        <v>101.8592</v>
      </c>
      <c r="I5799" s="25" t="n">
        <f aca="false">MAX(0,I5783)+Assumptions!$P$53*MAX(0,Assumptions!$D$53-I5708)+Assumptions!$P$54*MAX(0,Assumptions!$D$54-I5721)+Assumptions!$P$55*MAX(0,Assumptions!$D$55-I5734)+Assumptions!$P$56*MAX(0,Assumptions!$D$56-I5747)</f>
        <v>101.8592</v>
      </c>
      <c r="J5799" s="25" t="n">
        <f aca="false">MAX(0,J5783)+Assumptions!$P$53*MAX(0,Assumptions!$D$53-J5708)+Assumptions!$P$54*MAX(0,Assumptions!$D$54-J5721)+Assumptions!$P$55*MAX(0,Assumptions!$D$55-J5734)+Assumptions!$P$56*MAX(0,Assumptions!$D$56-J5747)</f>
        <v>101.8592</v>
      </c>
      <c r="K5799" s="25" t="n">
        <f aca="false">MAX(0,K5783)+Assumptions!$P$53*MAX(0,Assumptions!$D$53-K5708)+Assumptions!$P$54*MAX(0,Assumptions!$D$54-K5721)+Assumptions!$P$55*MAX(0,Assumptions!$D$55-K5734)+Assumptions!$P$56*MAX(0,Assumptions!$D$56-K5747)</f>
        <v>101.8592</v>
      </c>
    </row>
    <row r="5800" customFormat="false" ht="15" hidden="false" customHeight="false" outlineLevel="0" collapsed="false">
      <c r="A5800" s="5" t="s">
        <v>328</v>
      </c>
      <c r="G5800" s="21" t="n">
        <f aca="false">IF(G5790&gt;0,G5790/(G5790+MAX(0,G5671*CHOOSE($C$5654,Assumptions!$C$76,Assumptions!$C$95,Assumptions!$C$114)-G5792)),0)</f>
        <v>1</v>
      </c>
      <c r="H5800" s="21" t="n">
        <f aca="false">IF(H5790&gt;0,H5790/(H5790+MAX(0,H5671*CHOOSE($C$5654,Assumptions!$C$76,Assumptions!$C$95,Assumptions!$C$114)-H5792)),0)</f>
        <v>1</v>
      </c>
      <c r="I5800" s="21" t="n">
        <f aca="false">IF(I5790&gt;0,I5790/(I5790+MAX(0,I5671*CHOOSE($C$5654,Assumptions!$C$76,Assumptions!$C$95,Assumptions!$C$114)-I5792)),0)</f>
        <v>1</v>
      </c>
      <c r="J5800" s="21" t="n">
        <f aca="false">IF(J5790&gt;0,J5790/(J5790+MAX(0,J5671*CHOOSE($C$5654,Assumptions!$C$76,Assumptions!$C$95,Assumptions!$C$114)-J5792)),0)</f>
        <v>1</v>
      </c>
      <c r="K5800" s="21" t="n">
        <f aca="false">IF(K5790&gt;0,K5790/(K5790+MAX(0,K5671*CHOOSE($C$5654,Assumptions!$C$76,Assumptions!$C$95,Assumptions!$C$114)-K5792)),0)</f>
        <v>1</v>
      </c>
    </row>
    <row r="5801" customFormat="false" ht="15" hidden="false" customHeight="false" outlineLevel="0" collapsed="false">
      <c r="A5801" s="5" t="s">
        <v>329</v>
      </c>
      <c r="G5801" s="21" t="n">
        <f aca="false">IF(G5790&gt;0,MAX(0,G5783)/G5790,0)</f>
        <v>0</v>
      </c>
      <c r="H5801" s="21" t="n">
        <f aca="false">IF(H5790&gt;0,MAX(0,H5783)/H5790,0)</f>
        <v>0</v>
      </c>
      <c r="I5801" s="21" t="n">
        <f aca="false">IF(I5790&gt;0,MAX(0,I5783)/I5790,0)</f>
        <v>0</v>
      </c>
      <c r="J5801" s="21" t="n">
        <f aca="false">IF(J5790&gt;0,MAX(0,J5783)/J5790,0)</f>
        <v>0</v>
      </c>
      <c r="K5801" s="21" t="n">
        <f aca="false">IF(K5790&gt;0,MAX(0,K5783)/K5790,0)</f>
        <v>0</v>
      </c>
    </row>
    <row r="5802" customFormat="false" ht="15" hidden="false" customHeight="false" outlineLevel="0" collapsed="false">
      <c r="A5802" s="5" t="s">
        <v>330</v>
      </c>
      <c r="G5802" s="25" t="n">
        <f aca="false">Assumptions!$C$27*(1-CHOOSE($C$5654,Assumptions!$C$79,Assumptions!$C$98,Assumptions!$C$117))</f>
        <v>676</v>
      </c>
      <c r="H5802" s="25" t="n">
        <f aca="false">Assumptions!$C$27*(1-CHOOSE($C$5654,Assumptions!$C$79,Assumptions!$C$98,Assumptions!$C$117))</f>
        <v>676</v>
      </c>
      <c r="I5802" s="25" t="n">
        <f aca="false">Assumptions!$C$27*(1-CHOOSE($C$5654,Assumptions!$C$79,Assumptions!$C$98,Assumptions!$C$117))</f>
        <v>676</v>
      </c>
      <c r="J5802" s="25" t="n">
        <f aca="false">Assumptions!$C$27*(1-CHOOSE($C$5654,Assumptions!$C$79,Assumptions!$C$98,Assumptions!$C$117))</f>
        <v>676</v>
      </c>
      <c r="K5802" s="25" t="n">
        <f aca="false">Assumptions!$C$27*(1-CHOOSE($C$5654,Assumptions!$C$79,Assumptions!$C$98,Assumptions!$C$117))</f>
        <v>676</v>
      </c>
    </row>
    <row r="5803" customFormat="false" ht="15" hidden="false" customHeight="false" outlineLevel="0" collapsed="false">
      <c r="A5803" s="23" t="s">
        <v>331</v>
      </c>
      <c r="B5803" s="24"/>
      <c r="C5803" s="24"/>
      <c r="D5803" s="24"/>
      <c r="E5803" s="24"/>
      <c r="F5803" s="24"/>
      <c r="G5803" s="24"/>
      <c r="H5803" s="24"/>
      <c r="I5803" s="24"/>
      <c r="J5803" s="24"/>
      <c r="K5803" s="24"/>
    </row>
    <row r="5804" customFormat="false" ht="15" hidden="false" customHeight="false" outlineLevel="0" collapsed="false">
      <c r="A5804" s="23" t="s">
        <v>332</v>
      </c>
      <c r="B5804" s="24"/>
      <c r="C5804" s="24"/>
      <c r="D5804" s="24"/>
      <c r="E5804" s="24"/>
      <c r="F5804" s="24"/>
      <c r="G5804" s="24"/>
      <c r="H5804" s="24"/>
      <c r="I5804" s="24"/>
      <c r="J5804" s="24"/>
      <c r="K5804" s="24"/>
    </row>
    <row r="5805" customFormat="false" ht="15" hidden="false" customHeight="false" outlineLevel="0" collapsed="false">
      <c r="A5805" s="5" t="s">
        <v>333</v>
      </c>
      <c r="G5805" s="31" t="n">
        <f aca="false">IF(G5671&gt;0,G5792/G5671,99)</f>
        <v>22.8992747316507</v>
      </c>
      <c r="H5805" s="31" t="n">
        <f aca="false">IF(H5671&gt;0,H5792/H5671,99)</f>
        <v>28.367514246938</v>
      </c>
      <c r="I5805" s="31" t="n">
        <f aca="false">IF(I5671&gt;0,I5792/I5671,99)</f>
        <v>31.6875150527119</v>
      </c>
      <c r="J5805" s="31" t="n">
        <f aca="false">IF(J5671&gt;0,J5792/J5671,99)</f>
        <v>34.6519928337229</v>
      </c>
      <c r="K5805" s="31" t="n">
        <f aca="false">IF(K5671&gt;0,K5792/K5671,99)</f>
        <v>37.6616964232137</v>
      </c>
    </row>
    <row r="5806" customFormat="false" ht="15" hidden="false" customHeight="false" outlineLevel="0" collapsed="false">
      <c r="A5806" s="5" t="s">
        <v>334</v>
      </c>
      <c r="G5806" s="32" t="n">
        <f aca="false">Assumptions!$G$61</f>
        <v>8.5</v>
      </c>
      <c r="H5806" s="32" t="n">
        <f aca="false">Assumptions!$H$61</f>
        <v>8.5</v>
      </c>
      <c r="I5806" s="32" t="n">
        <f aca="false">Assumptions!$I$61</f>
        <v>8.5</v>
      </c>
      <c r="J5806" s="32" t="n">
        <f aca="false">Assumptions!$J$61</f>
        <v>8.5</v>
      </c>
      <c r="K5806" s="32" t="n">
        <f aca="false">Assumptions!$K$61</f>
        <v>8.5</v>
      </c>
    </row>
    <row r="5807" customFormat="false" ht="15" hidden="false" customHeight="false" outlineLevel="0" collapsed="false">
      <c r="A5807" s="5" t="s">
        <v>335</v>
      </c>
      <c r="G5807" s="31" t="n">
        <f aca="false">G5806-G5805</f>
        <v>-14.3992747316507</v>
      </c>
      <c r="H5807" s="31" t="n">
        <f aca="false">H5806-H5805</f>
        <v>-19.867514246938</v>
      </c>
      <c r="I5807" s="31" t="n">
        <f aca="false">I5806-I5805</f>
        <v>-23.1875150527119</v>
      </c>
      <c r="J5807" s="31" t="n">
        <f aca="false">J5806-J5805</f>
        <v>-26.1519928337229</v>
      </c>
      <c r="K5807" s="31" t="n">
        <f aca="false">K5806-K5805</f>
        <v>-29.1616964232137</v>
      </c>
    </row>
    <row r="5808" customFormat="false" ht="15" hidden="false" customHeight="false" outlineLevel="0" collapsed="false">
      <c r="A5808" s="5" t="s">
        <v>336</v>
      </c>
      <c r="G5808" s="21" t="n">
        <f aca="false">IF(G5806=0,0,G5807/ABS(G5806))</f>
        <v>-1.69403232137067</v>
      </c>
      <c r="H5808" s="21" t="n">
        <f aca="false">IF(H5806=0,0,H5807/ABS(H5806))</f>
        <v>-2.33735461728683</v>
      </c>
      <c r="I5808" s="21" t="n">
        <f aca="false">IF(I5806=0,0,I5807/ABS(I5806))</f>
        <v>-2.72794294737787</v>
      </c>
      <c r="J5808" s="21" t="n">
        <f aca="false">IF(J5806=0,0,J5807/ABS(J5806))</f>
        <v>-3.07670503926152</v>
      </c>
      <c r="K5808" s="21" t="n">
        <f aca="false">IF(K5806=0,0,K5807/ABS(K5806))</f>
        <v>-3.43078781449573</v>
      </c>
    </row>
    <row r="5809" customFormat="false" ht="15" hidden="false" customHeight="false" outlineLevel="0" collapsed="false">
      <c r="A5809" s="5" t="s">
        <v>337</v>
      </c>
      <c r="G5809" s="20" t="n">
        <f aca="false">IF(G5807&lt;0,1,0)</f>
        <v>1</v>
      </c>
      <c r="H5809" s="20" t="n">
        <f aca="false">IF(H5807&lt;0,1,0)</f>
        <v>1</v>
      </c>
      <c r="I5809" s="20" t="n">
        <f aca="false">IF(I5807&lt;0,1,0)</f>
        <v>1</v>
      </c>
      <c r="J5809" s="20" t="n">
        <f aca="false">IF(J5807&lt;0,1,0)</f>
        <v>1</v>
      </c>
      <c r="K5809" s="20" t="n">
        <f aca="false">IF(K5807&lt;0,1,0)</f>
        <v>1</v>
      </c>
    </row>
    <row r="5810" customFormat="false" ht="15" hidden="false" customHeight="false" outlineLevel="0" collapsed="false">
      <c r="A5810" s="5" t="s">
        <v>338</v>
      </c>
      <c r="C5810" s="20" t="n">
        <f aca="false">IFERROR(INDEX($G$5661:$K$5661,MATCH(1,$G$5809:$K$5809,0)),0)</f>
        <v>2026</v>
      </c>
    </row>
    <row r="5811" customFormat="false" ht="15" hidden="false" customHeight="false" outlineLevel="0" collapsed="false">
      <c r="A5811" s="5" t="s">
        <v>339</v>
      </c>
      <c r="C5811" s="21" t="n">
        <f aca="false">MIN($G$5808:$K$5808)</f>
        <v>-3.43078781449573</v>
      </c>
    </row>
    <row r="5812" customFormat="false" ht="15" hidden="false" customHeight="false" outlineLevel="0" collapsed="false">
      <c r="A5812" s="5" t="s">
        <v>340</v>
      </c>
      <c r="G5812" s="20" t="n">
        <f aca="false">G5809</f>
        <v>1</v>
      </c>
      <c r="H5812" s="20" t="n">
        <f aca="false">H5809</f>
        <v>1</v>
      </c>
      <c r="I5812" s="20" t="n">
        <f aca="false">I5809</f>
        <v>1</v>
      </c>
      <c r="J5812" s="20" t="n">
        <f aca="false">J5809</f>
        <v>1</v>
      </c>
      <c r="K5812" s="20" t="n">
        <f aca="false">K5809</f>
        <v>1</v>
      </c>
    </row>
    <row r="5813" customFormat="false" ht="15" hidden="false" customHeight="false" outlineLevel="0" collapsed="false">
      <c r="A5813" s="5" t="s">
        <v>341</v>
      </c>
      <c r="C5813" s="20" t="n">
        <f aca="false">SUM($G$5812:$K$5812)</f>
        <v>5</v>
      </c>
    </row>
    <row r="5814" customFormat="false" ht="15" hidden="false" customHeight="false" outlineLevel="0" collapsed="false">
      <c r="A5814" s="5" t="s">
        <v>342</v>
      </c>
      <c r="C5814" s="21" t="n">
        <f aca="false">MIN(C5811)</f>
        <v>-3.43078781449573</v>
      </c>
    </row>
    <row r="5816" customFormat="false" ht="15" hidden="false" customHeight="false" outlineLevel="0" collapsed="false">
      <c r="A5816" s="23" t="s">
        <v>444</v>
      </c>
      <c r="B5816" s="24"/>
      <c r="C5816" s="24"/>
      <c r="D5816" s="24"/>
      <c r="E5816" s="24"/>
      <c r="F5816" s="24"/>
      <c r="G5816" s="24"/>
      <c r="H5816" s="24"/>
      <c r="I5816" s="24"/>
      <c r="J5816" s="24"/>
      <c r="K5816" s="24"/>
    </row>
    <row r="5817" customFormat="false" ht="15" hidden="false" customHeight="false" outlineLevel="0" collapsed="false">
      <c r="A5817" s="5" t="s">
        <v>445</v>
      </c>
      <c r="G5817" s="20" t="n">
        <f aca="false">IF($C$5818=1,G5786,IF(G5671=MIN($G$5671:$K$5671),1,0))</f>
        <v>0</v>
      </c>
      <c r="H5817" s="20" t="n">
        <f aca="false">IF($C$5818=1,H5786,IF(AND(H5671=MIN($G$5671:$K$5671),SUM($G$5817:G5817)=0),1,0))</f>
        <v>1</v>
      </c>
      <c r="I5817" s="20" t="n">
        <f aca="false">IF($C$5818=1,I5786,IF(AND(I5671=MIN($G$5671:$K$5671),SUM($G$5817:H5817)=0),1,0))</f>
        <v>0</v>
      </c>
      <c r="J5817" s="20" t="n">
        <f aca="false">IF($C$5818=1,J5786,IF(AND(J5671=MIN($G$5671:$K$5671),SUM($G$5817:I5817)=0),1,0))</f>
        <v>0</v>
      </c>
      <c r="K5817" s="20" t="n">
        <f aca="false">IF($C$5818=1,K5786,IF(AND(K5671=MIN($G$5671:$K$5671),SUM($G$5817:J5817)=0),1,0))</f>
        <v>0</v>
      </c>
    </row>
    <row r="5818" customFormat="false" ht="15" hidden="false" customHeight="false" outlineLevel="0" collapsed="false">
      <c r="A5818" s="5" t="s">
        <v>446</v>
      </c>
      <c r="C5818" s="20" t="n">
        <f aca="false">IF(SUM($G$5786:$K$5786)&gt;0,1,0)</f>
        <v>1</v>
      </c>
    </row>
    <row r="5819" customFormat="false" ht="15" hidden="false" customHeight="false" outlineLevel="0" collapsed="false">
      <c r="A5819" s="5" t="s">
        <v>447</v>
      </c>
      <c r="C5819" s="20" t="n">
        <f aca="false">SUMPRODUCT($G$5817:$K$5817,$G$5661:$K$5661)</f>
        <v>2027</v>
      </c>
    </row>
    <row r="5820" customFormat="false" ht="15" hidden="false" customHeight="false" outlineLevel="0" collapsed="false">
      <c r="A5820" s="5" t="s">
        <v>448</v>
      </c>
      <c r="C5820" s="25" t="n">
        <f aca="false">SUMPRODUCT($G$5817:$K$5817,$G$5671:$K$5671)</f>
        <v>47.98224</v>
      </c>
    </row>
    <row r="5821" customFormat="false" ht="15" hidden="false" customHeight="false" outlineLevel="0" collapsed="false">
      <c r="A5821" s="5" t="s">
        <v>449</v>
      </c>
      <c r="C5821" s="25" t="n">
        <f aca="false">MAX(0,SUMPRODUCT($G$5817:$K$5817,$G$5783:$K$5783))</f>
        <v>0</v>
      </c>
    </row>
    <row r="5822" customFormat="false" ht="15" hidden="false" customHeight="false" outlineLevel="0" collapsed="false">
      <c r="A5822" s="5" t="s">
        <v>450</v>
      </c>
      <c r="C5822" s="25" t="n">
        <f aca="false">(CHOOSE($C$5654,Assumptions!$C$78,Assumptions!$C$97,Assumptions!$C$116)+$C$5658)*C5820</f>
        <v>191.92896</v>
      </c>
    </row>
    <row r="5823" customFormat="false" ht="15" hidden="false" customHeight="false" outlineLevel="0" collapsed="false">
      <c r="A5823" s="5" t="s">
        <v>451</v>
      </c>
      <c r="C5823" s="25" t="n">
        <f aca="false">Assumptions!$C$27*(1-CHOOSE($C$5654,Assumptions!$C$79,Assumptions!$C$98,Assumptions!$C$117))*CHOOSE($C$5654,Assumptions!$C$80,Assumptions!$C$99,Assumptions!$C$118)</f>
        <v>405.6</v>
      </c>
    </row>
    <row r="5824" customFormat="false" ht="15" hidden="false" customHeight="false" outlineLevel="0" collapsed="false">
      <c r="A5824" s="5" t="s">
        <v>452</v>
      </c>
      <c r="C5824" s="25" t="n">
        <f aca="false">MAX(C5822,C5823)+C5821</f>
        <v>405.6</v>
      </c>
    </row>
    <row r="5825" customFormat="false" ht="15" hidden="false" customHeight="false" outlineLevel="0" collapsed="false">
      <c r="A5825" s="2" t="s">
        <v>453</v>
      </c>
      <c r="C5825" s="16" t="n">
        <f aca="false">IF(ISNUMBER(Assumptions!$C$14),Assumptions!$C$14,C5824)</f>
        <v>405.6</v>
      </c>
    </row>
    <row r="5826" customFormat="false" ht="15" hidden="false" customHeight="false" outlineLevel="0" collapsed="false">
      <c r="A5826" s="5" t="s">
        <v>454</v>
      </c>
      <c r="C5826" s="25" t="n">
        <f aca="false">C5825*Assumptions!$C$15</f>
        <v>16.224</v>
      </c>
    </row>
    <row r="5827" customFormat="false" ht="15" hidden="false" customHeight="false" outlineLevel="0" collapsed="false">
      <c r="A5827" s="2" t="s">
        <v>455</v>
      </c>
      <c r="C5827" s="16" t="n">
        <f aca="false">C5825-C5826</f>
        <v>389.376</v>
      </c>
    </row>
    <row r="5828" customFormat="false" ht="15" hidden="false" customHeight="false" outlineLevel="0" collapsed="false">
      <c r="A5828" s="23" t="s">
        <v>456</v>
      </c>
      <c r="B5828" s="24"/>
      <c r="C5828" s="24"/>
      <c r="D5828" s="24"/>
      <c r="E5828" s="24"/>
      <c r="F5828" s="24"/>
      <c r="G5828" s="24"/>
      <c r="H5828" s="24"/>
      <c r="I5828" s="24"/>
      <c r="J5828" s="24"/>
      <c r="K5828" s="24"/>
    </row>
    <row r="5829" customFormat="false" ht="15" hidden="false" customHeight="false" outlineLevel="0" collapsed="false">
      <c r="A5829" s="5" t="s">
        <v>457</v>
      </c>
      <c r="C5829" s="25" t="n">
        <f aca="false">SUMPRODUCT($G$5817:$K$5817,$G$5708:$K$5708)*(1+SUMPRODUCT($G$5817:$K$5817,$G$5700:$K$5700)*Assumptions!$C$16/12)</f>
        <v>203.7630452</v>
      </c>
    </row>
    <row r="5830" customFormat="false" ht="15" hidden="false" customHeight="false" outlineLevel="0" collapsed="false">
      <c r="A5830" s="5" t="s">
        <v>458</v>
      </c>
      <c r="C5830" s="25" t="n">
        <f aca="false">SUMPRODUCT($G$5817:$K$5817,$G$5721:$K$5721)*(1+SUMPRODUCT($G$5817:$K$5817,$G$5713:$K$5713)*Assumptions!$C$16/12)</f>
        <v>526.2257</v>
      </c>
    </row>
    <row r="5831" customFormat="false" ht="15" hidden="false" customHeight="false" outlineLevel="0" collapsed="false">
      <c r="A5831" s="5" t="s">
        <v>459</v>
      </c>
      <c r="C5831" s="25" t="n">
        <f aca="false">SUMPRODUCT($G$5817:$K$5817,$G$5734:$K$5734)*(1+SUMPRODUCT($G$5817:$K$5817,$G$5726:$K$5726)*Assumptions!$C$16/12)</f>
        <v>256.875</v>
      </c>
    </row>
    <row r="5832" customFormat="false" ht="15" hidden="false" customHeight="false" outlineLevel="0" collapsed="false">
      <c r="A5832" s="5" t="s">
        <v>460</v>
      </c>
      <c r="C5832" s="25" t="n">
        <f aca="false">SUMPRODUCT($G$5817:$K$5817,$G$5747:$K$5747)*(1+SUMPRODUCT($G$5817:$K$5817,$G$5739:$K$5739)*Assumptions!$C$16/12)</f>
        <v>305.625</v>
      </c>
    </row>
    <row r="5833" customFormat="false" ht="15" hidden="false" customHeight="false" outlineLevel="0" collapsed="false">
      <c r="A5833" s="23" t="s">
        <v>461</v>
      </c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</row>
    <row r="5834" customFormat="false" ht="15" hidden="false" customHeight="false" outlineLevel="0" collapsed="false">
      <c r="A5834" s="5" t="s">
        <v>457</v>
      </c>
      <c r="C5834" s="26" t="n">
        <f aca="false">Assumptions!$M$53</f>
        <v>1</v>
      </c>
    </row>
    <row r="5835" customFormat="false" ht="15" hidden="false" customHeight="false" outlineLevel="0" collapsed="false">
      <c r="A5835" s="5" t="s">
        <v>458</v>
      </c>
      <c r="C5835" s="26" t="n">
        <f aca="false">Assumptions!$M$54</f>
        <v>2</v>
      </c>
    </row>
    <row r="5836" customFormat="false" ht="15" hidden="false" customHeight="false" outlineLevel="0" collapsed="false">
      <c r="A5836" s="5" t="s">
        <v>459</v>
      </c>
      <c r="C5836" s="26" t="n">
        <f aca="false">Assumptions!$M$55</f>
        <v>3</v>
      </c>
    </row>
    <row r="5837" customFormat="false" ht="15" hidden="false" customHeight="false" outlineLevel="0" collapsed="false">
      <c r="A5837" s="5" t="s">
        <v>460</v>
      </c>
      <c r="C5837" s="26" t="n">
        <f aca="false">Assumptions!$M$56</f>
        <v>4</v>
      </c>
    </row>
    <row r="5838" customFormat="false" ht="15" hidden="false" customHeight="false" outlineLevel="0" collapsed="false">
      <c r="A5838" s="23" t="s">
        <v>462</v>
      </c>
      <c r="B5838" s="24"/>
      <c r="C5838" s="24"/>
      <c r="D5838" s="24"/>
      <c r="E5838" s="24"/>
      <c r="F5838" s="24"/>
      <c r="G5838" s="24"/>
      <c r="H5838" s="24"/>
      <c r="I5838" s="24"/>
      <c r="J5838" s="24"/>
      <c r="K5838" s="24"/>
    </row>
    <row r="5839" customFormat="false" ht="15" hidden="false" customHeight="false" outlineLevel="0" collapsed="false">
      <c r="A5839" s="5" t="s">
        <v>457</v>
      </c>
      <c r="C5839" s="34" t="n">
        <f aca="false">Assumptions!$Q$53</f>
        <v>0</v>
      </c>
    </row>
    <row r="5840" customFormat="false" ht="15" hidden="false" customHeight="false" outlineLevel="0" collapsed="false">
      <c r="A5840" s="5" t="s">
        <v>458</v>
      </c>
      <c r="C5840" s="34" t="n">
        <f aca="false">Assumptions!$Q$54</f>
        <v>0</v>
      </c>
    </row>
    <row r="5841" customFormat="false" ht="15" hidden="false" customHeight="false" outlineLevel="0" collapsed="false">
      <c r="A5841" s="5" t="s">
        <v>459</v>
      </c>
      <c r="C5841" s="34" t="n">
        <f aca="false">Assumptions!$Q$55</f>
        <v>0</v>
      </c>
    </row>
    <row r="5842" customFormat="false" ht="15" hidden="false" customHeight="false" outlineLevel="0" collapsed="false">
      <c r="A5842" s="5" t="s">
        <v>460</v>
      </c>
      <c r="C5842" s="34" t="n">
        <f aca="false">Assumptions!$Q$56</f>
        <v>0</v>
      </c>
    </row>
    <row r="5843" customFormat="false" ht="15" hidden="false" customHeight="false" outlineLevel="0" collapsed="false">
      <c r="A5843" s="23" t="s">
        <v>463</v>
      </c>
      <c r="B5843" s="24"/>
      <c r="C5843" s="24"/>
      <c r="D5843" s="24"/>
      <c r="E5843" s="24"/>
      <c r="F5843" s="24"/>
      <c r="G5843" s="24"/>
      <c r="H5843" s="24"/>
      <c r="I5843" s="24"/>
      <c r="J5843" s="24"/>
      <c r="K5843" s="24"/>
    </row>
    <row r="5844" customFormat="false" ht="15" hidden="false" customHeight="false" outlineLevel="0" collapsed="false">
      <c r="A5844" s="5" t="s">
        <v>457</v>
      </c>
      <c r="C5844" s="25" t="n">
        <f aca="false">IF(C5839&gt;0,MIN(C5829,C5839*$C$5827),0)</f>
        <v>0</v>
      </c>
    </row>
    <row r="5845" customFormat="false" ht="15" hidden="false" customHeight="false" outlineLevel="0" collapsed="false">
      <c r="A5845" s="5" t="s">
        <v>458</v>
      </c>
      <c r="C5845" s="25" t="n">
        <f aca="false">IF(C5840&gt;0,MIN(C5830,C5840*$C$5827),0)</f>
        <v>0</v>
      </c>
    </row>
    <row r="5846" customFormat="false" ht="15" hidden="false" customHeight="false" outlineLevel="0" collapsed="false">
      <c r="A5846" s="5" t="s">
        <v>459</v>
      </c>
      <c r="C5846" s="25" t="n">
        <f aca="false">IF(C5841&gt;0,MIN(C5831,C5841*$C$5827),0)</f>
        <v>0</v>
      </c>
    </row>
    <row r="5847" customFormat="false" ht="15" hidden="false" customHeight="false" outlineLevel="0" collapsed="false">
      <c r="A5847" s="5" t="s">
        <v>460</v>
      </c>
      <c r="C5847" s="25" t="n">
        <f aca="false">IF(C5842&gt;0,MIN(C5832,C5842*$C$5827),0)</f>
        <v>0</v>
      </c>
    </row>
    <row r="5848" customFormat="false" ht="15" hidden="false" customHeight="false" outlineLevel="0" collapsed="false">
      <c r="A5848" s="23" t="s">
        <v>464</v>
      </c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</row>
    <row r="5849" customFormat="false" ht="15" hidden="false" customHeight="false" outlineLevel="0" collapsed="false">
      <c r="A5849" s="5" t="s">
        <v>457</v>
      </c>
      <c r="C5849" s="25" t="n">
        <f aca="false">IF(C5839&gt;0,C5829-C5844,0)</f>
        <v>0</v>
      </c>
      <c r="G5849" s="20" t="n">
        <f aca="false">IF(AND(G5698=1,G5695=1),1,0)</f>
        <v>0</v>
      </c>
      <c r="H5849" s="20" t="n">
        <f aca="false">IF(G5849=1,1,IF(AND(H5698=1,H5695=1),1,0))</f>
        <v>0</v>
      </c>
      <c r="I5849" s="20" t="n">
        <f aca="false">IF(H5849=1,1,IF(AND(I5698=1,I5695=1),1,0))</f>
        <v>0</v>
      </c>
      <c r="J5849" s="20" t="n">
        <f aca="false">IF(I5849=1,1,IF(AND(J5698=1,J5695=1),1,0))</f>
        <v>0</v>
      </c>
      <c r="K5849" s="20" t="n">
        <f aca="false">IF(J5849=1,1,IF(AND(K5698=1,K5695=1),1,0))</f>
        <v>0</v>
      </c>
    </row>
    <row r="5850" customFormat="false" ht="15" hidden="false" customHeight="false" outlineLevel="0" collapsed="false">
      <c r="A5850" s="5" t="s">
        <v>458</v>
      </c>
      <c r="C5850" s="25" t="n">
        <f aca="false">IF(C5840&gt;0,C5830-C5845,0)</f>
        <v>0</v>
      </c>
      <c r="G5850" s="20" t="n">
        <f aca="false">IF(AND(G5711=1,G5695=1),1,0)</f>
        <v>0</v>
      </c>
      <c r="H5850" s="20" t="n">
        <f aca="false">IF(G5850=1,1,IF(AND(H5711=1,H5695=1),1,0))</f>
        <v>0</v>
      </c>
      <c r="I5850" s="20" t="n">
        <f aca="false">IF(H5850=1,1,IF(AND(I5711=1,I5695=1),1,0))</f>
        <v>0</v>
      </c>
      <c r="J5850" s="20" t="n">
        <f aca="false">IF(I5850=1,1,IF(AND(J5711=1,J5695=1),1,0))</f>
        <v>0</v>
      </c>
      <c r="K5850" s="20" t="n">
        <f aca="false">IF(J5850=1,1,IF(AND(K5711=1,K5695=1),1,0))</f>
        <v>0</v>
      </c>
    </row>
    <row r="5851" customFormat="false" ht="15" hidden="false" customHeight="false" outlineLevel="0" collapsed="false">
      <c r="A5851" s="5" t="s">
        <v>459</v>
      </c>
      <c r="C5851" s="25" t="n">
        <f aca="false">IF(C5841&gt;0,C5831-C5846,0)</f>
        <v>0</v>
      </c>
      <c r="G5851" s="20" t="n">
        <f aca="false">IF(AND(G5724=1,G5695=1),1,0)</f>
        <v>0</v>
      </c>
      <c r="H5851" s="20" t="n">
        <f aca="false">IF(G5851=1,1,IF(AND(H5724=1,H5695=1),1,0))</f>
        <v>0</v>
      </c>
      <c r="I5851" s="20" t="n">
        <f aca="false">IF(H5851=1,1,IF(AND(I5724=1,I5695=1),1,0))</f>
        <v>0</v>
      </c>
      <c r="J5851" s="20" t="n">
        <f aca="false">IF(I5851=1,1,IF(AND(J5724=1,J5695=1),1,0))</f>
        <v>0</v>
      </c>
      <c r="K5851" s="20" t="n">
        <f aca="false">IF(J5851=1,1,IF(AND(K5724=1,K5695=1),1,0))</f>
        <v>0</v>
      </c>
    </row>
    <row r="5852" customFormat="false" ht="15" hidden="false" customHeight="false" outlineLevel="0" collapsed="false">
      <c r="A5852" s="5" t="s">
        <v>460</v>
      </c>
      <c r="C5852" s="25" t="n">
        <f aca="false">IF(C5842&gt;0,C5832-C5847,0)</f>
        <v>0</v>
      </c>
      <c r="G5852" s="20" t="n">
        <f aca="false">IF(AND(G5737=1,G5695=1),1,0)</f>
        <v>0</v>
      </c>
      <c r="H5852" s="20" t="n">
        <f aca="false">IF(G5852=1,1,IF(AND(H5737=1,H5695=1),1,0))</f>
        <v>0</v>
      </c>
      <c r="I5852" s="20" t="n">
        <f aca="false">IF(H5852=1,1,IF(AND(I5737=1,I5695=1),1,0))</f>
        <v>0</v>
      </c>
      <c r="J5852" s="20" t="n">
        <f aca="false">IF(I5852=1,1,IF(AND(J5737=1,J5695=1),1,0))</f>
        <v>0</v>
      </c>
      <c r="K5852" s="20" t="n">
        <f aca="false">IF(J5852=1,1,IF(AND(K5737=1,K5695=1),1,0))</f>
        <v>0</v>
      </c>
    </row>
    <row r="5853" customFormat="false" ht="15" hidden="false" customHeight="false" outlineLevel="0" collapsed="false">
      <c r="A5853" s="23" t="s">
        <v>465</v>
      </c>
      <c r="B5853" s="24"/>
      <c r="C5853" s="24"/>
      <c r="D5853" s="24"/>
      <c r="E5853" s="24"/>
      <c r="F5853" s="24"/>
      <c r="G5853" s="24"/>
      <c r="H5853" s="24"/>
      <c r="I5853" s="24"/>
      <c r="J5853" s="24"/>
      <c r="K5853" s="24"/>
    </row>
    <row r="5854" customFormat="false" ht="15" hidden="false" customHeight="false" outlineLevel="0" collapsed="false">
      <c r="A5854" s="5" t="s">
        <v>457</v>
      </c>
      <c r="C5854" s="25" t="n">
        <f aca="false">IF(C5839&gt;0,C5849,C5829)</f>
        <v>203.7630452</v>
      </c>
    </row>
    <row r="5855" customFormat="false" ht="15" hidden="false" customHeight="false" outlineLevel="0" collapsed="false">
      <c r="A5855" s="5" t="s">
        <v>458</v>
      </c>
      <c r="C5855" s="25" t="n">
        <f aca="false">IF(C5840&gt;0,C5850,C5830)</f>
        <v>526.2257</v>
      </c>
    </row>
    <row r="5856" customFormat="false" ht="15" hidden="false" customHeight="false" outlineLevel="0" collapsed="false">
      <c r="A5856" s="5" t="s">
        <v>459</v>
      </c>
      <c r="C5856" s="25" t="n">
        <f aca="false">IF(C5841&gt;0,C5851,C5831)</f>
        <v>256.875</v>
      </c>
    </row>
    <row r="5857" customFormat="false" ht="15" hidden="false" customHeight="false" outlineLevel="0" collapsed="false">
      <c r="A5857" s="5" t="s">
        <v>460</v>
      </c>
      <c r="C5857" s="25" t="n">
        <f aca="false">IF(C5842&gt;0,C5852,C5832)</f>
        <v>305.625</v>
      </c>
    </row>
    <row r="5858" customFormat="false" ht="15" hidden="false" customHeight="false" outlineLevel="0" collapsed="false">
      <c r="A5858" s="23" t="s">
        <v>466</v>
      </c>
      <c r="B5858" s="24"/>
      <c r="C5858" s="24"/>
      <c r="D5858" s="24"/>
      <c r="E5858" s="24"/>
      <c r="F5858" s="24"/>
      <c r="G5858" s="24"/>
      <c r="H5858" s="24"/>
      <c r="I5858" s="24"/>
      <c r="J5858" s="24"/>
      <c r="K5858" s="24"/>
    </row>
    <row r="5859" customFormat="false" ht="15" hidden="false" customHeight="false" outlineLevel="0" collapsed="false">
      <c r="A5859" s="5" t="s">
        <v>457</v>
      </c>
      <c r="C5859" s="20" t="n">
        <f aca="false">IF(C5839&gt;0,Assumptions!$C$17,C5834)</f>
        <v>1</v>
      </c>
    </row>
    <row r="5860" customFormat="false" ht="15" hidden="false" customHeight="false" outlineLevel="0" collapsed="false">
      <c r="A5860" s="5" t="s">
        <v>458</v>
      </c>
      <c r="C5860" s="20" t="n">
        <f aca="false">IF(C5840&gt;0,Assumptions!$C$17,C5835)</f>
        <v>2</v>
      </c>
    </row>
    <row r="5861" customFormat="false" ht="15" hidden="false" customHeight="false" outlineLevel="0" collapsed="false">
      <c r="A5861" s="5" t="s">
        <v>459</v>
      </c>
      <c r="C5861" s="20" t="n">
        <f aca="false">IF(C5841&gt;0,Assumptions!$C$17,C5836)</f>
        <v>3</v>
      </c>
    </row>
    <row r="5862" customFormat="false" ht="15" hidden="false" customHeight="false" outlineLevel="0" collapsed="false">
      <c r="A5862" s="5" t="s">
        <v>460</v>
      </c>
      <c r="C5862" s="20" t="n">
        <f aca="false">IF(C5842&gt;0,Assumptions!$C$17,C5837)</f>
        <v>4</v>
      </c>
    </row>
    <row r="5863" customFormat="false" ht="15" hidden="false" customHeight="false" outlineLevel="0" collapsed="false">
      <c r="A5863" s="23" t="s">
        <v>467</v>
      </c>
      <c r="B5863" s="24"/>
      <c r="C5863" s="24"/>
      <c r="D5863" s="24"/>
      <c r="E5863" s="24"/>
      <c r="F5863" s="24"/>
      <c r="G5863" s="24"/>
      <c r="H5863" s="24"/>
      <c r="I5863" s="24"/>
      <c r="J5863" s="24"/>
      <c r="K5863" s="24"/>
    </row>
    <row r="5864" customFormat="false" ht="15" hidden="false" customHeight="false" outlineLevel="0" collapsed="false">
      <c r="A5864" s="5" t="s">
        <v>457</v>
      </c>
      <c r="C5864" s="25" t="n">
        <f aca="false">SUMPRODUCT(($C$5859:$C$5862&lt;C5859)*$C$5854:$C$5857)</f>
        <v>0</v>
      </c>
    </row>
    <row r="5865" customFormat="false" ht="15" hidden="false" customHeight="false" outlineLevel="0" collapsed="false">
      <c r="A5865" s="5" t="s">
        <v>458</v>
      </c>
      <c r="C5865" s="25" t="n">
        <f aca="false">SUMPRODUCT(($C$5859:$C$5862&lt;C5860)*$C$5854:$C$5857)</f>
        <v>203.7630452</v>
      </c>
    </row>
    <row r="5866" customFormat="false" ht="15" hidden="false" customHeight="false" outlineLevel="0" collapsed="false">
      <c r="A5866" s="5" t="s">
        <v>459</v>
      </c>
      <c r="C5866" s="25" t="n">
        <f aca="false">SUMPRODUCT(($C$5859:$C$5862&lt;C5861)*$C$5854:$C$5857)</f>
        <v>729.9887452</v>
      </c>
    </row>
    <row r="5867" customFormat="false" ht="15" hidden="false" customHeight="false" outlineLevel="0" collapsed="false">
      <c r="A5867" s="5" t="s">
        <v>460</v>
      </c>
      <c r="C5867" s="25" t="n">
        <f aca="false">SUMPRODUCT(($C$5859:$C$5862&lt;C5862)*$C$5854:$C$5857)</f>
        <v>986.8637452</v>
      </c>
    </row>
    <row r="5868" customFormat="false" ht="15" hidden="false" customHeight="false" outlineLevel="0" collapsed="false">
      <c r="A5868" s="23" t="s">
        <v>468</v>
      </c>
      <c r="B5868" s="24"/>
      <c r="C5868" s="24"/>
      <c r="D5868" s="24"/>
      <c r="E5868" s="24"/>
      <c r="F5868" s="24"/>
      <c r="G5868" s="24"/>
      <c r="H5868" s="24"/>
      <c r="I5868" s="24"/>
      <c r="J5868" s="24"/>
      <c r="K5868" s="24"/>
    </row>
    <row r="5869" customFormat="false" ht="15" hidden="false" customHeight="false" outlineLevel="0" collapsed="false">
      <c r="A5869" s="5" t="s">
        <v>457</v>
      </c>
      <c r="C5869" s="25" t="n">
        <f aca="false">SUMPRODUCT(($C$5859:$C$5862=C5859)*$C$5854:$C$5857)</f>
        <v>203.7630452</v>
      </c>
    </row>
    <row r="5870" customFormat="false" ht="15" hidden="false" customHeight="false" outlineLevel="0" collapsed="false">
      <c r="A5870" s="5" t="s">
        <v>458</v>
      </c>
      <c r="C5870" s="25" t="n">
        <f aca="false">SUMPRODUCT(($C$5859:$C$5862=C5860)*$C$5854:$C$5857)</f>
        <v>526.2257</v>
      </c>
    </row>
    <row r="5871" customFormat="false" ht="15" hidden="false" customHeight="false" outlineLevel="0" collapsed="false">
      <c r="A5871" s="5" t="s">
        <v>459</v>
      </c>
      <c r="C5871" s="25" t="n">
        <f aca="false">SUMPRODUCT(($C$5859:$C$5862=C5861)*$C$5854:$C$5857)</f>
        <v>256.875</v>
      </c>
    </row>
    <row r="5872" customFormat="false" ht="15" hidden="false" customHeight="false" outlineLevel="0" collapsed="false">
      <c r="A5872" s="5" t="s">
        <v>460</v>
      </c>
      <c r="C5872" s="25" t="n">
        <f aca="false">SUMPRODUCT(($C$5859:$C$5862=C5862)*$C$5854:$C$5857)</f>
        <v>305.625</v>
      </c>
    </row>
    <row r="5873" customFormat="false" ht="15" hidden="false" customHeight="false" outlineLevel="0" collapsed="false">
      <c r="A5873" s="23" t="s">
        <v>469</v>
      </c>
      <c r="B5873" s="24"/>
      <c r="C5873" s="24"/>
      <c r="D5873" s="24"/>
      <c r="E5873" s="24"/>
      <c r="F5873" s="24"/>
      <c r="G5873" s="24"/>
      <c r="H5873" s="24"/>
      <c r="I5873" s="24"/>
      <c r="J5873" s="24"/>
      <c r="K5873" s="24"/>
    </row>
    <row r="5874" customFormat="false" ht="15" hidden="false" customHeight="false" outlineLevel="0" collapsed="false">
      <c r="A5874" s="5" t="s">
        <v>457</v>
      </c>
      <c r="C5874" s="25" t="n">
        <f aca="false">IF(C5869=0,0,C5854/C5869*MAX(0,MIN(C5869,$C$5827-SUM($C$5844:$C$5847)-C5864)))</f>
        <v>203.7630452</v>
      </c>
    </row>
    <row r="5875" customFormat="false" ht="15" hidden="false" customHeight="false" outlineLevel="0" collapsed="false">
      <c r="A5875" s="5" t="s">
        <v>458</v>
      </c>
      <c r="C5875" s="25" t="n">
        <f aca="false">IF(C5870=0,0,C5855/C5870*MAX(0,MIN(C5870,$C$5827-SUM($C$5844:$C$5847)-C5865)))</f>
        <v>185.6129548</v>
      </c>
    </row>
    <row r="5876" customFormat="false" ht="15" hidden="false" customHeight="false" outlineLevel="0" collapsed="false">
      <c r="A5876" s="5" t="s">
        <v>459</v>
      </c>
      <c r="C5876" s="25" t="n">
        <f aca="false">IF(C5871=0,0,C5856/C5871*MAX(0,MIN(C5871,$C$5827-SUM($C$5844:$C$5847)-C5866)))</f>
        <v>0</v>
      </c>
    </row>
    <row r="5877" customFormat="false" ht="15" hidden="false" customHeight="false" outlineLevel="0" collapsed="false">
      <c r="A5877" s="5" t="s">
        <v>460</v>
      </c>
      <c r="C5877" s="25" t="n">
        <f aca="false">IF(C5872=0,0,C5857/C5872*MAX(0,MIN(C5872,$C$5827-SUM($C$5844:$C$5847)-C5867)))</f>
        <v>0</v>
      </c>
    </row>
    <row r="5878" customFormat="false" ht="15" hidden="false" customHeight="false" outlineLevel="0" collapsed="false">
      <c r="A5878" s="23" t="s">
        <v>470</v>
      </c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</row>
    <row r="5879" customFormat="false" ht="15" hidden="false" customHeight="false" outlineLevel="0" collapsed="false">
      <c r="A5879" s="2" t="s">
        <v>457</v>
      </c>
      <c r="C5879" s="16" t="n">
        <f aca="false">C5844+C5874</f>
        <v>203.7630452</v>
      </c>
    </row>
    <row r="5880" customFormat="false" ht="15" hidden="false" customHeight="false" outlineLevel="0" collapsed="false">
      <c r="A5880" s="2" t="s">
        <v>458</v>
      </c>
      <c r="C5880" s="16" t="n">
        <f aca="false">C5845+C5875</f>
        <v>185.6129548</v>
      </c>
    </row>
    <row r="5881" customFormat="false" ht="15" hidden="false" customHeight="false" outlineLevel="0" collapsed="false">
      <c r="A5881" s="2" t="s">
        <v>459</v>
      </c>
      <c r="C5881" s="16" t="n">
        <f aca="false">C5846+C5876</f>
        <v>0</v>
      </c>
    </row>
    <row r="5882" customFormat="false" ht="15" hidden="false" customHeight="false" outlineLevel="0" collapsed="false">
      <c r="A5882" s="2" t="s">
        <v>460</v>
      </c>
      <c r="C5882" s="16" t="n">
        <f aca="false">C5847+C5877</f>
        <v>0</v>
      </c>
    </row>
    <row r="5883" customFormat="false" ht="15" hidden="false" customHeight="false" outlineLevel="0" collapsed="false">
      <c r="A5883" s="23" t="s">
        <v>471</v>
      </c>
      <c r="B5883" s="24"/>
      <c r="C5883" s="24"/>
      <c r="D5883" s="24"/>
      <c r="E5883" s="24"/>
      <c r="F5883" s="24"/>
      <c r="G5883" s="24"/>
      <c r="H5883" s="24"/>
      <c r="I5883" s="24"/>
      <c r="J5883" s="24"/>
      <c r="K5883" s="24"/>
    </row>
    <row r="5884" customFormat="false" ht="15" hidden="false" customHeight="false" outlineLevel="0" collapsed="false">
      <c r="A5884" s="5" t="s">
        <v>457</v>
      </c>
      <c r="C5884" s="21" t="n">
        <f aca="false">IF(C5829=0,1,C5879/C5829)</f>
        <v>1</v>
      </c>
    </row>
    <row r="5885" customFormat="false" ht="15" hidden="false" customHeight="false" outlineLevel="0" collapsed="false">
      <c r="A5885" s="5" t="s">
        <v>458</v>
      </c>
      <c r="C5885" s="21" t="n">
        <f aca="false">IF(C5830=0,1,C5880/C5830)</f>
        <v>0.352724990056548</v>
      </c>
    </row>
    <row r="5886" customFormat="false" ht="15" hidden="false" customHeight="false" outlineLevel="0" collapsed="false">
      <c r="A5886" s="5" t="s">
        <v>459</v>
      </c>
      <c r="C5886" s="21" t="n">
        <f aca="false">IF(C5831=0,1,C5881/C5831)</f>
        <v>0</v>
      </c>
    </row>
    <row r="5887" customFormat="false" ht="15" hidden="false" customHeight="false" outlineLevel="0" collapsed="false">
      <c r="A5887" s="5" t="s">
        <v>460</v>
      </c>
      <c r="C5887" s="21" t="n">
        <f aca="false">IF(C5832=0,1,C5882/C5832)</f>
        <v>0</v>
      </c>
    </row>
    <row r="5888" customFormat="false" ht="15" hidden="false" customHeight="false" outlineLevel="0" collapsed="false">
      <c r="A5888" s="23" t="s">
        <v>472</v>
      </c>
      <c r="B5888" s="24"/>
      <c r="C5888" s="24"/>
      <c r="D5888" s="24"/>
      <c r="E5888" s="24"/>
      <c r="F5888" s="24"/>
      <c r="G5888" s="24"/>
      <c r="H5888" s="24"/>
      <c r="I5888" s="24"/>
      <c r="J5888" s="24"/>
      <c r="K5888" s="24"/>
    </row>
    <row r="5889" customFormat="false" ht="15" hidden="false" customHeight="false" outlineLevel="0" collapsed="false">
      <c r="A5889" s="5" t="s">
        <v>457</v>
      </c>
      <c r="C5889" s="25" t="n">
        <f aca="false">C5829-C5879</f>
        <v>0</v>
      </c>
    </row>
    <row r="5890" customFormat="false" ht="15" hidden="false" customHeight="false" outlineLevel="0" collapsed="false">
      <c r="A5890" s="5" t="s">
        <v>458</v>
      </c>
      <c r="C5890" s="25" t="n">
        <f aca="false">C5830-C5880</f>
        <v>340.6127452</v>
      </c>
    </row>
    <row r="5891" customFormat="false" ht="15" hidden="false" customHeight="false" outlineLevel="0" collapsed="false">
      <c r="A5891" s="5" t="s">
        <v>459</v>
      </c>
      <c r="C5891" s="25" t="n">
        <f aca="false">C5831-C5881</f>
        <v>256.875</v>
      </c>
    </row>
    <row r="5892" customFormat="false" ht="15" hidden="false" customHeight="false" outlineLevel="0" collapsed="false">
      <c r="A5892" s="5" t="s">
        <v>460</v>
      </c>
      <c r="C5892" s="25" t="n">
        <f aca="false">C5832-C5882</f>
        <v>305.625</v>
      </c>
    </row>
    <row r="5893" customFormat="false" ht="15" hidden="false" customHeight="false" outlineLevel="0" collapsed="false">
      <c r="A5893" s="23" t="s">
        <v>473</v>
      </c>
      <c r="B5893" s="24"/>
      <c r="C5893" s="24"/>
      <c r="D5893" s="24"/>
      <c r="E5893" s="24"/>
      <c r="F5893" s="24"/>
      <c r="G5893" s="24"/>
      <c r="H5893" s="24"/>
      <c r="I5893" s="24"/>
      <c r="J5893" s="24"/>
      <c r="K5893" s="24"/>
    </row>
    <row r="5894" customFormat="false" ht="15" hidden="false" customHeight="false" outlineLevel="0" collapsed="false">
      <c r="A5894" s="5" t="s">
        <v>457</v>
      </c>
      <c r="C5894" s="21" t="n">
        <f aca="false">IF(C5829=0,0,C5889/C5829)</f>
        <v>0</v>
      </c>
    </row>
    <row r="5895" customFormat="false" ht="15" hidden="false" customHeight="false" outlineLevel="0" collapsed="false">
      <c r="A5895" s="5" t="s">
        <v>458</v>
      </c>
      <c r="C5895" s="21" t="n">
        <f aca="false">IF(C5830=0,0,C5890/C5830)</f>
        <v>0.647275009943452</v>
      </c>
    </row>
    <row r="5896" customFormat="false" ht="15" hidden="false" customHeight="false" outlineLevel="0" collapsed="false">
      <c r="A5896" s="5" t="s">
        <v>459</v>
      </c>
      <c r="C5896" s="21" t="n">
        <f aca="false">IF(C5831=0,0,C5891/C5831)</f>
        <v>1</v>
      </c>
    </row>
    <row r="5897" customFormat="false" ht="15" hidden="false" customHeight="false" outlineLevel="0" collapsed="false">
      <c r="A5897" s="5" t="s">
        <v>460</v>
      </c>
      <c r="C5897" s="21" t="n">
        <f aca="false">IF(C5832=0,0,C5892/C5832)</f>
        <v>1</v>
      </c>
    </row>
    <row r="5898" customFormat="false" ht="15" hidden="false" customHeight="false" outlineLevel="0" collapsed="false">
      <c r="A5898" s="2" t="s">
        <v>474</v>
      </c>
      <c r="C5898" s="16" t="n">
        <f aca="false">MAX(0,$C$5827-SUM($C$5844:$C$5847)-SUM($C$5854:$C$5857))</f>
        <v>0</v>
      </c>
    </row>
    <row r="5899" customFormat="false" ht="15" hidden="false" customHeight="false" outlineLevel="0" collapsed="false">
      <c r="A5899" s="5" t="s">
        <v>475</v>
      </c>
      <c r="C5899" s="25" t="n">
        <f aca="false">SUM($C$5879:$C$5882)+C5898+C5826-C5825</f>
        <v>0</v>
      </c>
    </row>
    <row r="5901" customFormat="false" ht="15" hidden="false" customHeight="false" outlineLevel="0" collapsed="false">
      <c r="A5901" s="23" t="s">
        <v>478</v>
      </c>
      <c r="B5901" s="24"/>
      <c r="C5901" s="24"/>
      <c r="D5901" s="24"/>
      <c r="E5901" s="24"/>
      <c r="F5901" s="24"/>
      <c r="G5901" s="24"/>
      <c r="H5901" s="24"/>
      <c r="I5901" s="24"/>
      <c r="J5901" s="24"/>
      <c r="K5901" s="24"/>
    </row>
    <row r="5902" customFormat="false" ht="15" hidden="false" customHeight="false" outlineLevel="0" collapsed="false">
      <c r="A5902" s="5" t="s">
        <v>479</v>
      </c>
      <c r="C5902" s="26" t="n">
        <f aca="false">Assumptions!$C$30</f>
        <v>2</v>
      </c>
    </row>
    <row r="5903" customFormat="false" ht="15" hidden="false" customHeight="false" outlineLevel="0" collapsed="false">
      <c r="A5903" s="5" t="s">
        <v>480</v>
      </c>
      <c r="C5903" s="28" t="n">
        <f aca="false">Assumptions!$C$31</f>
        <v>100</v>
      </c>
    </row>
    <row r="5904" customFormat="false" ht="15" hidden="false" customHeight="false" outlineLevel="0" collapsed="false">
      <c r="A5904" s="5" t="s">
        <v>481</v>
      </c>
      <c r="C5904" s="39" t="n">
        <f aca="false">Assumptions!$C$32</f>
        <v>78</v>
      </c>
    </row>
    <row r="5905" customFormat="false" ht="15" hidden="false" customHeight="false" outlineLevel="0" collapsed="false">
      <c r="A5905" s="5" t="s">
        <v>482</v>
      </c>
      <c r="C5905" s="25" t="n">
        <f aca="false">C5903*C5904/100*(1+Assumptions!$C$33)</f>
        <v>78.39</v>
      </c>
    </row>
    <row r="5906" customFormat="false" ht="15" hidden="false" customHeight="false" outlineLevel="0" collapsed="false">
      <c r="A5906" s="5" t="s">
        <v>483</v>
      </c>
      <c r="C5906" s="26" t="n">
        <f aca="false">Assumptions!$C$34</f>
        <v>2</v>
      </c>
    </row>
    <row r="5907" customFormat="false" ht="15" hidden="false" customHeight="false" outlineLevel="0" collapsed="false">
      <c r="A5907" s="5" t="s">
        <v>484</v>
      </c>
      <c r="C5907" s="20" t="n">
        <f aca="false">IF(C5818=1,SUMPRODUCT($G$5786:$K$5786,$G$5662:$K$5662),0)</f>
        <v>2</v>
      </c>
    </row>
    <row r="5908" customFormat="false" ht="15" hidden="false" customHeight="false" outlineLevel="0" collapsed="false">
      <c r="A5908" s="5" t="s">
        <v>485</v>
      </c>
      <c r="C5908" s="21" t="n">
        <f aca="false">IFERROR(C5903/CHOOSE(C5902,SUMPRODUCT($G$5817:$K$5817,$G$5708:$K$5708),SUMPRODUCT($G$5817:$K$5817,$G$5721:$K$5721),SUMPRODUCT($G$5817:$K$5817,$G$5734:$K$5734),SUMPRODUCT($G$5817:$K$5817,$G$5747:$K$5747)),0)</f>
        <v>0.196232339089482</v>
      </c>
    </row>
    <row r="5909" customFormat="false" ht="15" hidden="false" customHeight="false" outlineLevel="0" collapsed="false">
      <c r="A5909" s="5" t="s">
        <v>486</v>
      </c>
      <c r="C5909" s="25" t="n">
        <f aca="false">CHOOSE(C5902,C5879,C5880,C5881,C5882)*C5908</f>
        <v>36.4232642857143</v>
      </c>
    </row>
    <row r="5910" customFormat="false" ht="15" hidden="false" customHeight="false" outlineLevel="0" collapsed="false">
      <c r="A5910" s="5" t="s">
        <v>487</v>
      </c>
      <c r="C5910" s="21" t="n">
        <f aca="false">CHOOSE(C5902,C5884,C5885,C5886,C5887)</f>
        <v>0.352724990056548</v>
      </c>
    </row>
    <row r="5911" customFormat="false" ht="15" hidden="false" customHeight="false" outlineLevel="0" collapsed="false">
      <c r="A5911" s="5" t="s">
        <v>488</v>
      </c>
      <c r="C5911" s="20" t="n">
        <f aca="false">IF(C5818=1,C5907,C5906)</f>
        <v>2</v>
      </c>
    </row>
    <row r="5912" customFormat="false" ht="15" hidden="false" customHeight="false" outlineLevel="0" collapsed="false">
      <c r="A5912" s="5" t="s">
        <v>489</v>
      </c>
      <c r="C5912" s="33" t="n">
        <f aca="false">CHOOSE($C$5654,Assumptions!$C$77,Assumptions!$C$96,Assumptions!$C$115)</f>
        <v>70</v>
      </c>
    </row>
    <row r="5913" customFormat="false" ht="15" hidden="false" customHeight="false" outlineLevel="0" collapsed="false">
      <c r="A5913" s="5" t="s">
        <v>490</v>
      </c>
      <c r="C5913" s="25" t="n">
        <f aca="false">INDEX($G$5671:$K$5671,C5906)*CHOOSE($C$5654,Assumptions!$C$76,Assumptions!$C$95,Assumptions!$C$114)+MAX(0,INDEX($G$5783:$K$5783,C5906))</f>
        <v>167.93784</v>
      </c>
    </row>
    <row r="5914" customFormat="false" ht="15" hidden="false" customHeight="false" outlineLevel="0" collapsed="false">
      <c r="A5914" s="23" t="s">
        <v>491</v>
      </c>
      <c r="B5914" s="24"/>
      <c r="C5914" s="24"/>
      <c r="D5914" s="24"/>
      <c r="E5914" s="24"/>
      <c r="F5914" s="24"/>
      <c r="G5914" s="24"/>
      <c r="H5914" s="24"/>
      <c r="I5914" s="24"/>
      <c r="J5914" s="24"/>
      <c r="K5914" s="24"/>
    </row>
    <row r="5915" customFormat="false" ht="15" hidden="false" customHeight="false" outlineLevel="0" collapsed="false">
      <c r="A5915" s="5" t="s">
        <v>457</v>
      </c>
      <c r="C5915" s="25" t="n">
        <f aca="false">INDEX($G$5708:$K$5708,C5906)</f>
        <v>198.1408</v>
      </c>
    </row>
    <row r="5916" customFormat="false" ht="15" hidden="false" customHeight="false" outlineLevel="0" collapsed="false">
      <c r="A5916" s="5" t="s">
        <v>458</v>
      </c>
      <c r="C5916" s="25" t="n">
        <f aca="false">INDEX($G$5721:$K$5721,C5906)</f>
        <v>509.6</v>
      </c>
    </row>
    <row r="5917" customFormat="false" ht="15" hidden="false" customHeight="false" outlineLevel="0" collapsed="false">
      <c r="A5917" s="5" t="s">
        <v>459</v>
      </c>
      <c r="C5917" s="25" t="n">
        <f aca="false">INDEX($G$5734:$K$5734,C5906)</f>
        <v>250</v>
      </c>
    </row>
    <row r="5918" customFormat="false" ht="15" hidden="false" customHeight="false" outlineLevel="0" collapsed="false">
      <c r="A5918" s="5" t="s">
        <v>460</v>
      </c>
      <c r="C5918" s="25" t="n">
        <f aca="false">INDEX($G$5747:$K$5747,C5906)</f>
        <v>300</v>
      </c>
    </row>
    <row r="5919" customFormat="false" ht="15" hidden="false" customHeight="false" outlineLevel="0" collapsed="false">
      <c r="A5919" s="23" t="s">
        <v>461</v>
      </c>
      <c r="B5919" s="24"/>
      <c r="C5919" s="24"/>
      <c r="D5919" s="24"/>
      <c r="E5919" s="24"/>
      <c r="F5919" s="24"/>
      <c r="G5919" s="24"/>
      <c r="H5919" s="24"/>
      <c r="I5919" s="24"/>
      <c r="J5919" s="24"/>
      <c r="K5919" s="24"/>
    </row>
    <row r="5920" customFormat="false" ht="15" hidden="false" customHeight="false" outlineLevel="0" collapsed="false">
      <c r="A5920" s="5" t="s">
        <v>457</v>
      </c>
      <c r="C5920" s="26" t="n">
        <f aca="false">Assumptions!$M$53</f>
        <v>1</v>
      </c>
    </row>
    <row r="5921" customFormat="false" ht="15" hidden="false" customHeight="false" outlineLevel="0" collapsed="false">
      <c r="A5921" s="5" t="s">
        <v>458</v>
      </c>
      <c r="C5921" s="26" t="n">
        <f aca="false">Assumptions!$M$54</f>
        <v>2</v>
      </c>
    </row>
    <row r="5922" customFormat="false" ht="15" hidden="false" customHeight="false" outlineLevel="0" collapsed="false">
      <c r="A5922" s="5" t="s">
        <v>459</v>
      </c>
      <c r="C5922" s="26" t="n">
        <f aca="false">Assumptions!$M$55</f>
        <v>3</v>
      </c>
    </row>
    <row r="5923" customFormat="false" ht="15" hidden="false" customHeight="false" outlineLevel="0" collapsed="false">
      <c r="A5923" s="5" t="s">
        <v>460</v>
      </c>
      <c r="C5923" s="26" t="n">
        <f aca="false">Assumptions!$M$56</f>
        <v>4</v>
      </c>
    </row>
    <row r="5924" customFormat="false" ht="15" hidden="false" customHeight="false" outlineLevel="0" collapsed="false">
      <c r="A5924" s="23" t="s">
        <v>462</v>
      </c>
      <c r="B5924" s="24"/>
      <c r="C5924" s="24"/>
      <c r="D5924" s="24"/>
      <c r="E5924" s="24"/>
      <c r="F5924" s="24"/>
      <c r="G5924" s="24"/>
      <c r="H5924" s="24"/>
      <c r="I5924" s="24"/>
      <c r="J5924" s="24"/>
      <c r="K5924" s="24"/>
    </row>
    <row r="5925" customFormat="false" ht="15" hidden="false" customHeight="false" outlineLevel="0" collapsed="false">
      <c r="A5925" s="5" t="s">
        <v>457</v>
      </c>
      <c r="C5925" s="34" t="n">
        <f aca="false">Assumptions!$Q$53</f>
        <v>0</v>
      </c>
    </row>
    <row r="5926" customFormat="false" ht="15" hidden="false" customHeight="false" outlineLevel="0" collapsed="false">
      <c r="A5926" s="5" t="s">
        <v>458</v>
      </c>
      <c r="C5926" s="34" t="n">
        <f aca="false">Assumptions!$Q$54</f>
        <v>0</v>
      </c>
    </row>
    <row r="5927" customFormat="false" ht="15" hidden="false" customHeight="false" outlineLevel="0" collapsed="false">
      <c r="A5927" s="5" t="s">
        <v>459</v>
      </c>
      <c r="C5927" s="34" t="n">
        <f aca="false">Assumptions!$Q$55</f>
        <v>0</v>
      </c>
    </row>
    <row r="5928" customFormat="false" ht="15" hidden="false" customHeight="false" outlineLevel="0" collapsed="false">
      <c r="A5928" s="5" t="s">
        <v>460</v>
      </c>
      <c r="C5928" s="34" t="n">
        <f aca="false">Assumptions!$Q$56</f>
        <v>0</v>
      </c>
    </row>
    <row r="5929" customFormat="false" ht="15" hidden="false" customHeight="false" outlineLevel="0" collapsed="false">
      <c r="A5929" s="23" t="s">
        <v>463</v>
      </c>
      <c r="B5929" s="24"/>
      <c r="C5929" s="24"/>
      <c r="D5929" s="24"/>
      <c r="E5929" s="24"/>
      <c r="F5929" s="24"/>
      <c r="G5929" s="24"/>
      <c r="H5929" s="24"/>
      <c r="I5929" s="24"/>
      <c r="J5929" s="24"/>
      <c r="K5929" s="24"/>
    </row>
    <row r="5930" customFormat="false" ht="15" hidden="false" customHeight="false" outlineLevel="0" collapsed="false">
      <c r="A5930" s="5" t="s">
        <v>457</v>
      </c>
      <c r="C5930" s="25" t="n">
        <f aca="false">IF(C5925&gt;0,MIN(C5915,C5925*$C$5913),0)</f>
        <v>0</v>
      </c>
    </row>
    <row r="5931" customFormat="false" ht="15" hidden="false" customHeight="false" outlineLevel="0" collapsed="false">
      <c r="A5931" s="5" t="s">
        <v>458</v>
      </c>
      <c r="C5931" s="25" t="n">
        <f aca="false">IF(C5926&gt;0,MIN(C5916,C5926*$C$5913),0)</f>
        <v>0</v>
      </c>
    </row>
    <row r="5932" customFormat="false" ht="15" hidden="false" customHeight="false" outlineLevel="0" collapsed="false">
      <c r="A5932" s="5" t="s">
        <v>459</v>
      </c>
      <c r="C5932" s="25" t="n">
        <f aca="false">IF(C5927&gt;0,MIN(C5917,C5927*$C$5913),0)</f>
        <v>0</v>
      </c>
    </row>
    <row r="5933" customFormat="false" ht="15" hidden="false" customHeight="false" outlineLevel="0" collapsed="false">
      <c r="A5933" s="5" t="s">
        <v>460</v>
      </c>
      <c r="C5933" s="25" t="n">
        <f aca="false">IF(C5928&gt;0,MIN(C5918,C5928*$C$5913),0)</f>
        <v>0</v>
      </c>
    </row>
    <row r="5934" customFormat="false" ht="15" hidden="false" customHeight="false" outlineLevel="0" collapsed="false">
      <c r="A5934" s="23" t="s">
        <v>464</v>
      </c>
      <c r="B5934" s="24"/>
      <c r="C5934" s="24"/>
      <c r="D5934" s="24"/>
      <c r="E5934" s="24"/>
      <c r="F5934" s="24"/>
      <c r="G5934" s="24"/>
      <c r="H5934" s="24"/>
      <c r="I5934" s="24"/>
      <c r="J5934" s="24"/>
      <c r="K5934" s="24"/>
    </row>
    <row r="5935" customFormat="false" ht="15" hidden="false" customHeight="false" outlineLevel="0" collapsed="false">
      <c r="A5935" s="5" t="s">
        <v>457</v>
      </c>
      <c r="C5935" s="25" t="n">
        <f aca="false">IF(C5925&gt;0,C5915-C5930,0)</f>
        <v>0</v>
      </c>
    </row>
    <row r="5936" customFormat="false" ht="15" hidden="false" customHeight="false" outlineLevel="0" collapsed="false">
      <c r="A5936" s="5" t="s">
        <v>458</v>
      </c>
      <c r="C5936" s="25" t="n">
        <f aca="false">IF(C5926&gt;0,C5916-C5931,0)</f>
        <v>0</v>
      </c>
    </row>
    <row r="5937" customFormat="false" ht="15" hidden="false" customHeight="false" outlineLevel="0" collapsed="false">
      <c r="A5937" s="5" t="s">
        <v>459</v>
      </c>
      <c r="C5937" s="25" t="n">
        <f aca="false">IF(C5927&gt;0,C5917-C5932,0)</f>
        <v>0</v>
      </c>
    </row>
    <row r="5938" customFormat="false" ht="15" hidden="false" customHeight="false" outlineLevel="0" collapsed="false">
      <c r="A5938" s="5" t="s">
        <v>460</v>
      </c>
      <c r="C5938" s="25" t="n">
        <f aca="false">IF(C5928&gt;0,C5918-C5933,0)</f>
        <v>0</v>
      </c>
    </row>
    <row r="5939" customFormat="false" ht="15" hidden="false" customHeight="false" outlineLevel="0" collapsed="false">
      <c r="A5939" s="23" t="s">
        <v>465</v>
      </c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</row>
    <row r="5940" customFormat="false" ht="15" hidden="false" customHeight="false" outlineLevel="0" collapsed="false">
      <c r="A5940" s="5" t="s">
        <v>457</v>
      </c>
      <c r="C5940" s="25" t="n">
        <f aca="false">IF(C5925&gt;0,C5935,C5915)</f>
        <v>198.1408</v>
      </c>
    </row>
    <row r="5941" customFormat="false" ht="15" hidden="false" customHeight="false" outlineLevel="0" collapsed="false">
      <c r="A5941" s="5" t="s">
        <v>458</v>
      </c>
      <c r="C5941" s="25" t="n">
        <f aca="false">IF(C5926&gt;0,C5936,C5916)</f>
        <v>509.6</v>
      </c>
    </row>
    <row r="5942" customFormat="false" ht="15" hidden="false" customHeight="false" outlineLevel="0" collapsed="false">
      <c r="A5942" s="5" t="s">
        <v>459</v>
      </c>
      <c r="C5942" s="25" t="n">
        <f aca="false">IF(C5927&gt;0,C5937,C5917)</f>
        <v>250</v>
      </c>
    </row>
    <row r="5943" customFormat="false" ht="15" hidden="false" customHeight="false" outlineLevel="0" collapsed="false">
      <c r="A5943" s="5" t="s">
        <v>460</v>
      </c>
      <c r="C5943" s="25" t="n">
        <f aca="false">IF(C5928&gt;0,C5938,C5918)</f>
        <v>300</v>
      </c>
    </row>
    <row r="5944" customFormat="false" ht="15" hidden="false" customHeight="false" outlineLevel="0" collapsed="false">
      <c r="A5944" s="23" t="s">
        <v>466</v>
      </c>
      <c r="B5944" s="24"/>
      <c r="C5944" s="24"/>
      <c r="D5944" s="24"/>
      <c r="E5944" s="24"/>
      <c r="F5944" s="24"/>
      <c r="G5944" s="24"/>
      <c r="H5944" s="24"/>
      <c r="I5944" s="24"/>
      <c r="J5944" s="24"/>
      <c r="K5944" s="24"/>
    </row>
    <row r="5945" customFormat="false" ht="15" hidden="false" customHeight="false" outlineLevel="0" collapsed="false">
      <c r="A5945" s="5" t="s">
        <v>457</v>
      </c>
      <c r="C5945" s="20" t="n">
        <f aca="false">IF(C5925&gt;0,Assumptions!$C$17,C5920)</f>
        <v>1</v>
      </c>
    </row>
    <row r="5946" customFormat="false" ht="15" hidden="false" customHeight="false" outlineLevel="0" collapsed="false">
      <c r="A5946" s="5" t="s">
        <v>458</v>
      </c>
      <c r="C5946" s="20" t="n">
        <f aca="false">IF(C5926&gt;0,Assumptions!$C$17,C5921)</f>
        <v>2</v>
      </c>
    </row>
    <row r="5947" customFormat="false" ht="15" hidden="false" customHeight="false" outlineLevel="0" collapsed="false">
      <c r="A5947" s="5" t="s">
        <v>459</v>
      </c>
      <c r="C5947" s="20" t="n">
        <f aca="false">IF(C5927&gt;0,Assumptions!$C$17,C5922)</f>
        <v>3</v>
      </c>
    </row>
    <row r="5948" customFormat="false" ht="15" hidden="false" customHeight="false" outlineLevel="0" collapsed="false">
      <c r="A5948" s="5" t="s">
        <v>460</v>
      </c>
      <c r="C5948" s="20" t="n">
        <f aca="false">IF(C5928&gt;0,Assumptions!$C$17,C5923)</f>
        <v>4</v>
      </c>
    </row>
    <row r="5949" customFormat="false" ht="15" hidden="false" customHeight="false" outlineLevel="0" collapsed="false">
      <c r="A5949" s="23" t="s">
        <v>467</v>
      </c>
      <c r="B5949" s="24"/>
      <c r="C5949" s="24"/>
      <c r="D5949" s="24"/>
      <c r="E5949" s="24"/>
      <c r="F5949" s="24"/>
      <c r="G5949" s="24"/>
      <c r="H5949" s="24"/>
      <c r="I5949" s="24"/>
      <c r="J5949" s="24"/>
      <c r="K5949" s="24"/>
    </row>
    <row r="5950" customFormat="false" ht="15" hidden="false" customHeight="false" outlineLevel="0" collapsed="false">
      <c r="A5950" s="5" t="s">
        <v>457</v>
      </c>
      <c r="C5950" s="25" t="n">
        <f aca="false">SUMPRODUCT(($C$5945:$C$5948&lt;C5945)*$C$5940:$C$5943)</f>
        <v>0</v>
      </c>
    </row>
    <row r="5951" customFormat="false" ht="15" hidden="false" customHeight="false" outlineLevel="0" collapsed="false">
      <c r="A5951" s="5" t="s">
        <v>458</v>
      </c>
      <c r="C5951" s="25" t="n">
        <f aca="false">SUMPRODUCT(($C$5945:$C$5948&lt;C5946)*$C$5940:$C$5943)</f>
        <v>198.1408</v>
      </c>
    </row>
    <row r="5952" customFormat="false" ht="15" hidden="false" customHeight="false" outlineLevel="0" collapsed="false">
      <c r="A5952" s="5" t="s">
        <v>459</v>
      </c>
      <c r="C5952" s="25" t="n">
        <f aca="false">SUMPRODUCT(($C$5945:$C$5948&lt;C5947)*$C$5940:$C$5943)</f>
        <v>707.7408</v>
      </c>
    </row>
    <row r="5953" customFormat="false" ht="15" hidden="false" customHeight="false" outlineLevel="0" collapsed="false">
      <c r="A5953" s="5" t="s">
        <v>460</v>
      </c>
      <c r="C5953" s="25" t="n">
        <f aca="false">SUMPRODUCT(($C$5945:$C$5948&lt;C5948)*$C$5940:$C$5943)</f>
        <v>957.7408</v>
      </c>
    </row>
    <row r="5954" customFormat="false" ht="15" hidden="false" customHeight="false" outlineLevel="0" collapsed="false">
      <c r="A5954" s="23" t="s">
        <v>468</v>
      </c>
      <c r="B5954" s="24"/>
      <c r="C5954" s="24"/>
      <c r="D5954" s="24"/>
      <c r="E5954" s="24"/>
      <c r="F5954" s="24"/>
      <c r="G5954" s="24"/>
      <c r="H5954" s="24"/>
      <c r="I5954" s="24"/>
      <c r="J5954" s="24"/>
      <c r="K5954" s="24"/>
    </row>
    <row r="5955" customFormat="false" ht="15" hidden="false" customHeight="false" outlineLevel="0" collapsed="false">
      <c r="A5955" s="5" t="s">
        <v>457</v>
      </c>
      <c r="C5955" s="25" t="n">
        <f aca="false">SUMPRODUCT(($C$5945:$C$5948=C5945)*$C$5940:$C$5943)</f>
        <v>198.1408</v>
      </c>
    </row>
    <row r="5956" customFormat="false" ht="15" hidden="false" customHeight="false" outlineLevel="0" collapsed="false">
      <c r="A5956" s="5" t="s">
        <v>458</v>
      </c>
      <c r="C5956" s="25" t="n">
        <f aca="false">SUMPRODUCT(($C$5945:$C$5948=C5946)*$C$5940:$C$5943)</f>
        <v>509.6</v>
      </c>
    </row>
    <row r="5957" customFormat="false" ht="15" hidden="false" customHeight="false" outlineLevel="0" collapsed="false">
      <c r="A5957" s="5" t="s">
        <v>459</v>
      </c>
      <c r="C5957" s="25" t="n">
        <f aca="false">SUMPRODUCT(($C$5945:$C$5948=C5947)*$C$5940:$C$5943)</f>
        <v>250</v>
      </c>
    </row>
    <row r="5958" customFormat="false" ht="15" hidden="false" customHeight="false" outlineLevel="0" collapsed="false">
      <c r="A5958" s="5" t="s">
        <v>460</v>
      </c>
      <c r="C5958" s="25" t="n">
        <f aca="false">SUMPRODUCT(($C$5945:$C$5948=C5948)*$C$5940:$C$5943)</f>
        <v>300</v>
      </c>
    </row>
    <row r="5959" customFormat="false" ht="15" hidden="false" customHeight="false" outlineLevel="0" collapsed="false">
      <c r="A5959" s="23" t="s">
        <v>469</v>
      </c>
      <c r="B5959" s="24"/>
      <c r="C5959" s="24"/>
      <c r="D5959" s="24"/>
      <c r="E5959" s="24"/>
      <c r="F5959" s="24"/>
      <c r="G5959" s="24"/>
      <c r="H5959" s="24"/>
      <c r="I5959" s="24"/>
      <c r="J5959" s="24"/>
      <c r="K5959" s="24"/>
    </row>
    <row r="5960" customFormat="false" ht="15" hidden="false" customHeight="false" outlineLevel="0" collapsed="false">
      <c r="A5960" s="5" t="s">
        <v>457</v>
      </c>
      <c r="C5960" s="25" t="n">
        <f aca="false">IF(C5955=0,0,C5940/C5955*MAX(0,MIN(C5955,$C$5913-SUM($C$5930:$C$5933)-C5950)))</f>
        <v>167.93784</v>
      </c>
    </row>
    <row r="5961" customFormat="false" ht="15" hidden="false" customHeight="false" outlineLevel="0" collapsed="false">
      <c r="A5961" s="5" t="s">
        <v>458</v>
      </c>
      <c r="C5961" s="25" t="n">
        <f aca="false">IF(C5956=0,0,C5941/C5956*MAX(0,MIN(C5956,$C$5913-SUM($C$5930:$C$5933)-C5951)))</f>
        <v>0</v>
      </c>
    </row>
    <row r="5962" customFormat="false" ht="15" hidden="false" customHeight="false" outlineLevel="0" collapsed="false">
      <c r="A5962" s="5" t="s">
        <v>459</v>
      </c>
      <c r="C5962" s="25" t="n">
        <f aca="false">IF(C5957=0,0,C5942/C5957*MAX(0,MIN(C5957,$C$5913-SUM($C$5930:$C$5933)-C5952)))</f>
        <v>0</v>
      </c>
    </row>
    <row r="5963" customFormat="false" ht="15" hidden="false" customHeight="false" outlineLevel="0" collapsed="false">
      <c r="A5963" s="5" t="s">
        <v>460</v>
      </c>
      <c r="C5963" s="25" t="n">
        <f aca="false">IF(C5958=0,0,C5943/C5958*MAX(0,MIN(C5958,$C$5913-SUM($C$5930:$C$5933)-C5953)))</f>
        <v>0</v>
      </c>
    </row>
    <row r="5964" customFormat="false" ht="15" hidden="false" customHeight="false" outlineLevel="0" collapsed="false">
      <c r="A5964" s="23" t="s">
        <v>470</v>
      </c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</row>
    <row r="5965" customFormat="false" ht="15" hidden="false" customHeight="false" outlineLevel="0" collapsed="false">
      <c r="A5965" s="2" t="s">
        <v>457</v>
      </c>
      <c r="C5965" s="16" t="n">
        <f aca="false">C5930+C5960</f>
        <v>167.93784</v>
      </c>
    </row>
    <row r="5966" customFormat="false" ht="15" hidden="false" customHeight="false" outlineLevel="0" collapsed="false">
      <c r="A5966" s="2" t="s">
        <v>458</v>
      </c>
      <c r="C5966" s="16" t="n">
        <f aca="false">C5931+C5961</f>
        <v>0</v>
      </c>
    </row>
    <row r="5967" customFormat="false" ht="15" hidden="false" customHeight="false" outlineLevel="0" collapsed="false">
      <c r="A5967" s="2" t="s">
        <v>459</v>
      </c>
      <c r="C5967" s="16" t="n">
        <f aca="false">C5932+C5962</f>
        <v>0</v>
      </c>
    </row>
    <row r="5968" customFormat="false" ht="15" hidden="false" customHeight="false" outlineLevel="0" collapsed="false">
      <c r="A5968" s="2" t="s">
        <v>460</v>
      </c>
      <c r="C5968" s="16" t="n">
        <f aca="false">C5933+C5963</f>
        <v>0</v>
      </c>
    </row>
    <row r="5969" customFormat="false" ht="15" hidden="false" customHeight="false" outlineLevel="0" collapsed="false">
      <c r="A5969" s="23" t="s">
        <v>471</v>
      </c>
      <c r="B5969" s="24"/>
      <c r="C5969" s="24"/>
      <c r="D5969" s="24"/>
      <c r="E5969" s="24"/>
      <c r="F5969" s="24"/>
      <c r="G5969" s="24"/>
      <c r="H5969" s="24"/>
      <c r="I5969" s="24"/>
      <c r="J5969" s="24"/>
      <c r="K5969" s="24"/>
    </row>
    <row r="5970" customFormat="false" ht="15" hidden="false" customHeight="false" outlineLevel="0" collapsed="false">
      <c r="A5970" s="5" t="s">
        <v>457</v>
      </c>
      <c r="C5970" s="21" t="n">
        <f aca="false">IF(C5915=0,1,C5965/C5915)</f>
        <v>0.847568193930781</v>
      </c>
    </row>
    <row r="5971" customFormat="false" ht="15" hidden="false" customHeight="false" outlineLevel="0" collapsed="false">
      <c r="A5971" s="5" t="s">
        <v>458</v>
      </c>
      <c r="C5971" s="21" t="n">
        <f aca="false">IF(C5916=0,1,C5966/C5916)</f>
        <v>0</v>
      </c>
    </row>
    <row r="5972" customFormat="false" ht="15" hidden="false" customHeight="false" outlineLevel="0" collapsed="false">
      <c r="A5972" s="5" t="s">
        <v>459</v>
      </c>
      <c r="C5972" s="21" t="n">
        <f aca="false">IF(C5917=0,1,C5967/C5917)</f>
        <v>0</v>
      </c>
    </row>
    <row r="5973" customFormat="false" ht="15" hidden="false" customHeight="false" outlineLevel="0" collapsed="false">
      <c r="A5973" s="5" t="s">
        <v>460</v>
      </c>
      <c r="C5973" s="21" t="n">
        <f aca="false">IF(C5918=0,1,C5968/C5918)</f>
        <v>0</v>
      </c>
    </row>
    <row r="5974" customFormat="false" ht="15" hidden="false" customHeight="false" outlineLevel="0" collapsed="false">
      <c r="A5974" s="23" t="s">
        <v>472</v>
      </c>
      <c r="B5974" s="24"/>
      <c r="C5974" s="24"/>
      <c r="D5974" s="24"/>
      <c r="E5974" s="24"/>
      <c r="F5974" s="24"/>
      <c r="G5974" s="24"/>
      <c r="H5974" s="24"/>
      <c r="I5974" s="24"/>
      <c r="J5974" s="24"/>
      <c r="K5974" s="24"/>
    </row>
    <row r="5975" customFormat="false" ht="15" hidden="false" customHeight="false" outlineLevel="0" collapsed="false">
      <c r="A5975" s="5" t="s">
        <v>457</v>
      </c>
      <c r="C5975" s="25" t="n">
        <f aca="false">C5915-C5965</f>
        <v>30.20296</v>
      </c>
    </row>
    <row r="5976" customFormat="false" ht="15" hidden="false" customHeight="false" outlineLevel="0" collapsed="false">
      <c r="A5976" s="5" t="s">
        <v>458</v>
      </c>
      <c r="C5976" s="25" t="n">
        <f aca="false">C5916-C5966</f>
        <v>509.6</v>
      </c>
    </row>
    <row r="5977" customFormat="false" ht="15" hidden="false" customHeight="false" outlineLevel="0" collapsed="false">
      <c r="A5977" s="5" t="s">
        <v>459</v>
      </c>
      <c r="C5977" s="25" t="n">
        <f aca="false">C5917-C5967</f>
        <v>250</v>
      </c>
    </row>
    <row r="5978" customFormat="false" ht="15" hidden="false" customHeight="false" outlineLevel="0" collapsed="false">
      <c r="A5978" s="5" t="s">
        <v>460</v>
      </c>
      <c r="C5978" s="25" t="n">
        <f aca="false">C5918-C5968</f>
        <v>300</v>
      </c>
    </row>
    <row r="5979" customFormat="false" ht="15" hidden="false" customHeight="false" outlineLevel="0" collapsed="false">
      <c r="A5979" s="23" t="s">
        <v>473</v>
      </c>
      <c r="B5979" s="24"/>
      <c r="C5979" s="24"/>
      <c r="D5979" s="24"/>
      <c r="E5979" s="24"/>
      <c r="F5979" s="24"/>
      <c r="G5979" s="24"/>
      <c r="H5979" s="24"/>
      <c r="I5979" s="24"/>
      <c r="J5979" s="24"/>
      <c r="K5979" s="24"/>
    </row>
    <row r="5980" customFormat="false" ht="15" hidden="false" customHeight="false" outlineLevel="0" collapsed="false">
      <c r="A5980" s="5" t="s">
        <v>457</v>
      </c>
      <c r="C5980" s="21" t="n">
        <f aca="false">IF(C5915=0,0,C5975/C5915)</f>
        <v>0.152431806069219</v>
      </c>
    </row>
    <row r="5981" customFormat="false" ht="15" hidden="false" customHeight="false" outlineLevel="0" collapsed="false">
      <c r="A5981" s="5" t="s">
        <v>458</v>
      </c>
      <c r="C5981" s="21" t="n">
        <f aca="false">IF(C5916=0,0,C5976/C5916)</f>
        <v>1</v>
      </c>
    </row>
    <row r="5982" customFormat="false" ht="15" hidden="false" customHeight="false" outlineLevel="0" collapsed="false">
      <c r="A5982" s="5" t="s">
        <v>459</v>
      </c>
      <c r="C5982" s="21" t="n">
        <f aca="false">IF(C5917=0,0,C5977/C5917)</f>
        <v>1</v>
      </c>
    </row>
    <row r="5983" customFormat="false" ht="15" hidden="false" customHeight="false" outlineLevel="0" collapsed="false">
      <c r="A5983" s="5" t="s">
        <v>460</v>
      </c>
      <c r="C5983" s="21" t="n">
        <f aca="false">IF(C5918=0,0,C5978/C5918)</f>
        <v>1</v>
      </c>
    </row>
    <row r="5984" customFormat="false" ht="15" hidden="false" customHeight="false" outlineLevel="0" collapsed="false">
      <c r="A5984" s="2" t="s">
        <v>474</v>
      </c>
      <c r="C5984" s="16" t="n">
        <f aca="false">MAX(0,$C$5913-SUM($C$5930:$C$5933)-SUM($C$5940:$C$5943))</f>
        <v>0</v>
      </c>
    </row>
    <row r="5985" customFormat="false" ht="15" hidden="false" customHeight="false" outlineLevel="0" collapsed="false">
      <c r="A5985" s="5" t="s">
        <v>492</v>
      </c>
      <c r="C5985" s="33" t="n">
        <f aca="false">MIN(C5912,100*CHOOSE(C5902,C5970,C5971,C5972,C5973))</f>
        <v>0</v>
      </c>
    </row>
    <row r="5986" customFormat="false" ht="15" hidden="false" customHeight="false" outlineLevel="0" collapsed="false">
      <c r="A5986" s="5" t="s">
        <v>493</v>
      </c>
      <c r="C5986" s="20" t="n">
        <f aca="false">IF(C5818=1,C5907+Assumptions!$C$36,C5906)</f>
        <v>3</v>
      </c>
    </row>
    <row r="5987" customFormat="false" ht="15" hidden="false" customHeight="false" outlineLevel="0" collapsed="false">
      <c r="A5987" s="23" t="s">
        <v>494</v>
      </c>
      <c r="B5987" s="24"/>
      <c r="C5987" s="24"/>
      <c r="D5987" s="24"/>
      <c r="E5987" s="24"/>
      <c r="F5987" s="24"/>
      <c r="G5987" s="24"/>
      <c r="H5987" s="24"/>
      <c r="I5987" s="24"/>
      <c r="J5987" s="24"/>
      <c r="K5987" s="24"/>
    </row>
    <row r="5988" customFormat="false" ht="15" hidden="false" customHeight="false" outlineLevel="0" collapsed="false">
      <c r="A5988" s="5" t="s">
        <v>495</v>
      </c>
      <c r="C5988" s="20" t="n">
        <f aca="false">COLUMN()-COLUMN($C$1)</f>
        <v>0</v>
      </c>
      <c r="D5988" s="20" t="n">
        <f aca="false">COLUMN()-COLUMN($C$1)</f>
        <v>1</v>
      </c>
      <c r="E5988" s="20" t="n">
        <f aca="false">COLUMN()-COLUMN($C$1)</f>
        <v>2</v>
      </c>
      <c r="F5988" s="20" t="n">
        <f aca="false">COLUMN()-COLUMN($C$1)</f>
        <v>3</v>
      </c>
      <c r="G5988" s="20" t="n">
        <f aca="false">COLUMN()-COLUMN($C$1)</f>
        <v>4</v>
      </c>
      <c r="H5988" s="20" t="n">
        <f aca="false">COLUMN()-COLUMN($C$1)</f>
        <v>5</v>
      </c>
      <c r="I5988" s="20" t="n">
        <f aca="false">COLUMN()-COLUMN($C$1)</f>
        <v>6</v>
      </c>
    </row>
    <row r="5989" customFormat="false" ht="15" hidden="false" customHeight="false" outlineLevel="0" collapsed="false">
      <c r="A5989" s="5" t="s">
        <v>496</v>
      </c>
      <c r="D5989" s="30" t="n">
        <f aca="false">CHOOSE($C$5902,G5700,G5713,G5726,G5739)</f>
        <v>0.133</v>
      </c>
      <c r="E5989" s="30" t="n">
        <f aca="false">CHOOSE($C$5902,H5700,H5713,H5726,H5739)</f>
        <v>0.1305</v>
      </c>
      <c r="F5989" s="30" t="n">
        <f aca="false">CHOOSE($C$5902,I5700,I5713,I5726,I5739)</f>
        <v>0.128</v>
      </c>
      <c r="G5989" s="30" t="n">
        <f aca="false">CHOOSE($C$5902,J5700,J5713,J5726,J5739)</f>
        <v>0.128</v>
      </c>
      <c r="H5989" s="30" t="n">
        <f aca="false">CHOOSE($C$5902,K5700,K5713,K5726,K5739)</f>
        <v>0.128</v>
      </c>
    </row>
    <row r="5990" customFormat="false" ht="15" hidden="false" customHeight="false" outlineLevel="0" collapsed="false">
      <c r="A5990" s="5" t="s">
        <v>497</v>
      </c>
      <c r="D5990" s="25" t="n">
        <f aca="false">IF(D5988&lt;=$C$5911,$C$5903*D5989,0)</f>
        <v>13.3</v>
      </c>
      <c r="E5990" s="25" t="n">
        <f aca="false">IF(E5988&lt;=$C$5911,$C$5903*E5989,0)</f>
        <v>13.05</v>
      </c>
      <c r="F5990" s="25" t="n">
        <f aca="false">IF(F5988&lt;=$C$5911,$C$5903*F5989,0)</f>
        <v>0</v>
      </c>
      <c r="G5990" s="25" t="n">
        <f aca="false">IF(G5988&lt;=$C$5911,$C$5903*G5989,0)</f>
        <v>0</v>
      </c>
      <c r="H5990" s="25" t="n">
        <f aca="false">IF(H5988&lt;=$C$5911,$C$5903*H5989,0)</f>
        <v>0</v>
      </c>
    </row>
    <row r="5991" customFormat="false" ht="15" hidden="false" customHeight="false" outlineLevel="0" collapsed="false">
      <c r="A5991" s="5" t="s">
        <v>498</v>
      </c>
      <c r="D5991" s="25" t="n">
        <f aca="false">IF(AND($C$5818=0,D5988=$C$5906),$C$5903*$C$5985/100,0)+IF(AND($C$5818=1,D5988=$C$5986),$C$5909,0)</f>
        <v>0</v>
      </c>
      <c r="E5991" s="25" t="n">
        <f aca="false">IF(AND($C$5818=0,E5988=$C$5906),$C$5903*$C$5985/100,0)+IF(AND($C$5818=1,E5988=$C$5986),$C$5909,0)</f>
        <v>0</v>
      </c>
      <c r="F5991" s="25" t="n">
        <f aca="false">IF(AND($C$5818=0,F5988=$C$5906),$C$5903*$C$5985/100,0)+IF(AND($C$5818=1,F5988=$C$5986),$C$5909,0)</f>
        <v>36.4232642857143</v>
      </c>
      <c r="G5991" s="25" t="n">
        <f aca="false">IF(AND($C$5818=0,G5988=$C$5906),$C$5903*$C$5985/100,0)+IF(AND($C$5818=1,G5988=$C$5986),$C$5909,0)</f>
        <v>0</v>
      </c>
      <c r="H5991" s="25" t="n">
        <f aca="false">IF(AND($C$5818=0,H5988=$C$5906),$C$5903*$C$5985/100,0)+IF(AND($C$5818=1,H5988=$C$5986),$C$5909,0)</f>
        <v>0</v>
      </c>
      <c r="I5991" s="25" t="n">
        <f aca="false">IF(AND($C$5818=0,I5988=$C$5906),$C$5903*$C$5985/100,0)+IF(AND($C$5818=1,I5988=$C$5986),$C$5909,0)</f>
        <v>0</v>
      </c>
    </row>
    <row r="5992" customFormat="false" ht="15" hidden="false" customHeight="false" outlineLevel="0" collapsed="false">
      <c r="A5992" s="2" t="s">
        <v>499</v>
      </c>
      <c r="C5992" s="16" t="n">
        <f aca="false">-$C$5905</f>
        <v>-78.39</v>
      </c>
      <c r="D5992" s="16" t="n">
        <f aca="false">D5990+D5991</f>
        <v>13.3</v>
      </c>
      <c r="E5992" s="16" t="n">
        <f aca="false">E5990+E5991</f>
        <v>13.05</v>
      </c>
      <c r="F5992" s="16" t="n">
        <f aca="false">F5990+F5991</f>
        <v>36.4232642857143</v>
      </c>
      <c r="G5992" s="16" t="n">
        <f aca="false">G5990+G5991</f>
        <v>0</v>
      </c>
      <c r="H5992" s="16" t="n">
        <f aca="false">H5990+H5991</f>
        <v>0</v>
      </c>
      <c r="I5992" s="16" t="n">
        <f aca="false">I5990+I5991</f>
        <v>0</v>
      </c>
    </row>
    <row r="5993" customFormat="false" ht="15" hidden="false" customHeight="false" outlineLevel="0" collapsed="false">
      <c r="A5993" s="5" t="s">
        <v>500</v>
      </c>
      <c r="C5993" s="25" t="n">
        <f aca="false">SUM($C$5990:$I$5990)</f>
        <v>26.35</v>
      </c>
    </row>
    <row r="5994" customFormat="false" ht="15" hidden="false" customHeight="false" outlineLevel="0" collapsed="false">
      <c r="A5994" s="5" t="s">
        <v>501</v>
      </c>
      <c r="C5994" s="25" t="n">
        <f aca="false">SUM($C$5991:$I$5991)</f>
        <v>36.4232642857143</v>
      </c>
    </row>
    <row r="5995" customFormat="false" ht="15" hidden="false" customHeight="false" outlineLevel="0" collapsed="false">
      <c r="A5995" s="5" t="s">
        <v>502</v>
      </c>
      <c r="C5995" s="25" t="n">
        <f aca="false">C5993+C5994</f>
        <v>62.7732642857143</v>
      </c>
    </row>
    <row r="5996" customFormat="false" ht="15" hidden="false" customHeight="false" outlineLevel="0" collapsed="false">
      <c r="A5996" s="5" t="s">
        <v>503</v>
      </c>
      <c r="C5996" s="25" t="n">
        <f aca="false">C5994-C5903*C5904/100</f>
        <v>-41.5767357142857</v>
      </c>
    </row>
    <row r="5997" customFormat="false" ht="15" hidden="false" customHeight="false" outlineLevel="0" collapsed="false">
      <c r="A5997" s="5" t="s">
        <v>504</v>
      </c>
      <c r="C5997" s="25" t="n">
        <f aca="false">C5995-C5905</f>
        <v>-15.6167357142857</v>
      </c>
    </row>
    <row r="5998" customFormat="false" ht="15" hidden="false" customHeight="false" outlineLevel="0" collapsed="false">
      <c r="A5998" s="2" t="s">
        <v>385</v>
      </c>
      <c r="C5998" s="43" t="n">
        <f aca="false">C5995/C5905</f>
        <v>0.800781531900935</v>
      </c>
    </row>
    <row r="5999" customFormat="false" ht="15" hidden="false" customHeight="false" outlineLevel="0" collapsed="false">
      <c r="A5999" s="2" t="s">
        <v>384</v>
      </c>
      <c r="C5999" s="41" t="n">
        <f aca="false">IF(C5995&lt;=0,-1,IFERROR(IRR($C$5992:$I$5992,MAX(-0.9,C5998^(1/C5986)-1)),IRR($C$5992:$I$5992,0.1)))</f>
        <v>-0.0884786247166909</v>
      </c>
    </row>
    <row r="6000" customFormat="false" ht="15" hidden="false" customHeight="false" outlineLevel="0" collapsed="false">
      <c r="A6000" s="5" t="s">
        <v>505</v>
      </c>
      <c r="C6000" s="31" t="n">
        <f aca="false">MAX($G$5794:$K$5794)</f>
        <v>37.6616964232137</v>
      </c>
    </row>
    <row r="6001" customFormat="false" ht="15" hidden="false" customHeight="false" outlineLevel="0" collapsed="false">
      <c r="A6001" s="5" t="s">
        <v>506</v>
      </c>
      <c r="C6001" s="31" t="n">
        <f aca="false">MIN($G$5795:$K$5795)</f>
        <v>0.337068710022409</v>
      </c>
    </row>
    <row r="6002" customFormat="false" ht="15" hidden="false" customHeight="false" outlineLevel="0" collapsed="false">
      <c r="A6002" s="5" t="s">
        <v>507</v>
      </c>
      <c r="C6002" s="25" t="n">
        <f aca="false">SUM($G$5684:$K$5684)</f>
        <v>-520.08199792727</v>
      </c>
    </row>
    <row r="6006" customFormat="false" ht="15" hidden="false" customHeight="false" outlineLevel="0" collapsed="false">
      <c r="A6006" s="9" t="s">
        <v>643</v>
      </c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</row>
    <row r="6007" customFormat="false" ht="15" hidden="false" customHeight="false" outlineLevel="0" collapsed="false">
      <c r="A6007" s="5" t="s">
        <v>622</v>
      </c>
      <c r="C6007" s="11" t="n">
        <v>3</v>
      </c>
    </row>
    <row r="6008" customFormat="false" ht="15" hidden="false" customHeight="false" outlineLevel="0" collapsed="false">
      <c r="A6008" s="5" t="s">
        <v>623</v>
      </c>
      <c r="C6008" s="18" t="n">
        <v>0</v>
      </c>
    </row>
    <row r="6009" customFormat="false" ht="15" hidden="false" customHeight="false" outlineLevel="0" collapsed="false">
      <c r="A6009" s="5" t="s">
        <v>624</v>
      </c>
      <c r="C6009" s="29" t="n">
        <f aca="false">Sensitivities!$A$34</f>
        <v>0.04</v>
      </c>
    </row>
    <row r="6010" customFormat="false" ht="15" hidden="false" customHeight="false" outlineLevel="0" collapsed="false">
      <c r="A6010" s="5" t="s">
        <v>625</v>
      </c>
      <c r="C6010" s="18" t="n">
        <v>0</v>
      </c>
    </row>
    <row r="6011" customFormat="false" ht="15" hidden="false" customHeight="false" outlineLevel="0" collapsed="false">
      <c r="A6011" s="5" t="s">
        <v>626</v>
      </c>
      <c r="C6011" s="15" t="n">
        <v>0</v>
      </c>
    </row>
    <row r="6013" customFormat="false" ht="15" hidden="false" customHeight="false" outlineLevel="0" collapsed="false">
      <c r="A6013" s="23" t="s">
        <v>237</v>
      </c>
      <c r="B6013" s="24"/>
      <c r="C6013" s="24"/>
      <c r="D6013" s="24"/>
      <c r="E6013" s="24"/>
      <c r="F6013" s="24"/>
      <c r="G6013" s="24"/>
      <c r="H6013" s="24"/>
      <c r="I6013" s="24"/>
      <c r="J6013" s="24"/>
      <c r="K6013" s="24"/>
    </row>
    <row r="6014" customFormat="false" ht="15" hidden="false" customHeight="false" outlineLevel="0" collapsed="false">
      <c r="A6014" s="5" t="s">
        <v>238</v>
      </c>
      <c r="F6014" s="26" t="n">
        <f aca="false">Assumptions!$C$6</f>
        <v>2025</v>
      </c>
      <c r="G6014" s="20" t="n">
        <f aca="false">F6014+1</f>
        <v>2026</v>
      </c>
      <c r="H6014" s="20" t="n">
        <f aca="false">G6014+1</f>
        <v>2027</v>
      </c>
      <c r="I6014" s="20" t="n">
        <f aca="false">H6014+1</f>
        <v>2028</v>
      </c>
      <c r="J6014" s="20" t="n">
        <f aca="false">I6014+1</f>
        <v>2029</v>
      </c>
      <c r="K6014" s="20" t="n">
        <f aca="false">J6014+1</f>
        <v>2030</v>
      </c>
    </row>
    <row r="6015" customFormat="false" ht="15" hidden="false" customHeight="false" outlineLevel="0" collapsed="false">
      <c r="A6015" s="5" t="s">
        <v>239</v>
      </c>
      <c r="G6015" s="20" t="n">
        <f aca="false">G6014-Assumptions!$C$6</f>
        <v>1</v>
      </c>
      <c r="H6015" s="20" t="n">
        <f aca="false">H6014-Assumptions!$C$6</f>
        <v>2</v>
      </c>
      <c r="I6015" s="20" t="n">
        <f aca="false">I6014-Assumptions!$C$6</f>
        <v>3</v>
      </c>
      <c r="J6015" s="20" t="n">
        <f aca="false">J6014-Assumptions!$C$6</f>
        <v>4</v>
      </c>
      <c r="K6015" s="20" t="n">
        <f aca="false">K6014-Assumptions!$C$6</f>
        <v>5</v>
      </c>
    </row>
    <row r="6016" customFormat="false" ht="15" hidden="false" customHeight="false" outlineLevel="0" collapsed="false">
      <c r="A6016" s="5" t="s">
        <v>149</v>
      </c>
      <c r="G6016" s="21" t="n">
        <f aca="false">CHOOSE($C$6007,Assumptions!$G$65,Assumptions!$G$84,Assumptions!$G$103)+$C$6008</f>
        <v>-0.234</v>
      </c>
      <c r="H6016" s="21" t="n">
        <f aca="false">CHOOSE($C$6007,Assumptions!$H$65,Assumptions!$H$84,Assumptions!$H$103)+$C$6008</f>
        <v>-0.13</v>
      </c>
      <c r="I6016" s="21" t="n">
        <f aca="false">CHOOSE($C$6007,Assumptions!$I$65,Assumptions!$I$84,Assumptions!$I$103)+$C$6008</f>
        <v>-0.026</v>
      </c>
      <c r="J6016" s="21" t="n">
        <f aca="false">CHOOSE($C$6007,Assumptions!$J$65,Assumptions!$J$84,Assumptions!$J$103)+$C$6008</f>
        <v>-0.01</v>
      </c>
      <c r="K6016" s="21" t="n">
        <f aca="false">CHOOSE($C$6007,Assumptions!$K$65,Assumptions!$K$84,Assumptions!$K$103)+$C$6008</f>
        <v>-0.01</v>
      </c>
    </row>
    <row r="6017" customFormat="false" ht="15" hidden="false" customHeight="false" outlineLevel="0" collapsed="false">
      <c r="A6017" s="5" t="s">
        <v>150</v>
      </c>
      <c r="G6017" s="21" t="n">
        <f aca="false">CHOOSE($C$6007,Assumptions!$G$66,Assumptions!$G$85,Assumptions!$G$104)</f>
        <v>0.305</v>
      </c>
      <c r="H6017" s="21" t="n">
        <f aca="false">CHOOSE($C$6007,Assumptions!$H$66,Assumptions!$H$85,Assumptions!$H$104)</f>
        <v>0.305</v>
      </c>
      <c r="I6017" s="21" t="n">
        <f aca="false">CHOOSE($C$6007,Assumptions!$I$66,Assumptions!$I$85,Assumptions!$I$104)</f>
        <v>0.305</v>
      </c>
      <c r="J6017" s="21" t="n">
        <f aca="false">CHOOSE($C$6007,Assumptions!$J$66,Assumptions!$J$85,Assumptions!$J$104)</f>
        <v>0.305</v>
      </c>
      <c r="K6017" s="21" t="n">
        <f aca="false">CHOOSE($C$6007,Assumptions!$K$66,Assumptions!$K$85,Assumptions!$K$104)</f>
        <v>0.305</v>
      </c>
    </row>
    <row r="6018" customFormat="false" ht="15" hidden="false" customHeight="false" outlineLevel="0" collapsed="false">
      <c r="A6018" s="5" t="s">
        <v>151</v>
      </c>
      <c r="G6018" s="21" t="n">
        <f aca="false">CHOOSE($C$6007,Assumptions!$G$67,Assumptions!$G$86,Assumptions!$G$105)+$C$6009</f>
        <v>0.05</v>
      </c>
      <c r="H6018" s="21" t="n">
        <f aca="false">CHOOSE($C$6007,Assumptions!$H$67,Assumptions!$H$86,Assumptions!$H$105)+$C$6009</f>
        <v>0.05</v>
      </c>
      <c r="I6018" s="21" t="n">
        <f aca="false">CHOOSE($C$6007,Assumptions!$I$67,Assumptions!$I$86,Assumptions!$I$105)+$C$6009</f>
        <v>0.05</v>
      </c>
      <c r="J6018" s="21" t="n">
        <f aca="false">CHOOSE($C$6007,Assumptions!$J$67,Assumptions!$J$86,Assumptions!$J$105)+$C$6009</f>
        <v>0.05</v>
      </c>
      <c r="K6018" s="21" t="n">
        <f aca="false">CHOOSE($C$6007,Assumptions!$K$67,Assumptions!$K$86,Assumptions!$K$105)+$C$6009</f>
        <v>0.05</v>
      </c>
    </row>
    <row r="6019" customFormat="false" ht="15" hidden="false" customHeight="false" outlineLevel="0" collapsed="false">
      <c r="A6019" s="23" t="s">
        <v>240</v>
      </c>
      <c r="B6019" s="24"/>
      <c r="C6019" s="24"/>
      <c r="D6019" s="24"/>
      <c r="E6019" s="24"/>
      <c r="F6019" s="24"/>
      <c r="G6019" s="24"/>
      <c r="H6019" s="24"/>
      <c r="I6019" s="24"/>
      <c r="J6019" s="24"/>
      <c r="K6019" s="24"/>
    </row>
    <row r="6020" customFormat="false" ht="15" hidden="false" customHeight="false" outlineLevel="0" collapsed="false">
      <c r="A6020" s="2" t="s">
        <v>207</v>
      </c>
      <c r="F6020" s="27" t="n">
        <f aca="false">'Historical Financials'!E17</f>
        <v>2400</v>
      </c>
      <c r="G6020" s="16" t="n">
        <f aca="false">F6020*(1+G6016)</f>
        <v>1838.4</v>
      </c>
      <c r="H6020" s="16" t="n">
        <f aca="false">G6020*(1+H6016)</f>
        <v>1599.408</v>
      </c>
      <c r="I6020" s="16" t="n">
        <f aca="false">H6020*(1+I6016)</f>
        <v>1557.823392</v>
      </c>
      <c r="J6020" s="16" t="n">
        <f aca="false">I6020*(1+J6016)</f>
        <v>1542.24515808</v>
      </c>
      <c r="K6020" s="16" t="n">
        <f aca="false">J6020*(1+K6016)</f>
        <v>1526.8227064992</v>
      </c>
    </row>
    <row r="6021" customFormat="false" ht="15" hidden="false" customHeight="false" outlineLevel="0" collapsed="false">
      <c r="A6021" s="5" t="s">
        <v>217</v>
      </c>
      <c r="G6021" s="25" t="n">
        <f aca="false">G6020*(1-G6017)</f>
        <v>1277.688</v>
      </c>
      <c r="H6021" s="25" t="n">
        <f aca="false">H6020*(1-H6017)</f>
        <v>1111.58856</v>
      </c>
      <c r="I6021" s="25" t="n">
        <f aca="false">I6020*(1-I6017)</f>
        <v>1082.68725744</v>
      </c>
      <c r="J6021" s="25" t="n">
        <f aca="false">J6020*(1-J6017)</f>
        <v>1071.8603848656</v>
      </c>
      <c r="K6021" s="25" t="n">
        <f aca="false">K6020*(1-K6017)</f>
        <v>1061.14178101694</v>
      </c>
    </row>
    <row r="6022" customFormat="false" ht="15" hidden="false" customHeight="false" outlineLevel="0" collapsed="false">
      <c r="A6022" s="2" t="s">
        <v>218</v>
      </c>
      <c r="G6022" s="16" t="n">
        <f aca="false">G6020-G6021</f>
        <v>560.712</v>
      </c>
      <c r="H6022" s="16" t="n">
        <f aca="false">H6020-H6021</f>
        <v>487.81944</v>
      </c>
      <c r="I6022" s="16" t="n">
        <f aca="false">I6020-I6021</f>
        <v>475.13613456</v>
      </c>
      <c r="J6022" s="16" t="n">
        <f aca="false">J6020-J6021</f>
        <v>470.3847732144</v>
      </c>
      <c r="K6022" s="16" t="n">
        <f aca="false">K6020-K6021</f>
        <v>465.680925482256</v>
      </c>
    </row>
    <row r="6023" customFormat="false" ht="15" hidden="false" customHeight="false" outlineLevel="0" collapsed="false">
      <c r="A6023" s="5" t="s">
        <v>241</v>
      </c>
      <c r="G6023" s="25" t="n">
        <f aca="false">G6022-G6024</f>
        <v>468.792</v>
      </c>
      <c r="H6023" s="25" t="n">
        <f aca="false">H6022-H6024</f>
        <v>407.84904</v>
      </c>
      <c r="I6023" s="25" t="n">
        <f aca="false">I6022-I6024</f>
        <v>397.24496496</v>
      </c>
      <c r="J6023" s="25" t="n">
        <f aca="false">J6022-J6024</f>
        <v>393.2725153104</v>
      </c>
      <c r="K6023" s="25" t="n">
        <f aca="false">K6022-K6024</f>
        <v>389.339790157296</v>
      </c>
    </row>
    <row r="6024" customFormat="false" ht="15" hidden="false" customHeight="false" outlineLevel="0" collapsed="false">
      <c r="A6024" s="2" t="s">
        <v>242</v>
      </c>
      <c r="G6024" s="16" t="n">
        <f aca="false">G6020*G6018</f>
        <v>91.92</v>
      </c>
      <c r="H6024" s="16" t="n">
        <f aca="false">H6020*H6018</f>
        <v>79.9704</v>
      </c>
      <c r="I6024" s="16" t="n">
        <f aca="false">I6020*I6018</f>
        <v>77.8911696</v>
      </c>
      <c r="J6024" s="16" t="n">
        <f aca="false">J6020*J6018</f>
        <v>77.112257904</v>
      </c>
      <c r="K6024" s="16" t="n">
        <f aca="false">K6020*K6018</f>
        <v>76.34113532496</v>
      </c>
    </row>
    <row r="6025" customFormat="false" ht="15" hidden="false" customHeight="false" outlineLevel="0" collapsed="false">
      <c r="A6025" s="5" t="s">
        <v>243</v>
      </c>
      <c r="G6025" s="25" t="n">
        <f aca="false">G6020*'Historical Financials'!E22/'Historical Financials'!E17</f>
        <v>40.4448</v>
      </c>
      <c r="H6025" s="25" t="n">
        <f aca="false">H6020*'Historical Financials'!E22/'Historical Financials'!E17</f>
        <v>35.186976</v>
      </c>
      <c r="I6025" s="25" t="n">
        <f aca="false">I6020*'Historical Financials'!E22/'Historical Financials'!E17</f>
        <v>34.272114624</v>
      </c>
      <c r="J6025" s="25" t="n">
        <f aca="false">J6020*'Historical Financials'!E22/'Historical Financials'!E17</f>
        <v>33.92939347776</v>
      </c>
      <c r="K6025" s="25" t="n">
        <f aca="false">K6020*'Historical Financials'!E22/'Historical Financials'!E17</f>
        <v>33.5900995429824</v>
      </c>
    </row>
    <row r="6026" customFormat="false" ht="15" hidden="false" customHeight="false" outlineLevel="0" collapsed="false">
      <c r="A6026" s="5" t="s">
        <v>244</v>
      </c>
      <c r="G6026" s="25" t="n">
        <f aca="false">G6020*'Historical Financials'!E23/'Historical Financials'!E17</f>
        <v>0</v>
      </c>
      <c r="H6026" s="25" t="n">
        <f aca="false">H6020*'Historical Financials'!E23/'Historical Financials'!E17</f>
        <v>0</v>
      </c>
      <c r="I6026" s="25" t="n">
        <f aca="false">I6020*'Historical Financials'!E23/'Historical Financials'!E17</f>
        <v>0</v>
      </c>
      <c r="J6026" s="25" t="n">
        <f aca="false">J6020*'Historical Financials'!E23/'Historical Financials'!E17</f>
        <v>0</v>
      </c>
      <c r="K6026" s="25" t="n">
        <f aca="false">K6020*'Historical Financials'!E23/'Historical Financials'!E17</f>
        <v>0</v>
      </c>
    </row>
    <row r="6027" customFormat="false" ht="15" hidden="false" customHeight="false" outlineLevel="0" collapsed="false">
      <c r="A6027" s="2" t="s">
        <v>245</v>
      </c>
      <c r="G6027" s="16" t="n">
        <f aca="false">G6024-G6025-G6026</f>
        <v>51.4752</v>
      </c>
      <c r="H6027" s="16" t="n">
        <f aca="false">H6024-H6025-H6026</f>
        <v>44.783424</v>
      </c>
      <c r="I6027" s="16" t="n">
        <f aca="false">I6024-I6025-I6026</f>
        <v>43.619054976</v>
      </c>
      <c r="J6027" s="16" t="n">
        <f aca="false">J6024-J6025-J6026</f>
        <v>43.18286442624</v>
      </c>
      <c r="K6027" s="16" t="n">
        <f aca="false">K6024-K6025-K6026</f>
        <v>42.7510357819776</v>
      </c>
    </row>
    <row r="6028" customFormat="false" ht="15" hidden="false" customHeight="false" outlineLevel="0" collapsed="false">
      <c r="A6028" s="5" t="s">
        <v>246</v>
      </c>
      <c r="G6028" s="25" t="n">
        <f aca="false">G6054+G6067+G6080+G6093</f>
        <v>140.04</v>
      </c>
      <c r="H6028" s="25" t="n">
        <f aca="false">H6054+H6067+H6080+H6093</f>
        <v>135.4972128</v>
      </c>
      <c r="I6028" s="25" t="n">
        <f aca="false">I6054+I6067+I6080+I6093</f>
        <v>133.1411808</v>
      </c>
      <c r="J6028" s="25" t="n">
        <f aca="false">J6054+J6067+J6080+J6093</f>
        <v>132.4755808</v>
      </c>
      <c r="K6028" s="25" t="n">
        <f aca="false">K6054+K6067+K6080+K6093</f>
        <v>131.8099808</v>
      </c>
    </row>
    <row r="6029" customFormat="false" ht="15" hidden="false" customHeight="false" outlineLevel="0" collapsed="false">
      <c r="A6029" s="5" t="s">
        <v>247</v>
      </c>
      <c r="G6029" s="25" t="n">
        <f aca="false">G6055+G6068+G6081+G6094</f>
        <v>0</v>
      </c>
      <c r="H6029" s="25" t="n">
        <f aca="false">H6055+H6068+H6081+H6094</f>
        <v>0</v>
      </c>
      <c r="I6029" s="25" t="n">
        <f aca="false">I6055+I6068+I6081+I6094</f>
        <v>0</v>
      </c>
      <c r="J6029" s="25" t="n">
        <f aca="false">J6055+J6068+J6081+J6094</f>
        <v>0</v>
      </c>
      <c r="K6029" s="25" t="n">
        <f aca="false">K6055+K6068+K6081+K6094</f>
        <v>0</v>
      </c>
    </row>
    <row r="6030" customFormat="false" ht="15" hidden="false" customHeight="false" outlineLevel="0" collapsed="false">
      <c r="A6030" s="5" t="s">
        <v>212</v>
      </c>
      <c r="G6030" s="25" t="n">
        <f aca="false">G6028+G6029</f>
        <v>140.04</v>
      </c>
      <c r="H6030" s="25" t="n">
        <f aca="false">H6028+H6029</f>
        <v>135.4972128</v>
      </c>
      <c r="I6030" s="25" t="n">
        <f aca="false">I6028+I6029</f>
        <v>133.1411808</v>
      </c>
      <c r="J6030" s="25" t="n">
        <f aca="false">J6028+J6029</f>
        <v>132.4755808</v>
      </c>
      <c r="K6030" s="25" t="n">
        <f aca="false">K6028+K6029</f>
        <v>131.8099808</v>
      </c>
    </row>
    <row r="6031" customFormat="false" ht="15" hidden="false" customHeight="false" outlineLevel="0" collapsed="false">
      <c r="A6031" s="2" t="s">
        <v>223</v>
      </c>
      <c r="G6031" s="16" t="n">
        <f aca="false">G6027-G6030</f>
        <v>-88.5648</v>
      </c>
      <c r="H6031" s="16" t="n">
        <f aca="false">H6027-H6030</f>
        <v>-90.7137888</v>
      </c>
      <c r="I6031" s="16" t="n">
        <f aca="false">I6027-I6030</f>
        <v>-89.522125824</v>
      </c>
      <c r="J6031" s="16" t="n">
        <f aca="false">J6027-J6030</f>
        <v>-89.29271637376</v>
      </c>
      <c r="K6031" s="16" t="n">
        <f aca="false">K6027-K6030</f>
        <v>-89.0589450180224</v>
      </c>
    </row>
    <row r="6032" customFormat="false" ht="15" hidden="false" customHeight="false" outlineLevel="0" collapsed="false">
      <c r="A6032" s="5" t="s">
        <v>213</v>
      </c>
      <c r="G6032" s="25" t="n">
        <f aca="false">MAX(0,G6031)*Assumptions!$C$9</f>
        <v>0</v>
      </c>
      <c r="H6032" s="25" t="n">
        <f aca="false">MAX(0,H6031)*Assumptions!$C$9</f>
        <v>0</v>
      </c>
      <c r="I6032" s="25" t="n">
        <f aca="false">MAX(0,I6031)*Assumptions!$C$9</f>
        <v>0</v>
      </c>
      <c r="J6032" s="25" t="n">
        <f aca="false">MAX(0,J6031)*Assumptions!$C$9</f>
        <v>0</v>
      </c>
      <c r="K6032" s="25" t="n">
        <f aca="false">MAX(0,K6031)*Assumptions!$C$9</f>
        <v>0</v>
      </c>
    </row>
    <row r="6033" customFormat="false" ht="15" hidden="false" customHeight="false" outlineLevel="0" collapsed="false">
      <c r="A6033" s="2" t="s">
        <v>248</v>
      </c>
      <c r="G6033" s="16" t="n">
        <f aca="false">G6031-G6032</f>
        <v>-88.5648</v>
      </c>
      <c r="H6033" s="16" t="n">
        <f aca="false">H6031-H6032</f>
        <v>-90.7137888</v>
      </c>
      <c r="I6033" s="16" t="n">
        <f aca="false">I6031-I6032</f>
        <v>-89.522125824</v>
      </c>
      <c r="J6033" s="16" t="n">
        <f aca="false">J6031-J6032</f>
        <v>-89.29271637376</v>
      </c>
      <c r="K6033" s="16" t="n">
        <f aca="false">K6031-K6032</f>
        <v>-89.0589450180224</v>
      </c>
    </row>
    <row r="6034" customFormat="false" ht="15" hidden="false" customHeight="false" outlineLevel="0" collapsed="false">
      <c r="A6034" s="23" t="s">
        <v>249</v>
      </c>
      <c r="B6034" s="24"/>
      <c r="C6034" s="24"/>
      <c r="D6034" s="24"/>
      <c r="E6034" s="24"/>
      <c r="F6034" s="24"/>
      <c r="G6034" s="24"/>
      <c r="H6034" s="24"/>
      <c r="I6034" s="24"/>
      <c r="J6034" s="24"/>
      <c r="K6034" s="24"/>
    </row>
    <row r="6035" customFormat="false" ht="15" hidden="false" customHeight="false" outlineLevel="0" collapsed="false">
      <c r="A6035" s="5" t="s">
        <v>153</v>
      </c>
      <c r="G6035" s="25" t="n">
        <f aca="false">G6020*CHOOSE($C$6007,Assumptions!$C$69,Assumptions!$C$88,Assumptions!$C$107)</f>
        <v>29.4144</v>
      </c>
      <c r="H6035" s="25" t="n">
        <f aca="false">H6020*CHOOSE($C$6007,Assumptions!$C$69,Assumptions!$C$88,Assumptions!$C$107)</f>
        <v>25.590528</v>
      </c>
      <c r="I6035" s="25" t="n">
        <f aca="false">I6020*CHOOSE($C$6007,Assumptions!$C$69,Assumptions!$C$88,Assumptions!$C$107)</f>
        <v>24.925174272</v>
      </c>
      <c r="J6035" s="25" t="n">
        <f aca="false">J6020*CHOOSE($C$6007,Assumptions!$C$69,Assumptions!$C$88,Assumptions!$C$107)</f>
        <v>24.67592252928</v>
      </c>
      <c r="K6035" s="25" t="n">
        <f aca="false">K6020*CHOOSE($C$6007,Assumptions!$C$69,Assumptions!$C$88,Assumptions!$C$107)</f>
        <v>24.4291633039872</v>
      </c>
    </row>
    <row r="6036" customFormat="false" ht="15" hidden="false" customHeight="false" outlineLevel="0" collapsed="false">
      <c r="A6036" s="5" t="s">
        <v>250</v>
      </c>
      <c r="G6036" s="25" t="n">
        <f aca="false">CHOOSE($C$6007,Assumptions!$C$70,Assumptions!$C$89,Assumptions!$C$108)*(G6020-F6020)+CHOOSE($C$6007,Assumptions!$C$71,Assumptions!$C$90,Assumptions!$C$109)*G6020</f>
        <v>-56.3616</v>
      </c>
      <c r="H6036" s="25" t="n">
        <f aca="false">CHOOSE($C$6007,Assumptions!$C$70,Assumptions!$C$89,Assumptions!$C$108)*(H6020-G6020)+CHOOSE($C$6007,Assumptions!$C$71,Assumptions!$C$90,Assumptions!$C$109)*H6020</f>
        <v>-19.082592</v>
      </c>
      <c r="I6036" s="25" t="n">
        <f aca="false">CHOOSE($C$6007,Assumptions!$C$70,Assumptions!$C$89,Assumptions!$C$108)*(I6020-H6020)+CHOOSE($C$6007,Assumptions!$C$71,Assumptions!$C$90,Assumptions!$C$109)*I6020</f>
        <v>4.35678739199999</v>
      </c>
      <c r="J6036" s="25" t="n">
        <f aca="false">CHOOSE($C$6007,Assumptions!$C$70,Assumptions!$C$89,Assumptions!$C$108)*(J6020-I6020)+CHOOSE($C$6007,Assumptions!$C$71,Assumptions!$C$90,Assumptions!$C$109)*J6020</f>
        <v>7.38408287808</v>
      </c>
      <c r="K6036" s="25" t="n">
        <f aca="false">CHOOSE($C$6007,Assumptions!$C$70,Assumptions!$C$89,Assumptions!$C$108)*(K6020-J6020)+CHOOSE($C$6007,Assumptions!$C$71,Assumptions!$C$90,Assumptions!$C$109)*K6020</f>
        <v>7.3102420492992</v>
      </c>
    </row>
    <row r="6037" customFormat="false" ht="15" hidden="false" customHeight="false" outlineLevel="0" collapsed="false">
      <c r="A6037" s="2" t="s">
        <v>251</v>
      </c>
      <c r="G6037" s="16" t="n">
        <f aca="false">G6033+G6025+G6026+G6029-G6035-G6036</f>
        <v>-21.1728</v>
      </c>
      <c r="H6037" s="16" t="n">
        <f aca="false">H6033+H6025+H6026+H6029-H6035-H6036</f>
        <v>-62.0347488</v>
      </c>
      <c r="I6037" s="16" t="n">
        <f aca="false">I6033+I6025+I6026+I6029-I6035-I6036</f>
        <v>-84.5319728639999</v>
      </c>
      <c r="J6037" s="16" t="n">
        <f aca="false">J6033+J6025+J6026+J6029-J6035-J6036</f>
        <v>-87.42332830336</v>
      </c>
      <c r="K6037" s="16" t="n">
        <f aca="false">K6033+K6025+K6026+K6029-K6035-K6036</f>
        <v>-87.2082508283264</v>
      </c>
    </row>
    <row r="6039" customFormat="false" ht="15" hidden="false" customHeight="false" outlineLevel="0" collapsed="false">
      <c r="A6039" s="23" t="s">
        <v>253</v>
      </c>
      <c r="B6039" s="24"/>
      <c r="C6039" s="24"/>
      <c r="D6039" s="24"/>
      <c r="E6039" s="24"/>
      <c r="F6039" s="24"/>
      <c r="G6039" s="24"/>
      <c r="H6039" s="24"/>
      <c r="I6039" s="24"/>
      <c r="J6039" s="24"/>
      <c r="K6039" s="24"/>
    </row>
    <row r="6040" customFormat="false" ht="15" hidden="false" customHeight="false" outlineLevel="0" collapsed="false">
      <c r="A6040" s="5" t="s">
        <v>254</v>
      </c>
      <c r="G6040" s="29" t="n">
        <f aca="false">Assumptions!$G$49</f>
        <v>0.0425</v>
      </c>
      <c r="H6040" s="29" t="n">
        <f aca="false">Assumptions!$H$49</f>
        <v>0.04</v>
      </c>
      <c r="I6040" s="29" t="n">
        <f aca="false">Assumptions!$I$49</f>
        <v>0.0375</v>
      </c>
      <c r="J6040" s="29" t="n">
        <f aca="false">Assumptions!$J$49</f>
        <v>0.0375</v>
      </c>
      <c r="K6040" s="29" t="n">
        <f aca="false">Assumptions!$K$49</f>
        <v>0.0375</v>
      </c>
    </row>
    <row r="6041" customFormat="false" ht="15" hidden="false" customHeight="false" outlineLevel="0" collapsed="false">
      <c r="A6041" s="5" t="s">
        <v>255</v>
      </c>
      <c r="C6041" s="30" t="n">
        <f aca="false">CHOOSE($C$6007,Assumptions!$C$72,Assumptions!$C$91,Assumptions!$C$110)+$C$6010</f>
        <v>0.03</v>
      </c>
    </row>
    <row r="6042" customFormat="false" ht="15" hidden="false" customHeight="false" outlineLevel="0" collapsed="false">
      <c r="A6042" s="5" t="s">
        <v>256</v>
      </c>
      <c r="C6042" s="30" t="n">
        <f aca="false">CHOOSE($C$6007,Assumptions!$C$73,Assumptions!$C$92,Assumptions!$C$111)</f>
        <v>0.16</v>
      </c>
    </row>
    <row r="6043" customFormat="false" ht="15" hidden="false" customHeight="false" outlineLevel="0" collapsed="false">
      <c r="A6043" s="5" t="s">
        <v>257</v>
      </c>
      <c r="C6043" s="31" t="n">
        <f aca="false">CHOOSE($C$6007,Assumptions!$C$74,Assumptions!$C$93,Assumptions!$C$112)</f>
        <v>5</v>
      </c>
    </row>
    <row r="6044" customFormat="false" ht="15" hidden="false" customHeight="false" outlineLevel="0" collapsed="false">
      <c r="A6044" s="5" t="s">
        <v>258</v>
      </c>
      <c r="C6044" s="31" t="n">
        <f aca="false">CHOOSE($C$6007,Assumptions!$C$75,Assumptions!$C$94,Assumptions!$C$113)</f>
        <v>2</v>
      </c>
    </row>
    <row r="6045" customFormat="false" ht="15" hidden="false" customHeight="false" outlineLevel="0" collapsed="false">
      <c r="A6045" s="5" t="s">
        <v>259</v>
      </c>
      <c r="G6045" s="25" t="n">
        <f aca="false">G6050+G6063+G6076+G6089</f>
        <v>1250</v>
      </c>
      <c r="H6045" s="25" t="n">
        <f aca="false">H6050+H6063+H6076+H6089</f>
        <v>1226.1728</v>
      </c>
      <c r="I6045" s="25" t="n">
        <f aca="false">I6050+I6063+I6076+I6089</f>
        <v>1220.9728</v>
      </c>
      <c r="J6045" s="25" t="n">
        <f aca="false">J6050+J6063+J6076+J6089</f>
        <v>1215.7728</v>
      </c>
      <c r="K6045" s="25" t="n">
        <f aca="false">K6050+K6063+K6076+K6089</f>
        <v>1210.5728</v>
      </c>
    </row>
    <row r="6046" customFormat="false" ht="15" hidden="false" customHeight="false" outlineLevel="0" collapsed="false">
      <c r="A6046" s="5" t="s">
        <v>260</v>
      </c>
      <c r="G6046" s="25" t="n">
        <f aca="false">F6136</f>
        <v>45</v>
      </c>
      <c r="H6046" s="25" t="n">
        <f aca="false">G6136</f>
        <v>0</v>
      </c>
      <c r="I6046" s="25" t="n">
        <f aca="false">H6136</f>
        <v>-67.2347488</v>
      </c>
      <c r="J6046" s="25" t="n">
        <f aca="false">I6136</f>
        <v>-156.966721664</v>
      </c>
      <c r="K6046" s="25" t="n">
        <f aca="false">J6136</f>
        <v>-249.59004996736</v>
      </c>
    </row>
    <row r="6047" customFormat="false" ht="15" hidden="false" customHeight="false" outlineLevel="0" collapsed="false">
      <c r="A6047" s="5" t="s">
        <v>261</v>
      </c>
      <c r="G6047" s="25" t="n">
        <f aca="false">G6050*IF(G6051=1,$C$6042,IF(Assumptions!$I$53=1,MAX(G6040,Assumptions!$G$53)+Assumptions!$F$53+$C$6041,Assumptions!$E$53))+G6063*IF(G6064=1,$C$6042,IF(Assumptions!$I$54=1,MAX(G6040,Assumptions!$G$54)+Assumptions!$F$54+$C$6041,Assumptions!$E$54))+G6076*IF(G6077=1,$C$6042,IF(Assumptions!$I$55=1,MAX(G6040,Assumptions!$G$55)+Assumptions!$F$55+$C$6041,Assumptions!$E$55))+G6089*IF(G6090=1,$C$6042,IF(Assumptions!$I$56=1,MAX(G6040,Assumptions!$G$56)+Assumptions!$F$56+$C$6041,Assumptions!$E$56))</f>
        <v>140.04</v>
      </c>
      <c r="H6047" s="25" t="n">
        <f aca="false">H6050*IF(OR(H6051=1,G6202=1),$C$6042,IF(Assumptions!$I$53=1,MAX(H6040,Assumptions!$G$53)+Assumptions!$F$53+$C$6041,Assumptions!$E$53))+H6063*IF(OR(H6064=1,G6203=1),$C$6042,IF(Assumptions!$I$54=1,MAX(H6040,Assumptions!$G$54)+Assumptions!$F$54+$C$6041,Assumptions!$E$54))+H6076*IF(OR(H6077=1,G6204=1),$C$6042,IF(Assumptions!$I$55=1,MAX(H6040,Assumptions!$G$55)+Assumptions!$F$55+$C$6041,Assumptions!$E$55))+H6089*IF(OR(H6090=1,G6205=1),$C$6042,IF(Assumptions!$I$56=1,MAX(H6040,Assumptions!$G$56)+Assumptions!$F$56+$C$6041,Assumptions!$E$56))</f>
        <v>168.501048</v>
      </c>
      <c r="I6047" s="25" t="n">
        <f aca="false">I6050*IF(OR(I6051=1,H6202=1),$C$6042,IF(Assumptions!$I$53=1,MAX(I6040,Assumptions!$G$53)+Assumptions!$F$53+$C$6041,Assumptions!$E$53))+I6063*IF(OR(I6064=1,H6203=1),$C$6042,IF(Assumptions!$I$54=1,MAX(I6040,Assumptions!$G$54)+Assumptions!$F$54+$C$6041,Assumptions!$E$54))+I6076*IF(OR(I6077=1,H6204=1),$C$6042,IF(Assumptions!$I$55=1,MAX(I6040,Assumptions!$G$55)+Assumptions!$F$55+$C$6041,Assumptions!$E$55))+I6089*IF(OR(I6090=1,H6205=1),$C$6042,IF(Assumptions!$I$56=1,MAX(I6040,Assumptions!$G$56)+Assumptions!$F$56+$C$6041,Assumptions!$E$56))</f>
        <v>149.4483808</v>
      </c>
      <c r="J6047" s="25" t="n">
        <f aca="false">J6050*IF(OR(J6051=1,I6202=1),$C$6042,IF(Assumptions!$I$53=1,MAX(J6040,Assumptions!$G$53)+Assumptions!$F$53+$C$6041,Assumptions!$E$53))+J6063*IF(OR(J6064=1,I6203=1),$C$6042,IF(Assumptions!$I$54=1,MAX(J6040,Assumptions!$G$54)+Assumptions!$F$54+$C$6041,Assumptions!$E$54))+J6076*IF(OR(J6077=1,I6204=1),$C$6042,IF(Assumptions!$I$55=1,MAX(J6040,Assumptions!$G$55)+Assumptions!$F$55+$C$6041,Assumptions!$E$55))+J6089*IF(OR(J6090=1,I6205=1),$C$6042,IF(Assumptions!$I$56=1,MAX(J6040,Assumptions!$G$56)+Assumptions!$F$56+$C$6041,Assumptions!$E$56))</f>
        <v>144.9755808</v>
      </c>
      <c r="K6047" s="25" t="n">
        <f aca="false">K6050*IF(OR(K6051=1,J6202=1),$C$6042,IF(Assumptions!$I$53=1,MAX(K6040,Assumptions!$G$53)+Assumptions!$F$53+$C$6041,Assumptions!$E$53))+K6063*IF(OR(K6064=1,J6203=1),$C$6042,IF(Assumptions!$I$54=1,MAX(K6040,Assumptions!$G$54)+Assumptions!$F$54+$C$6041,Assumptions!$E$54))+K6076*IF(OR(K6077=1,J6204=1),$C$6042,IF(Assumptions!$I$55=1,MAX(K6040,Assumptions!$G$55)+Assumptions!$F$55+$C$6041,Assumptions!$E$55))+K6089*IF(OR(K6090=1,J6205=1),$C$6042,IF(Assumptions!$I$56=1,MAX(K6040,Assumptions!$G$56)+Assumptions!$F$56+$C$6041,Assumptions!$E$56))</f>
        <v>131.8099808</v>
      </c>
    </row>
    <row r="6048" customFormat="false" ht="15" hidden="false" customHeight="false" outlineLevel="0" collapsed="false">
      <c r="A6048" s="5" t="s">
        <v>262</v>
      </c>
      <c r="G6048" s="20" t="n">
        <f aca="false">IF(G6024&lt;=0,0,IF(AND((G6045-G6046)/G6024&lt;=$C$6043,G6024/G6047&gt;=$C$6044),1,0))</f>
        <v>0</v>
      </c>
      <c r="H6048" s="20" t="n">
        <f aca="false">IF(H6024&lt;=0,0,IF(AND((H6045-H6046)/H6024&lt;=$C$6043,H6024/H6047&gt;=$C$6044),1,0))</f>
        <v>0</v>
      </c>
      <c r="I6048" s="20" t="n">
        <f aca="false">IF(I6024&lt;=0,0,IF(AND((I6045-I6046)/I6024&lt;=$C$6043,I6024/I6047&gt;=$C$6044),1,0))</f>
        <v>0</v>
      </c>
      <c r="J6048" s="20" t="n">
        <f aca="false">IF(J6024&lt;=0,0,IF(AND((J6045-J6046)/J6024&lt;=$C$6043,J6024/J6047&gt;=$C$6044),1,0))</f>
        <v>0</v>
      </c>
      <c r="K6048" s="20" t="n">
        <f aca="false">IF(K6024&lt;=0,0,IF(AND((K6045-K6046)/K6024&lt;=$C$6043,K6024/K6047&gt;=$C$6044),1,0))</f>
        <v>0</v>
      </c>
    </row>
    <row r="6049" customFormat="false" ht="15" hidden="false" customHeight="false" outlineLevel="0" collapsed="false">
      <c r="A6049" s="23" t="s">
        <v>263</v>
      </c>
      <c r="B6049" s="24"/>
      <c r="C6049" s="24"/>
      <c r="D6049" s="24"/>
      <c r="E6049" s="24"/>
      <c r="F6049" s="24"/>
      <c r="G6049" s="24"/>
      <c r="H6049" s="24"/>
      <c r="I6049" s="24"/>
      <c r="J6049" s="24"/>
      <c r="K6049" s="24"/>
    </row>
    <row r="6050" customFormat="false" ht="15" hidden="false" customHeight="false" outlineLevel="0" collapsed="false">
      <c r="A6050" s="5" t="s">
        <v>264</v>
      </c>
      <c r="G6050" s="25" t="n">
        <f aca="false">F6061</f>
        <v>180</v>
      </c>
      <c r="H6050" s="25" t="n">
        <f aca="false">G6061</f>
        <v>161.3728</v>
      </c>
      <c r="I6050" s="25" t="n">
        <f aca="false">H6061</f>
        <v>161.3728</v>
      </c>
      <c r="J6050" s="25" t="n">
        <f aca="false">I6061</f>
        <v>161.3728</v>
      </c>
      <c r="K6050" s="25" t="n">
        <f aca="false">J6061</f>
        <v>161.3728</v>
      </c>
    </row>
    <row r="6051" customFormat="false" ht="15" hidden="false" customHeight="false" outlineLevel="0" collapsed="false">
      <c r="A6051" s="5" t="s">
        <v>265</v>
      </c>
      <c r="G6051" s="20" t="n">
        <f aca="false">IF(G6014=Assumptions!$K$53,1,0)</f>
        <v>0</v>
      </c>
      <c r="H6051" s="20" t="n">
        <f aca="false">IF(H6014=Assumptions!$K$53,1,0)</f>
        <v>1</v>
      </c>
      <c r="I6051" s="20" t="n">
        <f aca="false">IF(I6014=Assumptions!$K$53,1,0)</f>
        <v>0</v>
      </c>
      <c r="J6051" s="20" t="n">
        <f aca="false">IF(J6014=Assumptions!$K$53,1,0)</f>
        <v>0</v>
      </c>
      <c r="K6051" s="20" t="n">
        <f aca="false">IF(K6014=Assumptions!$K$53,1,0)</f>
        <v>0</v>
      </c>
    </row>
    <row r="6053" customFormat="false" ht="15" hidden="false" customHeight="false" outlineLevel="0" collapsed="false">
      <c r="A6053" s="5" t="s">
        <v>266</v>
      </c>
      <c r="G6053" s="30" t="n">
        <f aca="false">IF(Assumptions!$I$53=1,MAX(G6040,Assumptions!$G$53)+Assumptions!$F$53+$C$6041,Assumptions!$E$53)</f>
        <v>0.116</v>
      </c>
      <c r="H6053" s="30" t="n">
        <f aca="false">IF(G6202=1,$C$6042,IF(Assumptions!$I$53=1,MAX(H6040,Assumptions!$G$53)+Assumptions!$F$53+$C$6041,Assumptions!$E$53))</f>
        <v>0.1135</v>
      </c>
      <c r="I6053" s="30" t="n">
        <f aca="false">IF(H6202=1,$C$6042,IF(Assumptions!$I$53=1,MAX(I6040,Assumptions!$G$53)+Assumptions!$F$53+$C$6041,Assumptions!$E$53))</f>
        <v>0.111</v>
      </c>
      <c r="J6053" s="30" t="n">
        <f aca="false">IF(I6202=1,$C$6042,IF(Assumptions!$I$53=1,MAX(J6040,Assumptions!$G$53)+Assumptions!$F$53+$C$6041,Assumptions!$E$53))</f>
        <v>0.111</v>
      </c>
      <c r="K6053" s="30" t="n">
        <f aca="false">IF(J6202=1,$C$6042,IF(Assumptions!$I$53=1,MAX(K6040,Assumptions!$G$53)+Assumptions!$F$53+$C$6041,Assumptions!$E$53))</f>
        <v>0.111</v>
      </c>
    </row>
    <row r="6054" customFormat="false" ht="15" hidden="false" customHeight="false" outlineLevel="0" collapsed="false">
      <c r="A6054" s="5" t="s">
        <v>267</v>
      </c>
      <c r="G6054" s="25" t="n">
        <f aca="false">G6050*G6053</f>
        <v>20.88</v>
      </c>
      <c r="H6054" s="25" t="n">
        <f aca="false">H6050*H6053</f>
        <v>18.3158128</v>
      </c>
      <c r="I6054" s="25" t="n">
        <f aca="false">I6050*I6053</f>
        <v>17.9123808</v>
      </c>
      <c r="J6054" s="25" t="n">
        <f aca="false">J6050*J6053</f>
        <v>17.9123808</v>
      </c>
      <c r="K6054" s="25" t="n">
        <f aca="false">K6050*K6053</f>
        <v>17.9123808</v>
      </c>
    </row>
    <row r="6055" customFormat="false" ht="15" hidden="false" customHeight="false" outlineLevel="0" collapsed="false">
      <c r="A6055" s="5" t="s">
        <v>268</v>
      </c>
      <c r="G6055" s="25" t="n">
        <f aca="false">G6050*Assumptions!$H$53</f>
        <v>0</v>
      </c>
      <c r="H6055" s="25" t="n">
        <f aca="false">H6050*Assumptions!$H$53</f>
        <v>0</v>
      </c>
      <c r="I6055" s="25" t="n">
        <f aca="false">I6050*Assumptions!$H$53</f>
        <v>0</v>
      </c>
      <c r="J6055" s="25" t="n">
        <f aca="false">J6050*Assumptions!$H$53</f>
        <v>0</v>
      </c>
      <c r="K6055" s="25" t="n">
        <f aca="false">K6050*Assumptions!$H$53</f>
        <v>0</v>
      </c>
    </row>
    <row r="6056" customFormat="false" ht="15" hidden="false" customHeight="false" outlineLevel="0" collapsed="false">
      <c r="A6056" s="5" t="s">
        <v>269</v>
      </c>
      <c r="G6056" s="25" t="n">
        <f aca="false">MIN(G6050,Assumptions!$L$53*Assumptions!$C$53)</f>
        <v>0</v>
      </c>
      <c r="H6056" s="25" t="n">
        <f aca="false">MIN(H6050,Assumptions!$L$53*Assumptions!$C$53)</f>
        <v>0</v>
      </c>
      <c r="I6056" s="25" t="n">
        <f aca="false">MIN(I6050,Assumptions!$L$53*Assumptions!$C$53)</f>
        <v>0</v>
      </c>
      <c r="J6056" s="25" t="n">
        <f aca="false">MIN(J6050,Assumptions!$L$53*Assumptions!$C$53)</f>
        <v>0</v>
      </c>
      <c r="K6056" s="25" t="n">
        <f aca="false">MIN(K6050,Assumptions!$L$53*Assumptions!$C$53)</f>
        <v>0</v>
      </c>
    </row>
    <row r="6057" customFormat="false" ht="15" hidden="false" customHeight="false" outlineLevel="0" collapsed="false">
      <c r="A6057" s="5" t="s">
        <v>270</v>
      </c>
      <c r="G6057" s="25" t="n">
        <f aca="false">IF(AND(Assumptions!$P$53=1,G6014&lt;Assumptions!$K$53),MIN(MAX(0,-G6128),MAX(0,Assumptions!$D$53-G6050)),0)</f>
        <v>0</v>
      </c>
      <c r="H6057" s="25" t="n">
        <f aca="false">IF(AND(Assumptions!$P$53=1,OR(H6014&lt;Assumptions!$K$53,G6202=1)),MIN(MAX(0,-H6128),MAX(0,Assumptions!$D$53-H6050)),0)</f>
        <v>0</v>
      </c>
      <c r="I6057" s="25" t="n">
        <f aca="false">IF(AND(Assumptions!$P$53=1,OR(I6014&lt;Assumptions!$K$53,H6202=1)),MIN(MAX(0,-I6128),MAX(0,Assumptions!$D$53-I6050)),0)</f>
        <v>0</v>
      </c>
      <c r="J6057" s="25" t="n">
        <f aca="false">IF(AND(Assumptions!$P$53=1,OR(J6014&lt;Assumptions!$K$53,I6202=1)),MIN(MAX(0,-J6128),MAX(0,Assumptions!$D$53-J6050)),0)</f>
        <v>0</v>
      </c>
      <c r="K6057" s="25" t="n">
        <f aca="false">IF(AND(Assumptions!$P$53=1,OR(K6014&lt;Assumptions!$K$53,J6202=1)),MIN(MAX(0,-K6128),MAX(0,Assumptions!$D$53-K6050)),0)</f>
        <v>0</v>
      </c>
    </row>
    <row r="6058" customFormat="false" ht="15" hidden="false" customHeight="false" outlineLevel="0" collapsed="false">
      <c r="A6058" s="5" t="s">
        <v>271</v>
      </c>
      <c r="G6058" s="25" t="n">
        <f aca="false">G6051*MIN(G6050-G6056+G6055,MAX(0,G6130-Assumptions!$C$12*G6048))</f>
        <v>0</v>
      </c>
      <c r="H6058" s="25" t="n">
        <f aca="false">H6051*MIN(H6050-H6056+H6055,MAX(0,H6130-Assumptions!$C$12*H6048))</f>
        <v>0</v>
      </c>
      <c r="I6058" s="25" t="n">
        <f aca="false">I6051*MIN(I6050-I6056+I6055,MAX(0,I6130-Assumptions!$C$12*I6048))</f>
        <v>0</v>
      </c>
      <c r="J6058" s="25" t="n">
        <f aca="false">J6051*MIN(J6050-J6056+J6055,MAX(0,J6130-Assumptions!$C$12*J6048))</f>
        <v>0</v>
      </c>
      <c r="K6058" s="25" t="n">
        <f aca="false">K6051*MIN(K6050-K6056+K6055,MAX(0,K6130-Assumptions!$C$12*K6048))</f>
        <v>0</v>
      </c>
    </row>
    <row r="6059" customFormat="false" ht="15" hidden="false" customHeight="false" outlineLevel="0" collapsed="false">
      <c r="A6059" s="5" t="s">
        <v>272</v>
      </c>
      <c r="G6059" s="25" t="n">
        <f aca="false">Assumptions!$N$53*MIN(G6050+G6057+G6055-G6056-G6058,MAX(0,G6134))</f>
        <v>18.6272</v>
      </c>
      <c r="H6059" s="25" t="n">
        <f aca="false">Assumptions!$N$53*MIN(H6050+H6057+H6055-H6056-H6058,MAX(0,H6134))</f>
        <v>0</v>
      </c>
      <c r="I6059" s="25" t="n">
        <f aca="false">Assumptions!$N$53*MIN(I6050+I6057+I6055-I6056-I6058,MAX(0,I6134))</f>
        <v>0</v>
      </c>
      <c r="J6059" s="25" t="n">
        <f aca="false">Assumptions!$N$53*MIN(J6050+J6057+J6055-J6056-J6058,MAX(0,J6134))</f>
        <v>0</v>
      </c>
      <c r="K6059" s="25" t="n">
        <f aca="false">Assumptions!$N$53*MIN(K6050+K6057+K6055-K6056-K6058,MAX(0,K6134))</f>
        <v>0</v>
      </c>
    </row>
    <row r="6060" customFormat="false" ht="15" hidden="false" customHeight="false" outlineLevel="0" collapsed="false">
      <c r="A6060" s="5" t="s">
        <v>273</v>
      </c>
      <c r="G6060" s="25" t="n">
        <f aca="false">G6051*(1-G6048)*(G6050-G6056+G6055-G6058)</f>
        <v>0</v>
      </c>
      <c r="H6060" s="25" t="n">
        <f aca="false">H6051*(1-H6048)*(H6050-H6056+H6055-H6058)</f>
        <v>161.3728</v>
      </c>
      <c r="I6060" s="25" t="n">
        <f aca="false">I6051*(1-I6048)*(I6050-I6056+I6055-I6058)</f>
        <v>0</v>
      </c>
      <c r="J6060" s="25" t="n">
        <f aca="false">J6051*(1-J6048)*(J6050-J6056+J6055-J6058)</f>
        <v>0</v>
      </c>
      <c r="K6060" s="25" t="n">
        <f aca="false">K6051*(1-K6048)*(K6050-K6056+K6055-K6058)</f>
        <v>0</v>
      </c>
    </row>
    <row r="6061" customFormat="false" ht="15" hidden="false" customHeight="false" outlineLevel="0" collapsed="false">
      <c r="A6061" s="2" t="s">
        <v>274</v>
      </c>
      <c r="F6061" s="27" t="n">
        <f aca="false">Assumptions!$C$53</f>
        <v>180</v>
      </c>
      <c r="G6061" s="16" t="n">
        <f aca="false">G6050+G6057+G6055-G6056-G6058-G6059</f>
        <v>161.3728</v>
      </c>
      <c r="H6061" s="16" t="n">
        <f aca="false">H6050+H6057+H6055-H6056-H6058-H6059</f>
        <v>161.3728</v>
      </c>
      <c r="I6061" s="16" t="n">
        <f aca="false">I6050+I6057+I6055-I6056-I6058-I6059</f>
        <v>161.3728</v>
      </c>
      <c r="J6061" s="16" t="n">
        <f aca="false">J6050+J6057+J6055-J6056-J6058-J6059</f>
        <v>161.3728</v>
      </c>
      <c r="K6061" s="16" t="n">
        <f aca="false">K6050+K6057+K6055-K6056-K6058-K6059</f>
        <v>161.3728</v>
      </c>
    </row>
    <row r="6062" customFormat="false" ht="15" hidden="false" customHeight="false" outlineLevel="0" collapsed="false">
      <c r="A6062" s="23" t="s">
        <v>275</v>
      </c>
      <c r="B6062" s="24"/>
      <c r="C6062" s="24"/>
      <c r="D6062" s="24"/>
      <c r="E6062" s="24"/>
      <c r="F6062" s="24"/>
      <c r="G6062" s="24"/>
      <c r="H6062" s="24"/>
      <c r="I6062" s="24"/>
      <c r="J6062" s="24"/>
      <c r="K6062" s="24"/>
    </row>
    <row r="6063" customFormat="false" ht="15" hidden="false" customHeight="false" outlineLevel="0" collapsed="false">
      <c r="A6063" s="5" t="s">
        <v>264</v>
      </c>
      <c r="G6063" s="25" t="n">
        <f aca="false">F6074</f>
        <v>520</v>
      </c>
      <c r="H6063" s="25" t="n">
        <f aca="false">G6074</f>
        <v>514.8</v>
      </c>
      <c r="I6063" s="25" t="n">
        <f aca="false">H6074</f>
        <v>509.6</v>
      </c>
      <c r="J6063" s="25" t="n">
        <f aca="false">I6074</f>
        <v>504.4</v>
      </c>
      <c r="K6063" s="25" t="n">
        <f aca="false">J6074</f>
        <v>499.2</v>
      </c>
    </row>
    <row r="6064" customFormat="false" ht="15" hidden="false" customHeight="false" outlineLevel="0" collapsed="false">
      <c r="A6064" s="5" t="s">
        <v>265</v>
      </c>
      <c r="G6064" s="20" t="n">
        <f aca="false">IF(G6014=Assumptions!$K$54,1,0)</f>
        <v>0</v>
      </c>
      <c r="H6064" s="20" t="n">
        <f aca="false">IF(H6014=Assumptions!$K$54,1,0)</f>
        <v>0</v>
      </c>
      <c r="I6064" s="20" t="n">
        <f aca="false">IF(I6014=Assumptions!$K$54,1,0)</f>
        <v>1</v>
      </c>
      <c r="J6064" s="20" t="n">
        <f aca="false">IF(J6014=Assumptions!$K$54,1,0)</f>
        <v>0</v>
      </c>
      <c r="K6064" s="20" t="n">
        <f aca="false">IF(K6014=Assumptions!$K$54,1,0)</f>
        <v>0</v>
      </c>
    </row>
    <row r="6066" customFormat="false" ht="15" hidden="false" customHeight="false" outlineLevel="0" collapsed="false">
      <c r="A6066" s="5" t="s">
        <v>266</v>
      </c>
      <c r="G6066" s="30" t="n">
        <f aca="false">IF(Assumptions!$I$54=1,MAX(G6040,Assumptions!$G$54)+Assumptions!$F$54+$C$6041,Assumptions!$E$54)</f>
        <v>0.133</v>
      </c>
      <c r="H6066" s="30" t="n">
        <f aca="false">IF(G6203=1,$C$6042,IF(Assumptions!$I$54=1,MAX(H6040,Assumptions!$G$54)+Assumptions!$F$54+$C$6041,Assumptions!$E$54))</f>
        <v>0.1305</v>
      </c>
      <c r="I6066" s="30" t="n">
        <f aca="false">IF(H6203=1,$C$6042,IF(Assumptions!$I$54=1,MAX(I6040,Assumptions!$G$54)+Assumptions!$F$54+$C$6041,Assumptions!$E$54))</f>
        <v>0.128</v>
      </c>
      <c r="J6066" s="30" t="n">
        <f aca="false">IF(I6203=1,$C$6042,IF(Assumptions!$I$54=1,MAX(J6040,Assumptions!$G$54)+Assumptions!$F$54+$C$6041,Assumptions!$E$54))</f>
        <v>0.128</v>
      </c>
      <c r="K6066" s="30" t="n">
        <f aca="false">IF(J6203=1,$C$6042,IF(Assumptions!$I$54=1,MAX(K6040,Assumptions!$G$54)+Assumptions!$F$54+$C$6041,Assumptions!$E$54))</f>
        <v>0.128</v>
      </c>
    </row>
    <row r="6067" customFormat="false" ht="15" hidden="false" customHeight="false" outlineLevel="0" collapsed="false">
      <c r="A6067" s="5" t="s">
        <v>267</v>
      </c>
      <c r="G6067" s="25" t="n">
        <f aca="false">G6063*G6066</f>
        <v>69.16</v>
      </c>
      <c r="H6067" s="25" t="n">
        <f aca="false">H6063*H6066</f>
        <v>67.1814</v>
      </c>
      <c r="I6067" s="25" t="n">
        <f aca="false">I6063*I6066</f>
        <v>65.2288</v>
      </c>
      <c r="J6067" s="25" t="n">
        <f aca="false">J6063*J6066</f>
        <v>64.5632</v>
      </c>
      <c r="K6067" s="25" t="n">
        <f aca="false">K6063*K6066</f>
        <v>63.8976</v>
      </c>
    </row>
    <row r="6068" customFormat="false" ht="15" hidden="false" customHeight="false" outlineLevel="0" collapsed="false">
      <c r="A6068" s="5" t="s">
        <v>268</v>
      </c>
      <c r="G6068" s="25" t="n">
        <f aca="false">G6063*Assumptions!$H$54</f>
        <v>0</v>
      </c>
      <c r="H6068" s="25" t="n">
        <f aca="false">H6063*Assumptions!$H$54</f>
        <v>0</v>
      </c>
      <c r="I6068" s="25" t="n">
        <f aca="false">I6063*Assumptions!$H$54</f>
        <v>0</v>
      </c>
      <c r="J6068" s="25" t="n">
        <f aca="false">J6063*Assumptions!$H$54</f>
        <v>0</v>
      </c>
      <c r="K6068" s="25" t="n">
        <f aca="false">K6063*Assumptions!$H$54</f>
        <v>0</v>
      </c>
    </row>
    <row r="6069" customFormat="false" ht="15" hidden="false" customHeight="false" outlineLevel="0" collapsed="false">
      <c r="A6069" s="5" t="s">
        <v>269</v>
      </c>
      <c r="G6069" s="25" t="n">
        <f aca="false">MIN(G6063,Assumptions!$L$54*Assumptions!$C$54)</f>
        <v>5.2</v>
      </c>
      <c r="H6069" s="25" t="n">
        <f aca="false">MIN(H6063,Assumptions!$L$54*Assumptions!$C$54)</f>
        <v>5.2</v>
      </c>
      <c r="I6069" s="25" t="n">
        <f aca="false">MIN(I6063,Assumptions!$L$54*Assumptions!$C$54)</f>
        <v>5.2</v>
      </c>
      <c r="J6069" s="25" t="n">
        <f aca="false">MIN(J6063,Assumptions!$L$54*Assumptions!$C$54)</f>
        <v>5.2</v>
      </c>
      <c r="K6069" s="25" t="n">
        <f aca="false">MIN(K6063,Assumptions!$L$54*Assumptions!$C$54)</f>
        <v>5.2</v>
      </c>
    </row>
    <row r="6070" customFormat="false" ht="15" hidden="false" customHeight="false" outlineLevel="0" collapsed="false">
      <c r="A6070" s="5" t="s">
        <v>270</v>
      </c>
      <c r="G6070" s="25" t="n">
        <f aca="false">IF(AND(Assumptions!$P$54=1,G6014&lt;Assumptions!$K$54),MIN(MAX(0,-G6128),MAX(0,Assumptions!$D$54-G6063)),0)</f>
        <v>0</v>
      </c>
      <c r="H6070" s="25" t="n">
        <f aca="false">IF(AND(Assumptions!$P$54=1,OR(H6014&lt;Assumptions!$K$54,G6203=1)),MIN(MAX(0,-H6128),MAX(0,Assumptions!$D$54-H6063)),0)</f>
        <v>0</v>
      </c>
      <c r="I6070" s="25" t="n">
        <f aca="false">IF(AND(Assumptions!$P$54=1,OR(I6014&lt;Assumptions!$K$54,H6203=1)),MIN(MAX(0,-I6128),MAX(0,Assumptions!$D$54-I6063)),0)</f>
        <v>0</v>
      </c>
      <c r="J6070" s="25" t="n">
        <f aca="false">IF(AND(Assumptions!$P$54=1,OR(J6014&lt;Assumptions!$K$54,I6203=1)),MIN(MAX(0,-J6128),MAX(0,Assumptions!$D$54-J6063)),0)</f>
        <v>0</v>
      </c>
      <c r="K6070" s="25" t="n">
        <f aca="false">IF(AND(Assumptions!$P$54=1,OR(K6014&lt;Assumptions!$K$54,J6203=1)),MIN(MAX(0,-K6128),MAX(0,Assumptions!$D$54-K6063)),0)</f>
        <v>0</v>
      </c>
    </row>
    <row r="6071" customFormat="false" ht="15" hidden="false" customHeight="false" outlineLevel="0" collapsed="false">
      <c r="A6071" s="5" t="s">
        <v>271</v>
      </c>
      <c r="G6071" s="25" t="n">
        <f aca="false">G6064*MIN(G6063-G6069+G6068,MAX(0,G6130-Assumptions!$C$12*G6048-G6058))</f>
        <v>0</v>
      </c>
      <c r="H6071" s="25" t="n">
        <f aca="false">H6064*MIN(H6063-H6069+H6068,MAX(0,H6130-Assumptions!$C$12*H6048-H6058))</f>
        <v>0</v>
      </c>
      <c r="I6071" s="25" t="n">
        <f aca="false">I6064*MIN(I6063-I6069+I6068,MAX(0,I6130-Assumptions!$C$12*I6048-I6058))</f>
        <v>0</v>
      </c>
      <c r="J6071" s="25" t="n">
        <f aca="false">J6064*MIN(J6063-J6069+J6068,MAX(0,J6130-Assumptions!$C$12*J6048-J6058))</f>
        <v>0</v>
      </c>
      <c r="K6071" s="25" t="n">
        <f aca="false">K6064*MIN(K6063-K6069+K6068,MAX(0,K6130-Assumptions!$C$12*K6048-K6058))</f>
        <v>0</v>
      </c>
    </row>
    <row r="6072" customFormat="false" ht="15" hidden="false" customHeight="false" outlineLevel="0" collapsed="false">
      <c r="A6072" s="5" t="s">
        <v>272</v>
      </c>
      <c r="G6072" s="25" t="n">
        <f aca="false">Assumptions!$N$54*MIN(G6063+G6070+G6068-G6069-G6071,MAX(0,G6134-G6059))</f>
        <v>0</v>
      </c>
      <c r="H6072" s="25" t="n">
        <f aca="false">Assumptions!$N$54*MIN(H6063+H6070+H6068-H6069-H6071,MAX(0,H6134-H6059))</f>
        <v>0</v>
      </c>
      <c r="I6072" s="25" t="n">
        <f aca="false">Assumptions!$N$54*MIN(I6063+I6070+I6068-I6069-I6071,MAX(0,I6134-I6059))</f>
        <v>0</v>
      </c>
      <c r="J6072" s="25" t="n">
        <f aca="false">Assumptions!$N$54*MIN(J6063+J6070+J6068-J6069-J6071,MAX(0,J6134-J6059))</f>
        <v>0</v>
      </c>
      <c r="K6072" s="25" t="n">
        <f aca="false">Assumptions!$N$54*MIN(K6063+K6070+K6068-K6069-K6071,MAX(0,K6134-K6059))</f>
        <v>0</v>
      </c>
    </row>
    <row r="6073" customFormat="false" ht="15" hidden="false" customHeight="false" outlineLevel="0" collapsed="false">
      <c r="A6073" s="5" t="s">
        <v>273</v>
      </c>
      <c r="G6073" s="25" t="n">
        <f aca="false">G6064*(1-G6048)*(G6063-G6069+G6068-G6071)</f>
        <v>0</v>
      </c>
      <c r="H6073" s="25" t="n">
        <f aca="false">H6064*(1-H6048)*(H6063-H6069+H6068-H6071)</f>
        <v>0</v>
      </c>
      <c r="I6073" s="25" t="n">
        <f aca="false">I6064*(1-I6048)*(I6063-I6069+I6068-I6071)</f>
        <v>504.4</v>
      </c>
      <c r="J6073" s="25" t="n">
        <f aca="false">J6064*(1-J6048)*(J6063-J6069+J6068-J6071)</f>
        <v>0</v>
      </c>
      <c r="K6073" s="25" t="n">
        <f aca="false">K6064*(1-K6048)*(K6063-K6069+K6068-K6071)</f>
        <v>0</v>
      </c>
    </row>
    <row r="6074" customFormat="false" ht="15" hidden="false" customHeight="false" outlineLevel="0" collapsed="false">
      <c r="A6074" s="2" t="s">
        <v>274</v>
      </c>
      <c r="F6074" s="27" t="n">
        <f aca="false">Assumptions!$C$54</f>
        <v>520</v>
      </c>
      <c r="G6074" s="16" t="n">
        <f aca="false">G6063+G6070+G6068-G6069-G6071-G6072</f>
        <v>514.8</v>
      </c>
      <c r="H6074" s="16" t="n">
        <f aca="false">H6063+H6070+H6068-H6069-H6071-H6072</f>
        <v>509.6</v>
      </c>
      <c r="I6074" s="16" t="n">
        <f aca="false">I6063+I6070+I6068-I6069-I6071-I6072</f>
        <v>504.4</v>
      </c>
      <c r="J6074" s="16" t="n">
        <f aca="false">J6063+J6070+J6068-J6069-J6071-J6072</f>
        <v>499.2</v>
      </c>
      <c r="K6074" s="16" t="n">
        <f aca="false">K6063+K6070+K6068-K6069-K6071-K6072</f>
        <v>494</v>
      </c>
    </row>
    <row r="6075" customFormat="false" ht="15" hidden="false" customHeight="false" outlineLevel="0" collapsed="false">
      <c r="A6075" s="23" t="s">
        <v>276</v>
      </c>
      <c r="B6075" s="24"/>
      <c r="C6075" s="24"/>
      <c r="D6075" s="24"/>
      <c r="E6075" s="24"/>
      <c r="F6075" s="24"/>
      <c r="G6075" s="24"/>
      <c r="H6075" s="24"/>
      <c r="I6075" s="24"/>
      <c r="J6075" s="24"/>
      <c r="K6075" s="24"/>
    </row>
    <row r="6076" customFormat="false" ht="15" hidden="false" customHeight="false" outlineLevel="0" collapsed="false">
      <c r="A6076" s="5" t="s">
        <v>264</v>
      </c>
      <c r="G6076" s="25" t="n">
        <f aca="false">F6087</f>
        <v>250</v>
      </c>
      <c r="H6076" s="25" t="n">
        <f aca="false">G6087</f>
        <v>250</v>
      </c>
      <c r="I6076" s="25" t="n">
        <f aca="false">H6087</f>
        <v>250</v>
      </c>
      <c r="J6076" s="25" t="n">
        <f aca="false">I6087</f>
        <v>250</v>
      </c>
      <c r="K6076" s="25" t="n">
        <f aca="false">J6087</f>
        <v>250</v>
      </c>
    </row>
    <row r="6077" customFormat="false" ht="15" hidden="false" customHeight="false" outlineLevel="0" collapsed="false">
      <c r="A6077" s="5" t="s">
        <v>265</v>
      </c>
      <c r="G6077" s="20" t="n">
        <f aca="false">IF(G6014=Assumptions!$K$55,1,0)</f>
        <v>0</v>
      </c>
      <c r="H6077" s="20" t="n">
        <f aca="false">IF(H6014=Assumptions!$K$55,1,0)</f>
        <v>0</v>
      </c>
      <c r="I6077" s="20" t="n">
        <f aca="false">IF(I6014=Assumptions!$K$55,1,0)</f>
        <v>0</v>
      </c>
      <c r="J6077" s="20" t="n">
        <f aca="false">IF(J6014=Assumptions!$K$55,1,0)</f>
        <v>1</v>
      </c>
      <c r="K6077" s="20" t="n">
        <f aca="false">IF(K6014=Assumptions!$K$55,1,0)</f>
        <v>0</v>
      </c>
    </row>
    <row r="6079" customFormat="false" ht="15" hidden="false" customHeight="false" outlineLevel="0" collapsed="false">
      <c r="A6079" s="5" t="s">
        <v>266</v>
      </c>
      <c r="G6079" s="30" t="n">
        <f aca="false">IF(Assumptions!$I$55=1,MAX(G6040,Assumptions!$G$55)+Assumptions!$F$55+$C$6041,Assumptions!$E$55)</f>
        <v>0.11</v>
      </c>
      <c r="H6079" s="30" t="n">
        <f aca="false">IF(G6204=1,$C$6042,IF(Assumptions!$I$55=1,MAX(H6040,Assumptions!$G$55)+Assumptions!$F$55+$C$6041,Assumptions!$E$55))</f>
        <v>0.11</v>
      </c>
      <c r="I6079" s="30" t="n">
        <f aca="false">IF(H6204=1,$C$6042,IF(Assumptions!$I$55=1,MAX(I6040,Assumptions!$G$55)+Assumptions!$F$55+$C$6041,Assumptions!$E$55))</f>
        <v>0.11</v>
      </c>
      <c r="J6079" s="30" t="n">
        <f aca="false">IF(I6204=1,$C$6042,IF(Assumptions!$I$55=1,MAX(J6040,Assumptions!$G$55)+Assumptions!$F$55+$C$6041,Assumptions!$E$55))</f>
        <v>0.11</v>
      </c>
      <c r="K6079" s="30" t="n">
        <f aca="false">IF(J6204=1,$C$6042,IF(Assumptions!$I$55=1,MAX(K6040,Assumptions!$G$55)+Assumptions!$F$55+$C$6041,Assumptions!$E$55))</f>
        <v>0.11</v>
      </c>
    </row>
    <row r="6080" customFormat="false" ht="15" hidden="false" customHeight="false" outlineLevel="0" collapsed="false">
      <c r="A6080" s="5" t="s">
        <v>267</v>
      </c>
      <c r="G6080" s="25" t="n">
        <f aca="false">G6076*G6079</f>
        <v>27.5</v>
      </c>
      <c r="H6080" s="25" t="n">
        <f aca="false">H6076*H6079</f>
        <v>27.5</v>
      </c>
      <c r="I6080" s="25" t="n">
        <f aca="false">I6076*I6079</f>
        <v>27.5</v>
      </c>
      <c r="J6080" s="25" t="n">
        <f aca="false">J6076*J6079</f>
        <v>27.5</v>
      </c>
      <c r="K6080" s="25" t="n">
        <f aca="false">K6076*K6079</f>
        <v>27.5</v>
      </c>
    </row>
    <row r="6081" customFormat="false" ht="15" hidden="false" customHeight="false" outlineLevel="0" collapsed="false">
      <c r="A6081" s="5" t="s">
        <v>268</v>
      </c>
      <c r="G6081" s="25" t="n">
        <f aca="false">G6076*Assumptions!$H$55</f>
        <v>0</v>
      </c>
      <c r="H6081" s="25" t="n">
        <f aca="false">H6076*Assumptions!$H$55</f>
        <v>0</v>
      </c>
      <c r="I6081" s="25" t="n">
        <f aca="false">I6076*Assumptions!$H$55</f>
        <v>0</v>
      </c>
      <c r="J6081" s="25" t="n">
        <f aca="false">J6076*Assumptions!$H$55</f>
        <v>0</v>
      </c>
      <c r="K6081" s="25" t="n">
        <f aca="false">K6076*Assumptions!$H$55</f>
        <v>0</v>
      </c>
    </row>
    <row r="6082" customFormat="false" ht="15" hidden="false" customHeight="false" outlineLevel="0" collapsed="false">
      <c r="A6082" s="5" t="s">
        <v>269</v>
      </c>
      <c r="G6082" s="25" t="n">
        <f aca="false">MIN(G6076,Assumptions!$L$55*Assumptions!$C$55)</f>
        <v>0</v>
      </c>
      <c r="H6082" s="25" t="n">
        <f aca="false">MIN(H6076,Assumptions!$L$55*Assumptions!$C$55)</f>
        <v>0</v>
      </c>
      <c r="I6082" s="25" t="n">
        <f aca="false">MIN(I6076,Assumptions!$L$55*Assumptions!$C$55)</f>
        <v>0</v>
      </c>
      <c r="J6082" s="25" t="n">
        <f aca="false">MIN(J6076,Assumptions!$L$55*Assumptions!$C$55)</f>
        <v>0</v>
      </c>
      <c r="K6082" s="25" t="n">
        <f aca="false">MIN(K6076,Assumptions!$L$55*Assumptions!$C$55)</f>
        <v>0</v>
      </c>
    </row>
    <row r="6083" customFormat="false" ht="15" hidden="false" customHeight="false" outlineLevel="0" collapsed="false">
      <c r="A6083" s="5" t="s">
        <v>270</v>
      </c>
      <c r="G6083" s="25" t="n">
        <f aca="false">IF(AND(Assumptions!$P$55=1,G6014&lt;Assumptions!$K$55),MIN(MAX(0,-G6128),MAX(0,Assumptions!$D$55-G6076)),0)</f>
        <v>0</v>
      </c>
      <c r="H6083" s="25" t="n">
        <f aca="false">IF(AND(Assumptions!$P$55=1,OR(H6014&lt;Assumptions!$K$55,G6204=1)),MIN(MAX(0,-H6128),MAX(0,Assumptions!$D$55-H6076)),0)</f>
        <v>0</v>
      </c>
      <c r="I6083" s="25" t="n">
        <f aca="false">IF(AND(Assumptions!$P$55=1,OR(I6014&lt;Assumptions!$K$55,H6204=1)),MIN(MAX(0,-I6128),MAX(0,Assumptions!$D$55-I6076)),0)</f>
        <v>0</v>
      </c>
      <c r="J6083" s="25" t="n">
        <f aca="false">IF(AND(Assumptions!$P$55=1,OR(J6014&lt;Assumptions!$K$55,I6204=1)),MIN(MAX(0,-J6128),MAX(0,Assumptions!$D$55-J6076)),0)</f>
        <v>0</v>
      </c>
      <c r="K6083" s="25" t="n">
        <f aca="false">IF(AND(Assumptions!$P$55=1,OR(K6014&lt;Assumptions!$K$55,J6204=1)),MIN(MAX(0,-K6128),MAX(0,Assumptions!$D$55-K6076)),0)</f>
        <v>0</v>
      </c>
    </row>
    <row r="6084" customFormat="false" ht="15" hidden="false" customHeight="false" outlineLevel="0" collapsed="false">
      <c r="A6084" s="5" t="s">
        <v>271</v>
      </c>
      <c r="G6084" s="25" t="n">
        <f aca="false">G6077*MIN(G6076-G6082+G6081,MAX(0,G6130-Assumptions!$C$12*G6048-G6058-G6071))</f>
        <v>0</v>
      </c>
      <c r="H6084" s="25" t="n">
        <f aca="false">H6077*MIN(H6076-H6082+H6081,MAX(0,H6130-Assumptions!$C$12*H6048-H6058-H6071))</f>
        <v>0</v>
      </c>
      <c r="I6084" s="25" t="n">
        <f aca="false">I6077*MIN(I6076-I6082+I6081,MAX(0,I6130-Assumptions!$C$12*I6048-I6058-I6071))</f>
        <v>0</v>
      </c>
      <c r="J6084" s="25" t="n">
        <f aca="false">J6077*MIN(J6076-J6082+J6081,MAX(0,J6130-Assumptions!$C$12*J6048-J6058-J6071))</f>
        <v>0</v>
      </c>
      <c r="K6084" s="25" t="n">
        <f aca="false">K6077*MIN(K6076-K6082+K6081,MAX(0,K6130-Assumptions!$C$12*K6048-K6058-K6071))</f>
        <v>0</v>
      </c>
    </row>
    <row r="6085" customFormat="false" ht="15" hidden="false" customHeight="false" outlineLevel="0" collapsed="false">
      <c r="A6085" s="5" t="s">
        <v>272</v>
      </c>
      <c r="G6085" s="25" t="n">
        <f aca="false">Assumptions!$N$55*MIN(G6076+G6083+G6081-G6082-G6084,MAX(0,G6134-G6059-G6072))</f>
        <v>0</v>
      </c>
      <c r="H6085" s="25" t="n">
        <f aca="false">Assumptions!$N$55*MIN(H6076+H6083+H6081-H6082-H6084,MAX(0,H6134-H6059-H6072))</f>
        <v>0</v>
      </c>
      <c r="I6085" s="25" t="n">
        <f aca="false">Assumptions!$N$55*MIN(I6076+I6083+I6081-I6082-I6084,MAX(0,I6134-I6059-I6072))</f>
        <v>0</v>
      </c>
      <c r="J6085" s="25" t="n">
        <f aca="false">Assumptions!$N$55*MIN(J6076+J6083+J6081-J6082-J6084,MAX(0,J6134-J6059-J6072))</f>
        <v>0</v>
      </c>
      <c r="K6085" s="25" t="n">
        <f aca="false">Assumptions!$N$55*MIN(K6076+K6083+K6081-K6082-K6084,MAX(0,K6134-K6059-K6072))</f>
        <v>0</v>
      </c>
    </row>
    <row r="6086" customFormat="false" ht="15" hidden="false" customHeight="false" outlineLevel="0" collapsed="false">
      <c r="A6086" s="5" t="s">
        <v>273</v>
      </c>
      <c r="G6086" s="25" t="n">
        <f aca="false">G6077*(1-G6048)*(G6076-G6082+G6081-G6084)</f>
        <v>0</v>
      </c>
      <c r="H6086" s="25" t="n">
        <f aca="false">H6077*(1-H6048)*(H6076-H6082+H6081-H6084)</f>
        <v>0</v>
      </c>
      <c r="I6086" s="25" t="n">
        <f aca="false">I6077*(1-I6048)*(I6076-I6082+I6081-I6084)</f>
        <v>0</v>
      </c>
      <c r="J6086" s="25" t="n">
        <f aca="false">J6077*(1-J6048)*(J6076-J6082+J6081-J6084)</f>
        <v>250</v>
      </c>
      <c r="K6086" s="25" t="n">
        <f aca="false">K6077*(1-K6048)*(K6076-K6082+K6081-K6084)</f>
        <v>0</v>
      </c>
    </row>
    <row r="6087" customFormat="false" ht="15" hidden="false" customHeight="false" outlineLevel="0" collapsed="false">
      <c r="A6087" s="2" t="s">
        <v>274</v>
      </c>
      <c r="F6087" s="27" t="n">
        <f aca="false">Assumptions!$C$55</f>
        <v>250</v>
      </c>
      <c r="G6087" s="16" t="n">
        <f aca="false">G6076+G6083+G6081-G6082-G6084-G6085</f>
        <v>250</v>
      </c>
      <c r="H6087" s="16" t="n">
        <f aca="false">H6076+H6083+H6081-H6082-H6084-H6085</f>
        <v>250</v>
      </c>
      <c r="I6087" s="16" t="n">
        <f aca="false">I6076+I6083+I6081-I6082-I6084-I6085</f>
        <v>250</v>
      </c>
      <c r="J6087" s="16" t="n">
        <f aca="false">J6076+J6083+J6081-J6082-J6084-J6085</f>
        <v>250</v>
      </c>
      <c r="K6087" s="16" t="n">
        <f aca="false">K6076+K6083+K6081-K6082-K6084-K6085</f>
        <v>250</v>
      </c>
    </row>
    <row r="6088" customFormat="false" ht="15" hidden="false" customHeight="false" outlineLevel="0" collapsed="false">
      <c r="A6088" s="23" t="s">
        <v>277</v>
      </c>
      <c r="B6088" s="24"/>
      <c r="C6088" s="24"/>
      <c r="D6088" s="24"/>
      <c r="E6088" s="24"/>
      <c r="F6088" s="24"/>
      <c r="G6088" s="24"/>
      <c r="H6088" s="24"/>
      <c r="I6088" s="24"/>
      <c r="J6088" s="24"/>
      <c r="K6088" s="24"/>
    </row>
    <row r="6089" customFormat="false" ht="15" hidden="false" customHeight="false" outlineLevel="0" collapsed="false">
      <c r="A6089" s="5" t="s">
        <v>264</v>
      </c>
      <c r="G6089" s="25" t="n">
        <f aca="false">F6100</f>
        <v>300</v>
      </c>
      <c r="H6089" s="25" t="n">
        <f aca="false">G6100</f>
        <v>300</v>
      </c>
      <c r="I6089" s="25" t="n">
        <f aca="false">H6100</f>
        <v>300</v>
      </c>
      <c r="J6089" s="25" t="n">
        <f aca="false">I6100</f>
        <v>300</v>
      </c>
      <c r="K6089" s="25" t="n">
        <f aca="false">J6100</f>
        <v>300</v>
      </c>
    </row>
    <row r="6090" customFormat="false" ht="15" hidden="false" customHeight="false" outlineLevel="0" collapsed="false">
      <c r="A6090" s="5" t="s">
        <v>265</v>
      </c>
      <c r="G6090" s="20" t="n">
        <f aca="false">IF(G6014=Assumptions!$K$56,1,0)</f>
        <v>0</v>
      </c>
      <c r="H6090" s="20" t="n">
        <f aca="false">IF(H6014=Assumptions!$K$56,1,0)</f>
        <v>1</v>
      </c>
      <c r="I6090" s="20" t="n">
        <f aca="false">IF(I6014=Assumptions!$K$56,1,0)</f>
        <v>0</v>
      </c>
      <c r="J6090" s="20" t="n">
        <f aca="false">IF(J6014=Assumptions!$K$56,1,0)</f>
        <v>0</v>
      </c>
      <c r="K6090" s="20" t="n">
        <f aca="false">IF(K6014=Assumptions!$K$56,1,0)</f>
        <v>0</v>
      </c>
    </row>
    <row r="6092" customFormat="false" ht="15" hidden="false" customHeight="false" outlineLevel="0" collapsed="false">
      <c r="A6092" s="5" t="s">
        <v>266</v>
      </c>
      <c r="G6092" s="30" t="n">
        <f aca="false">IF(Assumptions!$I$56=1,MAX(G6040,Assumptions!$G$56)+Assumptions!$F$56+$C$6041,Assumptions!$E$56)</f>
        <v>0.075</v>
      </c>
      <c r="H6092" s="30" t="n">
        <f aca="false">IF(G6205=1,$C$6042,IF(Assumptions!$I$56=1,MAX(H6040,Assumptions!$G$56)+Assumptions!$F$56+$C$6041,Assumptions!$E$56))</f>
        <v>0.075</v>
      </c>
      <c r="I6092" s="30" t="n">
        <f aca="false">IF(H6205=1,$C$6042,IF(Assumptions!$I$56=1,MAX(I6040,Assumptions!$G$56)+Assumptions!$F$56+$C$6041,Assumptions!$E$56))</f>
        <v>0.075</v>
      </c>
      <c r="J6092" s="30" t="n">
        <f aca="false">IF(I6205=1,$C$6042,IF(Assumptions!$I$56=1,MAX(J6040,Assumptions!$G$56)+Assumptions!$F$56+$C$6041,Assumptions!$E$56))</f>
        <v>0.075</v>
      </c>
      <c r="K6092" s="30" t="n">
        <f aca="false">IF(J6205=1,$C$6042,IF(Assumptions!$I$56=1,MAX(K6040,Assumptions!$G$56)+Assumptions!$F$56+$C$6041,Assumptions!$E$56))</f>
        <v>0.075</v>
      </c>
    </row>
    <row r="6093" customFormat="false" ht="15" hidden="false" customHeight="false" outlineLevel="0" collapsed="false">
      <c r="A6093" s="5" t="s">
        <v>267</v>
      </c>
      <c r="G6093" s="25" t="n">
        <f aca="false">G6089*G6092</f>
        <v>22.5</v>
      </c>
      <c r="H6093" s="25" t="n">
        <f aca="false">H6089*H6092</f>
        <v>22.5</v>
      </c>
      <c r="I6093" s="25" t="n">
        <f aca="false">I6089*I6092</f>
        <v>22.5</v>
      </c>
      <c r="J6093" s="25" t="n">
        <f aca="false">J6089*J6092</f>
        <v>22.5</v>
      </c>
      <c r="K6093" s="25" t="n">
        <f aca="false">K6089*K6092</f>
        <v>22.5</v>
      </c>
    </row>
    <row r="6094" customFormat="false" ht="15" hidden="false" customHeight="false" outlineLevel="0" collapsed="false">
      <c r="A6094" s="5" t="s">
        <v>268</v>
      </c>
      <c r="G6094" s="25" t="n">
        <f aca="false">G6089*Assumptions!$H$56</f>
        <v>0</v>
      </c>
      <c r="H6094" s="25" t="n">
        <f aca="false">H6089*Assumptions!$H$56</f>
        <v>0</v>
      </c>
      <c r="I6094" s="25" t="n">
        <f aca="false">I6089*Assumptions!$H$56</f>
        <v>0</v>
      </c>
      <c r="J6094" s="25" t="n">
        <f aca="false">J6089*Assumptions!$H$56</f>
        <v>0</v>
      </c>
      <c r="K6094" s="25" t="n">
        <f aca="false">K6089*Assumptions!$H$56</f>
        <v>0</v>
      </c>
    </row>
    <row r="6095" customFormat="false" ht="15" hidden="false" customHeight="false" outlineLevel="0" collapsed="false">
      <c r="A6095" s="5" t="s">
        <v>269</v>
      </c>
      <c r="G6095" s="25" t="n">
        <f aca="false">MIN(G6089,Assumptions!$L$56*Assumptions!$C$56)</f>
        <v>0</v>
      </c>
      <c r="H6095" s="25" t="n">
        <f aca="false">MIN(H6089,Assumptions!$L$56*Assumptions!$C$56)</f>
        <v>0</v>
      </c>
      <c r="I6095" s="25" t="n">
        <f aca="false">MIN(I6089,Assumptions!$L$56*Assumptions!$C$56)</f>
        <v>0</v>
      </c>
      <c r="J6095" s="25" t="n">
        <f aca="false">MIN(J6089,Assumptions!$L$56*Assumptions!$C$56)</f>
        <v>0</v>
      </c>
      <c r="K6095" s="25" t="n">
        <f aca="false">MIN(K6089,Assumptions!$L$56*Assumptions!$C$56)</f>
        <v>0</v>
      </c>
    </row>
    <row r="6096" customFormat="false" ht="15" hidden="false" customHeight="false" outlineLevel="0" collapsed="false">
      <c r="A6096" s="5" t="s">
        <v>270</v>
      </c>
      <c r="G6096" s="25" t="n">
        <f aca="false">IF(AND(Assumptions!$P$56=1,G6014&lt;Assumptions!$K$56),MIN(MAX(0,-G6128),MAX(0,Assumptions!$D$56-G6089)),0)</f>
        <v>0</v>
      </c>
      <c r="H6096" s="25" t="n">
        <f aca="false">IF(AND(Assumptions!$P$56=1,OR(H6014&lt;Assumptions!$K$56,G6205=1)),MIN(MAX(0,-H6128),MAX(0,Assumptions!$D$56-H6089)),0)</f>
        <v>0</v>
      </c>
      <c r="I6096" s="25" t="n">
        <f aca="false">IF(AND(Assumptions!$P$56=1,OR(I6014&lt;Assumptions!$K$56,H6205=1)),MIN(MAX(0,-I6128),MAX(0,Assumptions!$D$56-I6089)),0)</f>
        <v>0</v>
      </c>
      <c r="J6096" s="25" t="n">
        <f aca="false">IF(AND(Assumptions!$P$56=1,OR(J6014&lt;Assumptions!$K$56,I6205=1)),MIN(MAX(0,-J6128),MAX(0,Assumptions!$D$56-J6089)),0)</f>
        <v>0</v>
      </c>
      <c r="K6096" s="25" t="n">
        <f aca="false">IF(AND(Assumptions!$P$56=1,OR(K6014&lt;Assumptions!$K$56,J6205=1)),MIN(MAX(0,-K6128),MAX(0,Assumptions!$D$56-K6089)),0)</f>
        <v>0</v>
      </c>
    </row>
    <row r="6097" customFormat="false" ht="15" hidden="false" customHeight="false" outlineLevel="0" collapsed="false">
      <c r="A6097" s="5" t="s">
        <v>271</v>
      </c>
      <c r="G6097" s="25" t="n">
        <f aca="false">G6090*MIN(G6089-G6095+G6094,MAX(0,G6130-Assumptions!$C$12*G6048-G6058-G6071-G6084))</f>
        <v>0</v>
      </c>
      <c r="H6097" s="25" t="n">
        <f aca="false">H6090*MIN(H6089-H6095+H6094,MAX(0,H6130-Assumptions!$C$12*H6048-H6058-H6071-H6084))</f>
        <v>0</v>
      </c>
      <c r="I6097" s="25" t="n">
        <f aca="false">I6090*MIN(I6089-I6095+I6094,MAX(0,I6130-Assumptions!$C$12*I6048-I6058-I6071-I6084))</f>
        <v>0</v>
      </c>
      <c r="J6097" s="25" t="n">
        <f aca="false">J6090*MIN(J6089-J6095+J6094,MAX(0,J6130-Assumptions!$C$12*J6048-J6058-J6071-J6084))</f>
        <v>0</v>
      </c>
      <c r="K6097" s="25" t="n">
        <f aca="false">K6090*MIN(K6089-K6095+K6094,MAX(0,K6130-Assumptions!$C$12*K6048-K6058-K6071-K6084))</f>
        <v>0</v>
      </c>
    </row>
    <row r="6098" customFormat="false" ht="15" hidden="false" customHeight="false" outlineLevel="0" collapsed="false">
      <c r="A6098" s="5" t="s">
        <v>272</v>
      </c>
      <c r="G6098" s="25" t="n">
        <f aca="false">Assumptions!$N$56*MIN(G6089+G6096+G6094-G6095-G6097,MAX(0,G6134-G6059-G6072-G6085))</f>
        <v>0</v>
      </c>
      <c r="H6098" s="25" t="n">
        <f aca="false">Assumptions!$N$56*MIN(H6089+H6096+H6094-H6095-H6097,MAX(0,H6134-H6059-H6072-H6085))</f>
        <v>0</v>
      </c>
      <c r="I6098" s="25" t="n">
        <f aca="false">Assumptions!$N$56*MIN(I6089+I6096+I6094-I6095-I6097,MAX(0,I6134-I6059-I6072-I6085))</f>
        <v>0</v>
      </c>
      <c r="J6098" s="25" t="n">
        <f aca="false">Assumptions!$N$56*MIN(J6089+J6096+J6094-J6095-J6097,MAX(0,J6134-J6059-J6072-J6085))</f>
        <v>0</v>
      </c>
      <c r="K6098" s="25" t="n">
        <f aca="false">Assumptions!$N$56*MIN(K6089+K6096+K6094-K6095-K6097,MAX(0,K6134-K6059-K6072-K6085))</f>
        <v>0</v>
      </c>
    </row>
    <row r="6099" customFormat="false" ht="15" hidden="false" customHeight="false" outlineLevel="0" collapsed="false">
      <c r="A6099" s="5" t="s">
        <v>273</v>
      </c>
      <c r="G6099" s="25" t="n">
        <f aca="false">G6090*(1-G6048)*(G6089-G6095+G6094-G6097)</f>
        <v>0</v>
      </c>
      <c r="H6099" s="25" t="n">
        <f aca="false">H6090*(1-H6048)*(H6089-H6095+H6094-H6097)</f>
        <v>300</v>
      </c>
      <c r="I6099" s="25" t="n">
        <f aca="false">I6090*(1-I6048)*(I6089-I6095+I6094-I6097)</f>
        <v>0</v>
      </c>
      <c r="J6099" s="25" t="n">
        <f aca="false">J6090*(1-J6048)*(J6089-J6095+J6094-J6097)</f>
        <v>0</v>
      </c>
      <c r="K6099" s="25" t="n">
        <f aca="false">K6090*(1-K6048)*(K6089-K6095+K6094-K6097)</f>
        <v>0</v>
      </c>
    </row>
    <row r="6100" customFormat="false" ht="15" hidden="false" customHeight="false" outlineLevel="0" collapsed="false">
      <c r="A6100" s="2" t="s">
        <v>274</v>
      </c>
      <c r="F6100" s="27" t="n">
        <f aca="false">Assumptions!$C$56</f>
        <v>300</v>
      </c>
      <c r="G6100" s="16" t="n">
        <f aca="false">G6089+G6096+G6094-G6095-G6097-G6098</f>
        <v>300</v>
      </c>
      <c r="H6100" s="16" t="n">
        <f aca="false">H6089+H6096+H6094-H6095-H6097-H6098</f>
        <v>300</v>
      </c>
      <c r="I6100" s="16" t="n">
        <f aca="false">I6089+I6096+I6094-I6095-I6097-I6098</f>
        <v>300</v>
      </c>
      <c r="J6100" s="16" t="n">
        <f aca="false">J6089+J6096+J6094-J6095-J6097-J6098</f>
        <v>300</v>
      </c>
      <c r="K6100" s="16" t="n">
        <f aca="false">K6089+K6096+K6094-K6095-K6097-K6098</f>
        <v>300</v>
      </c>
    </row>
    <row r="6101" customFormat="false" ht="15" hidden="false" customHeight="false" outlineLevel="0" collapsed="false">
      <c r="A6101" s="23" t="s">
        <v>278</v>
      </c>
      <c r="B6101" s="24"/>
      <c r="C6101" s="24"/>
      <c r="D6101" s="24"/>
      <c r="E6101" s="24"/>
      <c r="F6101" s="24"/>
      <c r="G6101" s="24"/>
      <c r="H6101" s="24"/>
      <c r="I6101" s="24"/>
      <c r="J6101" s="24"/>
      <c r="K6101" s="24"/>
    </row>
    <row r="6102" customFormat="false" ht="15" hidden="false" customHeight="false" outlineLevel="0" collapsed="false">
      <c r="A6102" s="2" t="s">
        <v>279</v>
      </c>
      <c r="F6102" s="16" t="n">
        <f aca="false">F6061+F6074+F6087+F6100</f>
        <v>1250</v>
      </c>
      <c r="G6102" s="16" t="n">
        <f aca="false">G6061+G6074+G6087+G6100</f>
        <v>1226.1728</v>
      </c>
      <c r="H6102" s="16" t="n">
        <f aca="false">H6061+H6074+H6087+H6100</f>
        <v>1220.9728</v>
      </c>
      <c r="I6102" s="16" t="n">
        <f aca="false">I6061+I6074+I6087+I6100</f>
        <v>1215.7728</v>
      </c>
      <c r="J6102" s="16" t="n">
        <f aca="false">J6061+J6074+J6087+J6100</f>
        <v>1210.5728</v>
      </c>
      <c r="K6102" s="16" t="n">
        <f aca="false">K6061+K6074+K6087+K6100</f>
        <v>1205.3728</v>
      </c>
    </row>
    <row r="6103" customFormat="false" ht="15" hidden="false" customHeight="false" outlineLevel="0" collapsed="false">
      <c r="A6103" s="5" t="s">
        <v>280</v>
      </c>
      <c r="G6103" s="25" t="n">
        <f aca="false">G6051*Assumptions!$C$53+G6064*Assumptions!$C$54+G6077*Assumptions!$C$55+G6090*Assumptions!$C$56</f>
        <v>0</v>
      </c>
      <c r="H6103" s="25" t="n">
        <f aca="false">H6051*Assumptions!$C$53+H6064*Assumptions!$C$54+H6077*Assumptions!$C$55+H6090*Assumptions!$C$56</f>
        <v>480</v>
      </c>
      <c r="I6103" s="25" t="n">
        <f aca="false">I6051*Assumptions!$C$53+I6064*Assumptions!$C$54+I6077*Assumptions!$C$55+I6090*Assumptions!$C$56</f>
        <v>520</v>
      </c>
      <c r="J6103" s="25" t="n">
        <f aca="false">J6051*Assumptions!$C$53+J6064*Assumptions!$C$54+J6077*Assumptions!$C$55+J6090*Assumptions!$C$56</f>
        <v>250</v>
      </c>
      <c r="K6103" s="25" t="n">
        <f aca="false">K6051*Assumptions!$C$53+K6064*Assumptions!$C$54+K6077*Assumptions!$C$55+K6090*Assumptions!$C$56</f>
        <v>0</v>
      </c>
    </row>
    <row r="6104" customFormat="false" ht="15" hidden="false" customHeight="false" outlineLevel="0" collapsed="false">
      <c r="A6104" s="23" t="s">
        <v>281</v>
      </c>
      <c r="B6104" s="24"/>
      <c r="C6104" s="24"/>
      <c r="D6104" s="24"/>
      <c r="E6104" s="24"/>
      <c r="F6104" s="24"/>
      <c r="G6104" s="24"/>
      <c r="H6104" s="24"/>
      <c r="I6104" s="24"/>
      <c r="J6104" s="24"/>
      <c r="K6104" s="24"/>
    </row>
    <row r="6105" customFormat="false" ht="15" hidden="false" customHeight="false" outlineLevel="0" collapsed="false">
      <c r="A6105" s="5" t="s">
        <v>282</v>
      </c>
      <c r="C6105" s="25" t="n">
        <f aca="false">SUMPRODUCT($G$6051:$K$6051,$G$6050:$K$6050-$G$6056:$K$6056+$G$6055:$K$6055)</f>
        <v>161.3728</v>
      </c>
    </row>
    <row r="6106" customFormat="false" ht="15" hidden="false" customHeight="false" outlineLevel="0" collapsed="false">
      <c r="A6106" s="5" t="s">
        <v>283</v>
      </c>
      <c r="C6106" s="25" t="n">
        <f aca="false">SUMPRODUCT($G$6051:$K$6051,$G$6058:$K$6058)</f>
        <v>0</v>
      </c>
    </row>
    <row r="6107" customFormat="false" ht="15" hidden="false" customHeight="false" outlineLevel="0" collapsed="false">
      <c r="A6107" s="5" t="s">
        <v>284</v>
      </c>
      <c r="C6107" s="5" t="str">
        <f aca="false">IF(SUM($G$6051:$K$6051)=0,"n/a (beyond horizon)",IF(SUMPRODUCT($G$6051:$K$6051,$G$6048:$K$6048)&gt;0,"REFINANCING PASS","REFINANCING FAILURE"))</f>
        <v>REFINANCING FAILURE</v>
      </c>
    </row>
    <row r="6108" customFormat="false" ht="15" hidden="false" customHeight="false" outlineLevel="0" collapsed="false">
      <c r="A6108" s="5" t="s">
        <v>285</v>
      </c>
      <c r="C6108" s="5" t="str">
        <f aca="false">IF(SUM($G$6051:$K$6051)=0,"n/a",IF(C6106&gt;=C6105-0.001,"Repaid from cash",IF(SUMPRODUCT($G$6051:$K$6051,$G$6048:$K$6048)&gt;0,IF(C6106&gt;0,"Partly repaid; remainder refinanced","Refinanced"),IF(SUM($G$6060:$K$6060)&gt;0.001,IF(C6106&gt;0,"Partial repayment; PAYMENT DEFAULT","PAYMENT DEFAULT"),"Repaid from cash"))))</f>
        <v>PAYMENT DEFAULT</v>
      </c>
    </row>
    <row r="6109" customFormat="false" ht="15" hidden="false" customHeight="false" outlineLevel="0" collapsed="false">
      <c r="A6109" s="5" t="s">
        <v>286</v>
      </c>
      <c r="C6109" s="25" t="n">
        <f aca="false">SUMPRODUCT($G$6064:$K$6064,$G$6063:$K$6063-$G$6069:$K$6069+$G$6068:$K$6068)</f>
        <v>504.4</v>
      </c>
    </row>
    <row r="6110" customFormat="false" ht="15" hidden="false" customHeight="false" outlineLevel="0" collapsed="false">
      <c r="A6110" s="5" t="s">
        <v>287</v>
      </c>
      <c r="C6110" s="25" t="n">
        <f aca="false">SUMPRODUCT($G$6064:$K$6064,$G$6071:$K$6071)</f>
        <v>0</v>
      </c>
    </row>
    <row r="6111" customFormat="false" ht="15" hidden="false" customHeight="false" outlineLevel="0" collapsed="false">
      <c r="A6111" s="5" t="s">
        <v>288</v>
      </c>
      <c r="C6111" s="5" t="str">
        <f aca="false">IF(SUM($G$6064:$K$6064)=0,"n/a (beyond horizon)",IF(SUMPRODUCT($G$6064:$K$6064,$G$6048:$K$6048)&gt;0,"REFINANCING PASS","REFINANCING FAILURE"))</f>
        <v>REFINANCING FAILURE</v>
      </c>
    </row>
    <row r="6112" customFormat="false" ht="15" hidden="false" customHeight="false" outlineLevel="0" collapsed="false">
      <c r="A6112" s="5" t="s">
        <v>289</v>
      </c>
      <c r="C6112" s="5" t="str">
        <f aca="false">IF(SUM($G$6064:$K$6064)=0,"n/a",IF(C6110&gt;=C6109-0.001,"Repaid from cash",IF(SUMPRODUCT($G$6064:$K$6064,$G$6048:$K$6048)&gt;0,IF(C6110&gt;0,"Partly repaid; remainder refinanced","Refinanced"),IF(SUM($G$6073:$K$6073)&gt;0.001,IF(C6110&gt;0,"Partial repayment; PAYMENT DEFAULT","PAYMENT DEFAULT"),"Repaid from cash"))))</f>
        <v>PAYMENT DEFAULT</v>
      </c>
    </row>
    <row r="6113" customFormat="false" ht="15" hidden="false" customHeight="false" outlineLevel="0" collapsed="false">
      <c r="A6113" s="5" t="s">
        <v>290</v>
      </c>
      <c r="C6113" s="25" t="n">
        <f aca="false">SUMPRODUCT($G$6077:$K$6077,$G$6076:$K$6076-$G$6082:$K$6082+$G$6081:$K$6081)</f>
        <v>250</v>
      </c>
    </row>
    <row r="6114" customFormat="false" ht="15" hidden="false" customHeight="false" outlineLevel="0" collapsed="false">
      <c r="A6114" s="5" t="s">
        <v>291</v>
      </c>
      <c r="C6114" s="25" t="n">
        <f aca="false">SUMPRODUCT($G$6077:$K$6077,$G$6084:$K$6084)</f>
        <v>0</v>
      </c>
    </row>
    <row r="6115" customFormat="false" ht="15" hidden="false" customHeight="false" outlineLevel="0" collapsed="false">
      <c r="A6115" s="5" t="s">
        <v>292</v>
      </c>
      <c r="C6115" s="5" t="str">
        <f aca="false">IF(SUM($G$6077:$K$6077)=0,"n/a (beyond horizon)",IF(SUMPRODUCT($G$6077:$K$6077,$G$6048:$K$6048)&gt;0,"REFINANCING PASS","REFINANCING FAILURE"))</f>
        <v>REFINANCING FAILURE</v>
      </c>
    </row>
    <row r="6116" customFormat="false" ht="15" hidden="false" customHeight="false" outlineLevel="0" collapsed="false">
      <c r="A6116" s="5" t="s">
        <v>293</v>
      </c>
      <c r="C6116" s="5" t="str">
        <f aca="false">IF(SUM($G$6077:$K$6077)=0,"n/a",IF(C6114&gt;=C6113-0.001,"Repaid from cash",IF(SUMPRODUCT($G$6077:$K$6077,$G$6048:$K$6048)&gt;0,IF(C6114&gt;0,"Partly repaid; remainder refinanced","Refinanced"),IF(SUM($G$6086:$K$6086)&gt;0.001,IF(C6114&gt;0,"Partial repayment; PAYMENT DEFAULT","PAYMENT DEFAULT"),"Repaid from cash"))))</f>
        <v>PAYMENT DEFAULT</v>
      </c>
    </row>
    <row r="6117" customFormat="false" ht="15" hidden="false" customHeight="false" outlineLevel="0" collapsed="false">
      <c r="A6117" s="5" t="s">
        <v>294</v>
      </c>
      <c r="C6117" s="25" t="n">
        <f aca="false">SUMPRODUCT($G$6090:$K$6090,$G$6089:$K$6089-$G$6095:$K$6095+$G$6094:$K$6094)</f>
        <v>300</v>
      </c>
    </row>
    <row r="6118" customFormat="false" ht="15" hidden="false" customHeight="false" outlineLevel="0" collapsed="false">
      <c r="A6118" s="5" t="s">
        <v>295</v>
      </c>
      <c r="C6118" s="25" t="n">
        <f aca="false">SUMPRODUCT($G$6090:$K$6090,$G$6097:$K$6097)</f>
        <v>0</v>
      </c>
    </row>
    <row r="6119" customFormat="false" ht="15" hidden="false" customHeight="false" outlineLevel="0" collapsed="false">
      <c r="A6119" s="5" t="s">
        <v>296</v>
      </c>
      <c r="C6119" s="5" t="str">
        <f aca="false">IF(SUM($G$6090:$K$6090)=0,"n/a (beyond horizon)",IF(SUMPRODUCT($G$6090:$K$6090,$G$6048:$K$6048)&gt;0,"REFINANCING PASS","REFINANCING FAILURE"))</f>
        <v>REFINANCING FAILURE</v>
      </c>
    </row>
    <row r="6120" customFormat="false" ht="15" hidden="false" customHeight="false" outlineLevel="0" collapsed="false">
      <c r="A6120" s="5" t="s">
        <v>297</v>
      </c>
      <c r="C6120" s="5" t="str">
        <f aca="false">IF(SUM($G$6090:$K$6090)=0,"n/a",IF(C6118&gt;=C6117-0.001,"Repaid from cash",IF(SUMPRODUCT($G$6090:$K$6090,$G$6048:$K$6048)&gt;0,IF(C6118&gt;0,"Partly repaid; remainder refinanced","Refinanced"),IF(SUM($G$6099:$K$6099)&gt;0.001,IF(C6118&gt;0,"Partial repayment; PAYMENT DEFAULT","PAYMENT DEFAULT"),"Repaid from cash"))))</f>
        <v>PAYMENT DEFAULT</v>
      </c>
    </row>
    <row r="6121" customFormat="false" ht="15" hidden="false" customHeight="false" outlineLevel="0" collapsed="false">
      <c r="A6121" s="5" t="s">
        <v>298</v>
      </c>
      <c r="C6121" s="20" t="n">
        <f aca="false">IF(C6107="REFINANCING FAILURE",1,0)+IF(C6111="REFINANCING FAILURE",1,0)+IF(C6115="REFINANCING FAILURE",1,0)+IF(C6119="REFINANCING FAILURE",1,0)</f>
        <v>4</v>
      </c>
    </row>
    <row r="6123" customFormat="false" ht="15" hidden="false" customHeight="false" outlineLevel="0" collapsed="false">
      <c r="A6123" s="23" t="s">
        <v>300</v>
      </c>
      <c r="B6123" s="24"/>
      <c r="C6123" s="24"/>
      <c r="D6123" s="24"/>
      <c r="E6123" s="24"/>
      <c r="F6123" s="24"/>
      <c r="G6123" s="24"/>
      <c r="H6123" s="24"/>
      <c r="I6123" s="24"/>
      <c r="J6123" s="24"/>
      <c r="K6123" s="24"/>
    </row>
    <row r="6124" customFormat="false" ht="15" hidden="false" customHeight="false" outlineLevel="0" collapsed="false">
      <c r="A6124" s="5" t="s">
        <v>260</v>
      </c>
      <c r="G6124" s="25" t="n">
        <f aca="false">F6136</f>
        <v>45</v>
      </c>
      <c r="H6124" s="25" t="n">
        <f aca="false">G6136</f>
        <v>0</v>
      </c>
      <c r="I6124" s="25" t="n">
        <f aca="false">H6136</f>
        <v>-67.2347488</v>
      </c>
      <c r="J6124" s="25" t="n">
        <f aca="false">I6136</f>
        <v>-156.966721664</v>
      </c>
      <c r="K6124" s="25" t="n">
        <f aca="false">J6136</f>
        <v>-249.59004996736</v>
      </c>
    </row>
    <row r="6125" customFormat="false" ht="15" hidden="false" customHeight="false" outlineLevel="0" collapsed="false">
      <c r="A6125" s="5" t="s">
        <v>301</v>
      </c>
      <c r="G6125" s="25" t="n">
        <f aca="false">G6037</f>
        <v>-21.1728</v>
      </c>
      <c r="H6125" s="25" t="n">
        <f aca="false">H6037</f>
        <v>-62.0347488</v>
      </c>
      <c r="I6125" s="25" t="n">
        <f aca="false">I6037</f>
        <v>-84.5319728639999</v>
      </c>
      <c r="J6125" s="25" t="n">
        <f aca="false">J6037</f>
        <v>-87.42332830336</v>
      </c>
      <c r="K6125" s="25" t="n">
        <f aca="false">K6037</f>
        <v>-87.2082508283264</v>
      </c>
    </row>
    <row r="6126" customFormat="false" ht="15" hidden="false" customHeight="false" outlineLevel="0" collapsed="false">
      <c r="A6126" s="5" t="s">
        <v>302</v>
      </c>
      <c r="G6126" s="25" t="n">
        <f aca="false">CHOOSE($C$6007,Assumptions!$G$68,Assumptions!$G$87,Assumptions!$G$106)</f>
        <v>0</v>
      </c>
      <c r="H6126" s="25" t="n">
        <f aca="false">CHOOSE($C$6007,Assumptions!$H$68,Assumptions!$H$87,Assumptions!$H$106)</f>
        <v>0</v>
      </c>
      <c r="I6126" s="25" t="n">
        <f aca="false">CHOOSE($C$6007,Assumptions!$I$68,Assumptions!$I$87,Assumptions!$I$106)</f>
        <v>0</v>
      </c>
      <c r="J6126" s="25" t="n">
        <f aca="false">CHOOSE($C$6007,Assumptions!$J$68,Assumptions!$J$87,Assumptions!$J$106)</f>
        <v>0</v>
      </c>
      <c r="K6126" s="25" t="n">
        <f aca="false">CHOOSE($C$6007,Assumptions!$K$68,Assumptions!$K$87,Assumptions!$K$106)</f>
        <v>0</v>
      </c>
    </row>
    <row r="6127" customFormat="false" ht="15" hidden="false" customHeight="false" outlineLevel="0" collapsed="false">
      <c r="A6127" s="5" t="s">
        <v>303</v>
      </c>
      <c r="G6127" s="25" t="n">
        <f aca="false">G6056+G6069+G6082+G6095</f>
        <v>5.2</v>
      </c>
      <c r="H6127" s="25" t="n">
        <f aca="false">H6056+H6069+H6082+H6095</f>
        <v>5.2</v>
      </c>
      <c r="I6127" s="25" t="n">
        <f aca="false">I6056+I6069+I6082+I6095</f>
        <v>5.2</v>
      </c>
      <c r="J6127" s="25" t="n">
        <f aca="false">J6056+J6069+J6082+J6095</f>
        <v>5.2</v>
      </c>
      <c r="K6127" s="25" t="n">
        <f aca="false">K6056+K6069+K6082+K6095</f>
        <v>5.2</v>
      </c>
    </row>
    <row r="6128" customFormat="false" ht="15" hidden="false" customHeight="false" outlineLevel="0" collapsed="false">
      <c r="A6128" s="2" t="s">
        <v>304</v>
      </c>
      <c r="G6128" s="16" t="n">
        <f aca="false">G6124+G6125+G6126-G6127</f>
        <v>18.6272</v>
      </c>
      <c r="H6128" s="16" t="n">
        <f aca="false">H6124+H6125+H6126-H6127</f>
        <v>-67.2347488</v>
      </c>
      <c r="I6128" s="16" t="n">
        <f aca="false">I6124+I6125+I6126-I6127</f>
        <v>-156.966721664</v>
      </c>
      <c r="J6128" s="16" t="n">
        <f aca="false">J6124+J6125+J6126-J6127</f>
        <v>-249.59004996736</v>
      </c>
      <c r="K6128" s="16" t="n">
        <f aca="false">K6124+K6125+K6126-K6127</f>
        <v>-341.998300795686</v>
      </c>
    </row>
    <row r="6129" customFormat="false" ht="15" hidden="false" customHeight="false" outlineLevel="0" collapsed="false">
      <c r="A6129" s="5" t="s">
        <v>305</v>
      </c>
      <c r="G6129" s="25" t="n">
        <f aca="false">G6057+G6070+G6083+G6096</f>
        <v>0</v>
      </c>
      <c r="H6129" s="25" t="n">
        <f aca="false">H6057+H6070+H6083+H6096</f>
        <v>0</v>
      </c>
      <c r="I6129" s="25" t="n">
        <f aca="false">I6057+I6070+I6083+I6096</f>
        <v>0</v>
      </c>
      <c r="J6129" s="25" t="n">
        <f aca="false">J6057+J6070+J6083+J6096</f>
        <v>0</v>
      </c>
      <c r="K6129" s="25" t="n">
        <f aca="false">K6057+K6070+K6083+K6096</f>
        <v>0</v>
      </c>
    </row>
    <row r="6130" customFormat="false" ht="15" hidden="false" customHeight="false" outlineLevel="0" collapsed="false">
      <c r="A6130" s="2" t="s">
        <v>306</v>
      </c>
      <c r="G6130" s="16" t="n">
        <f aca="false">G6128+G6129</f>
        <v>18.6272</v>
      </c>
      <c r="H6130" s="16" t="n">
        <f aca="false">H6128+H6129</f>
        <v>-67.2347488</v>
      </c>
      <c r="I6130" s="16" t="n">
        <f aca="false">I6128+I6129</f>
        <v>-156.966721664</v>
      </c>
      <c r="J6130" s="16" t="n">
        <f aca="false">J6128+J6129</f>
        <v>-249.59004996736</v>
      </c>
      <c r="K6130" s="16" t="n">
        <f aca="false">K6128+K6129</f>
        <v>-341.998300795686</v>
      </c>
    </row>
    <row r="6131" customFormat="false" ht="15" hidden="false" customHeight="false" outlineLevel="0" collapsed="false">
      <c r="A6131" s="5" t="s">
        <v>307</v>
      </c>
      <c r="G6131" s="25" t="n">
        <f aca="false">G6058+G6071+G6084+G6097</f>
        <v>0</v>
      </c>
      <c r="H6131" s="25" t="n">
        <f aca="false">H6058+H6071+H6084+H6097</f>
        <v>0</v>
      </c>
      <c r="I6131" s="25" t="n">
        <f aca="false">I6058+I6071+I6084+I6097</f>
        <v>0</v>
      </c>
      <c r="J6131" s="25" t="n">
        <f aca="false">J6058+J6071+J6084+J6097</f>
        <v>0</v>
      </c>
      <c r="K6131" s="25" t="n">
        <f aca="false">K6058+K6071+K6084+K6097</f>
        <v>0</v>
      </c>
    </row>
    <row r="6132" customFormat="false" ht="15" hidden="false" customHeight="false" outlineLevel="0" collapsed="false">
      <c r="A6132" s="2" t="s">
        <v>308</v>
      </c>
      <c r="G6132" s="16" t="n">
        <f aca="false">G6130-G6131</f>
        <v>18.6272</v>
      </c>
      <c r="H6132" s="16" t="n">
        <f aca="false">H6130-H6131</f>
        <v>-67.2347488</v>
      </c>
      <c r="I6132" s="16" t="n">
        <f aca="false">I6130-I6131</f>
        <v>-156.966721664</v>
      </c>
      <c r="J6132" s="16" t="n">
        <f aca="false">J6130-J6131</f>
        <v>-249.59004996736</v>
      </c>
      <c r="K6132" s="16" t="n">
        <f aca="false">K6130-K6131</f>
        <v>-341.998300795686</v>
      </c>
    </row>
    <row r="6133" customFormat="false" ht="15" hidden="false" customHeight="false" outlineLevel="0" collapsed="false">
      <c r="A6133" s="5" t="s">
        <v>309</v>
      </c>
      <c r="G6133" s="25" t="n">
        <f aca="false">MAX(0,-G6132)</f>
        <v>0</v>
      </c>
      <c r="H6133" s="25" t="n">
        <f aca="false">MAX(0,-H6132)</f>
        <v>67.2347488</v>
      </c>
      <c r="I6133" s="25" t="n">
        <f aca="false">MAX(0,-I6132)</f>
        <v>156.966721664</v>
      </c>
      <c r="J6133" s="25" t="n">
        <f aca="false">MAX(0,-J6132)</f>
        <v>249.59004996736</v>
      </c>
      <c r="K6133" s="25" t="n">
        <f aca="false">MAX(0,-K6132)</f>
        <v>341.998300795686</v>
      </c>
    </row>
    <row r="6134" customFormat="false" ht="15" hidden="false" customHeight="false" outlineLevel="0" collapsed="false">
      <c r="A6134" s="5" t="s">
        <v>310</v>
      </c>
      <c r="G6134" s="25" t="n">
        <f aca="false">MAX(0,G6132-Assumptions!$C$12)*Assumptions!$C$13</f>
        <v>18.6272</v>
      </c>
      <c r="H6134" s="25" t="n">
        <f aca="false">MAX(0,H6132-Assumptions!$C$12)*Assumptions!$C$13</f>
        <v>0</v>
      </c>
      <c r="I6134" s="25" t="n">
        <f aca="false">MAX(0,I6132-Assumptions!$C$12)*Assumptions!$C$13</f>
        <v>0</v>
      </c>
      <c r="J6134" s="25" t="n">
        <f aca="false">MAX(0,J6132-Assumptions!$C$12)*Assumptions!$C$13</f>
        <v>0</v>
      </c>
      <c r="K6134" s="25" t="n">
        <f aca="false">MAX(0,K6132-Assumptions!$C$12)*Assumptions!$C$13</f>
        <v>0</v>
      </c>
    </row>
    <row r="6135" customFormat="false" ht="15" hidden="false" customHeight="false" outlineLevel="0" collapsed="false">
      <c r="A6135" s="5" t="s">
        <v>311</v>
      </c>
      <c r="G6135" s="25" t="n">
        <f aca="false">G6059+G6072+G6085+G6098</f>
        <v>18.6272</v>
      </c>
      <c r="H6135" s="25" t="n">
        <f aca="false">H6059+H6072+H6085+H6098</f>
        <v>0</v>
      </c>
      <c r="I6135" s="25" t="n">
        <f aca="false">I6059+I6072+I6085+I6098</f>
        <v>0</v>
      </c>
      <c r="J6135" s="25" t="n">
        <f aca="false">J6059+J6072+J6085+J6098</f>
        <v>0</v>
      </c>
      <c r="K6135" s="25" t="n">
        <f aca="false">K6059+K6072+K6085+K6098</f>
        <v>0</v>
      </c>
    </row>
    <row r="6136" customFormat="false" ht="15" hidden="false" customHeight="false" outlineLevel="0" collapsed="false">
      <c r="A6136" s="2" t="s">
        <v>312</v>
      </c>
      <c r="F6136" s="27" t="n">
        <f aca="false">Assumptions!$C$11</f>
        <v>45</v>
      </c>
      <c r="G6136" s="16" t="n">
        <f aca="false">G6132-G6135</f>
        <v>0</v>
      </c>
      <c r="H6136" s="16" t="n">
        <f aca="false">H6132-H6135</f>
        <v>-67.2347488</v>
      </c>
      <c r="I6136" s="16" t="n">
        <f aca="false">I6132-I6135</f>
        <v>-156.966721664</v>
      </c>
      <c r="J6136" s="16" t="n">
        <f aca="false">J6132-J6135</f>
        <v>-249.59004996736</v>
      </c>
      <c r="K6136" s="16" t="n">
        <f aca="false">K6132-K6135</f>
        <v>-341.998300795686</v>
      </c>
    </row>
    <row r="6137" customFormat="false" ht="15" hidden="false" customHeight="false" outlineLevel="0" collapsed="false">
      <c r="A6137" s="5" t="s">
        <v>313</v>
      </c>
      <c r="G6137" s="25" t="n">
        <f aca="false">G6060+G6073+G6086+G6099</f>
        <v>0</v>
      </c>
      <c r="H6137" s="25" t="n">
        <f aca="false">H6060+H6073+H6086+H6099</f>
        <v>461.3728</v>
      </c>
      <c r="I6137" s="25" t="n">
        <f aca="false">I6060+I6073+I6086+I6099</f>
        <v>504.4</v>
      </c>
      <c r="J6137" s="25" t="n">
        <f aca="false">J6060+J6073+J6086+J6099</f>
        <v>250</v>
      </c>
      <c r="K6137" s="25" t="n">
        <f aca="false">K6060+K6073+K6086+K6099</f>
        <v>0</v>
      </c>
    </row>
    <row r="6138" customFormat="false" ht="15" hidden="false" customHeight="false" outlineLevel="0" collapsed="false">
      <c r="A6138" s="5" t="s">
        <v>314</v>
      </c>
      <c r="G6138" s="20" t="n">
        <f aca="false">IF(OR(G6133&gt;0.001,G6137&gt;0.001),1,0)</f>
        <v>0</v>
      </c>
      <c r="H6138" s="20" t="n">
        <f aca="false">IF(OR(H6133&gt;0.001,H6137&gt;0.001),1,0)</f>
        <v>1</v>
      </c>
      <c r="I6138" s="20" t="n">
        <f aca="false">IF(OR(I6133&gt;0.001,I6137&gt;0.001),1,0)</f>
        <v>1</v>
      </c>
      <c r="J6138" s="20" t="n">
        <f aca="false">IF(OR(J6133&gt;0.001,J6137&gt;0.001),1,0)</f>
        <v>1</v>
      </c>
      <c r="K6138" s="20" t="n">
        <f aca="false">IF(OR(K6133&gt;0.001,K6137&gt;0.001),1,0)</f>
        <v>1</v>
      </c>
    </row>
    <row r="6139" customFormat="false" ht="15" hidden="false" customHeight="false" outlineLevel="0" collapsed="false">
      <c r="A6139" s="5" t="s">
        <v>315</v>
      </c>
      <c r="G6139" s="20" t="n">
        <f aca="false">IF(G6138=1,1,0)</f>
        <v>0</v>
      </c>
      <c r="H6139" s="20" t="n">
        <f aca="false">IF(AND(H6138=1,SUM($G$6138:G6138)=0),1,0)</f>
        <v>1</v>
      </c>
      <c r="I6139" s="20" t="n">
        <f aca="false">IF(AND(I6138=1,SUM($G$6138:H6138)=0),1,0)</f>
        <v>0</v>
      </c>
      <c r="J6139" s="20" t="n">
        <f aca="false">IF(AND(J6138=1,SUM($G$6138:I6138)=0),1,0)</f>
        <v>0</v>
      </c>
      <c r="K6139" s="20" t="n">
        <f aca="false">IF(AND(K6138=1,SUM($G$6138:J6138)=0),1,0)</f>
        <v>0</v>
      </c>
    </row>
    <row r="6140" customFormat="false" ht="15" hidden="false" customHeight="false" outlineLevel="0" collapsed="false">
      <c r="A6140" s="5" t="s">
        <v>316</v>
      </c>
      <c r="G6140" s="25" t="n">
        <f aca="false">(G6102-F6102)-(G6129+G6029-G6127-G6131-G6135)</f>
        <v>-1.70530256582424E-013</v>
      </c>
      <c r="H6140" s="25" t="n">
        <f aca="false">(H6102-G6102)-(H6129+H6029-H6127-H6131-H6135)</f>
        <v>1.82076576038526E-013</v>
      </c>
      <c r="I6140" s="25" t="n">
        <f aca="false">(I6102-H6102)-(I6129+I6029-I6127-I6131-I6135)</f>
        <v>-4.52970994047064E-014</v>
      </c>
      <c r="J6140" s="25" t="n">
        <f aca="false">(J6102-I6102)-(J6129+J6029-J6127-J6131-J6135)</f>
        <v>-4.52970994047064E-014</v>
      </c>
      <c r="K6140" s="25" t="n">
        <f aca="false">(K6102-J6102)-(K6129+K6029-K6127-K6131-K6135)</f>
        <v>1.82076576038526E-013</v>
      </c>
    </row>
    <row r="6142" customFormat="false" ht="15" hidden="false" customHeight="false" outlineLevel="0" collapsed="false">
      <c r="A6142" s="23" t="s">
        <v>318</v>
      </c>
      <c r="B6142" s="24"/>
      <c r="C6142" s="24"/>
      <c r="D6142" s="24"/>
      <c r="E6142" s="24"/>
      <c r="F6142" s="24"/>
      <c r="G6142" s="24"/>
      <c r="H6142" s="24"/>
      <c r="I6142" s="24"/>
      <c r="J6142" s="24"/>
      <c r="K6142" s="24"/>
    </row>
    <row r="6143" customFormat="false" ht="15" hidden="false" customHeight="false" outlineLevel="0" collapsed="false">
      <c r="A6143" s="5" t="s">
        <v>319</v>
      </c>
      <c r="G6143" s="25" t="n">
        <f aca="false">G6102</f>
        <v>1226.1728</v>
      </c>
      <c r="H6143" s="25" t="n">
        <f aca="false">H6102</f>
        <v>1220.9728</v>
      </c>
      <c r="I6143" s="25" t="n">
        <f aca="false">I6102</f>
        <v>1215.7728</v>
      </c>
      <c r="J6143" s="25" t="n">
        <f aca="false">J6102</f>
        <v>1210.5728</v>
      </c>
      <c r="K6143" s="25" t="n">
        <f aca="false">K6102</f>
        <v>1205.3728</v>
      </c>
    </row>
    <row r="6144" customFormat="false" ht="15" hidden="false" customHeight="false" outlineLevel="0" collapsed="false">
      <c r="A6144" s="5" t="s">
        <v>320</v>
      </c>
      <c r="G6144" s="25" t="n">
        <f aca="false">Assumptions!$O$53*G6061+Assumptions!$O$54*G6074+Assumptions!$O$55*G6087+Assumptions!$O$56*G6100</f>
        <v>926.1728</v>
      </c>
      <c r="H6144" s="25" t="n">
        <f aca="false">Assumptions!$O$53*H6061+Assumptions!$O$54*H6074+Assumptions!$O$55*H6087+Assumptions!$O$56*H6100</f>
        <v>920.9728</v>
      </c>
      <c r="I6144" s="25" t="n">
        <f aca="false">Assumptions!$O$53*I6061+Assumptions!$O$54*I6074+Assumptions!$O$55*I6087+Assumptions!$O$56*I6100</f>
        <v>915.7728</v>
      </c>
      <c r="J6144" s="25" t="n">
        <f aca="false">Assumptions!$O$53*J6061+Assumptions!$O$54*J6074+Assumptions!$O$55*J6087+Assumptions!$O$56*J6100</f>
        <v>910.5728</v>
      </c>
      <c r="K6144" s="25" t="n">
        <f aca="false">Assumptions!$O$53*K6061+Assumptions!$O$54*K6074+Assumptions!$O$55*K6087+Assumptions!$O$56*K6100</f>
        <v>905.3728</v>
      </c>
    </row>
    <row r="6145" customFormat="false" ht="15" hidden="false" customHeight="false" outlineLevel="0" collapsed="false">
      <c r="A6145" s="5" t="s">
        <v>321</v>
      </c>
      <c r="G6145" s="25" t="n">
        <f aca="false">G6143-G6136</f>
        <v>1226.1728</v>
      </c>
      <c r="H6145" s="25" t="n">
        <f aca="false">H6143-H6136</f>
        <v>1288.2075488</v>
      </c>
      <c r="I6145" s="25" t="n">
        <f aca="false">I6143-I6136</f>
        <v>1372.739521664</v>
      </c>
      <c r="J6145" s="25" t="n">
        <f aca="false">J6143-J6136</f>
        <v>1460.16284996736</v>
      </c>
      <c r="K6145" s="25" t="n">
        <f aca="false">K6143-K6136</f>
        <v>1547.37110079569</v>
      </c>
    </row>
    <row r="6146" customFormat="false" ht="15" hidden="false" customHeight="false" outlineLevel="0" collapsed="false">
      <c r="A6146" s="5" t="s">
        <v>322</v>
      </c>
      <c r="G6146" s="31" t="n">
        <f aca="false">IF(G6024&gt;0,G6143/G6024,0)</f>
        <v>13.3395648389904</v>
      </c>
      <c r="H6146" s="31" t="n">
        <f aca="false">IF(H6024&gt;0,H6143/H6024,0)</f>
        <v>15.2678090893631</v>
      </c>
      <c r="I6146" s="31" t="n">
        <f aca="false">IF(I6024&gt;0,I6143/I6024,0)</f>
        <v>15.6086088608432</v>
      </c>
      <c r="J6146" s="31" t="n">
        <f aca="false">IF(J6024&gt;0,J6143/J6024,0)</f>
        <v>15.6988374209855</v>
      </c>
      <c r="K6146" s="31" t="n">
        <f aca="false">IF(K6024&gt;0,K6143/K6024,0)</f>
        <v>15.7892962276381</v>
      </c>
    </row>
    <row r="6147" customFormat="false" ht="15" hidden="false" customHeight="false" outlineLevel="0" collapsed="false">
      <c r="A6147" s="5" t="s">
        <v>323</v>
      </c>
      <c r="G6147" s="31" t="n">
        <f aca="false">IF(G6024&gt;0,G6145/G6024,0)</f>
        <v>13.3395648389904</v>
      </c>
      <c r="H6147" s="31" t="n">
        <f aca="false">IF(H6024&gt;0,H6145/H6024,0)</f>
        <v>16.1085545251743</v>
      </c>
      <c r="I6147" s="31" t="n">
        <f aca="false">IF(I6024&gt;0,I6145/I6024,0)</f>
        <v>17.623814467205</v>
      </c>
      <c r="J6147" s="31" t="n">
        <f aca="false">IF(J6024&gt;0,J6145/J6024,0)</f>
        <v>18.9355478578409</v>
      </c>
      <c r="K6147" s="31" t="n">
        <f aca="false">IF(K6024&gt;0,K6145/K6024,0)</f>
        <v>20.2691654271189</v>
      </c>
    </row>
    <row r="6148" customFormat="false" ht="15" hidden="false" customHeight="false" outlineLevel="0" collapsed="false">
      <c r="A6148" s="5" t="s">
        <v>324</v>
      </c>
      <c r="G6148" s="31" t="n">
        <f aca="false">IF(G6028&gt;0,G6024/G6028,0)</f>
        <v>0.656383890317053</v>
      </c>
      <c r="H6148" s="31" t="n">
        <f aca="false">IF(H6028&gt;0,H6024/H6028,0)</f>
        <v>0.59019959412774</v>
      </c>
      <c r="I6148" s="31" t="n">
        <f aca="false">IF(I6028&gt;0,I6024/I6028,0)</f>
        <v>0.585026879977919</v>
      </c>
      <c r="J6148" s="31" t="n">
        <f aca="false">IF(J6028&gt;0,J6024/J6028,0)</f>
        <v>0.582086581076533</v>
      </c>
      <c r="K6148" s="31" t="n">
        <f aca="false">IF(K6028&gt;0,K6024/K6028,0)</f>
        <v>0.579175680488074</v>
      </c>
    </row>
    <row r="6149" customFormat="false" ht="15" hidden="false" customHeight="false" outlineLevel="0" collapsed="false">
      <c r="A6149" s="5" t="s">
        <v>325</v>
      </c>
      <c r="G6149" s="31" t="n">
        <f aca="false">IF(G6028&gt;0,G6027/G6028,0)</f>
        <v>0.367574978577549</v>
      </c>
      <c r="H6149" s="31" t="n">
        <f aca="false">IF(H6028&gt;0,H6027/H6028,0)</f>
        <v>0.330511772711534</v>
      </c>
      <c r="I6149" s="31" t="n">
        <f aca="false">IF(I6028&gt;0,I6027/I6028,0)</f>
        <v>0.327615052787635</v>
      </c>
      <c r="J6149" s="31" t="n">
        <f aca="false">IF(J6028&gt;0,J6027/J6028,0)</f>
        <v>0.325968485402859</v>
      </c>
      <c r="K6149" s="31" t="n">
        <f aca="false">IF(K6028&gt;0,K6027/K6028,0)</f>
        <v>0.324338381073322</v>
      </c>
    </row>
    <row r="6150" customFormat="false" ht="15" hidden="false" customHeight="false" outlineLevel="0" collapsed="false">
      <c r="A6150" s="5" t="s">
        <v>182</v>
      </c>
      <c r="G6150" s="21" t="n">
        <f aca="false">IF(G6143&gt;0,G6037/G6143,0)</f>
        <v>-0.0172673867826786</v>
      </c>
      <c r="H6150" s="21" t="n">
        <f aca="false">IF(H6143&gt;0,H6037/H6143,0)</f>
        <v>-0.0508076419065191</v>
      </c>
      <c r="I6150" s="21" t="n">
        <f aca="false">IF(I6143&gt;0,I6037/I6143,0)</f>
        <v>-0.0695294160751087</v>
      </c>
      <c r="J6150" s="21" t="n">
        <f aca="false">IF(J6143&gt;0,J6037/J6143,0)</f>
        <v>-0.0722164980935967</v>
      </c>
      <c r="K6150" s="21" t="n">
        <f aca="false">IF(K6143&gt;0,K6037/K6143,0)</f>
        <v>-0.072349609040727</v>
      </c>
    </row>
    <row r="6151" customFormat="false" ht="15" hidden="false" customHeight="false" outlineLevel="0" collapsed="false">
      <c r="A6151" s="5" t="s">
        <v>326</v>
      </c>
      <c r="G6151" s="31" t="n">
        <f aca="false">IF(G6028+G6127&gt;0,(G6024-G6035-G6032)/(G6028+G6127),0)</f>
        <v>0.430360782153677</v>
      </c>
      <c r="H6151" s="31" t="n">
        <f aca="false">IF(H6028+H6127&gt;0,(H6024-H6035-H6032)/(H6028+H6127),0)</f>
        <v>0.386502837673839</v>
      </c>
      <c r="I6151" s="31" t="n">
        <f aca="false">IF(I6028+I6127&gt;0,(I6024-I6035-I6032)/(I6028+I6127),0)</f>
        <v>0.382864993790772</v>
      </c>
      <c r="J6151" s="31" t="n">
        <f aca="false">IF(J6028+J6127&gt;0,(J6024-J6035-J6032)/(J6028+J6127),0)</f>
        <v>0.380868815442978</v>
      </c>
      <c r="K6151" s="31" t="n">
        <f aca="false">IF(K6028+K6127&gt;0,(K6024-K6035-K6032)/(K6028+K6127),0)</f>
        <v>0.378891900559794</v>
      </c>
    </row>
    <row r="6152" customFormat="false" ht="15" hidden="false" customHeight="false" outlineLevel="0" collapsed="false">
      <c r="A6152" s="5" t="s">
        <v>327</v>
      </c>
      <c r="G6152" s="25" t="n">
        <f aca="false">MAX(0,G6136)+Assumptions!$P$53*MAX(0,Assumptions!$D$53-G6061)+Assumptions!$P$54*MAX(0,Assumptions!$D$54-G6074)+Assumptions!$P$55*MAX(0,Assumptions!$D$55-G6087)+Assumptions!$P$56*MAX(0,Assumptions!$D$56-G6100)</f>
        <v>138.6272</v>
      </c>
      <c r="H6152" s="25" t="n">
        <f aca="false">MAX(0,H6136)+Assumptions!$P$53*MAX(0,Assumptions!$D$53-H6061)+Assumptions!$P$54*MAX(0,Assumptions!$D$54-H6074)+Assumptions!$P$55*MAX(0,Assumptions!$D$55-H6087)+Assumptions!$P$56*MAX(0,Assumptions!$D$56-H6100)</f>
        <v>138.6272</v>
      </c>
      <c r="I6152" s="25" t="n">
        <f aca="false">MAX(0,I6136)+Assumptions!$P$53*MAX(0,Assumptions!$D$53-I6061)+Assumptions!$P$54*MAX(0,Assumptions!$D$54-I6074)+Assumptions!$P$55*MAX(0,Assumptions!$D$55-I6087)+Assumptions!$P$56*MAX(0,Assumptions!$D$56-I6100)</f>
        <v>138.6272</v>
      </c>
      <c r="J6152" s="25" t="n">
        <f aca="false">MAX(0,J6136)+Assumptions!$P$53*MAX(0,Assumptions!$D$53-J6061)+Assumptions!$P$54*MAX(0,Assumptions!$D$54-J6074)+Assumptions!$P$55*MAX(0,Assumptions!$D$55-J6087)+Assumptions!$P$56*MAX(0,Assumptions!$D$56-J6100)</f>
        <v>138.6272</v>
      </c>
      <c r="K6152" s="25" t="n">
        <f aca="false">MAX(0,K6136)+Assumptions!$P$53*MAX(0,Assumptions!$D$53-K6061)+Assumptions!$P$54*MAX(0,Assumptions!$D$54-K6074)+Assumptions!$P$55*MAX(0,Assumptions!$D$55-K6087)+Assumptions!$P$56*MAX(0,Assumptions!$D$56-K6100)</f>
        <v>138.6272</v>
      </c>
    </row>
    <row r="6153" customFormat="false" ht="15" hidden="false" customHeight="false" outlineLevel="0" collapsed="false">
      <c r="A6153" s="5" t="s">
        <v>328</v>
      </c>
      <c r="G6153" s="21" t="n">
        <f aca="false">IF(G6143&gt;0,G6143/(G6143+MAX(0,G6024*CHOOSE($C$6007,Assumptions!$C$76,Assumptions!$C$95,Assumptions!$C$114)-G6145)),0)</f>
        <v>1</v>
      </c>
      <c r="H6153" s="21" t="n">
        <f aca="false">IF(H6143&gt;0,H6143/(H6143+MAX(0,H6024*CHOOSE($C$6007,Assumptions!$C$76,Assumptions!$C$95,Assumptions!$C$114)-H6145)),0)</f>
        <v>1</v>
      </c>
      <c r="I6153" s="21" t="n">
        <f aca="false">IF(I6143&gt;0,I6143/(I6143+MAX(0,I6024*CHOOSE($C$6007,Assumptions!$C$76,Assumptions!$C$95,Assumptions!$C$114)-I6145)),0)</f>
        <v>1</v>
      </c>
      <c r="J6153" s="21" t="n">
        <f aca="false">IF(J6143&gt;0,J6143/(J6143+MAX(0,J6024*CHOOSE($C$6007,Assumptions!$C$76,Assumptions!$C$95,Assumptions!$C$114)-J6145)),0)</f>
        <v>1</v>
      </c>
      <c r="K6153" s="21" t="n">
        <f aca="false">IF(K6143&gt;0,K6143/(K6143+MAX(0,K6024*CHOOSE($C$6007,Assumptions!$C$76,Assumptions!$C$95,Assumptions!$C$114)-K6145)),0)</f>
        <v>1</v>
      </c>
    </row>
    <row r="6154" customFormat="false" ht="15" hidden="false" customHeight="false" outlineLevel="0" collapsed="false">
      <c r="A6154" s="5" t="s">
        <v>329</v>
      </c>
      <c r="G6154" s="21" t="n">
        <f aca="false">IF(G6143&gt;0,MAX(0,G6136)/G6143,0)</f>
        <v>0</v>
      </c>
      <c r="H6154" s="21" t="n">
        <f aca="false">IF(H6143&gt;0,MAX(0,H6136)/H6143,0)</f>
        <v>0</v>
      </c>
      <c r="I6154" s="21" t="n">
        <f aca="false">IF(I6143&gt;0,MAX(0,I6136)/I6143,0)</f>
        <v>0</v>
      </c>
      <c r="J6154" s="21" t="n">
        <f aca="false">IF(J6143&gt;0,MAX(0,J6136)/J6143,0)</f>
        <v>0</v>
      </c>
      <c r="K6154" s="21" t="n">
        <f aca="false">IF(K6143&gt;0,MAX(0,K6136)/K6143,0)</f>
        <v>0</v>
      </c>
    </row>
    <row r="6155" customFormat="false" ht="15" hidden="false" customHeight="false" outlineLevel="0" collapsed="false">
      <c r="A6155" s="5" t="s">
        <v>330</v>
      </c>
      <c r="G6155" s="25" t="n">
        <f aca="false">Assumptions!$C$27*(1-CHOOSE($C$6007,Assumptions!$C$79,Assumptions!$C$98,Assumptions!$C$117))</f>
        <v>676</v>
      </c>
      <c r="H6155" s="25" t="n">
        <f aca="false">Assumptions!$C$27*(1-CHOOSE($C$6007,Assumptions!$C$79,Assumptions!$C$98,Assumptions!$C$117))</f>
        <v>676</v>
      </c>
      <c r="I6155" s="25" t="n">
        <f aca="false">Assumptions!$C$27*(1-CHOOSE($C$6007,Assumptions!$C$79,Assumptions!$C$98,Assumptions!$C$117))</f>
        <v>676</v>
      </c>
      <c r="J6155" s="25" t="n">
        <f aca="false">Assumptions!$C$27*(1-CHOOSE($C$6007,Assumptions!$C$79,Assumptions!$C$98,Assumptions!$C$117))</f>
        <v>676</v>
      </c>
      <c r="K6155" s="25" t="n">
        <f aca="false">Assumptions!$C$27*(1-CHOOSE($C$6007,Assumptions!$C$79,Assumptions!$C$98,Assumptions!$C$117))</f>
        <v>676</v>
      </c>
    </row>
    <row r="6156" customFormat="false" ht="15" hidden="false" customHeight="false" outlineLevel="0" collapsed="false">
      <c r="A6156" s="23" t="s">
        <v>331</v>
      </c>
      <c r="B6156" s="24"/>
      <c r="C6156" s="24"/>
      <c r="D6156" s="24"/>
      <c r="E6156" s="24"/>
      <c r="F6156" s="24"/>
      <c r="G6156" s="24"/>
      <c r="H6156" s="24"/>
      <c r="I6156" s="24"/>
      <c r="J6156" s="24"/>
      <c r="K6156" s="24"/>
    </row>
    <row r="6157" customFormat="false" ht="15" hidden="false" customHeight="false" outlineLevel="0" collapsed="false">
      <c r="A6157" s="23" t="s">
        <v>332</v>
      </c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</row>
    <row r="6158" customFormat="false" ht="15" hidden="false" customHeight="false" outlineLevel="0" collapsed="false">
      <c r="A6158" s="5" t="s">
        <v>333</v>
      </c>
      <c r="G6158" s="31" t="n">
        <f aca="false">IF(G6024&gt;0,G6145/G6024,99)</f>
        <v>13.3395648389904</v>
      </c>
      <c r="H6158" s="31" t="n">
        <f aca="false">IF(H6024&gt;0,H6145/H6024,99)</f>
        <v>16.1085545251743</v>
      </c>
      <c r="I6158" s="31" t="n">
        <f aca="false">IF(I6024&gt;0,I6145/I6024,99)</f>
        <v>17.623814467205</v>
      </c>
      <c r="J6158" s="31" t="n">
        <f aca="false">IF(J6024&gt;0,J6145/J6024,99)</f>
        <v>18.9355478578409</v>
      </c>
      <c r="K6158" s="31" t="n">
        <f aca="false">IF(K6024&gt;0,K6145/K6024,99)</f>
        <v>20.2691654271189</v>
      </c>
    </row>
    <row r="6159" customFormat="false" ht="15" hidden="false" customHeight="false" outlineLevel="0" collapsed="false">
      <c r="A6159" s="5" t="s">
        <v>334</v>
      </c>
      <c r="G6159" s="32" t="n">
        <f aca="false">Assumptions!$G$61</f>
        <v>8.5</v>
      </c>
      <c r="H6159" s="32" t="n">
        <f aca="false">Assumptions!$H$61</f>
        <v>8.5</v>
      </c>
      <c r="I6159" s="32" t="n">
        <f aca="false">Assumptions!$I$61</f>
        <v>8.5</v>
      </c>
      <c r="J6159" s="32" t="n">
        <f aca="false">Assumptions!$J$61</f>
        <v>8.5</v>
      </c>
      <c r="K6159" s="32" t="n">
        <f aca="false">Assumptions!$K$61</f>
        <v>8.5</v>
      </c>
    </row>
    <row r="6160" customFormat="false" ht="15" hidden="false" customHeight="false" outlineLevel="0" collapsed="false">
      <c r="A6160" s="5" t="s">
        <v>335</v>
      </c>
      <c r="G6160" s="31" t="n">
        <f aca="false">G6159-G6158</f>
        <v>-4.83956483899042</v>
      </c>
      <c r="H6160" s="31" t="n">
        <f aca="false">H6159-H6158</f>
        <v>-7.60855452517431</v>
      </c>
      <c r="I6160" s="31" t="n">
        <f aca="false">I6159-I6158</f>
        <v>-9.12381446720502</v>
      </c>
      <c r="J6160" s="31" t="n">
        <f aca="false">J6159-J6158</f>
        <v>-10.4355478578409</v>
      </c>
      <c r="K6160" s="31" t="n">
        <f aca="false">K6159-K6158</f>
        <v>-11.7691654271189</v>
      </c>
    </row>
    <row r="6161" customFormat="false" ht="15" hidden="false" customHeight="false" outlineLevel="0" collapsed="false">
      <c r="A6161" s="5" t="s">
        <v>336</v>
      </c>
      <c r="G6161" s="21" t="n">
        <f aca="false">IF(G6159=0,0,G6160/ABS(G6159))</f>
        <v>-0.569360569292991</v>
      </c>
      <c r="H6161" s="21" t="n">
        <f aca="false">IF(H6159=0,0,H6160/ABS(H6159))</f>
        <v>-0.895124061785213</v>
      </c>
      <c r="I6161" s="21" t="n">
        <f aca="false">IF(I6159=0,0,I6160/ABS(I6159))</f>
        <v>-1.07338993731824</v>
      </c>
      <c r="J6161" s="21" t="n">
        <f aca="false">IF(J6159=0,0,J6160/ABS(J6159))</f>
        <v>-1.22771151268716</v>
      </c>
      <c r="K6161" s="21" t="n">
        <f aca="false">IF(K6159=0,0,K6160/ABS(K6159))</f>
        <v>-1.38460769730811</v>
      </c>
    </row>
    <row r="6162" customFormat="false" ht="15" hidden="false" customHeight="false" outlineLevel="0" collapsed="false">
      <c r="A6162" s="5" t="s">
        <v>337</v>
      </c>
      <c r="G6162" s="20" t="n">
        <f aca="false">IF(G6160&lt;0,1,0)</f>
        <v>1</v>
      </c>
      <c r="H6162" s="20" t="n">
        <f aca="false">IF(H6160&lt;0,1,0)</f>
        <v>1</v>
      </c>
      <c r="I6162" s="20" t="n">
        <f aca="false">IF(I6160&lt;0,1,0)</f>
        <v>1</v>
      </c>
      <c r="J6162" s="20" t="n">
        <f aca="false">IF(J6160&lt;0,1,0)</f>
        <v>1</v>
      </c>
      <c r="K6162" s="20" t="n">
        <f aca="false">IF(K6160&lt;0,1,0)</f>
        <v>1</v>
      </c>
    </row>
    <row r="6163" customFormat="false" ht="15" hidden="false" customHeight="false" outlineLevel="0" collapsed="false">
      <c r="A6163" s="5" t="s">
        <v>338</v>
      </c>
      <c r="C6163" s="20" t="n">
        <f aca="false">IFERROR(INDEX($G$6014:$K$6014,MATCH(1,$G$6162:$K$6162,0)),0)</f>
        <v>2026</v>
      </c>
    </row>
    <row r="6164" customFormat="false" ht="15" hidden="false" customHeight="false" outlineLevel="0" collapsed="false">
      <c r="A6164" s="5" t="s">
        <v>339</v>
      </c>
      <c r="C6164" s="21" t="n">
        <f aca="false">MIN($G$6161:$K$6161)</f>
        <v>-1.38460769730811</v>
      </c>
    </row>
    <row r="6165" customFormat="false" ht="15" hidden="false" customHeight="false" outlineLevel="0" collapsed="false">
      <c r="A6165" s="5" t="s">
        <v>340</v>
      </c>
      <c r="G6165" s="20" t="n">
        <f aca="false">G6162</f>
        <v>1</v>
      </c>
      <c r="H6165" s="20" t="n">
        <f aca="false">H6162</f>
        <v>1</v>
      </c>
      <c r="I6165" s="20" t="n">
        <f aca="false">I6162</f>
        <v>1</v>
      </c>
      <c r="J6165" s="20" t="n">
        <f aca="false">J6162</f>
        <v>1</v>
      </c>
      <c r="K6165" s="20" t="n">
        <f aca="false">K6162</f>
        <v>1</v>
      </c>
    </row>
    <row r="6166" customFormat="false" ht="15" hidden="false" customHeight="false" outlineLevel="0" collapsed="false">
      <c r="A6166" s="5" t="s">
        <v>341</v>
      </c>
      <c r="C6166" s="20" t="n">
        <f aca="false">SUM($G$6165:$K$6165)</f>
        <v>5</v>
      </c>
    </row>
    <row r="6167" customFormat="false" ht="15" hidden="false" customHeight="false" outlineLevel="0" collapsed="false">
      <c r="A6167" s="5" t="s">
        <v>342</v>
      </c>
      <c r="C6167" s="21" t="n">
        <f aca="false">MIN(C6164)</f>
        <v>-1.38460769730811</v>
      </c>
    </row>
    <row r="6169" customFormat="false" ht="15" hidden="false" customHeight="false" outlineLevel="0" collapsed="false">
      <c r="A6169" s="23" t="s">
        <v>444</v>
      </c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</row>
    <row r="6170" customFormat="false" ht="15" hidden="false" customHeight="false" outlineLevel="0" collapsed="false">
      <c r="A6170" s="5" t="s">
        <v>445</v>
      </c>
      <c r="G6170" s="20" t="n">
        <f aca="false">IF($C$6171=1,G6139,IF(G6024=MIN($G$6024:$K$6024),1,0))</f>
        <v>0</v>
      </c>
      <c r="H6170" s="20" t="n">
        <f aca="false">IF($C$6171=1,H6139,IF(AND(H6024=MIN($G$6024:$K$6024),SUM($G$6170:G6170)=0),1,0))</f>
        <v>1</v>
      </c>
      <c r="I6170" s="20" t="n">
        <f aca="false">IF($C$6171=1,I6139,IF(AND(I6024=MIN($G$6024:$K$6024),SUM($G$6170:H6170)=0),1,0))</f>
        <v>0</v>
      </c>
      <c r="J6170" s="20" t="n">
        <f aca="false">IF($C$6171=1,J6139,IF(AND(J6024=MIN($G$6024:$K$6024),SUM($G$6170:I6170)=0),1,0))</f>
        <v>0</v>
      </c>
      <c r="K6170" s="20" t="n">
        <f aca="false">IF($C$6171=1,K6139,IF(AND(K6024=MIN($G$6024:$K$6024),SUM($G$6170:J6170)=0),1,0))</f>
        <v>0</v>
      </c>
    </row>
    <row r="6171" customFormat="false" ht="15" hidden="false" customHeight="false" outlineLevel="0" collapsed="false">
      <c r="A6171" s="5" t="s">
        <v>446</v>
      </c>
      <c r="C6171" s="20" t="n">
        <f aca="false">IF(SUM($G$6139:$K$6139)&gt;0,1,0)</f>
        <v>1</v>
      </c>
    </row>
    <row r="6172" customFormat="false" ht="15" hidden="false" customHeight="false" outlineLevel="0" collapsed="false">
      <c r="A6172" s="5" t="s">
        <v>447</v>
      </c>
      <c r="C6172" s="20" t="n">
        <f aca="false">SUMPRODUCT($G$6170:$K$6170,$G$6014:$K$6014)</f>
        <v>2027</v>
      </c>
    </row>
    <row r="6173" customFormat="false" ht="15" hidden="false" customHeight="false" outlineLevel="0" collapsed="false">
      <c r="A6173" s="5" t="s">
        <v>448</v>
      </c>
      <c r="C6173" s="25" t="n">
        <f aca="false">SUMPRODUCT($G$6170:$K$6170,$G$6024:$K$6024)</f>
        <v>79.9704</v>
      </c>
    </row>
    <row r="6174" customFormat="false" ht="15" hidden="false" customHeight="false" outlineLevel="0" collapsed="false">
      <c r="A6174" s="5" t="s">
        <v>449</v>
      </c>
      <c r="C6174" s="25" t="n">
        <f aca="false">MAX(0,SUMPRODUCT($G$6170:$K$6170,$G$6136:$K$6136))</f>
        <v>0</v>
      </c>
    </row>
    <row r="6175" customFormat="false" ht="15" hidden="false" customHeight="false" outlineLevel="0" collapsed="false">
      <c r="A6175" s="5" t="s">
        <v>450</v>
      </c>
      <c r="C6175" s="25" t="n">
        <f aca="false">(CHOOSE($C$6007,Assumptions!$C$78,Assumptions!$C$97,Assumptions!$C$116)+$C$6011)*C6173</f>
        <v>319.8816</v>
      </c>
    </row>
    <row r="6176" customFormat="false" ht="15" hidden="false" customHeight="false" outlineLevel="0" collapsed="false">
      <c r="A6176" s="5" t="s">
        <v>451</v>
      </c>
      <c r="C6176" s="25" t="n">
        <f aca="false">Assumptions!$C$27*(1-CHOOSE($C$6007,Assumptions!$C$79,Assumptions!$C$98,Assumptions!$C$117))*CHOOSE($C$6007,Assumptions!$C$80,Assumptions!$C$99,Assumptions!$C$118)</f>
        <v>405.6</v>
      </c>
    </row>
    <row r="6177" customFormat="false" ht="15" hidden="false" customHeight="false" outlineLevel="0" collapsed="false">
      <c r="A6177" s="5" t="s">
        <v>452</v>
      </c>
      <c r="C6177" s="25" t="n">
        <f aca="false">MAX(C6175,C6176)+C6174</f>
        <v>405.6</v>
      </c>
    </row>
    <row r="6178" customFormat="false" ht="15" hidden="false" customHeight="false" outlineLevel="0" collapsed="false">
      <c r="A6178" s="2" t="s">
        <v>453</v>
      </c>
      <c r="C6178" s="16" t="n">
        <f aca="false">IF(ISNUMBER(Assumptions!$C$14),Assumptions!$C$14,C6177)</f>
        <v>405.6</v>
      </c>
    </row>
    <row r="6179" customFormat="false" ht="15" hidden="false" customHeight="false" outlineLevel="0" collapsed="false">
      <c r="A6179" s="5" t="s">
        <v>454</v>
      </c>
      <c r="C6179" s="25" t="n">
        <f aca="false">C6178*Assumptions!$C$15</f>
        <v>16.224</v>
      </c>
    </row>
    <row r="6180" customFormat="false" ht="15" hidden="false" customHeight="false" outlineLevel="0" collapsed="false">
      <c r="A6180" s="2" t="s">
        <v>455</v>
      </c>
      <c r="C6180" s="16" t="n">
        <f aca="false">C6178-C6179</f>
        <v>389.376</v>
      </c>
    </row>
    <row r="6181" customFormat="false" ht="15" hidden="false" customHeight="false" outlineLevel="0" collapsed="false">
      <c r="A6181" s="23" t="s">
        <v>456</v>
      </c>
      <c r="B6181" s="24"/>
      <c r="C6181" s="24"/>
      <c r="D6181" s="24"/>
      <c r="E6181" s="24"/>
      <c r="F6181" s="24"/>
      <c r="G6181" s="24"/>
      <c r="H6181" s="24"/>
      <c r="I6181" s="24"/>
      <c r="J6181" s="24"/>
      <c r="K6181" s="24"/>
    </row>
    <row r="6182" customFormat="false" ht="15" hidden="false" customHeight="false" outlineLevel="0" collapsed="false">
      <c r="A6182" s="5" t="s">
        <v>457</v>
      </c>
      <c r="C6182" s="25" t="n">
        <f aca="false">SUMPRODUCT($G$6170:$K$6170,$G$6061:$K$6061)*(1+SUMPRODUCT($G$6170:$K$6170,$G$6053:$K$6053)*Assumptions!$C$16/12)</f>
        <v>165.9517532</v>
      </c>
    </row>
    <row r="6183" customFormat="false" ht="15" hidden="false" customHeight="false" outlineLevel="0" collapsed="false">
      <c r="A6183" s="5" t="s">
        <v>458</v>
      </c>
      <c r="C6183" s="25" t="n">
        <f aca="false">SUMPRODUCT($G$6170:$K$6170,$G$6074:$K$6074)*(1+SUMPRODUCT($G$6170:$K$6170,$G$6066:$K$6066)*Assumptions!$C$16/12)</f>
        <v>526.2257</v>
      </c>
    </row>
    <row r="6184" customFormat="false" ht="15" hidden="false" customHeight="false" outlineLevel="0" collapsed="false">
      <c r="A6184" s="5" t="s">
        <v>459</v>
      </c>
      <c r="C6184" s="25" t="n">
        <f aca="false">SUMPRODUCT($G$6170:$K$6170,$G$6087:$K$6087)*(1+SUMPRODUCT($G$6170:$K$6170,$G$6079:$K$6079)*Assumptions!$C$16/12)</f>
        <v>256.875</v>
      </c>
    </row>
    <row r="6185" customFormat="false" ht="15" hidden="false" customHeight="false" outlineLevel="0" collapsed="false">
      <c r="A6185" s="5" t="s">
        <v>460</v>
      </c>
      <c r="C6185" s="25" t="n">
        <f aca="false">SUMPRODUCT($G$6170:$K$6170,$G$6100:$K$6100)*(1+SUMPRODUCT($G$6170:$K$6170,$G$6092:$K$6092)*Assumptions!$C$16/12)</f>
        <v>305.625</v>
      </c>
    </row>
    <row r="6186" customFormat="false" ht="15" hidden="false" customHeight="false" outlineLevel="0" collapsed="false">
      <c r="A6186" s="23" t="s">
        <v>461</v>
      </c>
      <c r="B6186" s="24"/>
      <c r="C6186" s="24"/>
      <c r="D6186" s="24"/>
      <c r="E6186" s="24"/>
      <c r="F6186" s="24"/>
      <c r="G6186" s="24"/>
      <c r="H6186" s="24"/>
      <c r="I6186" s="24"/>
      <c r="J6186" s="24"/>
      <c r="K6186" s="24"/>
    </row>
    <row r="6187" customFormat="false" ht="15" hidden="false" customHeight="false" outlineLevel="0" collapsed="false">
      <c r="A6187" s="5" t="s">
        <v>457</v>
      </c>
      <c r="C6187" s="26" t="n">
        <f aca="false">Assumptions!$M$53</f>
        <v>1</v>
      </c>
    </row>
    <row r="6188" customFormat="false" ht="15" hidden="false" customHeight="false" outlineLevel="0" collapsed="false">
      <c r="A6188" s="5" t="s">
        <v>458</v>
      </c>
      <c r="C6188" s="26" t="n">
        <f aca="false">Assumptions!$M$54</f>
        <v>2</v>
      </c>
    </row>
    <row r="6189" customFormat="false" ht="15" hidden="false" customHeight="false" outlineLevel="0" collapsed="false">
      <c r="A6189" s="5" t="s">
        <v>459</v>
      </c>
      <c r="C6189" s="26" t="n">
        <f aca="false">Assumptions!$M$55</f>
        <v>3</v>
      </c>
    </row>
    <row r="6190" customFormat="false" ht="15" hidden="false" customHeight="false" outlineLevel="0" collapsed="false">
      <c r="A6190" s="5" t="s">
        <v>460</v>
      </c>
      <c r="C6190" s="26" t="n">
        <f aca="false">Assumptions!$M$56</f>
        <v>4</v>
      </c>
    </row>
    <row r="6191" customFormat="false" ht="15" hidden="false" customHeight="false" outlineLevel="0" collapsed="false">
      <c r="A6191" s="23" t="s">
        <v>462</v>
      </c>
      <c r="B6191" s="24"/>
      <c r="C6191" s="24"/>
      <c r="D6191" s="24"/>
      <c r="E6191" s="24"/>
      <c r="F6191" s="24"/>
      <c r="G6191" s="24"/>
      <c r="H6191" s="24"/>
      <c r="I6191" s="24"/>
      <c r="J6191" s="24"/>
      <c r="K6191" s="24"/>
    </row>
    <row r="6192" customFormat="false" ht="15" hidden="false" customHeight="false" outlineLevel="0" collapsed="false">
      <c r="A6192" s="5" t="s">
        <v>457</v>
      </c>
      <c r="C6192" s="34" t="n">
        <f aca="false">Assumptions!$Q$53</f>
        <v>0</v>
      </c>
    </row>
    <row r="6193" customFormat="false" ht="15" hidden="false" customHeight="false" outlineLevel="0" collapsed="false">
      <c r="A6193" s="5" t="s">
        <v>458</v>
      </c>
      <c r="C6193" s="34" t="n">
        <f aca="false">Assumptions!$Q$54</f>
        <v>0</v>
      </c>
    </row>
    <row r="6194" customFormat="false" ht="15" hidden="false" customHeight="false" outlineLevel="0" collapsed="false">
      <c r="A6194" s="5" t="s">
        <v>459</v>
      </c>
      <c r="C6194" s="34" t="n">
        <f aca="false">Assumptions!$Q$55</f>
        <v>0</v>
      </c>
    </row>
    <row r="6195" customFormat="false" ht="15" hidden="false" customHeight="false" outlineLevel="0" collapsed="false">
      <c r="A6195" s="5" t="s">
        <v>460</v>
      </c>
      <c r="C6195" s="34" t="n">
        <f aca="false">Assumptions!$Q$56</f>
        <v>0</v>
      </c>
    </row>
    <row r="6196" customFormat="false" ht="15" hidden="false" customHeight="false" outlineLevel="0" collapsed="false">
      <c r="A6196" s="23" t="s">
        <v>463</v>
      </c>
      <c r="B6196" s="24"/>
      <c r="C6196" s="24"/>
      <c r="D6196" s="24"/>
      <c r="E6196" s="24"/>
      <c r="F6196" s="24"/>
      <c r="G6196" s="24"/>
      <c r="H6196" s="24"/>
      <c r="I6196" s="24"/>
      <c r="J6196" s="24"/>
      <c r="K6196" s="24"/>
    </row>
    <row r="6197" customFormat="false" ht="15" hidden="false" customHeight="false" outlineLevel="0" collapsed="false">
      <c r="A6197" s="5" t="s">
        <v>457</v>
      </c>
      <c r="C6197" s="25" t="n">
        <f aca="false">IF(C6192&gt;0,MIN(C6182,C6192*$C$6180),0)</f>
        <v>0</v>
      </c>
    </row>
    <row r="6198" customFormat="false" ht="15" hidden="false" customHeight="false" outlineLevel="0" collapsed="false">
      <c r="A6198" s="5" t="s">
        <v>458</v>
      </c>
      <c r="C6198" s="25" t="n">
        <f aca="false">IF(C6193&gt;0,MIN(C6183,C6193*$C$6180),0)</f>
        <v>0</v>
      </c>
    </row>
    <row r="6199" customFormat="false" ht="15" hidden="false" customHeight="false" outlineLevel="0" collapsed="false">
      <c r="A6199" s="5" t="s">
        <v>459</v>
      </c>
      <c r="C6199" s="25" t="n">
        <f aca="false">IF(C6194&gt;0,MIN(C6184,C6194*$C$6180),0)</f>
        <v>0</v>
      </c>
    </row>
    <row r="6200" customFormat="false" ht="15" hidden="false" customHeight="false" outlineLevel="0" collapsed="false">
      <c r="A6200" s="5" t="s">
        <v>460</v>
      </c>
      <c r="C6200" s="25" t="n">
        <f aca="false">IF(C6195&gt;0,MIN(C6185,C6195*$C$6180),0)</f>
        <v>0</v>
      </c>
    </row>
    <row r="6201" customFormat="false" ht="15" hidden="false" customHeight="false" outlineLevel="0" collapsed="false">
      <c r="A6201" s="23" t="s">
        <v>464</v>
      </c>
      <c r="B6201" s="24"/>
      <c r="C6201" s="24"/>
      <c r="D6201" s="24"/>
      <c r="E6201" s="24"/>
      <c r="F6201" s="24"/>
      <c r="G6201" s="24"/>
      <c r="H6201" s="24"/>
      <c r="I6201" s="24"/>
      <c r="J6201" s="24"/>
      <c r="K6201" s="24"/>
    </row>
    <row r="6202" customFormat="false" ht="15" hidden="false" customHeight="false" outlineLevel="0" collapsed="false">
      <c r="A6202" s="5" t="s">
        <v>457</v>
      </c>
      <c r="C6202" s="25" t="n">
        <f aca="false">IF(C6192&gt;0,C6182-C6197,0)</f>
        <v>0</v>
      </c>
      <c r="G6202" s="20" t="n">
        <f aca="false">IF(AND(G6051=1,G6048=1),1,0)</f>
        <v>0</v>
      </c>
      <c r="H6202" s="20" t="n">
        <f aca="false">IF(G6202=1,1,IF(AND(H6051=1,H6048=1),1,0))</f>
        <v>0</v>
      </c>
      <c r="I6202" s="20" t="n">
        <f aca="false">IF(H6202=1,1,IF(AND(I6051=1,I6048=1),1,0))</f>
        <v>0</v>
      </c>
      <c r="J6202" s="20" t="n">
        <f aca="false">IF(I6202=1,1,IF(AND(J6051=1,J6048=1),1,0))</f>
        <v>0</v>
      </c>
      <c r="K6202" s="20" t="n">
        <f aca="false">IF(J6202=1,1,IF(AND(K6051=1,K6048=1),1,0))</f>
        <v>0</v>
      </c>
    </row>
    <row r="6203" customFormat="false" ht="15" hidden="false" customHeight="false" outlineLevel="0" collapsed="false">
      <c r="A6203" s="5" t="s">
        <v>458</v>
      </c>
      <c r="C6203" s="25" t="n">
        <f aca="false">IF(C6193&gt;0,C6183-C6198,0)</f>
        <v>0</v>
      </c>
      <c r="G6203" s="20" t="n">
        <f aca="false">IF(AND(G6064=1,G6048=1),1,0)</f>
        <v>0</v>
      </c>
      <c r="H6203" s="20" t="n">
        <f aca="false">IF(G6203=1,1,IF(AND(H6064=1,H6048=1),1,0))</f>
        <v>0</v>
      </c>
      <c r="I6203" s="20" t="n">
        <f aca="false">IF(H6203=1,1,IF(AND(I6064=1,I6048=1),1,0))</f>
        <v>0</v>
      </c>
      <c r="J6203" s="20" t="n">
        <f aca="false">IF(I6203=1,1,IF(AND(J6064=1,J6048=1),1,0))</f>
        <v>0</v>
      </c>
      <c r="K6203" s="20" t="n">
        <f aca="false">IF(J6203=1,1,IF(AND(K6064=1,K6048=1),1,0))</f>
        <v>0</v>
      </c>
    </row>
    <row r="6204" customFormat="false" ht="15" hidden="false" customHeight="false" outlineLevel="0" collapsed="false">
      <c r="A6204" s="5" t="s">
        <v>459</v>
      </c>
      <c r="C6204" s="25" t="n">
        <f aca="false">IF(C6194&gt;0,C6184-C6199,0)</f>
        <v>0</v>
      </c>
      <c r="G6204" s="20" t="n">
        <f aca="false">IF(AND(G6077=1,G6048=1),1,0)</f>
        <v>0</v>
      </c>
      <c r="H6204" s="20" t="n">
        <f aca="false">IF(G6204=1,1,IF(AND(H6077=1,H6048=1),1,0))</f>
        <v>0</v>
      </c>
      <c r="I6204" s="20" t="n">
        <f aca="false">IF(H6204=1,1,IF(AND(I6077=1,I6048=1),1,0))</f>
        <v>0</v>
      </c>
      <c r="J6204" s="20" t="n">
        <f aca="false">IF(I6204=1,1,IF(AND(J6077=1,J6048=1),1,0))</f>
        <v>0</v>
      </c>
      <c r="K6204" s="20" t="n">
        <f aca="false">IF(J6204=1,1,IF(AND(K6077=1,K6048=1),1,0))</f>
        <v>0</v>
      </c>
    </row>
    <row r="6205" customFormat="false" ht="15" hidden="false" customHeight="false" outlineLevel="0" collapsed="false">
      <c r="A6205" s="5" t="s">
        <v>460</v>
      </c>
      <c r="C6205" s="25" t="n">
        <f aca="false">IF(C6195&gt;0,C6185-C6200,0)</f>
        <v>0</v>
      </c>
      <c r="G6205" s="20" t="n">
        <f aca="false">IF(AND(G6090=1,G6048=1),1,0)</f>
        <v>0</v>
      </c>
      <c r="H6205" s="20" t="n">
        <f aca="false">IF(G6205=1,1,IF(AND(H6090=1,H6048=1),1,0))</f>
        <v>0</v>
      </c>
      <c r="I6205" s="20" t="n">
        <f aca="false">IF(H6205=1,1,IF(AND(I6090=1,I6048=1),1,0))</f>
        <v>0</v>
      </c>
      <c r="J6205" s="20" t="n">
        <f aca="false">IF(I6205=1,1,IF(AND(J6090=1,J6048=1),1,0))</f>
        <v>0</v>
      </c>
      <c r="K6205" s="20" t="n">
        <f aca="false">IF(J6205=1,1,IF(AND(K6090=1,K6048=1),1,0))</f>
        <v>0</v>
      </c>
    </row>
    <row r="6206" customFormat="false" ht="15" hidden="false" customHeight="false" outlineLevel="0" collapsed="false">
      <c r="A6206" s="23" t="s">
        <v>465</v>
      </c>
      <c r="B6206" s="24"/>
      <c r="C6206" s="24"/>
      <c r="D6206" s="24"/>
      <c r="E6206" s="24"/>
      <c r="F6206" s="24"/>
      <c r="G6206" s="24"/>
      <c r="H6206" s="24"/>
      <c r="I6206" s="24"/>
      <c r="J6206" s="24"/>
      <c r="K6206" s="24"/>
    </row>
    <row r="6207" customFormat="false" ht="15" hidden="false" customHeight="false" outlineLevel="0" collapsed="false">
      <c r="A6207" s="5" t="s">
        <v>457</v>
      </c>
      <c r="C6207" s="25" t="n">
        <f aca="false">IF(C6192&gt;0,C6202,C6182)</f>
        <v>165.9517532</v>
      </c>
    </row>
    <row r="6208" customFormat="false" ht="15" hidden="false" customHeight="false" outlineLevel="0" collapsed="false">
      <c r="A6208" s="5" t="s">
        <v>458</v>
      </c>
      <c r="C6208" s="25" t="n">
        <f aca="false">IF(C6193&gt;0,C6203,C6183)</f>
        <v>526.2257</v>
      </c>
    </row>
    <row r="6209" customFormat="false" ht="15" hidden="false" customHeight="false" outlineLevel="0" collapsed="false">
      <c r="A6209" s="5" t="s">
        <v>459</v>
      </c>
      <c r="C6209" s="25" t="n">
        <f aca="false">IF(C6194&gt;0,C6204,C6184)</f>
        <v>256.875</v>
      </c>
    </row>
    <row r="6210" customFormat="false" ht="15" hidden="false" customHeight="false" outlineLevel="0" collapsed="false">
      <c r="A6210" s="5" t="s">
        <v>460</v>
      </c>
      <c r="C6210" s="25" t="n">
        <f aca="false">IF(C6195&gt;0,C6205,C6185)</f>
        <v>305.625</v>
      </c>
    </row>
    <row r="6211" customFormat="false" ht="15" hidden="false" customHeight="false" outlineLevel="0" collapsed="false">
      <c r="A6211" s="23" t="s">
        <v>466</v>
      </c>
      <c r="B6211" s="24"/>
      <c r="C6211" s="24"/>
      <c r="D6211" s="24"/>
      <c r="E6211" s="24"/>
      <c r="F6211" s="24"/>
      <c r="G6211" s="24"/>
      <c r="H6211" s="24"/>
      <c r="I6211" s="24"/>
      <c r="J6211" s="24"/>
      <c r="K6211" s="24"/>
    </row>
    <row r="6212" customFormat="false" ht="15" hidden="false" customHeight="false" outlineLevel="0" collapsed="false">
      <c r="A6212" s="5" t="s">
        <v>457</v>
      </c>
      <c r="C6212" s="20" t="n">
        <f aca="false">IF(C6192&gt;0,Assumptions!$C$17,C6187)</f>
        <v>1</v>
      </c>
    </row>
    <row r="6213" customFormat="false" ht="15" hidden="false" customHeight="false" outlineLevel="0" collapsed="false">
      <c r="A6213" s="5" t="s">
        <v>458</v>
      </c>
      <c r="C6213" s="20" t="n">
        <f aca="false">IF(C6193&gt;0,Assumptions!$C$17,C6188)</f>
        <v>2</v>
      </c>
    </row>
    <row r="6214" customFormat="false" ht="15" hidden="false" customHeight="false" outlineLevel="0" collapsed="false">
      <c r="A6214" s="5" t="s">
        <v>459</v>
      </c>
      <c r="C6214" s="20" t="n">
        <f aca="false">IF(C6194&gt;0,Assumptions!$C$17,C6189)</f>
        <v>3</v>
      </c>
    </row>
    <row r="6215" customFormat="false" ht="15" hidden="false" customHeight="false" outlineLevel="0" collapsed="false">
      <c r="A6215" s="5" t="s">
        <v>460</v>
      </c>
      <c r="C6215" s="20" t="n">
        <f aca="false">IF(C6195&gt;0,Assumptions!$C$17,C6190)</f>
        <v>4</v>
      </c>
    </row>
    <row r="6216" customFormat="false" ht="15" hidden="false" customHeight="false" outlineLevel="0" collapsed="false">
      <c r="A6216" s="23" t="s">
        <v>467</v>
      </c>
      <c r="B6216" s="24"/>
      <c r="C6216" s="24"/>
      <c r="D6216" s="24"/>
      <c r="E6216" s="24"/>
      <c r="F6216" s="24"/>
      <c r="G6216" s="24"/>
      <c r="H6216" s="24"/>
      <c r="I6216" s="24"/>
      <c r="J6216" s="24"/>
      <c r="K6216" s="24"/>
    </row>
    <row r="6217" customFormat="false" ht="15" hidden="false" customHeight="false" outlineLevel="0" collapsed="false">
      <c r="A6217" s="5" t="s">
        <v>457</v>
      </c>
      <c r="C6217" s="25" t="n">
        <f aca="false">SUMPRODUCT(($C$6212:$C$6215&lt;C6212)*$C$6207:$C$6210)</f>
        <v>0</v>
      </c>
    </row>
    <row r="6218" customFormat="false" ht="15" hidden="false" customHeight="false" outlineLevel="0" collapsed="false">
      <c r="A6218" s="5" t="s">
        <v>458</v>
      </c>
      <c r="C6218" s="25" t="n">
        <f aca="false">SUMPRODUCT(($C$6212:$C$6215&lt;C6213)*$C$6207:$C$6210)</f>
        <v>165.9517532</v>
      </c>
    </row>
    <row r="6219" customFormat="false" ht="15" hidden="false" customHeight="false" outlineLevel="0" collapsed="false">
      <c r="A6219" s="5" t="s">
        <v>459</v>
      </c>
      <c r="C6219" s="25" t="n">
        <f aca="false">SUMPRODUCT(($C$6212:$C$6215&lt;C6214)*$C$6207:$C$6210)</f>
        <v>692.1774532</v>
      </c>
    </row>
    <row r="6220" customFormat="false" ht="15" hidden="false" customHeight="false" outlineLevel="0" collapsed="false">
      <c r="A6220" s="5" t="s">
        <v>460</v>
      </c>
      <c r="C6220" s="25" t="n">
        <f aca="false">SUMPRODUCT(($C$6212:$C$6215&lt;C6215)*$C$6207:$C$6210)</f>
        <v>949.0524532</v>
      </c>
    </row>
    <row r="6221" customFormat="false" ht="15" hidden="false" customHeight="false" outlineLevel="0" collapsed="false">
      <c r="A6221" s="23" t="s">
        <v>468</v>
      </c>
      <c r="B6221" s="24"/>
      <c r="C6221" s="24"/>
      <c r="D6221" s="24"/>
      <c r="E6221" s="24"/>
      <c r="F6221" s="24"/>
      <c r="G6221" s="24"/>
      <c r="H6221" s="24"/>
      <c r="I6221" s="24"/>
      <c r="J6221" s="24"/>
      <c r="K6221" s="24"/>
    </row>
    <row r="6222" customFormat="false" ht="15" hidden="false" customHeight="false" outlineLevel="0" collapsed="false">
      <c r="A6222" s="5" t="s">
        <v>457</v>
      </c>
      <c r="C6222" s="25" t="n">
        <f aca="false">SUMPRODUCT(($C$6212:$C$6215=C6212)*$C$6207:$C$6210)</f>
        <v>165.9517532</v>
      </c>
    </row>
    <row r="6223" customFormat="false" ht="15" hidden="false" customHeight="false" outlineLevel="0" collapsed="false">
      <c r="A6223" s="5" t="s">
        <v>458</v>
      </c>
      <c r="C6223" s="25" t="n">
        <f aca="false">SUMPRODUCT(($C$6212:$C$6215=C6213)*$C$6207:$C$6210)</f>
        <v>526.2257</v>
      </c>
    </row>
    <row r="6224" customFormat="false" ht="15" hidden="false" customHeight="false" outlineLevel="0" collapsed="false">
      <c r="A6224" s="5" t="s">
        <v>459</v>
      </c>
      <c r="C6224" s="25" t="n">
        <f aca="false">SUMPRODUCT(($C$6212:$C$6215=C6214)*$C$6207:$C$6210)</f>
        <v>256.875</v>
      </c>
    </row>
    <row r="6225" customFormat="false" ht="15" hidden="false" customHeight="false" outlineLevel="0" collapsed="false">
      <c r="A6225" s="5" t="s">
        <v>460</v>
      </c>
      <c r="C6225" s="25" t="n">
        <f aca="false">SUMPRODUCT(($C$6212:$C$6215=C6215)*$C$6207:$C$6210)</f>
        <v>305.625</v>
      </c>
    </row>
    <row r="6226" customFormat="false" ht="15" hidden="false" customHeight="false" outlineLevel="0" collapsed="false">
      <c r="A6226" s="23" t="s">
        <v>469</v>
      </c>
      <c r="B6226" s="24"/>
      <c r="C6226" s="24"/>
      <c r="D6226" s="24"/>
      <c r="E6226" s="24"/>
      <c r="F6226" s="24"/>
      <c r="G6226" s="24"/>
      <c r="H6226" s="24"/>
      <c r="I6226" s="24"/>
      <c r="J6226" s="24"/>
      <c r="K6226" s="24"/>
    </row>
    <row r="6227" customFormat="false" ht="15" hidden="false" customHeight="false" outlineLevel="0" collapsed="false">
      <c r="A6227" s="5" t="s">
        <v>457</v>
      </c>
      <c r="C6227" s="25" t="n">
        <f aca="false">IF(C6222=0,0,C6207/C6222*MAX(0,MIN(C6222,$C$6180-SUM($C$6197:$C$6200)-C6217)))</f>
        <v>165.9517532</v>
      </c>
    </row>
    <row r="6228" customFormat="false" ht="15" hidden="false" customHeight="false" outlineLevel="0" collapsed="false">
      <c r="A6228" s="5" t="s">
        <v>458</v>
      </c>
      <c r="C6228" s="25" t="n">
        <f aca="false">IF(C6223=0,0,C6208/C6223*MAX(0,MIN(C6223,$C$6180-SUM($C$6197:$C$6200)-C6218)))</f>
        <v>223.4242468</v>
      </c>
    </row>
    <row r="6229" customFormat="false" ht="15" hidden="false" customHeight="false" outlineLevel="0" collapsed="false">
      <c r="A6229" s="5" t="s">
        <v>459</v>
      </c>
      <c r="C6229" s="25" t="n">
        <f aca="false">IF(C6224=0,0,C6209/C6224*MAX(0,MIN(C6224,$C$6180-SUM($C$6197:$C$6200)-C6219)))</f>
        <v>0</v>
      </c>
    </row>
    <row r="6230" customFormat="false" ht="15" hidden="false" customHeight="false" outlineLevel="0" collapsed="false">
      <c r="A6230" s="5" t="s">
        <v>460</v>
      </c>
      <c r="C6230" s="25" t="n">
        <f aca="false">IF(C6225=0,0,C6210/C6225*MAX(0,MIN(C6225,$C$6180-SUM($C$6197:$C$6200)-C6220)))</f>
        <v>0</v>
      </c>
    </row>
    <row r="6231" customFormat="false" ht="15" hidden="false" customHeight="false" outlineLevel="0" collapsed="false">
      <c r="A6231" s="23" t="s">
        <v>470</v>
      </c>
      <c r="B6231" s="24"/>
      <c r="C6231" s="24"/>
      <c r="D6231" s="24"/>
      <c r="E6231" s="24"/>
      <c r="F6231" s="24"/>
      <c r="G6231" s="24"/>
      <c r="H6231" s="24"/>
      <c r="I6231" s="24"/>
      <c r="J6231" s="24"/>
      <c r="K6231" s="24"/>
    </row>
    <row r="6232" customFormat="false" ht="15" hidden="false" customHeight="false" outlineLevel="0" collapsed="false">
      <c r="A6232" s="2" t="s">
        <v>457</v>
      </c>
      <c r="C6232" s="16" t="n">
        <f aca="false">C6197+C6227</f>
        <v>165.9517532</v>
      </c>
    </row>
    <row r="6233" customFormat="false" ht="15" hidden="false" customHeight="false" outlineLevel="0" collapsed="false">
      <c r="A6233" s="2" t="s">
        <v>458</v>
      </c>
      <c r="C6233" s="16" t="n">
        <f aca="false">C6198+C6228</f>
        <v>223.4242468</v>
      </c>
    </row>
    <row r="6234" customFormat="false" ht="15" hidden="false" customHeight="false" outlineLevel="0" collapsed="false">
      <c r="A6234" s="2" t="s">
        <v>459</v>
      </c>
      <c r="C6234" s="16" t="n">
        <f aca="false">C6199+C6229</f>
        <v>0</v>
      </c>
    </row>
    <row r="6235" customFormat="false" ht="15" hidden="false" customHeight="false" outlineLevel="0" collapsed="false">
      <c r="A6235" s="2" t="s">
        <v>460</v>
      </c>
      <c r="C6235" s="16" t="n">
        <f aca="false">C6200+C6230</f>
        <v>0</v>
      </c>
    </row>
    <row r="6236" customFormat="false" ht="15" hidden="false" customHeight="false" outlineLevel="0" collapsed="false">
      <c r="A6236" s="23" t="s">
        <v>471</v>
      </c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</row>
    <row r="6237" customFormat="false" ht="15" hidden="false" customHeight="false" outlineLevel="0" collapsed="false">
      <c r="A6237" s="5" t="s">
        <v>457</v>
      </c>
      <c r="C6237" s="21" t="n">
        <f aca="false">IF(C6182=0,1,C6232/C6182)</f>
        <v>1</v>
      </c>
    </row>
    <row r="6238" customFormat="false" ht="15" hidden="false" customHeight="false" outlineLevel="0" collapsed="false">
      <c r="A6238" s="5" t="s">
        <v>458</v>
      </c>
      <c r="C6238" s="21" t="n">
        <f aca="false">IF(C6183=0,1,C6233/C6183)</f>
        <v>0.424578744063621</v>
      </c>
    </row>
    <row r="6239" customFormat="false" ht="15" hidden="false" customHeight="false" outlineLevel="0" collapsed="false">
      <c r="A6239" s="5" t="s">
        <v>459</v>
      </c>
      <c r="C6239" s="21" t="n">
        <f aca="false">IF(C6184=0,1,C6234/C6184)</f>
        <v>0</v>
      </c>
    </row>
    <row r="6240" customFormat="false" ht="15" hidden="false" customHeight="false" outlineLevel="0" collapsed="false">
      <c r="A6240" s="5" t="s">
        <v>460</v>
      </c>
      <c r="C6240" s="21" t="n">
        <f aca="false">IF(C6185=0,1,C6235/C6185)</f>
        <v>0</v>
      </c>
    </row>
    <row r="6241" customFormat="false" ht="15" hidden="false" customHeight="false" outlineLevel="0" collapsed="false">
      <c r="A6241" s="23" t="s">
        <v>472</v>
      </c>
      <c r="B6241" s="24"/>
      <c r="C6241" s="24"/>
      <c r="D6241" s="24"/>
      <c r="E6241" s="24"/>
      <c r="F6241" s="24"/>
      <c r="G6241" s="24"/>
      <c r="H6241" s="24"/>
      <c r="I6241" s="24"/>
      <c r="J6241" s="24"/>
      <c r="K6241" s="24"/>
    </row>
    <row r="6242" customFormat="false" ht="15" hidden="false" customHeight="false" outlineLevel="0" collapsed="false">
      <c r="A6242" s="5" t="s">
        <v>457</v>
      </c>
      <c r="C6242" s="25" t="n">
        <f aca="false">C6182-C6232</f>
        <v>0</v>
      </c>
    </row>
    <row r="6243" customFormat="false" ht="15" hidden="false" customHeight="false" outlineLevel="0" collapsed="false">
      <c r="A6243" s="5" t="s">
        <v>458</v>
      </c>
      <c r="C6243" s="25" t="n">
        <f aca="false">C6183-C6233</f>
        <v>302.8014532</v>
      </c>
    </row>
    <row r="6244" customFormat="false" ht="15" hidden="false" customHeight="false" outlineLevel="0" collapsed="false">
      <c r="A6244" s="5" t="s">
        <v>459</v>
      </c>
      <c r="C6244" s="25" t="n">
        <f aca="false">C6184-C6234</f>
        <v>256.875</v>
      </c>
    </row>
    <row r="6245" customFormat="false" ht="15" hidden="false" customHeight="false" outlineLevel="0" collapsed="false">
      <c r="A6245" s="5" t="s">
        <v>460</v>
      </c>
      <c r="C6245" s="25" t="n">
        <f aca="false">C6185-C6235</f>
        <v>305.625</v>
      </c>
    </row>
    <row r="6246" customFormat="false" ht="15" hidden="false" customHeight="false" outlineLevel="0" collapsed="false">
      <c r="A6246" s="23" t="s">
        <v>473</v>
      </c>
      <c r="B6246" s="24"/>
      <c r="C6246" s="24"/>
      <c r="D6246" s="24"/>
      <c r="E6246" s="24"/>
      <c r="F6246" s="24"/>
      <c r="G6246" s="24"/>
      <c r="H6246" s="24"/>
      <c r="I6246" s="24"/>
      <c r="J6246" s="24"/>
      <c r="K6246" s="24"/>
    </row>
    <row r="6247" customFormat="false" ht="15" hidden="false" customHeight="false" outlineLevel="0" collapsed="false">
      <c r="A6247" s="5" t="s">
        <v>457</v>
      </c>
      <c r="C6247" s="21" t="n">
        <f aca="false">IF(C6182=0,0,C6242/C6182)</f>
        <v>0</v>
      </c>
    </row>
    <row r="6248" customFormat="false" ht="15" hidden="false" customHeight="false" outlineLevel="0" collapsed="false">
      <c r="A6248" s="5" t="s">
        <v>458</v>
      </c>
      <c r="C6248" s="21" t="n">
        <f aca="false">IF(C6183=0,0,C6243/C6183)</f>
        <v>0.575421255936379</v>
      </c>
    </row>
    <row r="6249" customFormat="false" ht="15" hidden="false" customHeight="false" outlineLevel="0" collapsed="false">
      <c r="A6249" s="5" t="s">
        <v>459</v>
      </c>
      <c r="C6249" s="21" t="n">
        <f aca="false">IF(C6184=0,0,C6244/C6184)</f>
        <v>1</v>
      </c>
    </row>
    <row r="6250" customFormat="false" ht="15" hidden="false" customHeight="false" outlineLevel="0" collapsed="false">
      <c r="A6250" s="5" t="s">
        <v>460</v>
      </c>
      <c r="C6250" s="21" t="n">
        <f aca="false">IF(C6185=0,0,C6245/C6185)</f>
        <v>1</v>
      </c>
    </row>
    <row r="6251" customFormat="false" ht="15" hidden="false" customHeight="false" outlineLevel="0" collapsed="false">
      <c r="A6251" s="2" t="s">
        <v>474</v>
      </c>
      <c r="C6251" s="16" t="n">
        <f aca="false">MAX(0,$C$6180-SUM($C$6197:$C$6200)-SUM($C$6207:$C$6210))</f>
        <v>0</v>
      </c>
    </row>
    <row r="6252" customFormat="false" ht="15" hidden="false" customHeight="false" outlineLevel="0" collapsed="false">
      <c r="A6252" s="5" t="s">
        <v>475</v>
      </c>
      <c r="C6252" s="25" t="n">
        <f aca="false">SUM($C$6232:$C$6235)+C6251+C6179-C6178</f>
        <v>0</v>
      </c>
    </row>
    <row r="6254" customFormat="false" ht="15" hidden="false" customHeight="false" outlineLevel="0" collapsed="false">
      <c r="A6254" s="23" t="s">
        <v>478</v>
      </c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</row>
    <row r="6255" customFormat="false" ht="15" hidden="false" customHeight="false" outlineLevel="0" collapsed="false">
      <c r="A6255" s="5" t="s">
        <v>479</v>
      </c>
      <c r="C6255" s="26" t="n">
        <f aca="false">Assumptions!$C$30</f>
        <v>2</v>
      </c>
    </row>
    <row r="6256" customFormat="false" ht="15" hidden="false" customHeight="false" outlineLevel="0" collapsed="false">
      <c r="A6256" s="5" t="s">
        <v>480</v>
      </c>
      <c r="C6256" s="28" t="n">
        <f aca="false">Assumptions!$C$31</f>
        <v>100</v>
      </c>
    </row>
    <row r="6257" customFormat="false" ht="15" hidden="false" customHeight="false" outlineLevel="0" collapsed="false">
      <c r="A6257" s="5" t="s">
        <v>481</v>
      </c>
      <c r="C6257" s="39" t="n">
        <f aca="false">Assumptions!$C$32</f>
        <v>78</v>
      </c>
    </row>
    <row r="6258" customFormat="false" ht="15" hidden="false" customHeight="false" outlineLevel="0" collapsed="false">
      <c r="A6258" s="5" t="s">
        <v>482</v>
      </c>
      <c r="C6258" s="25" t="n">
        <f aca="false">C6256*C6257/100*(1+Assumptions!$C$33)</f>
        <v>78.39</v>
      </c>
    </row>
    <row r="6259" customFormat="false" ht="15" hidden="false" customHeight="false" outlineLevel="0" collapsed="false">
      <c r="A6259" s="5" t="s">
        <v>483</v>
      </c>
      <c r="C6259" s="26" t="n">
        <f aca="false">Assumptions!$C$34</f>
        <v>2</v>
      </c>
    </row>
    <row r="6260" customFormat="false" ht="15" hidden="false" customHeight="false" outlineLevel="0" collapsed="false">
      <c r="A6260" s="5" t="s">
        <v>484</v>
      </c>
      <c r="C6260" s="20" t="n">
        <f aca="false">IF(C6171=1,SUMPRODUCT($G$6139:$K$6139,$G$6015:$K$6015),0)</f>
        <v>2</v>
      </c>
    </row>
    <row r="6261" customFormat="false" ht="15" hidden="false" customHeight="false" outlineLevel="0" collapsed="false">
      <c r="A6261" s="5" t="s">
        <v>485</v>
      </c>
      <c r="C6261" s="21" t="n">
        <f aca="false">IFERROR(C6256/CHOOSE(C6255,SUMPRODUCT($G$6170:$K$6170,$G$6061:$K$6061),SUMPRODUCT($G$6170:$K$6170,$G$6074:$K$6074),SUMPRODUCT($G$6170:$K$6170,$G$6087:$K$6087),SUMPRODUCT($G$6170:$K$6170,$G$6100:$K$6100)),0)</f>
        <v>0.196232339089482</v>
      </c>
    </row>
    <row r="6262" customFormat="false" ht="15" hidden="false" customHeight="false" outlineLevel="0" collapsed="false">
      <c r="A6262" s="5" t="s">
        <v>486</v>
      </c>
      <c r="C6262" s="25" t="n">
        <f aca="false">CHOOSE(C6255,C6232,C6233,C6234,C6235)*C6261</f>
        <v>43.8430625588697</v>
      </c>
    </row>
    <row r="6263" customFormat="false" ht="15" hidden="false" customHeight="false" outlineLevel="0" collapsed="false">
      <c r="A6263" s="5" t="s">
        <v>487</v>
      </c>
      <c r="C6263" s="21" t="n">
        <f aca="false">CHOOSE(C6255,C6237,C6238,C6239,C6240)</f>
        <v>0.424578744063621</v>
      </c>
    </row>
    <row r="6264" customFormat="false" ht="15" hidden="false" customHeight="false" outlineLevel="0" collapsed="false">
      <c r="A6264" s="5" t="s">
        <v>488</v>
      </c>
      <c r="C6264" s="20" t="n">
        <f aca="false">IF(C6171=1,C6260,C6259)</f>
        <v>2</v>
      </c>
    </row>
    <row r="6265" customFormat="false" ht="15" hidden="false" customHeight="false" outlineLevel="0" collapsed="false">
      <c r="A6265" s="5" t="s">
        <v>489</v>
      </c>
      <c r="C6265" s="33" t="n">
        <f aca="false">CHOOSE($C$6007,Assumptions!$C$77,Assumptions!$C$96,Assumptions!$C$115)</f>
        <v>70</v>
      </c>
    </row>
    <row r="6266" customFormat="false" ht="15" hidden="false" customHeight="false" outlineLevel="0" collapsed="false">
      <c r="A6266" s="5" t="s">
        <v>490</v>
      </c>
      <c r="C6266" s="25" t="n">
        <f aca="false">INDEX($G$6024:$K$6024,C6259)*CHOOSE($C$6007,Assumptions!$C$76,Assumptions!$C$95,Assumptions!$C$114)+MAX(0,INDEX($G$6136:$K$6136,C6259))</f>
        <v>279.8964</v>
      </c>
    </row>
    <row r="6267" customFormat="false" ht="15" hidden="false" customHeight="false" outlineLevel="0" collapsed="false">
      <c r="A6267" s="23" t="s">
        <v>491</v>
      </c>
      <c r="B6267" s="24"/>
      <c r="C6267" s="24"/>
      <c r="D6267" s="24"/>
      <c r="E6267" s="24"/>
      <c r="F6267" s="24"/>
      <c r="G6267" s="24"/>
      <c r="H6267" s="24"/>
      <c r="I6267" s="24"/>
      <c r="J6267" s="24"/>
      <c r="K6267" s="24"/>
    </row>
    <row r="6268" customFormat="false" ht="15" hidden="false" customHeight="false" outlineLevel="0" collapsed="false">
      <c r="A6268" s="5" t="s">
        <v>457</v>
      </c>
      <c r="C6268" s="25" t="n">
        <f aca="false">INDEX($G$6061:$K$6061,C6259)</f>
        <v>161.3728</v>
      </c>
    </row>
    <row r="6269" customFormat="false" ht="15" hidden="false" customHeight="false" outlineLevel="0" collapsed="false">
      <c r="A6269" s="5" t="s">
        <v>458</v>
      </c>
      <c r="C6269" s="25" t="n">
        <f aca="false">INDEX($G$6074:$K$6074,C6259)</f>
        <v>509.6</v>
      </c>
    </row>
    <row r="6270" customFormat="false" ht="15" hidden="false" customHeight="false" outlineLevel="0" collapsed="false">
      <c r="A6270" s="5" t="s">
        <v>459</v>
      </c>
      <c r="C6270" s="25" t="n">
        <f aca="false">INDEX($G$6087:$K$6087,C6259)</f>
        <v>250</v>
      </c>
    </row>
    <row r="6271" customFormat="false" ht="15" hidden="false" customHeight="false" outlineLevel="0" collapsed="false">
      <c r="A6271" s="5" t="s">
        <v>460</v>
      </c>
      <c r="C6271" s="25" t="n">
        <f aca="false">INDEX($G$6100:$K$6100,C6259)</f>
        <v>300</v>
      </c>
    </row>
    <row r="6272" customFormat="false" ht="15" hidden="false" customHeight="false" outlineLevel="0" collapsed="false">
      <c r="A6272" s="23" t="s">
        <v>461</v>
      </c>
      <c r="B6272" s="24"/>
      <c r="C6272" s="24"/>
      <c r="D6272" s="24"/>
      <c r="E6272" s="24"/>
      <c r="F6272" s="24"/>
      <c r="G6272" s="24"/>
      <c r="H6272" s="24"/>
      <c r="I6272" s="24"/>
      <c r="J6272" s="24"/>
      <c r="K6272" s="24"/>
    </row>
    <row r="6273" customFormat="false" ht="15" hidden="false" customHeight="false" outlineLevel="0" collapsed="false">
      <c r="A6273" s="5" t="s">
        <v>457</v>
      </c>
      <c r="C6273" s="26" t="n">
        <f aca="false">Assumptions!$M$53</f>
        <v>1</v>
      </c>
    </row>
    <row r="6274" customFormat="false" ht="15" hidden="false" customHeight="false" outlineLevel="0" collapsed="false">
      <c r="A6274" s="5" t="s">
        <v>458</v>
      </c>
      <c r="C6274" s="26" t="n">
        <f aca="false">Assumptions!$M$54</f>
        <v>2</v>
      </c>
    </row>
    <row r="6275" customFormat="false" ht="15" hidden="false" customHeight="false" outlineLevel="0" collapsed="false">
      <c r="A6275" s="5" t="s">
        <v>459</v>
      </c>
      <c r="C6275" s="26" t="n">
        <f aca="false">Assumptions!$M$55</f>
        <v>3</v>
      </c>
    </row>
    <row r="6276" customFormat="false" ht="15" hidden="false" customHeight="false" outlineLevel="0" collapsed="false">
      <c r="A6276" s="5" t="s">
        <v>460</v>
      </c>
      <c r="C6276" s="26" t="n">
        <f aca="false">Assumptions!$M$56</f>
        <v>4</v>
      </c>
    </row>
    <row r="6277" customFormat="false" ht="15" hidden="false" customHeight="false" outlineLevel="0" collapsed="false">
      <c r="A6277" s="23" t="s">
        <v>462</v>
      </c>
      <c r="B6277" s="24"/>
      <c r="C6277" s="24"/>
      <c r="D6277" s="24"/>
      <c r="E6277" s="24"/>
      <c r="F6277" s="24"/>
      <c r="G6277" s="24"/>
      <c r="H6277" s="24"/>
      <c r="I6277" s="24"/>
      <c r="J6277" s="24"/>
      <c r="K6277" s="24"/>
    </row>
    <row r="6278" customFormat="false" ht="15" hidden="false" customHeight="false" outlineLevel="0" collapsed="false">
      <c r="A6278" s="5" t="s">
        <v>457</v>
      </c>
      <c r="C6278" s="34" t="n">
        <f aca="false">Assumptions!$Q$53</f>
        <v>0</v>
      </c>
    </row>
    <row r="6279" customFormat="false" ht="15" hidden="false" customHeight="false" outlineLevel="0" collapsed="false">
      <c r="A6279" s="5" t="s">
        <v>458</v>
      </c>
      <c r="C6279" s="34" t="n">
        <f aca="false">Assumptions!$Q$54</f>
        <v>0</v>
      </c>
    </row>
    <row r="6280" customFormat="false" ht="15" hidden="false" customHeight="false" outlineLevel="0" collapsed="false">
      <c r="A6280" s="5" t="s">
        <v>459</v>
      </c>
      <c r="C6280" s="34" t="n">
        <f aca="false">Assumptions!$Q$55</f>
        <v>0</v>
      </c>
    </row>
    <row r="6281" customFormat="false" ht="15" hidden="false" customHeight="false" outlineLevel="0" collapsed="false">
      <c r="A6281" s="5" t="s">
        <v>460</v>
      </c>
      <c r="C6281" s="34" t="n">
        <f aca="false">Assumptions!$Q$56</f>
        <v>0</v>
      </c>
    </row>
    <row r="6282" customFormat="false" ht="15" hidden="false" customHeight="false" outlineLevel="0" collapsed="false">
      <c r="A6282" s="23" t="s">
        <v>463</v>
      </c>
      <c r="B6282" s="24"/>
      <c r="C6282" s="24"/>
      <c r="D6282" s="24"/>
      <c r="E6282" s="24"/>
      <c r="F6282" s="24"/>
      <c r="G6282" s="24"/>
      <c r="H6282" s="24"/>
      <c r="I6282" s="24"/>
      <c r="J6282" s="24"/>
      <c r="K6282" s="24"/>
    </row>
    <row r="6283" customFormat="false" ht="15" hidden="false" customHeight="false" outlineLevel="0" collapsed="false">
      <c r="A6283" s="5" t="s">
        <v>457</v>
      </c>
      <c r="C6283" s="25" t="n">
        <f aca="false">IF(C6278&gt;0,MIN(C6268,C6278*$C$6266),0)</f>
        <v>0</v>
      </c>
    </row>
    <row r="6284" customFormat="false" ht="15" hidden="false" customHeight="false" outlineLevel="0" collapsed="false">
      <c r="A6284" s="5" t="s">
        <v>458</v>
      </c>
      <c r="C6284" s="25" t="n">
        <f aca="false">IF(C6279&gt;0,MIN(C6269,C6279*$C$6266),0)</f>
        <v>0</v>
      </c>
    </row>
    <row r="6285" customFormat="false" ht="15" hidden="false" customHeight="false" outlineLevel="0" collapsed="false">
      <c r="A6285" s="5" t="s">
        <v>459</v>
      </c>
      <c r="C6285" s="25" t="n">
        <f aca="false">IF(C6280&gt;0,MIN(C6270,C6280*$C$6266),0)</f>
        <v>0</v>
      </c>
    </row>
    <row r="6286" customFormat="false" ht="15" hidden="false" customHeight="false" outlineLevel="0" collapsed="false">
      <c r="A6286" s="5" t="s">
        <v>460</v>
      </c>
      <c r="C6286" s="25" t="n">
        <f aca="false">IF(C6281&gt;0,MIN(C6271,C6281*$C$6266),0)</f>
        <v>0</v>
      </c>
    </row>
    <row r="6287" customFormat="false" ht="15" hidden="false" customHeight="false" outlineLevel="0" collapsed="false">
      <c r="A6287" s="23" t="s">
        <v>464</v>
      </c>
      <c r="B6287" s="24"/>
      <c r="C6287" s="24"/>
      <c r="D6287" s="24"/>
      <c r="E6287" s="24"/>
      <c r="F6287" s="24"/>
      <c r="G6287" s="24"/>
      <c r="H6287" s="24"/>
      <c r="I6287" s="24"/>
      <c r="J6287" s="24"/>
      <c r="K6287" s="24"/>
    </row>
    <row r="6288" customFormat="false" ht="15" hidden="false" customHeight="false" outlineLevel="0" collapsed="false">
      <c r="A6288" s="5" t="s">
        <v>457</v>
      </c>
      <c r="C6288" s="25" t="n">
        <f aca="false">IF(C6278&gt;0,C6268-C6283,0)</f>
        <v>0</v>
      </c>
    </row>
    <row r="6289" customFormat="false" ht="15" hidden="false" customHeight="false" outlineLevel="0" collapsed="false">
      <c r="A6289" s="5" t="s">
        <v>458</v>
      </c>
      <c r="C6289" s="25" t="n">
        <f aca="false">IF(C6279&gt;0,C6269-C6284,0)</f>
        <v>0</v>
      </c>
    </row>
    <row r="6290" customFormat="false" ht="15" hidden="false" customHeight="false" outlineLevel="0" collapsed="false">
      <c r="A6290" s="5" t="s">
        <v>459</v>
      </c>
      <c r="C6290" s="25" t="n">
        <f aca="false">IF(C6280&gt;0,C6270-C6285,0)</f>
        <v>0</v>
      </c>
    </row>
    <row r="6291" customFormat="false" ht="15" hidden="false" customHeight="false" outlineLevel="0" collapsed="false">
      <c r="A6291" s="5" t="s">
        <v>460</v>
      </c>
      <c r="C6291" s="25" t="n">
        <f aca="false">IF(C6281&gt;0,C6271-C6286,0)</f>
        <v>0</v>
      </c>
    </row>
    <row r="6292" customFormat="false" ht="15" hidden="false" customHeight="false" outlineLevel="0" collapsed="false">
      <c r="A6292" s="23" t="s">
        <v>465</v>
      </c>
      <c r="B6292" s="24"/>
      <c r="C6292" s="24"/>
      <c r="D6292" s="24"/>
      <c r="E6292" s="24"/>
      <c r="F6292" s="24"/>
      <c r="G6292" s="24"/>
      <c r="H6292" s="24"/>
      <c r="I6292" s="24"/>
      <c r="J6292" s="24"/>
      <c r="K6292" s="24"/>
    </row>
    <row r="6293" customFormat="false" ht="15" hidden="false" customHeight="false" outlineLevel="0" collapsed="false">
      <c r="A6293" s="5" t="s">
        <v>457</v>
      </c>
      <c r="C6293" s="25" t="n">
        <f aca="false">IF(C6278&gt;0,C6288,C6268)</f>
        <v>161.3728</v>
      </c>
    </row>
    <row r="6294" customFormat="false" ht="15" hidden="false" customHeight="false" outlineLevel="0" collapsed="false">
      <c r="A6294" s="5" t="s">
        <v>458</v>
      </c>
      <c r="C6294" s="25" t="n">
        <f aca="false">IF(C6279&gt;0,C6289,C6269)</f>
        <v>509.6</v>
      </c>
    </row>
    <row r="6295" customFormat="false" ht="15" hidden="false" customHeight="false" outlineLevel="0" collapsed="false">
      <c r="A6295" s="5" t="s">
        <v>459</v>
      </c>
      <c r="C6295" s="25" t="n">
        <f aca="false">IF(C6280&gt;0,C6290,C6270)</f>
        <v>250</v>
      </c>
    </row>
    <row r="6296" customFormat="false" ht="15" hidden="false" customHeight="false" outlineLevel="0" collapsed="false">
      <c r="A6296" s="5" t="s">
        <v>460</v>
      </c>
      <c r="C6296" s="25" t="n">
        <f aca="false">IF(C6281&gt;0,C6291,C6271)</f>
        <v>300</v>
      </c>
    </row>
    <row r="6297" customFormat="false" ht="15" hidden="false" customHeight="false" outlineLevel="0" collapsed="false">
      <c r="A6297" s="23" t="s">
        <v>466</v>
      </c>
      <c r="B6297" s="24"/>
      <c r="C6297" s="24"/>
      <c r="D6297" s="24"/>
      <c r="E6297" s="24"/>
      <c r="F6297" s="24"/>
      <c r="G6297" s="24"/>
      <c r="H6297" s="24"/>
      <c r="I6297" s="24"/>
      <c r="J6297" s="24"/>
      <c r="K6297" s="24"/>
    </row>
    <row r="6298" customFormat="false" ht="15" hidden="false" customHeight="false" outlineLevel="0" collapsed="false">
      <c r="A6298" s="5" t="s">
        <v>457</v>
      </c>
      <c r="C6298" s="20" t="n">
        <f aca="false">IF(C6278&gt;0,Assumptions!$C$17,C6273)</f>
        <v>1</v>
      </c>
    </row>
    <row r="6299" customFormat="false" ht="15" hidden="false" customHeight="false" outlineLevel="0" collapsed="false">
      <c r="A6299" s="5" t="s">
        <v>458</v>
      </c>
      <c r="C6299" s="20" t="n">
        <f aca="false">IF(C6279&gt;0,Assumptions!$C$17,C6274)</f>
        <v>2</v>
      </c>
    </row>
    <row r="6300" customFormat="false" ht="15" hidden="false" customHeight="false" outlineLevel="0" collapsed="false">
      <c r="A6300" s="5" t="s">
        <v>459</v>
      </c>
      <c r="C6300" s="20" t="n">
        <f aca="false">IF(C6280&gt;0,Assumptions!$C$17,C6275)</f>
        <v>3</v>
      </c>
    </row>
    <row r="6301" customFormat="false" ht="15" hidden="false" customHeight="false" outlineLevel="0" collapsed="false">
      <c r="A6301" s="5" t="s">
        <v>460</v>
      </c>
      <c r="C6301" s="20" t="n">
        <f aca="false">IF(C6281&gt;0,Assumptions!$C$17,C6276)</f>
        <v>4</v>
      </c>
    </row>
    <row r="6302" customFormat="false" ht="15" hidden="false" customHeight="false" outlineLevel="0" collapsed="false">
      <c r="A6302" s="23" t="s">
        <v>467</v>
      </c>
      <c r="B6302" s="24"/>
      <c r="C6302" s="24"/>
      <c r="D6302" s="24"/>
      <c r="E6302" s="24"/>
      <c r="F6302" s="24"/>
      <c r="G6302" s="24"/>
      <c r="H6302" s="24"/>
      <c r="I6302" s="24"/>
      <c r="J6302" s="24"/>
      <c r="K6302" s="24"/>
    </row>
    <row r="6303" customFormat="false" ht="15" hidden="false" customHeight="false" outlineLevel="0" collapsed="false">
      <c r="A6303" s="5" t="s">
        <v>457</v>
      </c>
      <c r="C6303" s="25" t="n">
        <f aca="false">SUMPRODUCT(($C$6298:$C$6301&lt;C6298)*$C$6293:$C$6296)</f>
        <v>0</v>
      </c>
    </row>
    <row r="6304" customFormat="false" ht="15" hidden="false" customHeight="false" outlineLevel="0" collapsed="false">
      <c r="A6304" s="5" t="s">
        <v>458</v>
      </c>
      <c r="C6304" s="25" t="n">
        <f aca="false">SUMPRODUCT(($C$6298:$C$6301&lt;C6299)*$C$6293:$C$6296)</f>
        <v>161.3728</v>
      </c>
    </row>
    <row r="6305" customFormat="false" ht="15" hidden="false" customHeight="false" outlineLevel="0" collapsed="false">
      <c r="A6305" s="5" t="s">
        <v>459</v>
      </c>
      <c r="C6305" s="25" t="n">
        <f aca="false">SUMPRODUCT(($C$6298:$C$6301&lt;C6300)*$C$6293:$C$6296)</f>
        <v>670.9728</v>
      </c>
    </row>
    <row r="6306" customFormat="false" ht="15" hidden="false" customHeight="false" outlineLevel="0" collapsed="false">
      <c r="A6306" s="5" t="s">
        <v>460</v>
      </c>
      <c r="C6306" s="25" t="n">
        <f aca="false">SUMPRODUCT(($C$6298:$C$6301&lt;C6301)*$C$6293:$C$6296)</f>
        <v>920.9728</v>
      </c>
    </row>
    <row r="6307" customFormat="false" ht="15" hidden="false" customHeight="false" outlineLevel="0" collapsed="false">
      <c r="A6307" s="23" t="s">
        <v>468</v>
      </c>
      <c r="B6307" s="24"/>
      <c r="C6307" s="24"/>
      <c r="D6307" s="24"/>
      <c r="E6307" s="24"/>
      <c r="F6307" s="24"/>
      <c r="G6307" s="24"/>
      <c r="H6307" s="24"/>
      <c r="I6307" s="24"/>
      <c r="J6307" s="24"/>
      <c r="K6307" s="24"/>
    </row>
    <row r="6308" customFormat="false" ht="15" hidden="false" customHeight="false" outlineLevel="0" collapsed="false">
      <c r="A6308" s="5" t="s">
        <v>457</v>
      </c>
      <c r="C6308" s="25" t="n">
        <f aca="false">SUMPRODUCT(($C$6298:$C$6301=C6298)*$C$6293:$C$6296)</f>
        <v>161.3728</v>
      </c>
    </row>
    <row r="6309" customFormat="false" ht="15" hidden="false" customHeight="false" outlineLevel="0" collapsed="false">
      <c r="A6309" s="5" t="s">
        <v>458</v>
      </c>
      <c r="C6309" s="25" t="n">
        <f aca="false">SUMPRODUCT(($C$6298:$C$6301=C6299)*$C$6293:$C$6296)</f>
        <v>509.6</v>
      </c>
    </row>
    <row r="6310" customFormat="false" ht="15" hidden="false" customHeight="false" outlineLevel="0" collapsed="false">
      <c r="A6310" s="5" t="s">
        <v>459</v>
      </c>
      <c r="C6310" s="25" t="n">
        <f aca="false">SUMPRODUCT(($C$6298:$C$6301=C6300)*$C$6293:$C$6296)</f>
        <v>250</v>
      </c>
    </row>
    <row r="6311" customFormat="false" ht="15" hidden="false" customHeight="false" outlineLevel="0" collapsed="false">
      <c r="A6311" s="5" t="s">
        <v>460</v>
      </c>
      <c r="C6311" s="25" t="n">
        <f aca="false">SUMPRODUCT(($C$6298:$C$6301=C6301)*$C$6293:$C$6296)</f>
        <v>300</v>
      </c>
    </row>
    <row r="6312" customFormat="false" ht="15" hidden="false" customHeight="false" outlineLevel="0" collapsed="false">
      <c r="A6312" s="23" t="s">
        <v>469</v>
      </c>
      <c r="B6312" s="24"/>
      <c r="C6312" s="24"/>
      <c r="D6312" s="24"/>
      <c r="E6312" s="24"/>
      <c r="F6312" s="24"/>
      <c r="G6312" s="24"/>
      <c r="H6312" s="24"/>
      <c r="I6312" s="24"/>
      <c r="J6312" s="24"/>
      <c r="K6312" s="24"/>
    </row>
    <row r="6313" customFormat="false" ht="15" hidden="false" customHeight="false" outlineLevel="0" collapsed="false">
      <c r="A6313" s="5" t="s">
        <v>457</v>
      </c>
      <c r="C6313" s="25" t="n">
        <f aca="false">IF(C6308=0,0,C6293/C6308*MAX(0,MIN(C6308,$C$6266-SUM($C$6283:$C$6286)-C6303)))</f>
        <v>161.3728</v>
      </c>
    </row>
    <row r="6314" customFormat="false" ht="15" hidden="false" customHeight="false" outlineLevel="0" collapsed="false">
      <c r="A6314" s="5" t="s">
        <v>458</v>
      </c>
      <c r="C6314" s="25" t="n">
        <f aca="false">IF(C6309=0,0,C6294/C6309*MAX(0,MIN(C6309,$C$6266-SUM($C$6283:$C$6286)-C6304)))</f>
        <v>118.5236</v>
      </c>
    </row>
    <row r="6315" customFormat="false" ht="15" hidden="false" customHeight="false" outlineLevel="0" collapsed="false">
      <c r="A6315" s="5" t="s">
        <v>459</v>
      </c>
      <c r="C6315" s="25" t="n">
        <f aca="false">IF(C6310=0,0,C6295/C6310*MAX(0,MIN(C6310,$C$6266-SUM($C$6283:$C$6286)-C6305)))</f>
        <v>0</v>
      </c>
    </row>
    <row r="6316" customFormat="false" ht="15" hidden="false" customHeight="false" outlineLevel="0" collapsed="false">
      <c r="A6316" s="5" t="s">
        <v>460</v>
      </c>
      <c r="C6316" s="25" t="n">
        <f aca="false">IF(C6311=0,0,C6296/C6311*MAX(0,MIN(C6311,$C$6266-SUM($C$6283:$C$6286)-C6306)))</f>
        <v>0</v>
      </c>
    </row>
    <row r="6317" customFormat="false" ht="15" hidden="false" customHeight="false" outlineLevel="0" collapsed="false">
      <c r="A6317" s="23" t="s">
        <v>470</v>
      </c>
      <c r="B6317" s="24"/>
      <c r="C6317" s="24"/>
      <c r="D6317" s="24"/>
      <c r="E6317" s="24"/>
      <c r="F6317" s="24"/>
      <c r="G6317" s="24"/>
      <c r="H6317" s="24"/>
      <c r="I6317" s="24"/>
      <c r="J6317" s="24"/>
      <c r="K6317" s="24"/>
    </row>
    <row r="6318" customFormat="false" ht="15" hidden="false" customHeight="false" outlineLevel="0" collapsed="false">
      <c r="A6318" s="2" t="s">
        <v>457</v>
      </c>
      <c r="C6318" s="16" t="n">
        <f aca="false">C6283+C6313</f>
        <v>161.3728</v>
      </c>
    </row>
    <row r="6319" customFormat="false" ht="15" hidden="false" customHeight="false" outlineLevel="0" collapsed="false">
      <c r="A6319" s="2" t="s">
        <v>458</v>
      </c>
      <c r="C6319" s="16" t="n">
        <f aca="false">C6284+C6314</f>
        <v>118.5236</v>
      </c>
    </row>
    <row r="6320" customFormat="false" ht="15" hidden="false" customHeight="false" outlineLevel="0" collapsed="false">
      <c r="A6320" s="2" t="s">
        <v>459</v>
      </c>
      <c r="C6320" s="16" t="n">
        <f aca="false">C6285+C6315</f>
        <v>0</v>
      </c>
    </row>
    <row r="6321" customFormat="false" ht="15" hidden="false" customHeight="false" outlineLevel="0" collapsed="false">
      <c r="A6321" s="2" t="s">
        <v>460</v>
      </c>
      <c r="C6321" s="16" t="n">
        <f aca="false">C6286+C6316</f>
        <v>0</v>
      </c>
    </row>
    <row r="6322" customFormat="false" ht="15" hidden="false" customHeight="false" outlineLevel="0" collapsed="false">
      <c r="A6322" s="23" t="s">
        <v>471</v>
      </c>
      <c r="B6322" s="24"/>
      <c r="C6322" s="24"/>
      <c r="D6322" s="24"/>
      <c r="E6322" s="24"/>
      <c r="F6322" s="24"/>
      <c r="G6322" s="24"/>
      <c r="H6322" s="24"/>
      <c r="I6322" s="24"/>
      <c r="J6322" s="24"/>
      <c r="K6322" s="24"/>
    </row>
    <row r="6323" customFormat="false" ht="15" hidden="false" customHeight="false" outlineLevel="0" collapsed="false">
      <c r="A6323" s="5" t="s">
        <v>457</v>
      </c>
      <c r="C6323" s="21" t="n">
        <f aca="false">IF(C6268=0,1,C6318/C6268)</f>
        <v>1</v>
      </c>
    </row>
    <row r="6324" customFormat="false" ht="15" hidden="false" customHeight="false" outlineLevel="0" collapsed="false">
      <c r="A6324" s="5" t="s">
        <v>458</v>
      </c>
      <c r="C6324" s="21" t="n">
        <f aca="false">IF(C6269=0,1,C6319/C6269)</f>
        <v>0.232581632653061</v>
      </c>
    </row>
    <row r="6325" customFormat="false" ht="15" hidden="false" customHeight="false" outlineLevel="0" collapsed="false">
      <c r="A6325" s="5" t="s">
        <v>459</v>
      </c>
      <c r="C6325" s="21" t="n">
        <f aca="false">IF(C6270=0,1,C6320/C6270)</f>
        <v>0</v>
      </c>
    </row>
    <row r="6326" customFormat="false" ht="15" hidden="false" customHeight="false" outlineLevel="0" collapsed="false">
      <c r="A6326" s="5" t="s">
        <v>460</v>
      </c>
      <c r="C6326" s="21" t="n">
        <f aca="false">IF(C6271=0,1,C6321/C6271)</f>
        <v>0</v>
      </c>
    </row>
    <row r="6327" customFormat="false" ht="15" hidden="false" customHeight="false" outlineLevel="0" collapsed="false">
      <c r="A6327" s="23" t="s">
        <v>472</v>
      </c>
      <c r="B6327" s="24"/>
      <c r="C6327" s="24"/>
      <c r="D6327" s="24"/>
      <c r="E6327" s="24"/>
      <c r="F6327" s="24"/>
      <c r="G6327" s="24"/>
      <c r="H6327" s="24"/>
      <c r="I6327" s="24"/>
      <c r="J6327" s="24"/>
      <c r="K6327" s="24"/>
    </row>
    <row r="6328" customFormat="false" ht="15" hidden="false" customHeight="false" outlineLevel="0" collapsed="false">
      <c r="A6328" s="5" t="s">
        <v>457</v>
      </c>
      <c r="C6328" s="25" t="n">
        <f aca="false">C6268-C6318</f>
        <v>0</v>
      </c>
    </row>
    <row r="6329" customFormat="false" ht="15" hidden="false" customHeight="false" outlineLevel="0" collapsed="false">
      <c r="A6329" s="5" t="s">
        <v>458</v>
      </c>
      <c r="C6329" s="25" t="n">
        <f aca="false">C6269-C6319</f>
        <v>391.0764</v>
      </c>
    </row>
    <row r="6330" customFormat="false" ht="15" hidden="false" customHeight="false" outlineLevel="0" collapsed="false">
      <c r="A6330" s="5" t="s">
        <v>459</v>
      </c>
      <c r="C6330" s="25" t="n">
        <f aca="false">C6270-C6320</f>
        <v>250</v>
      </c>
    </row>
    <row r="6331" customFormat="false" ht="15" hidden="false" customHeight="false" outlineLevel="0" collapsed="false">
      <c r="A6331" s="5" t="s">
        <v>460</v>
      </c>
      <c r="C6331" s="25" t="n">
        <f aca="false">C6271-C6321</f>
        <v>300</v>
      </c>
    </row>
    <row r="6332" customFormat="false" ht="15" hidden="false" customHeight="false" outlineLevel="0" collapsed="false">
      <c r="A6332" s="23" t="s">
        <v>473</v>
      </c>
      <c r="B6332" s="24"/>
      <c r="C6332" s="24"/>
      <c r="D6332" s="24"/>
      <c r="E6332" s="24"/>
      <c r="F6332" s="24"/>
      <c r="G6332" s="24"/>
      <c r="H6332" s="24"/>
      <c r="I6332" s="24"/>
      <c r="J6332" s="24"/>
      <c r="K6332" s="24"/>
    </row>
    <row r="6333" customFormat="false" ht="15" hidden="false" customHeight="false" outlineLevel="0" collapsed="false">
      <c r="A6333" s="5" t="s">
        <v>457</v>
      </c>
      <c r="C6333" s="21" t="n">
        <f aca="false">IF(C6268=0,0,C6328/C6268)</f>
        <v>0</v>
      </c>
    </row>
    <row r="6334" customFormat="false" ht="15" hidden="false" customHeight="false" outlineLevel="0" collapsed="false">
      <c r="A6334" s="5" t="s">
        <v>458</v>
      </c>
      <c r="C6334" s="21" t="n">
        <f aca="false">IF(C6269=0,0,C6329/C6269)</f>
        <v>0.767418367346939</v>
      </c>
    </row>
    <row r="6335" customFormat="false" ht="15" hidden="false" customHeight="false" outlineLevel="0" collapsed="false">
      <c r="A6335" s="5" t="s">
        <v>459</v>
      </c>
      <c r="C6335" s="21" t="n">
        <f aca="false">IF(C6270=0,0,C6330/C6270)</f>
        <v>1</v>
      </c>
    </row>
    <row r="6336" customFormat="false" ht="15" hidden="false" customHeight="false" outlineLevel="0" collapsed="false">
      <c r="A6336" s="5" t="s">
        <v>460</v>
      </c>
      <c r="C6336" s="21" t="n">
        <f aca="false">IF(C6271=0,0,C6331/C6271)</f>
        <v>1</v>
      </c>
    </row>
    <row r="6337" customFormat="false" ht="15" hidden="false" customHeight="false" outlineLevel="0" collapsed="false">
      <c r="A6337" s="2" t="s">
        <v>474</v>
      </c>
      <c r="C6337" s="16" t="n">
        <f aca="false">MAX(0,$C$6266-SUM($C$6283:$C$6286)-SUM($C$6293:$C$6296))</f>
        <v>0</v>
      </c>
    </row>
    <row r="6338" customFormat="false" ht="15" hidden="false" customHeight="false" outlineLevel="0" collapsed="false">
      <c r="A6338" s="5" t="s">
        <v>492</v>
      </c>
      <c r="C6338" s="33" t="n">
        <f aca="false">MIN(C6265,100*CHOOSE(C6255,C6323,C6324,C6325,C6326))</f>
        <v>23.2581632653061</v>
      </c>
    </row>
    <row r="6339" customFormat="false" ht="15" hidden="false" customHeight="false" outlineLevel="0" collapsed="false">
      <c r="A6339" s="5" t="s">
        <v>493</v>
      </c>
      <c r="C6339" s="20" t="n">
        <f aca="false">IF(C6171=1,C6260+Assumptions!$C$36,C6259)</f>
        <v>3</v>
      </c>
    </row>
    <row r="6340" customFormat="false" ht="15" hidden="false" customHeight="false" outlineLevel="0" collapsed="false">
      <c r="A6340" s="23" t="s">
        <v>494</v>
      </c>
      <c r="B6340" s="24"/>
      <c r="C6340" s="24"/>
      <c r="D6340" s="24"/>
      <c r="E6340" s="24"/>
      <c r="F6340" s="24"/>
      <c r="G6340" s="24"/>
      <c r="H6340" s="24"/>
      <c r="I6340" s="24"/>
      <c r="J6340" s="24"/>
      <c r="K6340" s="24"/>
    </row>
    <row r="6341" customFormat="false" ht="15" hidden="false" customHeight="false" outlineLevel="0" collapsed="false">
      <c r="A6341" s="5" t="s">
        <v>495</v>
      </c>
      <c r="C6341" s="20" t="n">
        <f aca="false">COLUMN()-COLUMN($C$1)</f>
        <v>0</v>
      </c>
      <c r="D6341" s="20" t="n">
        <f aca="false">COLUMN()-COLUMN($C$1)</f>
        <v>1</v>
      </c>
      <c r="E6341" s="20" t="n">
        <f aca="false">COLUMN()-COLUMN($C$1)</f>
        <v>2</v>
      </c>
      <c r="F6341" s="20" t="n">
        <f aca="false">COLUMN()-COLUMN($C$1)</f>
        <v>3</v>
      </c>
      <c r="G6341" s="20" t="n">
        <f aca="false">COLUMN()-COLUMN($C$1)</f>
        <v>4</v>
      </c>
      <c r="H6341" s="20" t="n">
        <f aca="false">COLUMN()-COLUMN($C$1)</f>
        <v>5</v>
      </c>
      <c r="I6341" s="20" t="n">
        <f aca="false">COLUMN()-COLUMN($C$1)</f>
        <v>6</v>
      </c>
    </row>
    <row r="6342" customFormat="false" ht="15" hidden="false" customHeight="false" outlineLevel="0" collapsed="false">
      <c r="A6342" s="5" t="s">
        <v>496</v>
      </c>
      <c r="D6342" s="30" t="n">
        <f aca="false">CHOOSE($C$6255,G6053,G6066,G6079,G6092)</f>
        <v>0.133</v>
      </c>
      <c r="E6342" s="30" t="n">
        <f aca="false">CHOOSE($C$6255,H6053,H6066,H6079,H6092)</f>
        <v>0.1305</v>
      </c>
      <c r="F6342" s="30" t="n">
        <f aca="false">CHOOSE($C$6255,I6053,I6066,I6079,I6092)</f>
        <v>0.128</v>
      </c>
      <c r="G6342" s="30" t="n">
        <f aca="false">CHOOSE($C$6255,J6053,J6066,J6079,J6092)</f>
        <v>0.128</v>
      </c>
      <c r="H6342" s="30" t="n">
        <f aca="false">CHOOSE($C$6255,K6053,K6066,K6079,K6092)</f>
        <v>0.128</v>
      </c>
    </row>
    <row r="6343" customFormat="false" ht="15" hidden="false" customHeight="false" outlineLevel="0" collapsed="false">
      <c r="A6343" s="5" t="s">
        <v>497</v>
      </c>
      <c r="D6343" s="25" t="n">
        <f aca="false">IF(D6341&lt;=$C$6264,$C$6256*D6342,0)</f>
        <v>13.3</v>
      </c>
      <c r="E6343" s="25" t="n">
        <f aca="false">IF(E6341&lt;=$C$6264,$C$6256*E6342,0)</f>
        <v>13.05</v>
      </c>
      <c r="F6343" s="25" t="n">
        <f aca="false">IF(F6341&lt;=$C$6264,$C$6256*F6342,0)</f>
        <v>0</v>
      </c>
      <c r="G6343" s="25" t="n">
        <f aca="false">IF(G6341&lt;=$C$6264,$C$6256*G6342,0)</f>
        <v>0</v>
      </c>
      <c r="H6343" s="25" t="n">
        <f aca="false">IF(H6341&lt;=$C$6264,$C$6256*H6342,0)</f>
        <v>0</v>
      </c>
    </row>
    <row r="6344" customFormat="false" ht="15" hidden="false" customHeight="false" outlineLevel="0" collapsed="false">
      <c r="A6344" s="5" t="s">
        <v>498</v>
      </c>
      <c r="D6344" s="25" t="n">
        <f aca="false">IF(AND($C$6171=0,D6341=$C$6259),$C$6256*$C$6338/100,0)+IF(AND($C$6171=1,D6341=$C$6339),$C$6262,0)</f>
        <v>0</v>
      </c>
      <c r="E6344" s="25" t="n">
        <f aca="false">IF(AND($C$6171=0,E6341=$C$6259),$C$6256*$C$6338/100,0)+IF(AND($C$6171=1,E6341=$C$6339),$C$6262,0)</f>
        <v>0</v>
      </c>
      <c r="F6344" s="25" t="n">
        <f aca="false">IF(AND($C$6171=0,F6341=$C$6259),$C$6256*$C$6338/100,0)+IF(AND($C$6171=1,F6341=$C$6339),$C$6262,0)</f>
        <v>43.8430625588697</v>
      </c>
      <c r="G6344" s="25" t="n">
        <f aca="false">IF(AND($C$6171=0,G6341=$C$6259),$C$6256*$C$6338/100,0)+IF(AND($C$6171=1,G6341=$C$6339),$C$6262,0)</f>
        <v>0</v>
      </c>
      <c r="H6344" s="25" t="n">
        <f aca="false">IF(AND($C$6171=0,H6341=$C$6259),$C$6256*$C$6338/100,0)+IF(AND($C$6171=1,H6341=$C$6339),$C$6262,0)</f>
        <v>0</v>
      </c>
      <c r="I6344" s="25" t="n">
        <f aca="false">IF(AND($C$6171=0,I6341=$C$6259),$C$6256*$C$6338/100,0)+IF(AND($C$6171=1,I6341=$C$6339),$C$6262,0)</f>
        <v>0</v>
      </c>
    </row>
    <row r="6345" customFormat="false" ht="15" hidden="false" customHeight="false" outlineLevel="0" collapsed="false">
      <c r="A6345" s="2" t="s">
        <v>499</v>
      </c>
      <c r="C6345" s="16" t="n">
        <f aca="false">-$C$6258</f>
        <v>-78.39</v>
      </c>
      <c r="D6345" s="16" t="n">
        <f aca="false">D6343+D6344</f>
        <v>13.3</v>
      </c>
      <c r="E6345" s="16" t="n">
        <f aca="false">E6343+E6344</f>
        <v>13.05</v>
      </c>
      <c r="F6345" s="16" t="n">
        <f aca="false">F6343+F6344</f>
        <v>43.8430625588697</v>
      </c>
      <c r="G6345" s="16" t="n">
        <f aca="false">G6343+G6344</f>
        <v>0</v>
      </c>
      <c r="H6345" s="16" t="n">
        <f aca="false">H6343+H6344</f>
        <v>0</v>
      </c>
      <c r="I6345" s="16" t="n">
        <f aca="false">I6343+I6344</f>
        <v>0</v>
      </c>
    </row>
    <row r="6346" customFormat="false" ht="15" hidden="false" customHeight="false" outlineLevel="0" collapsed="false">
      <c r="A6346" s="5" t="s">
        <v>500</v>
      </c>
      <c r="C6346" s="25" t="n">
        <f aca="false">SUM($C$6343:$I$6343)</f>
        <v>26.35</v>
      </c>
    </row>
    <row r="6347" customFormat="false" ht="15" hidden="false" customHeight="false" outlineLevel="0" collapsed="false">
      <c r="A6347" s="5" t="s">
        <v>501</v>
      </c>
      <c r="C6347" s="25" t="n">
        <f aca="false">SUM($C$6344:$I$6344)</f>
        <v>43.8430625588697</v>
      </c>
    </row>
    <row r="6348" customFormat="false" ht="15" hidden="false" customHeight="false" outlineLevel="0" collapsed="false">
      <c r="A6348" s="5" t="s">
        <v>502</v>
      </c>
      <c r="C6348" s="25" t="n">
        <f aca="false">C6346+C6347</f>
        <v>70.1930625588697</v>
      </c>
    </row>
    <row r="6349" customFormat="false" ht="15" hidden="false" customHeight="false" outlineLevel="0" collapsed="false">
      <c r="A6349" s="5" t="s">
        <v>503</v>
      </c>
      <c r="C6349" s="25" t="n">
        <f aca="false">C6347-C6256*C6257/100</f>
        <v>-34.1569374411303</v>
      </c>
    </row>
    <row r="6350" customFormat="false" ht="15" hidden="false" customHeight="false" outlineLevel="0" collapsed="false">
      <c r="A6350" s="5" t="s">
        <v>504</v>
      </c>
      <c r="C6350" s="25" t="n">
        <f aca="false">C6348-C6258</f>
        <v>-8.19693744113027</v>
      </c>
    </row>
    <row r="6351" customFormat="false" ht="15" hidden="false" customHeight="false" outlineLevel="0" collapsed="false">
      <c r="A6351" s="2" t="s">
        <v>385</v>
      </c>
      <c r="C6351" s="43" t="n">
        <f aca="false">C6348/C6258</f>
        <v>0.895433889002038</v>
      </c>
    </row>
    <row r="6352" customFormat="false" ht="15" hidden="false" customHeight="false" outlineLevel="0" collapsed="false">
      <c r="A6352" s="2" t="s">
        <v>384</v>
      </c>
      <c r="C6352" s="41" t="n">
        <f aca="false">IF(C6348&lt;=0,-1,IFERROR(IRR($C$6345:$I$6345,MAX(-0.9,C6351^(1/C6339)-1)),IRR($C$6345:$I$6345,0.1)))</f>
        <v>-0.044095902878016</v>
      </c>
    </row>
    <row r="6353" customFormat="false" ht="15" hidden="false" customHeight="false" outlineLevel="0" collapsed="false">
      <c r="A6353" s="5" t="s">
        <v>505</v>
      </c>
      <c r="C6353" s="31" t="n">
        <f aca="false">MAX($G$6147:$K$6147)</f>
        <v>20.2691654271189</v>
      </c>
    </row>
    <row r="6354" customFormat="false" ht="15" hidden="false" customHeight="false" outlineLevel="0" collapsed="false">
      <c r="A6354" s="5" t="s">
        <v>506</v>
      </c>
      <c r="C6354" s="31" t="n">
        <f aca="false">MIN($G$6148:$K$6148)</f>
        <v>0.579175680488074</v>
      </c>
    </row>
    <row r="6355" customFormat="false" ht="15" hidden="false" customHeight="false" outlineLevel="0" collapsed="false">
      <c r="A6355" s="5" t="s">
        <v>507</v>
      </c>
      <c r="C6355" s="25" t="n">
        <f aca="false">SUM($G$6037:$K$6037)</f>
        <v>-342.371100795686</v>
      </c>
    </row>
    <row r="6359" customFormat="false" ht="15" hidden="false" customHeight="false" outlineLevel="0" collapsed="false">
      <c r="A6359" s="9" t="s">
        <v>644</v>
      </c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</row>
    <row r="6360" customFormat="false" ht="15" hidden="false" customHeight="false" outlineLevel="0" collapsed="false">
      <c r="A6360" s="5" t="s">
        <v>622</v>
      </c>
      <c r="C6360" s="11" t="n">
        <v>1</v>
      </c>
    </row>
    <row r="6361" customFormat="false" ht="15" hidden="false" customHeight="false" outlineLevel="0" collapsed="false">
      <c r="A6361" s="5" t="s">
        <v>623</v>
      </c>
      <c r="C6361" s="29" t="n">
        <f aca="false">Sensitivities!$A$40</f>
        <v>-0.1</v>
      </c>
    </row>
    <row r="6362" customFormat="false" ht="15" hidden="false" customHeight="false" outlineLevel="0" collapsed="false">
      <c r="A6362" s="5" t="s">
        <v>624</v>
      </c>
      <c r="C6362" s="18" t="n">
        <v>0</v>
      </c>
    </row>
    <row r="6363" customFormat="false" ht="15" hidden="false" customHeight="false" outlineLevel="0" collapsed="false">
      <c r="A6363" s="5" t="s">
        <v>625</v>
      </c>
      <c r="C6363" s="18" t="n">
        <v>0</v>
      </c>
    </row>
    <row r="6364" customFormat="false" ht="15" hidden="false" customHeight="false" outlineLevel="0" collapsed="false">
      <c r="A6364" s="5" t="s">
        <v>626</v>
      </c>
      <c r="C6364" s="15" t="n">
        <v>0</v>
      </c>
    </row>
    <row r="6366" customFormat="false" ht="15" hidden="false" customHeight="false" outlineLevel="0" collapsed="false">
      <c r="A6366" s="23" t="s">
        <v>237</v>
      </c>
      <c r="B6366" s="24"/>
      <c r="C6366" s="24"/>
      <c r="D6366" s="24"/>
      <c r="E6366" s="24"/>
      <c r="F6366" s="24"/>
      <c r="G6366" s="24"/>
      <c r="H6366" s="24"/>
      <c r="I6366" s="24"/>
      <c r="J6366" s="24"/>
      <c r="K6366" s="24"/>
    </row>
    <row r="6367" customFormat="false" ht="15" hidden="false" customHeight="false" outlineLevel="0" collapsed="false">
      <c r="A6367" s="5" t="s">
        <v>238</v>
      </c>
      <c r="F6367" s="26" t="n">
        <f aca="false">Assumptions!$C$6</f>
        <v>2025</v>
      </c>
      <c r="G6367" s="20" t="n">
        <f aca="false">F6367+1</f>
        <v>2026</v>
      </c>
      <c r="H6367" s="20" t="n">
        <f aca="false">G6367+1</f>
        <v>2027</v>
      </c>
      <c r="I6367" s="20" t="n">
        <f aca="false">H6367+1</f>
        <v>2028</v>
      </c>
      <c r="J6367" s="20" t="n">
        <f aca="false">I6367+1</f>
        <v>2029</v>
      </c>
      <c r="K6367" s="20" t="n">
        <f aca="false">J6367+1</f>
        <v>2030</v>
      </c>
    </row>
    <row r="6368" customFormat="false" ht="15" hidden="false" customHeight="false" outlineLevel="0" collapsed="false">
      <c r="A6368" s="5" t="s">
        <v>239</v>
      </c>
      <c r="G6368" s="20" t="n">
        <f aca="false">G6367-Assumptions!$C$6</f>
        <v>1</v>
      </c>
      <c r="H6368" s="20" t="n">
        <f aca="false">H6367-Assumptions!$C$6</f>
        <v>2</v>
      </c>
      <c r="I6368" s="20" t="n">
        <f aca="false">I6367-Assumptions!$C$6</f>
        <v>3</v>
      </c>
      <c r="J6368" s="20" t="n">
        <f aca="false">J6367-Assumptions!$C$6</f>
        <v>4</v>
      </c>
      <c r="K6368" s="20" t="n">
        <f aca="false">K6367-Assumptions!$C$6</f>
        <v>5</v>
      </c>
    </row>
    <row r="6369" customFormat="false" ht="15" hidden="false" customHeight="false" outlineLevel="0" collapsed="false">
      <c r="A6369" s="5" t="s">
        <v>149</v>
      </c>
      <c r="G6369" s="21" t="n">
        <f aca="false">CHOOSE($C$6360,Assumptions!$G$65,Assumptions!$G$84,Assumptions!$G$103)+$C$6361</f>
        <v>-0.11</v>
      </c>
      <c r="H6369" s="21" t="n">
        <f aca="false">CHOOSE($C$6360,Assumptions!$H$65,Assumptions!$H$84,Assumptions!$H$103)+$C$6361</f>
        <v>-0.11</v>
      </c>
      <c r="I6369" s="21" t="n">
        <f aca="false">CHOOSE($C$6360,Assumptions!$I$65,Assumptions!$I$84,Assumptions!$I$103)+$C$6361</f>
        <v>-0.11</v>
      </c>
      <c r="J6369" s="21" t="n">
        <f aca="false">CHOOSE($C$6360,Assumptions!$J$65,Assumptions!$J$84,Assumptions!$J$103)+$C$6361</f>
        <v>-0.11</v>
      </c>
      <c r="K6369" s="21" t="n">
        <f aca="false">CHOOSE($C$6360,Assumptions!$K$65,Assumptions!$K$84,Assumptions!$K$103)+$C$6361</f>
        <v>-0.11</v>
      </c>
    </row>
    <row r="6370" customFormat="false" ht="15" hidden="false" customHeight="false" outlineLevel="0" collapsed="false">
      <c r="A6370" s="5" t="s">
        <v>150</v>
      </c>
      <c r="G6370" s="21" t="n">
        <f aca="false">CHOOSE($C$6360,Assumptions!$G$66,Assumptions!$G$85,Assumptions!$G$104)</f>
        <v>0.36</v>
      </c>
      <c r="H6370" s="21" t="n">
        <f aca="false">CHOOSE($C$6360,Assumptions!$H$66,Assumptions!$H$85,Assumptions!$H$104)</f>
        <v>0.362</v>
      </c>
      <c r="I6370" s="21" t="n">
        <f aca="false">CHOOSE($C$6360,Assumptions!$I$66,Assumptions!$I$85,Assumptions!$I$104)</f>
        <v>0.364</v>
      </c>
      <c r="J6370" s="21" t="n">
        <f aca="false">CHOOSE($C$6360,Assumptions!$J$66,Assumptions!$J$85,Assumptions!$J$104)</f>
        <v>0.366</v>
      </c>
      <c r="K6370" s="21" t="n">
        <f aca="false">CHOOSE($C$6360,Assumptions!$K$66,Assumptions!$K$85,Assumptions!$K$104)</f>
        <v>0.368</v>
      </c>
    </row>
    <row r="6371" customFormat="false" ht="15" hidden="false" customHeight="false" outlineLevel="0" collapsed="false">
      <c r="A6371" s="5" t="s">
        <v>151</v>
      </c>
      <c r="G6371" s="21" t="n">
        <f aca="false">CHOOSE($C$6360,Assumptions!$G$67,Assumptions!$G$86,Assumptions!$G$105)+$C$6362</f>
        <v>0.065</v>
      </c>
      <c r="H6371" s="21" t="n">
        <f aca="false">CHOOSE($C$6360,Assumptions!$H$67,Assumptions!$H$86,Assumptions!$H$105)+$C$6362</f>
        <v>0.067</v>
      </c>
      <c r="I6371" s="21" t="n">
        <f aca="false">CHOOSE($C$6360,Assumptions!$I$67,Assumptions!$I$86,Assumptions!$I$105)+$C$6362</f>
        <v>0.069</v>
      </c>
      <c r="J6371" s="21" t="n">
        <f aca="false">CHOOSE($C$6360,Assumptions!$J$67,Assumptions!$J$86,Assumptions!$J$105)+$C$6362</f>
        <v>0.071</v>
      </c>
      <c r="K6371" s="21" t="n">
        <f aca="false">CHOOSE($C$6360,Assumptions!$K$67,Assumptions!$K$86,Assumptions!$K$105)+$C$6362</f>
        <v>0.073</v>
      </c>
    </row>
    <row r="6372" customFormat="false" ht="15" hidden="false" customHeight="false" outlineLevel="0" collapsed="false">
      <c r="A6372" s="23" t="s">
        <v>240</v>
      </c>
      <c r="B6372" s="24"/>
      <c r="C6372" s="24"/>
      <c r="D6372" s="24"/>
      <c r="E6372" s="24"/>
      <c r="F6372" s="24"/>
      <c r="G6372" s="24"/>
      <c r="H6372" s="24"/>
      <c r="I6372" s="24"/>
      <c r="J6372" s="24"/>
      <c r="K6372" s="24"/>
    </row>
    <row r="6373" customFormat="false" ht="15" hidden="false" customHeight="false" outlineLevel="0" collapsed="false">
      <c r="A6373" s="2" t="s">
        <v>207</v>
      </c>
      <c r="F6373" s="27" t="n">
        <f aca="false">'Historical Financials'!E17</f>
        <v>2400</v>
      </c>
      <c r="G6373" s="16" t="n">
        <f aca="false">F6373*(1+G6369)</f>
        <v>2136</v>
      </c>
      <c r="H6373" s="16" t="n">
        <f aca="false">G6373*(1+H6369)</f>
        <v>1901.04</v>
      </c>
      <c r="I6373" s="16" t="n">
        <f aca="false">H6373*(1+I6369)</f>
        <v>1691.9256</v>
      </c>
      <c r="J6373" s="16" t="n">
        <f aca="false">I6373*(1+J6369)</f>
        <v>1505.813784</v>
      </c>
      <c r="K6373" s="16" t="n">
        <f aca="false">J6373*(1+K6369)</f>
        <v>1340.17426776</v>
      </c>
    </row>
    <row r="6374" customFormat="false" ht="15" hidden="false" customHeight="false" outlineLevel="0" collapsed="false">
      <c r="A6374" s="5" t="s">
        <v>217</v>
      </c>
      <c r="G6374" s="25" t="n">
        <f aca="false">G6373*(1-G6370)</f>
        <v>1367.04</v>
      </c>
      <c r="H6374" s="25" t="n">
        <f aca="false">H6373*(1-H6370)</f>
        <v>1212.86352</v>
      </c>
      <c r="I6374" s="25" t="n">
        <f aca="false">I6373*(1-I6370)</f>
        <v>1076.0646816</v>
      </c>
      <c r="J6374" s="25" t="n">
        <f aca="false">J6373*(1-J6370)</f>
        <v>954.685939056</v>
      </c>
      <c r="K6374" s="25" t="n">
        <f aca="false">K6373*(1-K6370)</f>
        <v>846.99013722432</v>
      </c>
    </row>
    <row r="6375" customFormat="false" ht="15" hidden="false" customHeight="false" outlineLevel="0" collapsed="false">
      <c r="A6375" s="2" t="s">
        <v>218</v>
      </c>
      <c r="G6375" s="16" t="n">
        <f aca="false">G6373-G6374</f>
        <v>768.96</v>
      </c>
      <c r="H6375" s="16" t="n">
        <f aca="false">H6373-H6374</f>
        <v>688.17648</v>
      </c>
      <c r="I6375" s="16" t="n">
        <f aca="false">I6373-I6374</f>
        <v>615.8609184</v>
      </c>
      <c r="J6375" s="16" t="n">
        <f aca="false">J6373-J6374</f>
        <v>551.127844944</v>
      </c>
      <c r="K6375" s="16" t="n">
        <f aca="false">K6373-K6374</f>
        <v>493.18413053568</v>
      </c>
    </row>
    <row r="6376" customFormat="false" ht="15" hidden="false" customHeight="false" outlineLevel="0" collapsed="false">
      <c r="A6376" s="5" t="s">
        <v>241</v>
      </c>
      <c r="G6376" s="25" t="n">
        <f aca="false">G6375-G6377</f>
        <v>630.12</v>
      </c>
      <c r="H6376" s="25" t="n">
        <f aca="false">H6375-H6377</f>
        <v>560.8068</v>
      </c>
      <c r="I6376" s="25" t="n">
        <f aca="false">I6375-I6377</f>
        <v>499.118052</v>
      </c>
      <c r="J6376" s="25" t="n">
        <f aca="false">J6375-J6377</f>
        <v>444.21506628</v>
      </c>
      <c r="K6376" s="25" t="n">
        <f aca="false">K6375-K6377</f>
        <v>395.3514089892</v>
      </c>
    </row>
    <row r="6377" customFormat="false" ht="15" hidden="false" customHeight="false" outlineLevel="0" collapsed="false">
      <c r="A6377" s="2" t="s">
        <v>242</v>
      </c>
      <c r="G6377" s="16" t="n">
        <f aca="false">G6373*G6371</f>
        <v>138.84</v>
      </c>
      <c r="H6377" s="16" t="n">
        <f aca="false">H6373*H6371</f>
        <v>127.36968</v>
      </c>
      <c r="I6377" s="16" t="n">
        <f aca="false">I6373*I6371</f>
        <v>116.7428664</v>
      </c>
      <c r="J6377" s="16" t="n">
        <f aca="false">J6373*J6371</f>
        <v>106.912778664</v>
      </c>
      <c r="K6377" s="16" t="n">
        <f aca="false">K6373*K6371</f>
        <v>97.83272154648</v>
      </c>
    </row>
    <row r="6378" customFormat="false" ht="15" hidden="false" customHeight="false" outlineLevel="0" collapsed="false">
      <c r="A6378" s="5" t="s">
        <v>243</v>
      </c>
      <c r="G6378" s="25" t="n">
        <f aca="false">G6373*'Historical Financials'!E22/'Historical Financials'!E17</f>
        <v>46.992</v>
      </c>
      <c r="H6378" s="25" t="n">
        <f aca="false">H6373*'Historical Financials'!E22/'Historical Financials'!E17</f>
        <v>41.82288</v>
      </c>
      <c r="I6378" s="25" t="n">
        <f aca="false">I6373*'Historical Financials'!E22/'Historical Financials'!E17</f>
        <v>37.2223632</v>
      </c>
      <c r="J6378" s="25" t="n">
        <f aca="false">J6373*'Historical Financials'!E22/'Historical Financials'!E17</f>
        <v>33.127903248</v>
      </c>
      <c r="K6378" s="25" t="n">
        <f aca="false">K6373*'Historical Financials'!E22/'Historical Financials'!E17</f>
        <v>29.48383389072</v>
      </c>
    </row>
    <row r="6379" customFormat="false" ht="15" hidden="false" customHeight="false" outlineLevel="0" collapsed="false">
      <c r="A6379" s="5" t="s">
        <v>244</v>
      </c>
      <c r="G6379" s="25" t="n">
        <f aca="false">G6373*'Historical Financials'!E23/'Historical Financials'!E17</f>
        <v>0</v>
      </c>
      <c r="H6379" s="25" t="n">
        <f aca="false">H6373*'Historical Financials'!E23/'Historical Financials'!E17</f>
        <v>0</v>
      </c>
      <c r="I6379" s="25" t="n">
        <f aca="false">I6373*'Historical Financials'!E23/'Historical Financials'!E17</f>
        <v>0</v>
      </c>
      <c r="J6379" s="25" t="n">
        <f aca="false">J6373*'Historical Financials'!E23/'Historical Financials'!E17</f>
        <v>0</v>
      </c>
      <c r="K6379" s="25" t="n">
        <f aca="false">K6373*'Historical Financials'!E23/'Historical Financials'!E17</f>
        <v>0</v>
      </c>
    </row>
    <row r="6380" customFormat="false" ht="15" hidden="false" customHeight="false" outlineLevel="0" collapsed="false">
      <c r="A6380" s="2" t="s">
        <v>245</v>
      </c>
      <c r="G6380" s="16" t="n">
        <f aca="false">G6377-G6378-G6379</f>
        <v>91.848</v>
      </c>
      <c r="H6380" s="16" t="n">
        <f aca="false">H6377-H6378-H6379</f>
        <v>85.5468</v>
      </c>
      <c r="I6380" s="16" t="n">
        <f aca="false">I6377-I6378-I6379</f>
        <v>79.5205032</v>
      </c>
      <c r="J6380" s="16" t="n">
        <f aca="false">J6377-J6378-J6379</f>
        <v>73.784875416</v>
      </c>
      <c r="K6380" s="16" t="n">
        <f aca="false">K6377-K6378-K6379</f>
        <v>68.34888765576</v>
      </c>
    </row>
    <row r="6381" customFormat="false" ht="15" hidden="false" customHeight="false" outlineLevel="0" collapsed="false">
      <c r="A6381" s="5" t="s">
        <v>246</v>
      </c>
      <c r="G6381" s="25" t="n">
        <f aca="false">G6407+G6420+G6433+G6446</f>
        <v>119.04</v>
      </c>
      <c r="H6381" s="25" t="n">
        <f aca="false">H6407+H6420+H6433+H6446</f>
        <v>112.71264</v>
      </c>
      <c r="I6381" s="25" t="n">
        <f aca="false">I6407+I6420+I6433+I6446</f>
        <v>110.58744</v>
      </c>
      <c r="J6381" s="25" t="n">
        <f aca="false">J6407+J6420+J6433+J6446</f>
        <v>110.07784</v>
      </c>
      <c r="K6381" s="25" t="n">
        <f aca="false">K6407+K6420+K6433+K6446</f>
        <v>109.56824</v>
      </c>
    </row>
    <row r="6382" customFormat="false" ht="15" hidden="false" customHeight="false" outlineLevel="0" collapsed="false">
      <c r="A6382" s="5" t="s">
        <v>247</v>
      </c>
      <c r="G6382" s="25" t="n">
        <f aca="false">G6408+G6421+G6434+G6447</f>
        <v>0</v>
      </c>
      <c r="H6382" s="25" t="n">
        <f aca="false">H6408+H6421+H6434+H6447</f>
        <v>0</v>
      </c>
      <c r="I6382" s="25" t="n">
        <f aca="false">I6408+I6421+I6434+I6447</f>
        <v>0</v>
      </c>
      <c r="J6382" s="25" t="n">
        <f aca="false">J6408+J6421+J6434+J6447</f>
        <v>0</v>
      </c>
      <c r="K6382" s="25" t="n">
        <f aca="false">K6408+K6421+K6434+K6447</f>
        <v>0</v>
      </c>
    </row>
    <row r="6383" customFormat="false" ht="15" hidden="false" customHeight="false" outlineLevel="0" collapsed="false">
      <c r="A6383" s="5" t="s">
        <v>212</v>
      </c>
      <c r="G6383" s="25" t="n">
        <f aca="false">G6381+G6382</f>
        <v>119.04</v>
      </c>
      <c r="H6383" s="25" t="n">
        <f aca="false">H6381+H6382</f>
        <v>112.71264</v>
      </c>
      <c r="I6383" s="25" t="n">
        <f aca="false">I6381+I6382</f>
        <v>110.58744</v>
      </c>
      <c r="J6383" s="25" t="n">
        <f aca="false">J6381+J6382</f>
        <v>110.07784</v>
      </c>
      <c r="K6383" s="25" t="n">
        <f aca="false">K6381+K6382</f>
        <v>109.56824</v>
      </c>
    </row>
    <row r="6384" customFormat="false" ht="15" hidden="false" customHeight="false" outlineLevel="0" collapsed="false">
      <c r="A6384" s="2" t="s">
        <v>223</v>
      </c>
      <c r="G6384" s="16" t="n">
        <f aca="false">G6380-G6383</f>
        <v>-27.192</v>
      </c>
      <c r="H6384" s="16" t="n">
        <f aca="false">H6380-H6383</f>
        <v>-27.16584</v>
      </c>
      <c r="I6384" s="16" t="n">
        <f aca="false">I6380-I6383</f>
        <v>-31.0669368</v>
      </c>
      <c r="J6384" s="16" t="n">
        <f aca="false">J6380-J6383</f>
        <v>-36.292964584</v>
      </c>
      <c r="K6384" s="16" t="n">
        <f aca="false">K6380-K6383</f>
        <v>-41.21935234424</v>
      </c>
    </row>
    <row r="6385" customFormat="false" ht="15" hidden="false" customHeight="false" outlineLevel="0" collapsed="false">
      <c r="A6385" s="5" t="s">
        <v>213</v>
      </c>
      <c r="G6385" s="25" t="n">
        <f aca="false">MAX(0,G6384)*Assumptions!$C$9</f>
        <v>0</v>
      </c>
      <c r="H6385" s="25" t="n">
        <f aca="false">MAX(0,H6384)*Assumptions!$C$9</f>
        <v>0</v>
      </c>
      <c r="I6385" s="25" t="n">
        <f aca="false">MAX(0,I6384)*Assumptions!$C$9</f>
        <v>0</v>
      </c>
      <c r="J6385" s="25" t="n">
        <f aca="false">MAX(0,J6384)*Assumptions!$C$9</f>
        <v>0</v>
      </c>
      <c r="K6385" s="25" t="n">
        <f aca="false">MAX(0,K6384)*Assumptions!$C$9</f>
        <v>0</v>
      </c>
    </row>
    <row r="6386" customFormat="false" ht="15" hidden="false" customHeight="false" outlineLevel="0" collapsed="false">
      <c r="A6386" s="2" t="s">
        <v>248</v>
      </c>
      <c r="G6386" s="16" t="n">
        <f aca="false">G6384-G6385</f>
        <v>-27.192</v>
      </c>
      <c r="H6386" s="16" t="n">
        <f aca="false">H6384-H6385</f>
        <v>-27.16584</v>
      </c>
      <c r="I6386" s="16" t="n">
        <f aca="false">I6384-I6385</f>
        <v>-31.0669368</v>
      </c>
      <c r="J6386" s="16" t="n">
        <f aca="false">J6384-J6385</f>
        <v>-36.292964584</v>
      </c>
      <c r="K6386" s="16" t="n">
        <f aca="false">K6384-K6385</f>
        <v>-41.21935234424</v>
      </c>
    </row>
    <row r="6387" customFormat="false" ht="15" hidden="false" customHeight="false" outlineLevel="0" collapsed="false">
      <c r="A6387" s="23" t="s">
        <v>249</v>
      </c>
      <c r="B6387" s="24"/>
      <c r="C6387" s="24"/>
      <c r="D6387" s="24"/>
      <c r="E6387" s="24"/>
      <c r="F6387" s="24"/>
      <c r="G6387" s="24"/>
      <c r="H6387" s="24"/>
      <c r="I6387" s="24"/>
      <c r="J6387" s="24"/>
      <c r="K6387" s="24"/>
    </row>
    <row r="6388" customFormat="false" ht="15" hidden="false" customHeight="false" outlineLevel="0" collapsed="false">
      <c r="A6388" s="5" t="s">
        <v>153</v>
      </c>
      <c r="G6388" s="25" t="n">
        <f aca="false">G6373*CHOOSE($C$6360,Assumptions!$C$69,Assumptions!$C$88,Assumptions!$C$107)</f>
        <v>42.72</v>
      </c>
      <c r="H6388" s="25" t="n">
        <f aca="false">H6373*CHOOSE($C$6360,Assumptions!$C$69,Assumptions!$C$88,Assumptions!$C$107)</f>
        <v>38.0208</v>
      </c>
      <c r="I6388" s="25" t="n">
        <f aca="false">I6373*CHOOSE($C$6360,Assumptions!$C$69,Assumptions!$C$88,Assumptions!$C$107)</f>
        <v>33.838512</v>
      </c>
      <c r="J6388" s="25" t="n">
        <f aca="false">J6373*CHOOSE($C$6360,Assumptions!$C$69,Assumptions!$C$88,Assumptions!$C$107)</f>
        <v>30.11627568</v>
      </c>
      <c r="K6388" s="25" t="n">
        <f aca="false">K6373*CHOOSE($C$6360,Assumptions!$C$69,Assumptions!$C$88,Assumptions!$C$107)</f>
        <v>26.8034853552</v>
      </c>
    </row>
    <row r="6389" customFormat="false" ht="15" hidden="false" customHeight="false" outlineLevel="0" collapsed="false">
      <c r="A6389" s="5" t="s">
        <v>250</v>
      </c>
      <c r="G6389" s="25" t="n">
        <f aca="false">CHOOSE($C$6360,Assumptions!$C$70,Assumptions!$C$89,Assumptions!$C$108)*(G6373-F6373)+CHOOSE($C$6360,Assumptions!$C$71,Assumptions!$C$90,Assumptions!$C$109)*G6373</f>
        <v>-31.68</v>
      </c>
      <c r="H6389" s="25" t="n">
        <f aca="false">CHOOSE($C$6360,Assumptions!$C$70,Assumptions!$C$89,Assumptions!$C$108)*(H6373-G6373)+CHOOSE($C$6360,Assumptions!$C$71,Assumptions!$C$90,Assumptions!$C$109)*H6373</f>
        <v>-28.1952</v>
      </c>
      <c r="I6389" s="25" t="n">
        <f aca="false">CHOOSE($C$6360,Assumptions!$C$70,Assumptions!$C$89,Assumptions!$C$108)*(I6373-H6373)+CHOOSE($C$6360,Assumptions!$C$71,Assumptions!$C$90,Assumptions!$C$109)*I6373</f>
        <v>-25.093728</v>
      </c>
      <c r="J6389" s="25" t="n">
        <f aca="false">CHOOSE($C$6360,Assumptions!$C$70,Assumptions!$C$89,Assumptions!$C$108)*(J6373-I6373)+CHOOSE($C$6360,Assumptions!$C$71,Assumptions!$C$90,Assumptions!$C$109)*J6373</f>
        <v>-22.33341792</v>
      </c>
      <c r="K6389" s="25" t="n">
        <f aca="false">CHOOSE($C$6360,Assumptions!$C$70,Assumptions!$C$89,Assumptions!$C$108)*(K6373-J6373)+CHOOSE($C$6360,Assumptions!$C$71,Assumptions!$C$90,Assumptions!$C$109)*K6373</f>
        <v>-19.8767419488</v>
      </c>
    </row>
    <row r="6390" customFormat="false" ht="15" hidden="false" customHeight="false" outlineLevel="0" collapsed="false">
      <c r="A6390" s="2" t="s">
        <v>251</v>
      </c>
      <c r="G6390" s="16" t="n">
        <f aca="false">G6386+G6378+G6379+G6382-G6388-G6389</f>
        <v>8.76000000000001</v>
      </c>
      <c r="H6390" s="16" t="n">
        <f aca="false">H6386+H6378+H6379+H6382-H6388-H6389</f>
        <v>4.83144000000001</v>
      </c>
      <c r="I6390" s="16" t="n">
        <f aca="false">I6386+I6378+I6379+I6382-I6388-I6389</f>
        <v>-2.58935759999999</v>
      </c>
      <c r="J6390" s="16" t="n">
        <f aca="false">J6386+J6378+J6379+J6382-J6388-J6389</f>
        <v>-10.947919096</v>
      </c>
      <c r="K6390" s="16" t="n">
        <f aca="false">K6386+K6378+K6379+K6382-K6388-K6389</f>
        <v>-18.66226185992</v>
      </c>
    </row>
    <row r="6392" customFormat="false" ht="15" hidden="false" customHeight="false" outlineLevel="0" collapsed="false">
      <c r="A6392" s="23" t="s">
        <v>253</v>
      </c>
      <c r="B6392" s="24"/>
      <c r="C6392" s="24"/>
      <c r="D6392" s="24"/>
      <c r="E6392" s="24"/>
      <c r="F6392" s="24"/>
      <c r="G6392" s="24"/>
      <c r="H6392" s="24"/>
      <c r="I6392" s="24"/>
      <c r="J6392" s="24"/>
      <c r="K6392" s="24"/>
    </row>
    <row r="6393" customFormat="false" ht="15" hidden="false" customHeight="false" outlineLevel="0" collapsed="false">
      <c r="A6393" s="5" t="s">
        <v>254</v>
      </c>
      <c r="G6393" s="29" t="n">
        <f aca="false">Assumptions!$G$49</f>
        <v>0.0425</v>
      </c>
      <c r="H6393" s="29" t="n">
        <f aca="false">Assumptions!$H$49</f>
        <v>0.04</v>
      </c>
      <c r="I6393" s="29" t="n">
        <f aca="false">Assumptions!$I$49</f>
        <v>0.0375</v>
      </c>
      <c r="J6393" s="29" t="n">
        <f aca="false">Assumptions!$J$49</f>
        <v>0.0375</v>
      </c>
      <c r="K6393" s="29" t="n">
        <f aca="false">Assumptions!$K$49</f>
        <v>0.0375</v>
      </c>
    </row>
    <row r="6394" customFormat="false" ht="15" hidden="false" customHeight="false" outlineLevel="0" collapsed="false">
      <c r="A6394" s="5" t="s">
        <v>255</v>
      </c>
      <c r="C6394" s="30" t="n">
        <f aca="false">CHOOSE($C$6360,Assumptions!$C$72,Assumptions!$C$91,Assumptions!$C$110)+$C$6363</f>
        <v>0</v>
      </c>
    </row>
    <row r="6395" customFormat="false" ht="15" hidden="false" customHeight="false" outlineLevel="0" collapsed="false">
      <c r="A6395" s="5" t="s">
        <v>256</v>
      </c>
      <c r="C6395" s="30" t="n">
        <f aca="false">CHOOSE($C$6360,Assumptions!$C$73,Assumptions!$C$92,Assumptions!$C$111)</f>
        <v>0.11</v>
      </c>
    </row>
    <row r="6396" customFormat="false" ht="15" hidden="false" customHeight="false" outlineLevel="0" collapsed="false">
      <c r="A6396" s="5" t="s">
        <v>257</v>
      </c>
      <c r="C6396" s="31" t="n">
        <f aca="false">CHOOSE($C$6360,Assumptions!$C$74,Assumptions!$C$93,Assumptions!$C$112)</f>
        <v>8.5</v>
      </c>
    </row>
    <row r="6397" customFormat="false" ht="15" hidden="false" customHeight="false" outlineLevel="0" collapsed="false">
      <c r="A6397" s="5" t="s">
        <v>258</v>
      </c>
      <c r="C6397" s="31" t="n">
        <f aca="false">CHOOSE($C$6360,Assumptions!$C$75,Assumptions!$C$94,Assumptions!$C$113)</f>
        <v>1.2</v>
      </c>
    </row>
    <row r="6398" customFormat="false" ht="15" hidden="false" customHeight="false" outlineLevel="0" collapsed="false">
      <c r="A6398" s="5" t="s">
        <v>259</v>
      </c>
      <c r="G6398" s="25" t="n">
        <f aca="false">G6403+G6416+G6429+G6442</f>
        <v>1250</v>
      </c>
      <c r="H6398" s="25" t="n">
        <f aca="false">H6403+H6416+H6429+H6442</f>
        <v>1196.24</v>
      </c>
      <c r="I6398" s="25" t="n">
        <f aca="false">I6403+I6416+I6429+I6442</f>
        <v>1191.04</v>
      </c>
      <c r="J6398" s="25" t="n">
        <f aca="false">J6403+J6416+J6429+J6442</f>
        <v>1185.84</v>
      </c>
      <c r="K6398" s="25" t="n">
        <f aca="false">K6403+K6416+K6429+K6442</f>
        <v>1180.64</v>
      </c>
    </row>
    <row r="6399" customFormat="false" ht="15" hidden="false" customHeight="false" outlineLevel="0" collapsed="false">
      <c r="A6399" s="5" t="s">
        <v>260</v>
      </c>
      <c r="G6399" s="25" t="n">
        <f aca="false">F6489</f>
        <v>45</v>
      </c>
      <c r="H6399" s="25" t="n">
        <f aca="false">G6489</f>
        <v>0</v>
      </c>
      <c r="I6399" s="25" t="n">
        <f aca="false">H6489</f>
        <v>-0.368559999999989</v>
      </c>
      <c r="J6399" s="25" t="n">
        <f aca="false">I6489</f>
        <v>-8.15791759999998</v>
      </c>
      <c r="K6399" s="25" t="n">
        <f aca="false">J6489</f>
        <v>-24.305836696</v>
      </c>
    </row>
    <row r="6400" customFormat="false" ht="15" hidden="false" customHeight="false" outlineLevel="0" collapsed="false">
      <c r="A6400" s="5" t="s">
        <v>261</v>
      </c>
      <c r="G6400" s="25" t="n">
        <f aca="false">G6403*IF(G6404=1,$C$6395,IF(Assumptions!$I$53=1,MAX(G6393,Assumptions!$G$53)+Assumptions!$F$53+$C$6394,Assumptions!$E$53))+G6416*IF(G6417=1,$C$6395,IF(Assumptions!$I$54=1,MAX(G6393,Assumptions!$G$54)+Assumptions!$F$54+$C$6394,Assumptions!$E$54))+G6429*IF(G6430=1,$C$6395,IF(Assumptions!$I$55=1,MAX(G6393,Assumptions!$G$55)+Assumptions!$F$55+$C$6394,Assumptions!$E$55))+G6442*IF(G6443=1,$C$6395,IF(Assumptions!$I$56=1,MAX(G6393,Assumptions!$G$56)+Assumptions!$F$56+$C$6394,Assumptions!$E$56))</f>
        <v>119.04</v>
      </c>
      <c r="H6400" s="25" t="n">
        <f aca="false">H6403*IF(OR(H6404=1,G6555=1),$C$6395,IF(Assumptions!$I$53=1,MAX(H6393,Assumptions!$G$53)+Assumptions!$F$53+$C$6394,Assumptions!$E$53))+H6416*IF(OR(H6417=1,G6556=1),$C$6395,IF(Assumptions!$I$54=1,MAX(H6393,Assumptions!$G$54)+Assumptions!$F$54+$C$6394,Assumptions!$E$54))+H6429*IF(OR(H6430=1,G6557=1),$C$6395,IF(Assumptions!$I$55=1,MAX(H6393,Assumptions!$G$55)+Assumptions!$F$55+$C$6394,Assumptions!$E$55))+H6442*IF(OR(H6443=1,G6558=1),$C$6395,IF(Assumptions!$I$56=1,MAX(H6393,Assumptions!$G$56)+Assumptions!$F$56+$C$6394,Assumptions!$E$56))</f>
        <v>126.6958</v>
      </c>
      <c r="I6400" s="25" t="n">
        <f aca="false">I6403*IF(OR(I6404=1,H6555=1),$C$6395,IF(Assumptions!$I$53=1,MAX(I6393,Assumptions!$G$53)+Assumptions!$F$53+$C$6394,Assumptions!$E$53))+I6416*IF(OR(I6417=1,H6556=1),$C$6395,IF(Assumptions!$I$54=1,MAX(I6393,Assumptions!$G$54)+Assumptions!$F$54+$C$6394,Assumptions!$E$54))+I6429*IF(OR(I6430=1,H6557=1),$C$6395,IF(Assumptions!$I$55=1,MAX(I6393,Assumptions!$G$55)+Assumptions!$F$55+$C$6394,Assumptions!$E$55))+I6442*IF(OR(I6443=1,H6558=1),$C$6395,IF(Assumptions!$I$56=1,MAX(I6393,Assumptions!$G$56)+Assumptions!$F$56+$C$6394,Assumptions!$E$56))</f>
        <v>116.70264</v>
      </c>
      <c r="J6400" s="25" t="n">
        <f aca="false">J6403*IF(OR(J6404=1,I6555=1),$C$6395,IF(Assumptions!$I$53=1,MAX(J6393,Assumptions!$G$53)+Assumptions!$F$53+$C$6394,Assumptions!$E$53))+J6416*IF(OR(J6417=1,I6556=1),$C$6395,IF(Assumptions!$I$54=1,MAX(J6393,Assumptions!$G$54)+Assumptions!$F$54+$C$6394,Assumptions!$E$54))+J6429*IF(OR(J6430=1,I6557=1),$C$6395,IF(Assumptions!$I$55=1,MAX(J6393,Assumptions!$G$55)+Assumptions!$F$55+$C$6394,Assumptions!$E$55))+J6442*IF(OR(J6443=1,I6558=1),$C$6395,IF(Assumptions!$I$56=1,MAX(J6393,Assumptions!$G$56)+Assumptions!$F$56+$C$6394,Assumptions!$E$56))</f>
        <v>110.07784</v>
      </c>
      <c r="K6400" s="25" t="n">
        <f aca="false">K6403*IF(OR(K6404=1,J6555=1),$C$6395,IF(Assumptions!$I$53=1,MAX(K6393,Assumptions!$G$53)+Assumptions!$F$53+$C$6394,Assumptions!$E$53))+K6416*IF(OR(K6417=1,J6556=1),$C$6395,IF(Assumptions!$I$54=1,MAX(K6393,Assumptions!$G$54)+Assumptions!$F$54+$C$6394,Assumptions!$E$54))+K6429*IF(OR(K6430=1,J6557=1),$C$6395,IF(Assumptions!$I$55=1,MAX(K6393,Assumptions!$G$55)+Assumptions!$F$55+$C$6394,Assumptions!$E$55))+K6442*IF(OR(K6443=1,J6558=1),$C$6395,IF(Assumptions!$I$56=1,MAX(K6393,Assumptions!$G$56)+Assumptions!$F$56+$C$6394,Assumptions!$E$56))</f>
        <v>109.56824</v>
      </c>
    </row>
    <row r="6401" customFormat="false" ht="15" hidden="false" customHeight="false" outlineLevel="0" collapsed="false">
      <c r="A6401" s="5" t="s">
        <v>262</v>
      </c>
      <c r="G6401" s="20" t="n">
        <f aca="false">IF(G6377&lt;=0,0,IF(AND((G6398-G6399)/G6377&lt;=$C$6396,G6377/G6400&gt;=$C$6397),1,0))</f>
        <v>0</v>
      </c>
      <c r="H6401" s="20" t="n">
        <f aca="false">IF(H6377&lt;=0,0,IF(AND((H6398-H6399)/H6377&lt;=$C$6396,H6377/H6400&gt;=$C$6397),1,0))</f>
        <v>0</v>
      </c>
      <c r="I6401" s="20" t="n">
        <f aca="false">IF(I6377&lt;=0,0,IF(AND((I6398-I6399)/I6377&lt;=$C$6396,I6377/I6400&gt;=$C$6397),1,0))</f>
        <v>0</v>
      </c>
      <c r="J6401" s="20" t="n">
        <f aca="false">IF(J6377&lt;=0,0,IF(AND((J6398-J6399)/J6377&lt;=$C$6396,J6377/J6400&gt;=$C$6397),1,0))</f>
        <v>0</v>
      </c>
      <c r="K6401" s="20" t="n">
        <f aca="false">IF(K6377&lt;=0,0,IF(AND((K6398-K6399)/K6377&lt;=$C$6396,K6377/K6400&gt;=$C$6397),1,0))</f>
        <v>0</v>
      </c>
    </row>
    <row r="6402" customFormat="false" ht="15" hidden="false" customHeight="false" outlineLevel="0" collapsed="false">
      <c r="A6402" s="23" t="s">
        <v>263</v>
      </c>
      <c r="B6402" s="24"/>
      <c r="C6402" s="24"/>
      <c r="D6402" s="24"/>
      <c r="E6402" s="24"/>
      <c r="F6402" s="24"/>
      <c r="G6402" s="24"/>
      <c r="H6402" s="24"/>
      <c r="I6402" s="24"/>
      <c r="J6402" s="24"/>
      <c r="K6402" s="24"/>
    </row>
    <row r="6403" customFormat="false" ht="15" hidden="false" customHeight="false" outlineLevel="0" collapsed="false">
      <c r="A6403" s="5" t="s">
        <v>264</v>
      </c>
      <c r="G6403" s="25" t="n">
        <f aca="false">F6414</f>
        <v>180</v>
      </c>
      <c r="H6403" s="25" t="n">
        <f aca="false">G6414</f>
        <v>131.44</v>
      </c>
      <c r="I6403" s="25" t="n">
        <f aca="false">H6414</f>
        <v>131.44</v>
      </c>
      <c r="J6403" s="25" t="n">
        <f aca="false">I6414</f>
        <v>131.44</v>
      </c>
      <c r="K6403" s="25" t="n">
        <f aca="false">J6414</f>
        <v>131.44</v>
      </c>
    </row>
    <row r="6404" customFormat="false" ht="15" hidden="false" customHeight="false" outlineLevel="0" collapsed="false">
      <c r="A6404" s="5" t="s">
        <v>265</v>
      </c>
      <c r="G6404" s="20" t="n">
        <f aca="false">IF(G6367=Assumptions!$K$53,1,0)</f>
        <v>0</v>
      </c>
      <c r="H6404" s="20" t="n">
        <f aca="false">IF(H6367=Assumptions!$K$53,1,0)</f>
        <v>1</v>
      </c>
      <c r="I6404" s="20" t="n">
        <f aca="false">IF(I6367=Assumptions!$K$53,1,0)</f>
        <v>0</v>
      </c>
      <c r="J6404" s="20" t="n">
        <f aca="false">IF(J6367=Assumptions!$K$53,1,0)</f>
        <v>0</v>
      </c>
      <c r="K6404" s="20" t="n">
        <f aca="false">IF(K6367=Assumptions!$K$53,1,0)</f>
        <v>0</v>
      </c>
    </row>
    <row r="6406" customFormat="false" ht="15" hidden="false" customHeight="false" outlineLevel="0" collapsed="false">
      <c r="A6406" s="5" t="s">
        <v>266</v>
      </c>
      <c r="G6406" s="30" t="n">
        <f aca="false">IF(Assumptions!$I$53=1,MAX(G6393,Assumptions!$G$53)+Assumptions!$F$53+$C$6394,Assumptions!$E$53)</f>
        <v>0.086</v>
      </c>
      <c r="H6406" s="30" t="n">
        <f aca="false">IF(G6555=1,$C$6395,IF(Assumptions!$I$53=1,MAX(H6393,Assumptions!$G$53)+Assumptions!$F$53+$C$6394,Assumptions!$E$53))</f>
        <v>0.0835</v>
      </c>
      <c r="I6406" s="30" t="n">
        <f aca="false">IF(H6555=1,$C$6395,IF(Assumptions!$I$53=1,MAX(I6393,Assumptions!$G$53)+Assumptions!$F$53+$C$6394,Assumptions!$E$53))</f>
        <v>0.081</v>
      </c>
      <c r="J6406" s="30" t="n">
        <f aca="false">IF(I6555=1,$C$6395,IF(Assumptions!$I$53=1,MAX(J6393,Assumptions!$G$53)+Assumptions!$F$53+$C$6394,Assumptions!$E$53))</f>
        <v>0.081</v>
      </c>
      <c r="K6406" s="30" t="n">
        <f aca="false">IF(J6555=1,$C$6395,IF(Assumptions!$I$53=1,MAX(K6393,Assumptions!$G$53)+Assumptions!$F$53+$C$6394,Assumptions!$E$53))</f>
        <v>0.081</v>
      </c>
    </row>
    <row r="6407" customFormat="false" ht="15" hidden="false" customHeight="false" outlineLevel="0" collapsed="false">
      <c r="A6407" s="5" t="s">
        <v>267</v>
      </c>
      <c r="G6407" s="25" t="n">
        <f aca="false">G6403*G6406</f>
        <v>15.48</v>
      </c>
      <c r="H6407" s="25" t="n">
        <f aca="false">H6403*H6406</f>
        <v>10.97524</v>
      </c>
      <c r="I6407" s="25" t="n">
        <f aca="false">I6403*I6406</f>
        <v>10.64664</v>
      </c>
      <c r="J6407" s="25" t="n">
        <f aca="false">J6403*J6406</f>
        <v>10.64664</v>
      </c>
      <c r="K6407" s="25" t="n">
        <f aca="false">K6403*K6406</f>
        <v>10.64664</v>
      </c>
    </row>
    <row r="6408" customFormat="false" ht="15" hidden="false" customHeight="false" outlineLevel="0" collapsed="false">
      <c r="A6408" s="5" t="s">
        <v>268</v>
      </c>
      <c r="G6408" s="25" t="n">
        <f aca="false">G6403*Assumptions!$H$53</f>
        <v>0</v>
      </c>
      <c r="H6408" s="25" t="n">
        <f aca="false">H6403*Assumptions!$H$53</f>
        <v>0</v>
      </c>
      <c r="I6408" s="25" t="n">
        <f aca="false">I6403*Assumptions!$H$53</f>
        <v>0</v>
      </c>
      <c r="J6408" s="25" t="n">
        <f aca="false">J6403*Assumptions!$H$53</f>
        <v>0</v>
      </c>
      <c r="K6408" s="25" t="n">
        <f aca="false">K6403*Assumptions!$H$53</f>
        <v>0</v>
      </c>
    </row>
    <row r="6409" customFormat="false" ht="15" hidden="false" customHeight="false" outlineLevel="0" collapsed="false">
      <c r="A6409" s="5" t="s">
        <v>269</v>
      </c>
      <c r="G6409" s="25" t="n">
        <f aca="false">MIN(G6403,Assumptions!$L$53*Assumptions!$C$53)</f>
        <v>0</v>
      </c>
      <c r="H6409" s="25" t="n">
        <f aca="false">MIN(H6403,Assumptions!$L$53*Assumptions!$C$53)</f>
        <v>0</v>
      </c>
      <c r="I6409" s="25" t="n">
        <f aca="false">MIN(I6403,Assumptions!$L$53*Assumptions!$C$53)</f>
        <v>0</v>
      </c>
      <c r="J6409" s="25" t="n">
        <f aca="false">MIN(J6403,Assumptions!$L$53*Assumptions!$C$53)</f>
        <v>0</v>
      </c>
      <c r="K6409" s="25" t="n">
        <f aca="false">MIN(K6403,Assumptions!$L$53*Assumptions!$C$53)</f>
        <v>0</v>
      </c>
    </row>
    <row r="6410" customFormat="false" ht="15" hidden="false" customHeight="false" outlineLevel="0" collapsed="false">
      <c r="A6410" s="5" t="s">
        <v>270</v>
      </c>
      <c r="G6410" s="25" t="n">
        <f aca="false">IF(AND(Assumptions!$P$53=1,G6367&lt;Assumptions!$K$53),MIN(MAX(0,-G6481),MAX(0,Assumptions!$D$53-G6403)),0)</f>
        <v>0</v>
      </c>
      <c r="H6410" s="25" t="n">
        <f aca="false">IF(AND(Assumptions!$P$53=1,OR(H6367&lt;Assumptions!$K$53,G6555=1)),MIN(MAX(0,-H6481),MAX(0,Assumptions!$D$53-H6403)),0)</f>
        <v>0</v>
      </c>
      <c r="I6410" s="25" t="n">
        <f aca="false">IF(AND(Assumptions!$P$53=1,OR(I6367&lt;Assumptions!$K$53,H6555=1)),MIN(MAX(0,-I6481),MAX(0,Assumptions!$D$53-I6403)),0)</f>
        <v>0</v>
      </c>
      <c r="J6410" s="25" t="n">
        <f aca="false">IF(AND(Assumptions!$P$53=1,OR(J6367&lt;Assumptions!$K$53,I6555=1)),MIN(MAX(0,-J6481),MAX(0,Assumptions!$D$53-J6403)),0)</f>
        <v>0</v>
      </c>
      <c r="K6410" s="25" t="n">
        <f aca="false">IF(AND(Assumptions!$P$53=1,OR(K6367&lt;Assumptions!$K$53,J6555=1)),MIN(MAX(0,-K6481),MAX(0,Assumptions!$D$53-K6403)),0)</f>
        <v>0</v>
      </c>
    </row>
    <row r="6411" customFormat="false" ht="15" hidden="false" customHeight="false" outlineLevel="0" collapsed="false">
      <c r="A6411" s="5" t="s">
        <v>271</v>
      </c>
      <c r="G6411" s="25" t="n">
        <f aca="false">G6404*MIN(G6403-G6409+G6408,MAX(0,G6483-Assumptions!$C$12*G6401))</f>
        <v>0</v>
      </c>
      <c r="H6411" s="25" t="n">
        <f aca="false">H6404*MIN(H6403-H6409+H6408,MAX(0,H6483-Assumptions!$C$12*H6401))</f>
        <v>0</v>
      </c>
      <c r="I6411" s="25" t="n">
        <f aca="false">I6404*MIN(I6403-I6409+I6408,MAX(0,I6483-Assumptions!$C$12*I6401))</f>
        <v>0</v>
      </c>
      <c r="J6411" s="25" t="n">
        <f aca="false">J6404*MIN(J6403-J6409+J6408,MAX(0,J6483-Assumptions!$C$12*J6401))</f>
        <v>0</v>
      </c>
      <c r="K6411" s="25" t="n">
        <f aca="false">K6404*MIN(K6403-K6409+K6408,MAX(0,K6483-Assumptions!$C$12*K6401))</f>
        <v>0</v>
      </c>
    </row>
    <row r="6412" customFormat="false" ht="15" hidden="false" customHeight="false" outlineLevel="0" collapsed="false">
      <c r="A6412" s="5" t="s">
        <v>272</v>
      </c>
      <c r="G6412" s="25" t="n">
        <f aca="false">Assumptions!$N$53*MIN(G6403+G6410+G6408-G6409-G6411,MAX(0,G6487))</f>
        <v>48.56</v>
      </c>
      <c r="H6412" s="25" t="n">
        <f aca="false">Assumptions!$N$53*MIN(H6403+H6410+H6408-H6409-H6411,MAX(0,H6487))</f>
        <v>0</v>
      </c>
      <c r="I6412" s="25" t="n">
        <f aca="false">Assumptions!$N$53*MIN(I6403+I6410+I6408-I6409-I6411,MAX(0,I6487))</f>
        <v>0</v>
      </c>
      <c r="J6412" s="25" t="n">
        <f aca="false">Assumptions!$N$53*MIN(J6403+J6410+J6408-J6409-J6411,MAX(0,J6487))</f>
        <v>0</v>
      </c>
      <c r="K6412" s="25" t="n">
        <f aca="false">Assumptions!$N$53*MIN(K6403+K6410+K6408-K6409-K6411,MAX(0,K6487))</f>
        <v>0</v>
      </c>
    </row>
    <row r="6413" customFormat="false" ht="15" hidden="false" customHeight="false" outlineLevel="0" collapsed="false">
      <c r="A6413" s="5" t="s">
        <v>273</v>
      </c>
      <c r="G6413" s="25" t="n">
        <f aca="false">G6404*(1-G6401)*(G6403-G6409+G6408-G6411)</f>
        <v>0</v>
      </c>
      <c r="H6413" s="25" t="n">
        <f aca="false">H6404*(1-H6401)*(H6403-H6409+H6408-H6411)</f>
        <v>131.44</v>
      </c>
      <c r="I6413" s="25" t="n">
        <f aca="false">I6404*(1-I6401)*(I6403-I6409+I6408-I6411)</f>
        <v>0</v>
      </c>
      <c r="J6413" s="25" t="n">
        <f aca="false">J6404*(1-J6401)*(J6403-J6409+J6408-J6411)</f>
        <v>0</v>
      </c>
      <c r="K6413" s="25" t="n">
        <f aca="false">K6404*(1-K6401)*(K6403-K6409+K6408-K6411)</f>
        <v>0</v>
      </c>
    </row>
    <row r="6414" customFormat="false" ht="15" hidden="false" customHeight="false" outlineLevel="0" collapsed="false">
      <c r="A6414" s="2" t="s">
        <v>274</v>
      </c>
      <c r="F6414" s="27" t="n">
        <f aca="false">Assumptions!$C$53</f>
        <v>180</v>
      </c>
      <c r="G6414" s="16" t="n">
        <f aca="false">G6403+G6410+G6408-G6409-G6411-G6412</f>
        <v>131.44</v>
      </c>
      <c r="H6414" s="16" t="n">
        <f aca="false">H6403+H6410+H6408-H6409-H6411-H6412</f>
        <v>131.44</v>
      </c>
      <c r="I6414" s="16" t="n">
        <f aca="false">I6403+I6410+I6408-I6409-I6411-I6412</f>
        <v>131.44</v>
      </c>
      <c r="J6414" s="16" t="n">
        <f aca="false">J6403+J6410+J6408-J6409-J6411-J6412</f>
        <v>131.44</v>
      </c>
      <c r="K6414" s="16" t="n">
        <f aca="false">K6403+K6410+K6408-K6409-K6411-K6412</f>
        <v>131.44</v>
      </c>
    </row>
    <row r="6415" customFormat="false" ht="15" hidden="false" customHeight="false" outlineLevel="0" collapsed="false">
      <c r="A6415" s="23" t="s">
        <v>275</v>
      </c>
      <c r="B6415" s="24"/>
      <c r="C6415" s="24"/>
      <c r="D6415" s="24"/>
      <c r="E6415" s="24"/>
      <c r="F6415" s="24"/>
      <c r="G6415" s="24"/>
      <c r="H6415" s="24"/>
      <c r="I6415" s="24"/>
      <c r="J6415" s="24"/>
      <c r="K6415" s="24"/>
    </row>
    <row r="6416" customFormat="false" ht="15" hidden="false" customHeight="false" outlineLevel="0" collapsed="false">
      <c r="A6416" s="5" t="s">
        <v>264</v>
      </c>
      <c r="G6416" s="25" t="n">
        <f aca="false">F6427</f>
        <v>520</v>
      </c>
      <c r="H6416" s="25" t="n">
        <f aca="false">G6427</f>
        <v>514.8</v>
      </c>
      <c r="I6416" s="25" t="n">
        <f aca="false">H6427</f>
        <v>509.6</v>
      </c>
      <c r="J6416" s="25" t="n">
        <f aca="false">I6427</f>
        <v>504.4</v>
      </c>
      <c r="K6416" s="25" t="n">
        <f aca="false">J6427</f>
        <v>499.2</v>
      </c>
    </row>
    <row r="6417" customFormat="false" ht="15" hidden="false" customHeight="false" outlineLevel="0" collapsed="false">
      <c r="A6417" s="5" t="s">
        <v>265</v>
      </c>
      <c r="G6417" s="20" t="n">
        <f aca="false">IF(G6367=Assumptions!$K$54,1,0)</f>
        <v>0</v>
      </c>
      <c r="H6417" s="20" t="n">
        <f aca="false">IF(H6367=Assumptions!$K$54,1,0)</f>
        <v>0</v>
      </c>
      <c r="I6417" s="20" t="n">
        <f aca="false">IF(I6367=Assumptions!$K$54,1,0)</f>
        <v>1</v>
      </c>
      <c r="J6417" s="20" t="n">
        <f aca="false">IF(J6367=Assumptions!$K$54,1,0)</f>
        <v>0</v>
      </c>
      <c r="K6417" s="20" t="n">
        <f aca="false">IF(K6367=Assumptions!$K$54,1,0)</f>
        <v>0</v>
      </c>
    </row>
    <row r="6419" customFormat="false" ht="15" hidden="false" customHeight="false" outlineLevel="0" collapsed="false">
      <c r="A6419" s="5" t="s">
        <v>266</v>
      </c>
      <c r="G6419" s="30" t="n">
        <f aca="false">IF(Assumptions!$I$54=1,MAX(G6393,Assumptions!$G$54)+Assumptions!$F$54+$C$6394,Assumptions!$E$54)</f>
        <v>0.103</v>
      </c>
      <c r="H6419" s="30" t="n">
        <f aca="false">IF(G6556=1,$C$6395,IF(Assumptions!$I$54=1,MAX(H6393,Assumptions!$G$54)+Assumptions!$F$54+$C$6394,Assumptions!$E$54))</f>
        <v>0.1005</v>
      </c>
      <c r="I6419" s="30" t="n">
        <f aca="false">IF(H6556=1,$C$6395,IF(Assumptions!$I$54=1,MAX(I6393,Assumptions!$G$54)+Assumptions!$F$54+$C$6394,Assumptions!$E$54))</f>
        <v>0.098</v>
      </c>
      <c r="J6419" s="30" t="n">
        <f aca="false">IF(I6556=1,$C$6395,IF(Assumptions!$I$54=1,MAX(J6393,Assumptions!$G$54)+Assumptions!$F$54+$C$6394,Assumptions!$E$54))</f>
        <v>0.098</v>
      </c>
      <c r="K6419" s="30" t="n">
        <f aca="false">IF(J6556=1,$C$6395,IF(Assumptions!$I$54=1,MAX(K6393,Assumptions!$G$54)+Assumptions!$F$54+$C$6394,Assumptions!$E$54))</f>
        <v>0.098</v>
      </c>
    </row>
    <row r="6420" customFormat="false" ht="15" hidden="false" customHeight="false" outlineLevel="0" collapsed="false">
      <c r="A6420" s="5" t="s">
        <v>267</v>
      </c>
      <c r="G6420" s="25" t="n">
        <f aca="false">G6416*G6419</f>
        <v>53.56</v>
      </c>
      <c r="H6420" s="25" t="n">
        <f aca="false">H6416*H6419</f>
        <v>51.7374</v>
      </c>
      <c r="I6420" s="25" t="n">
        <f aca="false">I6416*I6419</f>
        <v>49.9408</v>
      </c>
      <c r="J6420" s="25" t="n">
        <f aca="false">J6416*J6419</f>
        <v>49.4312</v>
      </c>
      <c r="K6420" s="25" t="n">
        <f aca="false">K6416*K6419</f>
        <v>48.9216</v>
      </c>
    </row>
    <row r="6421" customFormat="false" ht="15" hidden="false" customHeight="false" outlineLevel="0" collapsed="false">
      <c r="A6421" s="5" t="s">
        <v>268</v>
      </c>
      <c r="G6421" s="25" t="n">
        <f aca="false">G6416*Assumptions!$H$54</f>
        <v>0</v>
      </c>
      <c r="H6421" s="25" t="n">
        <f aca="false">H6416*Assumptions!$H$54</f>
        <v>0</v>
      </c>
      <c r="I6421" s="25" t="n">
        <f aca="false">I6416*Assumptions!$H$54</f>
        <v>0</v>
      </c>
      <c r="J6421" s="25" t="n">
        <f aca="false">J6416*Assumptions!$H$54</f>
        <v>0</v>
      </c>
      <c r="K6421" s="25" t="n">
        <f aca="false">K6416*Assumptions!$H$54</f>
        <v>0</v>
      </c>
    </row>
    <row r="6422" customFormat="false" ht="15" hidden="false" customHeight="false" outlineLevel="0" collapsed="false">
      <c r="A6422" s="5" t="s">
        <v>269</v>
      </c>
      <c r="G6422" s="25" t="n">
        <f aca="false">MIN(G6416,Assumptions!$L$54*Assumptions!$C$54)</f>
        <v>5.2</v>
      </c>
      <c r="H6422" s="25" t="n">
        <f aca="false">MIN(H6416,Assumptions!$L$54*Assumptions!$C$54)</f>
        <v>5.2</v>
      </c>
      <c r="I6422" s="25" t="n">
        <f aca="false">MIN(I6416,Assumptions!$L$54*Assumptions!$C$54)</f>
        <v>5.2</v>
      </c>
      <c r="J6422" s="25" t="n">
        <f aca="false">MIN(J6416,Assumptions!$L$54*Assumptions!$C$54)</f>
        <v>5.2</v>
      </c>
      <c r="K6422" s="25" t="n">
        <f aca="false">MIN(K6416,Assumptions!$L$54*Assumptions!$C$54)</f>
        <v>5.2</v>
      </c>
    </row>
    <row r="6423" customFormat="false" ht="15" hidden="false" customHeight="false" outlineLevel="0" collapsed="false">
      <c r="A6423" s="5" t="s">
        <v>270</v>
      </c>
      <c r="G6423" s="25" t="n">
        <f aca="false">IF(AND(Assumptions!$P$54=1,G6367&lt;Assumptions!$K$54),MIN(MAX(0,-G6481),MAX(0,Assumptions!$D$54-G6416)),0)</f>
        <v>0</v>
      </c>
      <c r="H6423" s="25" t="n">
        <f aca="false">IF(AND(Assumptions!$P$54=1,OR(H6367&lt;Assumptions!$K$54,G6556=1)),MIN(MAX(0,-H6481),MAX(0,Assumptions!$D$54-H6416)),0)</f>
        <v>0</v>
      </c>
      <c r="I6423" s="25" t="n">
        <f aca="false">IF(AND(Assumptions!$P$54=1,OR(I6367&lt;Assumptions!$K$54,H6556=1)),MIN(MAX(0,-I6481),MAX(0,Assumptions!$D$54-I6416)),0)</f>
        <v>0</v>
      </c>
      <c r="J6423" s="25" t="n">
        <f aca="false">IF(AND(Assumptions!$P$54=1,OR(J6367&lt;Assumptions!$K$54,I6556=1)),MIN(MAX(0,-J6481),MAX(0,Assumptions!$D$54-J6416)),0)</f>
        <v>0</v>
      </c>
      <c r="K6423" s="25" t="n">
        <f aca="false">IF(AND(Assumptions!$P$54=1,OR(K6367&lt;Assumptions!$K$54,J6556=1)),MIN(MAX(0,-K6481),MAX(0,Assumptions!$D$54-K6416)),0)</f>
        <v>0</v>
      </c>
    </row>
    <row r="6424" customFormat="false" ht="15" hidden="false" customHeight="false" outlineLevel="0" collapsed="false">
      <c r="A6424" s="5" t="s">
        <v>271</v>
      </c>
      <c r="G6424" s="25" t="n">
        <f aca="false">G6417*MIN(G6416-G6422+G6421,MAX(0,G6483-Assumptions!$C$12*G6401-G6411))</f>
        <v>0</v>
      </c>
      <c r="H6424" s="25" t="n">
        <f aca="false">H6417*MIN(H6416-H6422+H6421,MAX(0,H6483-Assumptions!$C$12*H6401-H6411))</f>
        <v>0</v>
      </c>
      <c r="I6424" s="25" t="n">
        <f aca="false">I6417*MIN(I6416-I6422+I6421,MAX(0,I6483-Assumptions!$C$12*I6401-I6411))</f>
        <v>0</v>
      </c>
      <c r="J6424" s="25" t="n">
        <f aca="false">J6417*MIN(J6416-J6422+J6421,MAX(0,J6483-Assumptions!$C$12*J6401-J6411))</f>
        <v>0</v>
      </c>
      <c r="K6424" s="25" t="n">
        <f aca="false">K6417*MIN(K6416-K6422+K6421,MAX(0,K6483-Assumptions!$C$12*K6401-K6411))</f>
        <v>0</v>
      </c>
    </row>
    <row r="6425" customFormat="false" ht="15" hidden="false" customHeight="false" outlineLevel="0" collapsed="false">
      <c r="A6425" s="5" t="s">
        <v>272</v>
      </c>
      <c r="G6425" s="25" t="n">
        <f aca="false">Assumptions!$N$54*MIN(G6416+G6423+G6421-G6422-G6424,MAX(0,G6487-G6412))</f>
        <v>0</v>
      </c>
      <c r="H6425" s="25" t="n">
        <f aca="false">Assumptions!$N$54*MIN(H6416+H6423+H6421-H6422-H6424,MAX(0,H6487-H6412))</f>
        <v>0</v>
      </c>
      <c r="I6425" s="25" t="n">
        <f aca="false">Assumptions!$N$54*MIN(I6416+I6423+I6421-I6422-I6424,MAX(0,I6487-I6412))</f>
        <v>0</v>
      </c>
      <c r="J6425" s="25" t="n">
        <f aca="false">Assumptions!$N$54*MIN(J6416+J6423+J6421-J6422-J6424,MAX(0,J6487-J6412))</f>
        <v>0</v>
      </c>
      <c r="K6425" s="25" t="n">
        <f aca="false">Assumptions!$N$54*MIN(K6416+K6423+K6421-K6422-K6424,MAX(0,K6487-K6412))</f>
        <v>0</v>
      </c>
    </row>
    <row r="6426" customFormat="false" ht="15" hidden="false" customHeight="false" outlineLevel="0" collapsed="false">
      <c r="A6426" s="5" t="s">
        <v>273</v>
      </c>
      <c r="G6426" s="25" t="n">
        <f aca="false">G6417*(1-G6401)*(G6416-G6422+G6421-G6424)</f>
        <v>0</v>
      </c>
      <c r="H6426" s="25" t="n">
        <f aca="false">H6417*(1-H6401)*(H6416-H6422+H6421-H6424)</f>
        <v>0</v>
      </c>
      <c r="I6426" s="25" t="n">
        <f aca="false">I6417*(1-I6401)*(I6416-I6422+I6421-I6424)</f>
        <v>504.4</v>
      </c>
      <c r="J6426" s="25" t="n">
        <f aca="false">J6417*(1-J6401)*(J6416-J6422+J6421-J6424)</f>
        <v>0</v>
      </c>
      <c r="K6426" s="25" t="n">
        <f aca="false">K6417*(1-K6401)*(K6416-K6422+K6421-K6424)</f>
        <v>0</v>
      </c>
    </row>
    <row r="6427" customFormat="false" ht="15" hidden="false" customHeight="false" outlineLevel="0" collapsed="false">
      <c r="A6427" s="2" t="s">
        <v>274</v>
      </c>
      <c r="F6427" s="27" t="n">
        <f aca="false">Assumptions!$C$54</f>
        <v>520</v>
      </c>
      <c r="G6427" s="16" t="n">
        <f aca="false">G6416+G6423+G6421-G6422-G6424-G6425</f>
        <v>514.8</v>
      </c>
      <c r="H6427" s="16" t="n">
        <f aca="false">H6416+H6423+H6421-H6422-H6424-H6425</f>
        <v>509.6</v>
      </c>
      <c r="I6427" s="16" t="n">
        <f aca="false">I6416+I6423+I6421-I6422-I6424-I6425</f>
        <v>504.4</v>
      </c>
      <c r="J6427" s="16" t="n">
        <f aca="false">J6416+J6423+J6421-J6422-J6424-J6425</f>
        <v>499.2</v>
      </c>
      <c r="K6427" s="16" t="n">
        <f aca="false">K6416+K6423+K6421-K6422-K6424-K6425</f>
        <v>494</v>
      </c>
    </row>
    <row r="6428" customFormat="false" ht="15" hidden="false" customHeight="false" outlineLevel="0" collapsed="false">
      <c r="A6428" s="23" t="s">
        <v>276</v>
      </c>
      <c r="B6428" s="24"/>
      <c r="C6428" s="24"/>
      <c r="D6428" s="24"/>
      <c r="E6428" s="24"/>
      <c r="F6428" s="24"/>
      <c r="G6428" s="24"/>
      <c r="H6428" s="24"/>
      <c r="I6428" s="24"/>
      <c r="J6428" s="24"/>
      <c r="K6428" s="24"/>
    </row>
    <row r="6429" customFormat="false" ht="15" hidden="false" customHeight="false" outlineLevel="0" collapsed="false">
      <c r="A6429" s="5" t="s">
        <v>264</v>
      </c>
      <c r="G6429" s="25" t="n">
        <f aca="false">F6440</f>
        <v>250</v>
      </c>
      <c r="H6429" s="25" t="n">
        <f aca="false">G6440</f>
        <v>250</v>
      </c>
      <c r="I6429" s="25" t="n">
        <f aca="false">H6440</f>
        <v>250</v>
      </c>
      <c r="J6429" s="25" t="n">
        <f aca="false">I6440</f>
        <v>250</v>
      </c>
      <c r="K6429" s="25" t="n">
        <f aca="false">J6440</f>
        <v>250</v>
      </c>
    </row>
    <row r="6430" customFormat="false" ht="15" hidden="false" customHeight="false" outlineLevel="0" collapsed="false">
      <c r="A6430" s="5" t="s">
        <v>265</v>
      </c>
      <c r="G6430" s="20" t="n">
        <f aca="false">IF(G6367=Assumptions!$K$55,1,0)</f>
        <v>0</v>
      </c>
      <c r="H6430" s="20" t="n">
        <f aca="false">IF(H6367=Assumptions!$K$55,1,0)</f>
        <v>0</v>
      </c>
      <c r="I6430" s="20" t="n">
        <f aca="false">IF(I6367=Assumptions!$K$55,1,0)</f>
        <v>0</v>
      </c>
      <c r="J6430" s="20" t="n">
        <f aca="false">IF(J6367=Assumptions!$K$55,1,0)</f>
        <v>1</v>
      </c>
      <c r="K6430" s="20" t="n">
        <f aca="false">IF(K6367=Assumptions!$K$55,1,0)</f>
        <v>0</v>
      </c>
    </row>
    <row r="6432" customFormat="false" ht="15" hidden="false" customHeight="false" outlineLevel="0" collapsed="false">
      <c r="A6432" s="5" t="s">
        <v>266</v>
      </c>
      <c r="G6432" s="30" t="n">
        <f aca="false">IF(Assumptions!$I$55=1,MAX(G6393,Assumptions!$G$55)+Assumptions!$F$55+$C$6394,Assumptions!$E$55)</f>
        <v>0.11</v>
      </c>
      <c r="H6432" s="30" t="n">
        <f aca="false">IF(G6557=1,$C$6395,IF(Assumptions!$I$55=1,MAX(H6393,Assumptions!$G$55)+Assumptions!$F$55+$C$6394,Assumptions!$E$55))</f>
        <v>0.11</v>
      </c>
      <c r="I6432" s="30" t="n">
        <f aca="false">IF(H6557=1,$C$6395,IF(Assumptions!$I$55=1,MAX(I6393,Assumptions!$G$55)+Assumptions!$F$55+$C$6394,Assumptions!$E$55))</f>
        <v>0.11</v>
      </c>
      <c r="J6432" s="30" t="n">
        <f aca="false">IF(I6557=1,$C$6395,IF(Assumptions!$I$55=1,MAX(J6393,Assumptions!$G$55)+Assumptions!$F$55+$C$6394,Assumptions!$E$55))</f>
        <v>0.11</v>
      </c>
      <c r="K6432" s="30" t="n">
        <f aca="false">IF(J6557=1,$C$6395,IF(Assumptions!$I$55=1,MAX(K6393,Assumptions!$G$55)+Assumptions!$F$55+$C$6394,Assumptions!$E$55))</f>
        <v>0.11</v>
      </c>
    </row>
    <row r="6433" customFormat="false" ht="15" hidden="false" customHeight="false" outlineLevel="0" collapsed="false">
      <c r="A6433" s="5" t="s">
        <v>267</v>
      </c>
      <c r="G6433" s="25" t="n">
        <f aca="false">G6429*G6432</f>
        <v>27.5</v>
      </c>
      <c r="H6433" s="25" t="n">
        <f aca="false">H6429*H6432</f>
        <v>27.5</v>
      </c>
      <c r="I6433" s="25" t="n">
        <f aca="false">I6429*I6432</f>
        <v>27.5</v>
      </c>
      <c r="J6433" s="25" t="n">
        <f aca="false">J6429*J6432</f>
        <v>27.5</v>
      </c>
      <c r="K6433" s="25" t="n">
        <f aca="false">K6429*K6432</f>
        <v>27.5</v>
      </c>
    </row>
    <row r="6434" customFormat="false" ht="15" hidden="false" customHeight="false" outlineLevel="0" collapsed="false">
      <c r="A6434" s="5" t="s">
        <v>268</v>
      </c>
      <c r="G6434" s="25" t="n">
        <f aca="false">G6429*Assumptions!$H$55</f>
        <v>0</v>
      </c>
      <c r="H6434" s="25" t="n">
        <f aca="false">H6429*Assumptions!$H$55</f>
        <v>0</v>
      </c>
      <c r="I6434" s="25" t="n">
        <f aca="false">I6429*Assumptions!$H$55</f>
        <v>0</v>
      </c>
      <c r="J6434" s="25" t="n">
        <f aca="false">J6429*Assumptions!$H$55</f>
        <v>0</v>
      </c>
      <c r="K6434" s="25" t="n">
        <f aca="false">K6429*Assumptions!$H$55</f>
        <v>0</v>
      </c>
    </row>
    <row r="6435" customFormat="false" ht="15" hidden="false" customHeight="false" outlineLevel="0" collapsed="false">
      <c r="A6435" s="5" t="s">
        <v>269</v>
      </c>
      <c r="G6435" s="25" t="n">
        <f aca="false">MIN(G6429,Assumptions!$L$55*Assumptions!$C$55)</f>
        <v>0</v>
      </c>
      <c r="H6435" s="25" t="n">
        <f aca="false">MIN(H6429,Assumptions!$L$55*Assumptions!$C$55)</f>
        <v>0</v>
      </c>
      <c r="I6435" s="25" t="n">
        <f aca="false">MIN(I6429,Assumptions!$L$55*Assumptions!$C$55)</f>
        <v>0</v>
      </c>
      <c r="J6435" s="25" t="n">
        <f aca="false">MIN(J6429,Assumptions!$L$55*Assumptions!$C$55)</f>
        <v>0</v>
      </c>
      <c r="K6435" s="25" t="n">
        <f aca="false">MIN(K6429,Assumptions!$L$55*Assumptions!$C$55)</f>
        <v>0</v>
      </c>
    </row>
    <row r="6436" customFormat="false" ht="15" hidden="false" customHeight="false" outlineLevel="0" collapsed="false">
      <c r="A6436" s="5" t="s">
        <v>270</v>
      </c>
      <c r="G6436" s="25" t="n">
        <f aca="false">IF(AND(Assumptions!$P$55=1,G6367&lt;Assumptions!$K$55),MIN(MAX(0,-G6481),MAX(0,Assumptions!$D$55-G6429)),0)</f>
        <v>0</v>
      </c>
      <c r="H6436" s="25" t="n">
        <f aca="false">IF(AND(Assumptions!$P$55=1,OR(H6367&lt;Assumptions!$K$55,G6557=1)),MIN(MAX(0,-H6481),MAX(0,Assumptions!$D$55-H6429)),0)</f>
        <v>0</v>
      </c>
      <c r="I6436" s="25" t="n">
        <f aca="false">IF(AND(Assumptions!$P$55=1,OR(I6367&lt;Assumptions!$K$55,H6557=1)),MIN(MAX(0,-I6481),MAX(0,Assumptions!$D$55-I6429)),0)</f>
        <v>0</v>
      </c>
      <c r="J6436" s="25" t="n">
        <f aca="false">IF(AND(Assumptions!$P$55=1,OR(J6367&lt;Assumptions!$K$55,I6557=1)),MIN(MAX(0,-J6481),MAX(0,Assumptions!$D$55-J6429)),0)</f>
        <v>0</v>
      </c>
      <c r="K6436" s="25" t="n">
        <f aca="false">IF(AND(Assumptions!$P$55=1,OR(K6367&lt;Assumptions!$K$55,J6557=1)),MIN(MAX(0,-K6481),MAX(0,Assumptions!$D$55-K6429)),0)</f>
        <v>0</v>
      </c>
    </row>
    <row r="6437" customFormat="false" ht="15" hidden="false" customHeight="false" outlineLevel="0" collapsed="false">
      <c r="A6437" s="5" t="s">
        <v>271</v>
      </c>
      <c r="G6437" s="25" t="n">
        <f aca="false">G6430*MIN(G6429-G6435+G6434,MAX(0,G6483-Assumptions!$C$12*G6401-G6411-G6424))</f>
        <v>0</v>
      </c>
      <c r="H6437" s="25" t="n">
        <f aca="false">H6430*MIN(H6429-H6435+H6434,MAX(0,H6483-Assumptions!$C$12*H6401-H6411-H6424))</f>
        <v>0</v>
      </c>
      <c r="I6437" s="25" t="n">
        <f aca="false">I6430*MIN(I6429-I6435+I6434,MAX(0,I6483-Assumptions!$C$12*I6401-I6411-I6424))</f>
        <v>0</v>
      </c>
      <c r="J6437" s="25" t="n">
        <f aca="false">J6430*MIN(J6429-J6435+J6434,MAX(0,J6483-Assumptions!$C$12*J6401-J6411-J6424))</f>
        <v>0</v>
      </c>
      <c r="K6437" s="25" t="n">
        <f aca="false">K6430*MIN(K6429-K6435+K6434,MAX(0,K6483-Assumptions!$C$12*K6401-K6411-K6424))</f>
        <v>0</v>
      </c>
    </row>
    <row r="6438" customFormat="false" ht="15" hidden="false" customHeight="false" outlineLevel="0" collapsed="false">
      <c r="A6438" s="5" t="s">
        <v>272</v>
      </c>
      <c r="G6438" s="25" t="n">
        <f aca="false">Assumptions!$N$55*MIN(G6429+G6436+G6434-G6435-G6437,MAX(0,G6487-G6412-G6425))</f>
        <v>0</v>
      </c>
      <c r="H6438" s="25" t="n">
        <f aca="false">Assumptions!$N$55*MIN(H6429+H6436+H6434-H6435-H6437,MAX(0,H6487-H6412-H6425))</f>
        <v>0</v>
      </c>
      <c r="I6438" s="25" t="n">
        <f aca="false">Assumptions!$N$55*MIN(I6429+I6436+I6434-I6435-I6437,MAX(0,I6487-I6412-I6425))</f>
        <v>0</v>
      </c>
      <c r="J6438" s="25" t="n">
        <f aca="false">Assumptions!$N$55*MIN(J6429+J6436+J6434-J6435-J6437,MAX(0,J6487-J6412-J6425))</f>
        <v>0</v>
      </c>
      <c r="K6438" s="25" t="n">
        <f aca="false">Assumptions!$N$55*MIN(K6429+K6436+K6434-K6435-K6437,MAX(0,K6487-K6412-K6425))</f>
        <v>0</v>
      </c>
    </row>
    <row r="6439" customFormat="false" ht="15" hidden="false" customHeight="false" outlineLevel="0" collapsed="false">
      <c r="A6439" s="5" t="s">
        <v>273</v>
      </c>
      <c r="G6439" s="25" t="n">
        <f aca="false">G6430*(1-G6401)*(G6429-G6435+G6434-G6437)</f>
        <v>0</v>
      </c>
      <c r="H6439" s="25" t="n">
        <f aca="false">H6430*(1-H6401)*(H6429-H6435+H6434-H6437)</f>
        <v>0</v>
      </c>
      <c r="I6439" s="25" t="n">
        <f aca="false">I6430*(1-I6401)*(I6429-I6435+I6434-I6437)</f>
        <v>0</v>
      </c>
      <c r="J6439" s="25" t="n">
        <f aca="false">J6430*(1-J6401)*(J6429-J6435+J6434-J6437)</f>
        <v>250</v>
      </c>
      <c r="K6439" s="25" t="n">
        <f aca="false">K6430*(1-K6401)*(K6429-K6435+K6434-K6437)</f>
        <v>0</v>
      </c>
    </row>
    <row r="6440" customFormat="false" ht="15" hidden="false" customHeight="false" outlineLevel="0" collapsed="false">
      <c r="A6440" s="2" t="s">
        <v>274</v>
      </c>
      <c r="F6440" s="27" t="n">
        <f aca="false">Assumptions!$C$55</f>
        <v>250</v>
      </c>
      <c r="G6440" s="16" t="n">
        <f aca="false">G6429+G6436+G6434-G6435-G6437-G6438</f>
        <v>250</v>
      </c>
      <c r="H6440" s="16" t="n">
        <f aca="false">H6429+H6436+H6434-H6435-H6437-H6438</f>
        <v>250</v>
      </c>
      <c r="I6440" s="16" t="n">
        <f aca="false">I6429+I6436+I6434-I6435-I6437-I6438</f>
        <v>250</v>
      </c>
      <c r="J6440" s="16" t="n">
        <f aca="false">J6429+J6436+J6434-J6435-J6437-J6438</f>
        <v>250</v>
      </c>
      <c r="K6440" s="16" t="n">
        <f aca="false">K6429+K6436+K6434-K6435-K6437-K6438</f>
        <v>250</v>
      </c>
    </row>
    <row r="6441" customFormat="false" ht="15" hidden="false" customHeight="false" outlineLevel="0" collapsed="false">
      <c r="A6441" s="23" t="s">
        <v>277</v>
      </c>
      <c r="B6441" s="24"/>
      <c r="C6441" s="24"/>
      <c r="D6441" s="24"/>
      <c r="E6441" s="24"/>
      <c r="F6441" s="24"/>
      <c r="G6441" s="24"/>
      <c r="H6441" s="24"/>
      <c r="I6441" s="24"/>
      <c r="J6441" s="24"/>
      <c r="K6441" s="24"/>
    </row>
    <row r="6442" customFormat="false" ht="15" hidden="false" customHeight="false" outlineLevel="0" collapsed="false">
      <c r="A6442" s="5" t="s">
        <v>264</v>
      </c>
      <c r="G6442" s="25" t="n">
        <f aca="false">F6453</f>
        <v>300</v>
      </c>
      <c r="H6442" s="25" t="n">
        <f aca="false">G6453</f>
        <v>300</v>
      </c>
      <c r="I6442" s="25" t="n">
        <f aca="false">H6453</f>
        <v>300</v>
      </c>
      <c r="J6442" s="25" t="n">
        <f aca="false">I6453</f>
        <v>300</v>
      </c>
      <c r="K6442" s="25" t="n">
        <f aca="false">J6453</f>
        <v>300</v>
      </c>
    </row>
    <row r="6443" customFormat="false" ht="15" hidden="false" customHeight="false" outlineLevel="0" collapsed="false">
      <c r="A6443" s="5" t="s">
        <v>265</v>
      </c>
      <c r="G6443" s="20" t="n">
        <f aca="false">IF(G6367=Assumptions!$K$56,1,0)</f>
        <v>0</v>
      </c>
      <c r="H6443" s="20" t="n">
        <f aca="false">IF(H6367=Assumptions!$K$56,1,0)</f>
        <v>1</v>
      </c>
      <c r="I6443" s="20" t="n">
        <f aca="false">IF(I6367=Assumptions!$K$56,1,0)</f>
        <v>0</v>
      </c>
      <c r="J6443" s="20" t="n">
        <f aca="false">IF(J6367=Assumptions!$K$56,1,0)</f>
        <v>0</v>
      </c>
      <c r="K6443" s="20" t="n">
        <f aca="false">IF(K6367=Assumptions!$K$56,1,0)</f>
        <v>0</v>
      </c>
    </row>
    <row r="6445" customFormat="false" ht="15" hidden="false" customHeight="false" outlineLevel="0" collapsed="false">
      <c r="A6445" s="5" t="s">
        <v>266</v>
      </c>
      <c r="G6445" s="30" t="n">
        <f aca="false">IF(Assumptions!$I$56=1,MAX(G6393,Assumptions!$G$56)+Assumptions!$F$56+$C$6394,Assumptions!$E$56)</f>
        <v>0.075</v>
      </c>
      <c r="H6445" s="30" t="n">
        <f aca="false">IF(G6558=1,$C$6395,IF(Assumptions!$I$56=1,MAX(H6393,Assumptions!$G$56)+Assumptions!$F$56+$C$6394,Assumptions!$E$56))</f>
        <v>0.075</v>
      </c>
      <c r="I6445" s="30" t="n">
        <f aca="false">IF(H6558=1,$C$6395,IF(Assumptions!$I$56=1,MAX(I6393,Assumptions!$G$56)+Assumptions!$F$56+$C$6394,Assumptions!$E$56))</f>
        <v>0.075</v>
      </c>
      <c r="J6445" s="30" t="n">
        <f aca="false">IF(I6558=1,$C$6395,IF(Assumptions!$I$56=1,MAX(J6393,Assumptions!$G$56)+Assumptions!$F$56+$C$6394,Assumptions!$E$56))</f>
        <v>0.075</v>
      </c>
      <c r="K6445" s="30" t="n">
        <f aca="false">IF(J6558=1,$C$6395,IF(Assumptions!$I$56=1,MAX(K6393,Assumptions!$G$56)+Assumptions!$F$56+$C$6394,Assumptions!$E$56))</f>
        <v>0.075</v>
      </c>
    </row>
    <row r="6446" customFormat="false" ht="15" hidden="false" customHeight="false" outlineLevel="0" collapsed="false">
      <c r="A6446" s="5" t="s">
        <v>267</v>
      </c>
      <c r="G6446" s="25" t="n">
        <f aca="false">G6442*G6445</f>
        <v>22.5</v>
      </c>
      <c r="H6446" s="25" t="n">
        <f aca="false">H6442*H6445</f>
        <v>22.5</v>
      </c>
      <c r="I6446" s="25" t="n">
        <f aca="false">I6442*I6445</f>
        <v>22.5</v>
      </c>
      <c r="J6446" s="25" t="n">
        <f aca="false">J6442*J6445</f>
        <v>22.5</v>
      </c>
      <c r="K6446" s="25" t="n">
        <f aca="false">K6442*K6445</f>
        <v>22.5</v>
      </c>
    </row>
    <row r="6447" customFormat="false" ht="15" hidden="false" customHeight="false" outlineLevel="0" collapsed="false">
      <c r="A6447" s="5" t="s">
        <v>268</v>
      </c>
      <c r="G6447" s="25" t="n">
        <f aca="false">G6442*Assumptions!$H$56</f>
        <v>0</v>
      </c>
      <c r="H6447" s="25" t="n">
        <f aca="false">H6442*Assumptions!$H$56</f>
        <v>0</v>
      </c>
      <c r="I6447" s="25" t="n">
        <f aca="false">I6442*Assumptions!$H$56</f>
        <v>0</v>
      </c>
      <c r="J6447" s="25" t="n">
        <f aca="false">J6442*Assumptions!$H$56</f>
        <v>0</v>
      </c>
      <c r="K6447" s="25" t="n">
        <f aca="false">K6442*Assumptions!$H$56</f>
        <v>0</v>
      </c>
    </row>
    <row r="6448" customFormat="false" ht="15" hidden="false" customHeight="false" outlineLevel="0" collapsed="false">
      <c r="A6448" s="5" t="s">
        <v>269</v>
      </c>
      <c r="G6448" s="25" t="n">
        <f aca="false">MIN(G6442,Assumptions!$L$56*Assumptions!$C$56)</f>
        <v>0</v>
      </c>
      <c r="H6448" s="25" t="n">
        <f aca="false">MIN(H6442,Assumptions!$L$56*Assumptions!$C$56)</f>
        <v>0</v>
      </c>
      <c r="I6448" s="25" t="n">
        <f aca="false">MIN(I6442,Assumptions!$L$56*Assumptions!$C$56)</f>
        <v>0</v>
      </c>
      <c r="J6448" s="25" t="n">
        <f aca="false">MIN(J6442,Assumptions!$L$56*Assumptions!$C$56)</f>
        <v>0</v>
      </c>
      <c r="K6448" s="25" t="n">
        <f aca="false">MIN(K6442,Assumptions!$L$56*Assumptions!$C$56)</f>
        <v>0</v>
      </c>
    </row>
    <row r="6449" customFormat="false" ht="15" hidden="false" customHeight="false" outlineLevel="0" collapsed="false">
      <c r="A6449" s="5" t="s">
        <v>270</v>
      </c>
      <c r="G6449" s="25" t="n">
        <f aca="false">IF(AND(Assumptions!$P$56=1,G6367&lt;Assumptions!$K$56),MIN(MAX(0,-G6481),MAX(0,Assumptions!$D$56-G6442)),0)</f>
        <v>0</v>
      </c>
      <c r="H6449" s="25" t="n">
        <f aca="false">IF(AND(Assumptions!$P$56=1,OR(H6367&lt;Assumptions!$K$56,G6558=1)),MIN(MAX(0,-H6481),MAX(0,Assumptions!$D$56-H6442)),0)</f>
        <v>0</v>
      </c>
      <c r="I6449" s="25" t="n">
        <f aca="false">IF(AND(Assumptions!$P$56=1,OR(I6367&lt;Assumptions!$K$56,H6558=1)),MIN(MAX(0,-I6481),MAX(0,Assumptions!$D$56-I6442)),0)</f>
        <v>0</v>
      </c>
      <c r="J6449" s="25" t="n">
        <f aca="false">IF(AND(Assumptions!$P$56=1,OR(J6367&lt;Assumptions!$K$56,I6558=1)),MIN(MAX(0,-J6481),MAX(0,Assumptions!$D$56-J6442)),0)</f>
        <v>0</v>
      </c>
      <c r="K6449" s="25" t="n">
        <f aca="false">IF(AND(Assumptions!$P$56=1,OR(K6367&lt;Assumptions!$K$56,J6558=1)),MIN(MAX(0,-K6481),MAX(0,Assumptions!$D$56-K6442)),0)</f>
        <v>0</v>
      </c>
    </row>
    <row r="6450" customFormat="false" ht="15" hidden="false" customHeight="false" outlineLevel="0" collapsed="false">
      <c r="A6450" s="5" t="s">
        <v>271</v>
      </c>
      <c r="G6450" s="25" t="n">
        <f aca="false">G6443*MIN(G6442-G6448+G6447,MAX(0,G6483-Assumptions!$C$12*G6401-G6411-G6424-G6437))</f>
        <v>0</v>
      </c>
      <c r="H6450" s="25" t="n">
        <f aca="false">H6443*MIN(H6442-H6448+H6447,MAX(0,H6483-Assumptions!$C$12*H6401-H6411-H6424-H6437))</f>
        <v>0</v>
      </c>
      <c r="I6450" s="25" t="n">
        <f aca="false">I6443*MIN(I6442-I6448+I6447,MAX(0,I6483-Assumptions!$C$12*I6401-I6411-I6424-I6437))</f>
        <v>0</v>
      </c>
      <c r="J6450" s="25" t="n">
        <f aca="false">J6443*MIN(J6442-J6448+J6447,MAX(0,J6483-Assumptions!$C$12*J6401-J6411-J6424-J6437))</f>
        <v>0</v>
      </c>
      <c r="K6450" s="25" t="n">
        <f aca="false">K6443*MIN(K6442-K6448+K6447,MAX(0,K6483-Assumptions!$C$12*K6401-K6411-K6424-K6437))</f>
        <v>0</v>
      </c>
    </row>
    <row r="6451" customFormat="false" ht="15" hidden="false" customHeight="false" outlineLevel="0" collapsed="false">
      <c r="A6451" s="5" t="s">
        <v>272</v>
      </c>
      <c r="G6451" s="25" t="n">
        <f aca="false">Assumptions!$N$56*MIN(G6442+G6449+G6447-G6448-G6450,MAX(0,G6487-G6412-G6425-G6438))</f>
        <v>0</v>
      </c>
      <c r="H6451" s="25" t="n">
        <f aca="false">Assumptions!$N$56*MIN(H6442+H6449+H6447-H6448-H6450,MAX(0,H6487-H6412-H6425-H6438))</f>
        <v>0</v>
      </c>
      <c r="I6451" s="25" t="n">
        <f aca="false">Assumptions!$N$56*MIN(I6442+I6449+I6447-I6448-I6450,MAX(0,I6487-I6412-I6425-I6438))</f>
        <v>0</v>
      </c>
      <c r="J6451" s="25" t="n">
        <f aca="false">Assumptions!$N$56*MIN(J6442+J6449+J6447-J6448-J6450,MAX(0,J6487-J6412-J6425-J6438))</f>
        <v>0</v>
      </c>
      <c r="K6451" s="25" t="n">
        <f aca="false">Assumptions!$N$56*MIN(K6442+K6449+K6447-K6448-K6450,MAX(0,K6487-K6412-K6425-K6438))</f>
        <v>0</v>
      </c>
    </row>
    <row r="6452" customFormat="false" ht="15" hidden="false" customHeight="false" outlineLevel="0" collapsed="false">
      <c r="A6452" s="5" t="s">
        <v>273</v>
      </c>
      <c r="G6452" s="25" t="n">
        <f aca="false">G6443*(1-G6401)*(G6442-G6448+G6447-G6450)</f>
        <v>0</v>
      </c>
      <c r="H6452" s="25" t="n">
        <f aca="false">H6443*(1-H6401)*(H6442-H6448+H6447-H6450)</f>
        <v>300</v>
      </c>
      <c r="I6452" s="25" t="n">
        <f aca="false">I6443*(1-I6401)*(I6442-I6448+I6447-I6450)</f>
        <v>0</v>
      </c>
      <c r="J6452" s="25" t="n">
        <f aca="false">J6443*(1-J6401)*(J6442-J6448+J6447-J6450)</f>
        <v>0</v>
      </c>
      <c r="K6452" s="25" t="n">
        <f aca="false">K6443*(1-K6401)*(K6442-K6448+K6447-K6450)</f>
        <v>0</v>
      </c>
    </row>
    <row r="6453" customFormat="false" ht="15" hidden="false" customHeight="false" outlineLevel="0" collapsed="false">
      <c r="A6453" s="2" t="s">
        <v>274</v>
      </c>
      <c r="F6453" s="27" t="n">
        <f aca="false">Assumptions!$C$56</f>
        <v>300</v>
      </c>
      <c r="G6453" s="16" t="n">
        <f aca="false">G6442+G6449+G6447-G6448-G6450-G6451</f>
        <v>300</v>
      </c>
      <c r="H6453" s="16" t="n">
        <f aca="false">H6442+H6449+H6447-H6448-H6450-H6451</f>
        <v>300</v>
      </c>
      <c r="I6453" s="16" t="n">
        <f aca="false">I6442+I6449+I6447-I6448-I6450-I6451</f>
        <v>300</v>
      </c>
      <c r="J6453" s="16" t="n">
        <f aca="false">J6442+J6449+J6447-J6448-J6450-J6451</f>
        <v>300</v>
      </c>
      <c r="K6453" s="16" t="n">
        <f aca="false">K6442+K6449+K6447-K6448-K6450-K6451</f>
        <v>300</v>
      </c>
    </row>
    <row r="6454" customFormat="false" ht="15" hidden="false" customHeight="false" outlineLevel="0" collapsed="false">
      <c r="A6454" s="23" t="s">
        <v>278</v>
      </c>
      <c r="B6454" s="24"/>
      <c r="C6454" s="24"/>
      <c r="D6454" s="24"/>
      <c r="E6454" s="24"/>
      <c r="F6454" s="24"/>
      <c r="G6454" s="24"/>
      <c r="H6454" s="24"/>
      <c r="I6454" s="24"/>
      <c r="J6454" s="24"/>
      <c r="K6454" s="24"/>
    </row>
    <row r="6455" customFormat="false" ht="15" hidden="false" customHeight="false" outlineLevel="0" collapsed="false">
      <c r="A6455" s="2" t="s">
        <v>279</v>
      </c>
      <c r="F6455" s="16" t="n">
        <f aca="false">F6414+F6427+F6440+F6453</f>
        <v>1250</v>
      </c>
      <c r="G6455" s="16" t="n">
        <f aca="false">G6414+G6427+G6440+G6453</f>
        <v>1196.24</v>
      </c>
      <c r="H6455" s="16" t="n">
        <f aca="false">H6414+H6427+H6440+H6453</f>
        <v>1191.04</v>
      </c>
      <c r="I6455" s="16" t="n">
        <f aca="false">I6414+I6427+I6440+I6453</f>
        <v>1185.84</v>
      </c>
      <c r="J6455" s="16" t="n">
        <f aca="false">J6414+J6427+J6440+J6453</f>
        <v>1180.64</v>
      </c>
      <c r="K6455" s="16" t="n">
        <f aca="false">K6414+K6427+K6440+K6453</f>
        <v>1175.44</v>
      </c>
    </row>
    <row r="6456" customFormat="false" ht="15" hidden="false" customHeight="false" outlineLevel="0" collapsed="false">
      <c r="A6456" s="5" t="s">
        <v>280</v>
      </c>
      <c r="G6456" s="25" t="n">
        <f aca="false">G6404*Assumptions!$C$53+G6417*Assumptions!$C$54+G6430*Assumptions!$C$55+G6443*Assumptions!$C$56</f>
        <v>0</v>
      </c>
      <c r="H6456" s="25" t="n">
        <f aca="false">H6404*Assumptions!$C$53+H6417*Assumptions!$C$54+H6430*Assumptions!$C$55+H6443*Assumptions!$C$56</f>
        <v>480</v>
      </c>
      <c r="I6456" s="25" t="n">
        <f aca="false">I6404*Assumptions!$C$53+I6417*Assumptions!$C$54+I6430*Assumptions!$C$55+I6443*Assumptions!$C$56</f>
        <v>520</v>
      </c>
      <c r="J6456" s="25" t="n">
        <f aca="false">J6404*Assumptions!$C$53+J6417*Assumptions!$C$54+J6430*Assumptions!$C$55+J6443*Assumptions!$C$56</f>
        <v>250</v>
      </c>
      <c r="K6456" s="25" t="n">
        <f aca="false">K6404*Assumptions!$C$53+K6417*Assumptions!$C$54+K6430*Assumptions!$C$55+K6443*Assumptions!$C$56</f>
        <v>0</v>
      </c>
    </row>
    <row r="6457" customFormat="false" ht="15" hidden="false" customHeight="false" outlineLevel="0" collapsed="false">
      <c r="A6457" s="23" t="s">
        <v>281</v>
      </c>
      <c r="B6457" s="24"/>
      <c r="C6457" s="24"/>
      <c r="D6457" s="24"/>
      <c r="E6457" s="24"/>
      <c r="F6457" s="24"/>
      <c r="G6457" s="24"/>
      <c r="H6457" s="24"/>
      <c r="I6457" s="24"/>
      <c r="J6457" s="24"/>
      <c r="K6457" s="24"/>
    </row>
    <row r="6458" customFormat="false" ht="15" hidden="false" customHeight="false" outlineLevel="0" collapsed="false">
      <c r="A6458" s="5" t="s">
        <v>282</v>
      </c>
      <c r="C6458" s="25" t="n">
        <f aca="false">SUMPRODUCT($G$6404:$K$6404,$G$6403:$K$6403-$G$6409:$K$6409+$G$6408:$K$6408)</f>
        <v>131.44</v>
      </c>
    </row>
    <row r="6459" customFormat="false" ht="15" hidden="false" customHeight="false" outlineLevel="0" collapsed="false">
      <c r="A6459" s="5" t="s">
        <v>283</v>
      </c>
      <c r="C6459" s="25" t="n">
        <f aca="false">SUMPRODUCT($G$6404:$K$6404,$G$6411:$K$6411)</f>
        <v>0</v>
      </c>
    </row>
    <row r="6460" customFormat="false" ht="15" hidden="false" customHeight="false" outlineLevel="0" collapsed="false">
      <c r="A6460" s="5" t="s">
        <v>284</v>
      </c>
      <c r="C6460" s="5" t="str">
        <f aca="false">IF(SUM($G$6404:$K$6404)=0,"n/a (beyond horizon)",IF(SUMPRODUCT($G$6404:$K$6404,$G$6401:$K$6401)&gt;0,"REFINANCING PASS","REFINANCING FAILURE"))</f>
        <v>REFINANCING FAILURE</v>
      </c>
    </row>
    <row r="6461" customFormat="false" ht="15" hidden="false" customHeight="false" outlineLevel="0" collapsed="false">
      <c r="A6461" s="5" t="s">
        <v>285</v>
      </c>
      <c r="C6461" s="5" t="str">
        <f aca="false">IF(SUM($G$6404:$K$6404)=0,"n/a",IF(C6459&gt;=C6458-0.001,"Repaid from cash",IF(SUMPRODUCT($G$6404:$K$6404,$G$6401:$K$6401)&gt;0,IF(C6459&gt;0,"Partly repaid; remainder refinanced","Refinanced"),IF(SUM($G$6413:$K$6413)&gt;0.001,IF(C6459&gt;0,"Partial repayment; PAYMENT DEFAULT","PAYMENT DEFAULT"),"Repaid from cash"))))</f>
        <v>PAYMENT DEFAULT</v>
      </c>
    </row>
    <row r="6462" customFormat="false" ht="15" hidden="false" customHeight="false" outlineLevel="0" collapsed="false">
      <c r="A6462" s="5" t="s">
        <v>286</v>
      </c>
      <c r="C6462" s="25" t="n">
        <f aca="false">SUMPRODUCT($G$6417:$K$6417,$G$6416:$K$6416-$G$6422:$K$6422+$G$6421:$K$6421)</f>
        <v>504.4</v>
      </c>
    </row>
    <row r="6463" customFormat="false" ht="15" hidden="false" customHeight="false" outlineLevel="0" collapsed="false">
      <c r="A6463" s="5" t="s">
        <v>287</v>
      </c>
      <c r="C6463" s="25" t="n">
        <f aca="false">SUMPRODUCT($G$6417:$K$6417,$G$6424:$K$6424)</f>
        <v>0</v>
      </c>
    </row>
    <row r="6464" customFormat="false" ht="15" hidden="false" customHeight="false" outlineLevel="0" collapsed="false">
      <c r="A6464" s="5" t="s">
        <v>288</v>
      </c>
      <c r="C6464" s="5" t="str">
        <f aca="false">IF(SUM($G$6417:$K$6417)=0,"n/a (beyond horizon)",IF(SUMPRODUCT($G$6417:$K$6417,$G$6401:$K$6401)&gt;0,"REFINANCING PASS","REFINANCING FAILURE"))</f>
        <v>REFINANCING FAILURE</v>
      </c>
    </row>
    <row r="6465" customFormat="false" ht="15" hidden="false" customHeight="false" outlineLevel="0" collapsed="false">
      <c r="A6465" s="5" t="s">
        <v>289</v>
      </c>
      <c r="C6465" s="5" t="str">
        <f aca="false">IF(SUM($G$6417:$K$6417)=0,"n/a",IF(C6463&gt;=C6462-0.001,"Repaid from cash",IF(SUMPRODUCT($G$6417:$K$6417,$G$6401:$K$6401)&gt;0,IF(C6463&gt;0,"Partly repaid; remainder refinanced","Refinanced"),IF(SUM($G$6426:$K$6426)&gt;0.001,IF(C6463&gt;0,"Partial repayment; PAYMENT DEFAULT","PAYMENT DEFAULT"),"Repaid from cash"))))</f>
        <v>PAYMENT DEFAULT</v>
      </c>
    </row>
    <row r="6466" customFormat="false" ht="15" hidden="false" customHeight="false" outlineLevel="0" collapsed="false">
      <c r="A6466" s="5" t="s">
        <v>290</v>
      </c>
      <c r="C6466" s="25" t="n">
        <f aca="false">SUMPRODUCT($G$6430:$K$6430,$G$6429:$K$6429-$G$6435:$K$6435+$G$6434:$K$6434)</f>
        <v>250</v>
      </c>
    </row>
    <row r="6467" customFormat="false" ht="15" hidden="false" customHeight="false" outlineLevel="0" collapsed="false">
      <c r="A6467" s="5" t="s">
        <v>291</v>
      </c>
      <c r="C6467" s="25" t="n">
        <f aca="false">SUMPRODUCT($G$6430:$K$6430,$G$6437:$K$6437)</f>
        <v>0</v>
      </c>
    </row>
    <row r="6468" customFormat="false" ht="15" hidden="false" customHeight="false" outlineLevel="0" collapsed="false">
      <c r="A6468" s="5" t="s">
        <v>292</v>
      </c>
      <c r="C6468" s="5" t="str">
        <f aca="false">IF(SUM($G$6430:$K$6430)=0,"n/a (beyond horizon)",IF(SUMPRODUCT($G$6430:$K$6430,$G$6401:$K$6401)&gt;0,"REFINANCING PASS","REFINANCING FAILURE"))</f>
        <v>REFINANCING FAILURE</v>
      </c>
    </row>
    <row r="6469" customFormat="false" ht="15" hidden="false" customHeight="false" outlineLevel="0" collapsed="false">
      <c r="A6469" s="5" t="s">
        <v>293</v>
      </c>
      <c r="C6469" s="5" t="str">
        <f aca="false">IF(SUM($G$6430:$K$6430)=0,"n/a",IF(C6467&gt;=C6466-0.001,"Repaid from cash",IF(SUMPRODUCT($G$6430:$K$6430,$G$6401:$K$6401)&gt;0,IF(C6467&gt;0,"Partly repaid; remainder refinanced","Refinanced"),IF(SUM($G$6439:$K$6439)&gt;0.001,IF(C6467&gt;0,"Partial repayment; PAYMENT DEFAULT","PAYMENT DEFAULT"),"Repaid from cash"))))</f>
        <v>PAYMENT DEFAULT</v>
      </c>
    </row>
    <row r="6470" customFormat="false" ht="15" hidden="false" customHeight="false" outlineLevel="0" collapsed="false">
      <c r="A6470" s="5" t="s">
        <v>294</v>
      </c>
      <c r="C6470" s="25" t="n">
        <f aca="false">SUMPRODUCT($G$6443:$K$6443,$G$6442:$K$6442-$G$6448:$K$6448+$G$6447:$K$6447)</f>
        <v>300</v>
      </c>
    </row>
    <row r="6471" customFormat="false" ht="15" hidden="false" customHeight="false" outlineLevel="0" collapsed="false">
      <c r="A6471" s="5" t="s">
        <v>295</v>
      </c>
      <c r="C6471" s="25" t="n">
        <f aca="false">SUMPRODUCT($G$6443:$K$6443,$G$6450:$K$6450)</f>
        <v>0</v>
      </c>
    </row>
    <row r="6472" customFormat="false" ht="15" hidden="false" customHeight="false" outlineLevel="0" collapsed="false">
      <c r="A6472" s="5" t="s">
        <v>296</v>
      </c>
      <c r="C6472" s="5" t="str">
        <f aca="false">IF(SUM($G$6443:$K$6443)=0,"n/a (beyond horizon)",IF(SUMPRODUCT($G$6443:$K$6443,$G$6401:$K$6401)&gt;0,"REFINANCING PASS","REFINANCING FAILURE"))</f>
        <v>REFINANCING FAILURE</v>
      </c>
    </row>
    <row r="6473" customFormat="false" ht="15" hidden="false" customHeight="false" outlineLevel="0" collapsed="false">
      <c r="A6473" s="5" t="s">
        <v>297</v>
      </c>
      <c r="C6473" s="5" t="str">
        <f aca="false">IF(SUM($G$6443:$K$6443)=0,"n/a",IF(C6471&gt;=C6470-0.001,"Repaid from cash",IF(SUMPRODUCT($G$6443:$K$6443,$G$6401:$K$6401)&gt;0,IF(C6471&gt;0,"Partly repaid; remainder refinanced","Refinanced"),IF(SUM($G$6452:$K$6452)&gt;0.001,IF(C6471&gt;0,"Partial repayment; PAYMENT DEFAULT","PAYMENT DEFAULT"),"Repaid from cash"))))</f>
        <v>PAYMENT DEFAULT</v>
      </c>
    </row>
    <row r="6474" customFormat="false" ht="15" hidden="false" customHeight="false" outlineLevel="0" collapsed="false">
      <c r="A6474" s="5" t="s">
        <v>298</v>
      </c>
      <c r="C6474" s="20" t="n">
        <f aca="false">IF(C6460="REFINANCING FAILURE",1,0)+IF(C6464="REFINANCING FAILURE",1,0)+IF(C6468="REFINANCING FAILURE",1,0)+IF(C6472="REFINANCING FAILURE",1,0)</f>
        <v>4</v>
      </c>
    </row>
    <row r="6476" customFormat="false" ht="15" hidden="false" customHeight="false" outlineLevel="0" collapsed="false">
      <c r="A6476" s="23" t="s">
        <v>300</v>
      </c>
      <c r="B6476" s="24"/>
      <c r="C6476" s="24"/>
      <c r="D6476" s="24"/>
      <c r="E6476" s="24"/>
      <c r="F6476" s="24"/>
      <c r="G6476" s="24"/>
      <c r="H6476" s="24"/>
      <c r="I6476" s="24"/>
      <c r="J6476" s="24"/>
      <c r="K6476" s="24"/>
    </row>
    <row r="6477" customFormat="false" ht="15" hidden="false" customHeight="false" outlineLevel="0" collapsed="false">
      <c r="A6477" s="5" t="s">
        <v>260</v>
      </c>
      <c r="G6477" s="25" t="n">
        <f aca="false">F6489</f>
        <v>45</v>
      </c>
      <c r="H6477" s="25" t="n">
        <f aca="false">G6489</f>
        <v>0</v>
      </c>
      <c r="I6477" s="25" t="n">
        <f aca="false">H6489</f>
        <v>-0.368559999999989</v>
      </c>
      <c r="J6477" s="25" t="n">
        <f aca="false">I6489</f>
        <v>-8.15791759999998</v>
      </c>
      <c r="K6477" s="25" t="n">
        <f aca="false">J6489</f>
        <v>-24.305836696</v>
      </c>
    </row>
    <row r="6478" customFormat="false" ht="15" hidden="false" customHeight="false" outlineLevel="0" collapsed="false">
      <c r="A6478" s="5" t="s">
        <v>301</v>
      </c>
      <c r="G6478" s="25" t="n">
        <f aca="false">G6390</f>
        <v>8.76000000000001</v>
      </c>
      <c r="H6478" s="25" t="n">
        <f aca="false">H6390</f>
        <v>4.83144000000001</v>
      </c>
      <c r="I6478" s="25" t="n">
        <f aca="false">I6390</f>
        <v>-2.58935759999999</v>
      </c>
      <c r="J6478" s="25" t="n">
        <f aca="false">J6390</f>
        <v>-10.947919096</v>
      </c>
      <c r="K6478" s="25" t="n">
        <f aca="false">K6390</f>
        <v>-18.66226185992</v>
      </c>
    </row>
    <row r="6479" customFormat="false" ht="15" hidden="false" customHeight="false" outlineLevel="0" collapsed="false">
      <c r="A6479" s="5" t="s">
        <v>302</v>
      </c>
      <c r="G6479" s="25" t="n">
        <f aca="false">CHOOSE($C$6360,Assumptions!$G$68,Assumptions!$G$87,Assumptions!$G$106)</f>
        <v>0</v>
      </c>
      <c r="H6479" s="25" t="n">
        <f aca="false">CHOOSE($C$6360,Assumptions!$H$68,Assumptions!$H$87,Assumptions!$H$106)</f>
        <v>0</v>
      </c>
      <c r="I6479" s="25" t="n">
        <f aca="false">CHOOSE($C$6360,Assumptions!$I$68,Assumptions!$I$87,Assumptions!$I$106)</f>
        <v>0</v>
      </c>
      <c r="J6479" s="25" t="n">
        <f aca="false">CHOOSE($C$6360,Assumptions!$J$68,Assumptions!$J$87,Assumptions!$J$106)</f>
        <v>0</v>
      </c>
      <c r="K6479" s="25" t="n">
        <f aca="false">CHOOSE($C$6360,Assumptions!$K$68,Assumptions!$K$87,Assumptions!$K$106)</f>
        <v>0</v>
      </c>
    </row>
    <row r="6480" customFormat="false" ht="15" hidden="false" customHeight="false" outlineLevel="0" collapsed="false">
      <c r="A6480" s="5" t="s">
        <v>303</v>
      </c>
      <c r="G6480" s="25" t="n">
        <f aca="false">G6409+G6422+G6435+G6448</f>
        <v>5.2</v>
      </c>
      <c r="H6480" s="25" t="n">
        <f aca="false">H6409+H6422+H6435+H6448</f>
        <v>5.2</v>
      </c>
      <c r="I6480" s="25" t="n">
        <f aca="false">I6409+I6422+I6435+I6448</f>
        <v>5.2</v>
      </c>
      <c r="J6480" s="25" t="n">
        <f aca="false">J6409+J6422+J6435+J6448</f>
        <v>5.2</v>
      </c>
      <c r="K6480" s="25" t="n">
        <f aca="false">K6409+K6422+K6435+K6448</f>
        <v>5.2</v>
      </c>
    </row>
    <row r="6481" customFormat="false" ht="15" hidden="false" customHeight="false" outlineLevel="0" collapsed="false">
      <c r="A6481" s="2" t="s">
        <v>304</v>
      </c>
      <c r="G6481" s="16" t="n">
        <f aca="false">G6477+G6478+G6479-G6480</f>
        <v>48.56</v>
      </c>
      <c r="H6481" s="16" t="n">
        <f aca="false">H6477+H6478+H6479-H6480</f>
        <v>-0.368559999999989</v>
      </c>
      <c r="I6481" s="16" t="n">
        <f aca="false">I6477+I6478+I6479-I6480</f>
        <v>-8.15791759999998</v>
      </c>
      <c r="J6481" s="16" t="n">
        <f aca="false">J6477+J6478+J6479-J6480</f>
        <v>-24.305836696</v>
      </c>
      <c r="K6481" s="16" t="n">
        <f aca="false">K6477+K6478+K6479-K6480</f>
        <v>-48.16809855592</v>
      </c>
    </row>
    <row r="6482" customFormat="false" ht="15" hidden="false" customHeight="false" outlineLevel="0" collapsed="false">
      <c r="A6482" s="5" t="s">
        <v>305</v>
      </c>
      <c r="G6482" s="25" t="n">
        <f aca="false">G6410+G6423+G6436+G6449</f>
        <v>0</v>
      </c>
      <c r="H6482" s="25" t="n">
        <f aca="false">H6410+H6423+H6436+H6449</f>
        <v>0</v>
      </c>
      <c r="I6482" s="25" t="n">
        <f aca="false">I6410+I6423+I6436+I6449</f>
        <v>0</v>
      </c>
      <c r="J6482" s="25" t="n">
        <f aca="false">J6410+J6423+J6436+J6449</f>
        <v>0</v>
      </c>
      <c r="K6482" s="25" t="n">
        <f aca="false">K6410+K6423+K6436+K6449</f>
        <v>0</v>
      </c>
    </row>
    <row r="6483" customFormat="false" ht="15" hidden="false" customHeight="false" outlineLevel="0" collapsed="false">
      <c r="A6483" s="2" t="s">
        <v>306</v>
      </c>
      <c r="G6483" s="16" t="n">
        <f aca="false">G6481+G6482</f>
        <v>48.56</v>
      </c>
      <c r="H6483" s="16" t="n">
        <f aca="false">H6481+H6482</f>
        <v>-0.368559999999989</v>
      </c>
      <c r="I6483" s="16" t="n">
        <f aca="false">I6481+I6482</f>
        <v>-8.15791759999998</v>
      </c>
      <c r="J6483" s="16" t="n">
        <f aca="false">J6481+J6482</f>
        <v>-24.305836696</v>
      </c>
      <c r="K6483" s="16" t="n">
        <f aca="false">K6481+K6482</f>
        <v>-48.16809855592</v>
      </c>
    </row>
    <row r="6484" customFormat="false" ht="15" hidden="false" customHeight="false" outlineLevel="0" collapsed="false">
      <c r="A6484" s="5" t="s">
        <v>307</v>
      </c>
      <c r="G6484" s="25" t="n">
        <f aca="false">G6411+G6424+G6437+G6450</f>
        <v>0</v>
      </c>
      <c r="H6484" s="25" t="n">
        <f aca="false">H6411+H6424+H6437+H6450</f>
        <v>0</v>
      </c>
      <c r="I6484" s="25" t="n">
        <f aca="false">I6411+I6424+I6437+I6450</f>
        <v>0</v>
      </c>
      <c r="J6484" s="25" t="n">
        <f aca="false">J6411+J6424+J6437+J6450</f>
        <v>0</v>
      </c>
      <c r="K6484" s="25" t="n">
        <f aca="false">K6411+K6424+K6437+K6450</f>
        <v>0</v>
      </c>
    </row>
    <row r="6485" customFormat="false" ht="15" hidden="false" customHeight="false" outlineLevel="0" collapsed="false">
      <c r="A6485" s="2" t="s">
        <v>308</v>
      </c>
      <c r="G6485" s="16" t="n">
        <f aca="false">G6483-G6484</f>
        <v>48.56</v>
      </c>
      <c r="H6485" s="16" t="n">
        <f aca="false">H6483-H6484</f>
        <v>-0.368559999999989</v>
      </c>
      <c r="I6485" s="16" t="n">
        <f aca="false">I6483-I6484</f>
        <v>-8.15791759999998</v>
      </c>
      <c r="J6485" s="16" t="n">
        <f aca="false">J6483-J6484</f>
        <v>-24.305836696</v>
      </c>
      <c r="K6485" s="16" t="n">
        <f aca="false">K6483-K6484</f>
        <v>-48.16809855592</v>
      </c>
    </row>
    <row r="6486" customFormat="false" ht="15" hidden="false" customHeight="false" outlineLevel="0" collapsed="false">
      <c r="A6486" s="5" t="s">
        <v>309</v>
      </c>
      <c r="G6486" s="25" t="n">
        <f aca="false">MAX(0,-G6485)</f>
        <v>0</v>
      </c>
      <c r="H6486" s="25" t="n">
        <f aca="false">MAX(0,-H6485)</f>
        <v>0.368559999999989</v>
      </c>
      <c r="I6486" s="25" t="n">
        <f aca="false">MAX(0,-I6485)</f>
        <v>8.15791759999998</v>
      </c>
      <c r="J6486" s="25" t="n">
        <f aca="false">MAX(0,-J6485)</f>
        <v>24.305836696</v>
      </c>
      <c r="K6486" s="25" t="n">
        <f aca="false">MAX(0,-K6485)</f>
        <v>48.16809855592</v>
      </c>
    </row>
    <row r="6487" customFormat="false" ht="15" hidden="false" customHeight="false" outlineLevel="0" collapsed="false">
      <c r="A6487" s="5" t="s">
        <v>310</v>
      </c>
      <c r="G6487" s="25" t="n">
        <f aca="false">MAX(0,G6485-Assumptions!$C$12)*Assumptions!$C$13</f>
        <v>48.56</v>
      </c>
      <c r="H6487" s="25" t="n">
        <f aca="false">MAX(0,H6485-Assumptions!$C$12)*Assumptions!$C$13</f>
        <v>0</v>
      </c>
      <c r="I6487" s="25" t="n">
        <f aca="false">MAX(0,I6485-Assumptions!$C$12)*Assumptions!$C$13</f>
        <v>0</v>
      </c>
      <c r="J6487" s="25" t="n">
        <f aca="false">MAX(0,J6485-Assumptions!$C$12)*Assumptions!$C$13</f>
        <v>0</v>
      </c>
      <c r="K6487" s="25" t="n">
        <f aca="false">MAX(0,K6485-Assumptions!$C$12)*Assumptions!$C$13</f>
        <v>0</v>
      </c>
    </row>
    <row r="6488" customFormat="false" ht="15" hidden="false" customHeight="false" outlineLevel="0" collapsed="false">
      <c r="A6488" s="5" t="s">
        <v>311</v>
      </c>
      <c r="G6488" s="25" t="n">
        <f aca="false">G6412+G6425+G6438+G6451</f>
        <v>48.56</v>
      </c>
      <c r="H6488" s="25" t="n">
        <f aca="false">H6412+H6425+H6438+H6451</f>
        <v>0</v>
      </c>
      <c r="I6488" s="25" t="n">
        <f aca="false">I6412+I6425+I6438+I6451</f>
        <v>0</v>
      </c>
      <c r="J6488" s="25" t="n">
        <f aca="false">J6412+J6425+J6438+J6451</f>
        <v>0</v>
      </c>
      <c r="K6488" s="25" t="n">
        <f aca="false">K6412+K6425+K6438+K6451</f>
        <v>0</v>
      </c>
    </row>
    <row r="6489" customFormat="false" ht="15" hidden="false" customHeight="false" outlineLevel="0" collapsed="false">
      <c r="A6489" s="2" t="s">
        <v>312</v>
      </c>
      <c r="F6489" s="27" t="n">
        <f aca="false">Assumptions!$C$11</f>
        <v>45</v>
      </c>
      <c r="G6489" s="16" t="n">
        <f aca="false">G6485-G6488</f>
        <v>0</v>
      </c>
      <c r="H6489" s="16" t="n">
        <f aca="false">H6485-H6488</f>
        <v>-0.368559999999989</v>
      </c>
      <c r="I6489" s="16" t="n">
        <f aca="false">I6485-I6488</f>
        <v>-8.15791759999998</v>
      </c>
      <c r="J6489" s="16" t="n">
        <f aca="false">J6485-J6488</f>
        <v>-24.305836696</v>
      </c>
      <c r="K6489" s="16" t="n">
        <f aca="false">K6485-K6488</f>
        <v>-48.16809855592</v>
      </c>
    </row>
    <row r="6490" customFormat="false" ht="15" hidden="false" customHeight="false" outlineLevel="0" collapsed="false">
      <c r="A6490" s="5" t="s">
        <v>313</v>
      </c>
      <c r="G6490" s="25" t="n">
        <f aca="false">G6413+G6426+G6439+G6452</f>
        <v>0</v>
      </c>
      <c r="H6490" s="25" t="n">
        <f aca="false">H6413+H6426+H6439+H6452</f>
        <v>431.44</v>
      </c>
      <c r="I6490" s="25" t="n">
        <f aca="false">I6413+I6426+I6439+I6452</f>
        <v>504.4</v>
      </c>
      <c r="J6490" s="25" t="n">
        <f aca="false">J6413+J6426+J6439+J6452</f>
        <v>250</v>
      </c>
      <c r="K6490" s="25" t="n">
        <f aca="false">K6413+K6426+K6439+K6452</f>
        <v>0</v>
      </c>
    </row>
    <row r="6491" customFormat="false" ht="15" hidden="false" customHeight="false" outlineLevel="0" collapsed="false">
      <c r="A6491" s="5" t="s">
        <v>314</v>
      </c>
      <c r="G6491" s="20" t="n">
        <f aca="false">IF(OR(G6486&gt;0.001,G6490&gt;0.001),1,0)</f>
        <v>0</v>
      </c>
      <c r="H6491" s="20" t="n">
        <f aca="false">IF(OR(H6486&gt;0.001,H6490&gt;0.001),1,0)</f>
        <v>1</v>
      </c>
      <c r="I6491" s="20" t="n">
        <f aca="false">IF(OR(I6486&gt;0.001,I6490&gt;0.001),1,0)</f>
        <v>1</v>
      </c>
      <c r="J6491" s="20" t="n">
        <f aca="false">IF(OR(J6486&gt;0.001,J6490&gt;0.001),1,0)</f>
        <v>1</v>
      </c>
      <c r="K6491" s="20" t="n">
        <f aca="false">IF(OR(K6486&gt;0.001,K6490&gt;0.001),1,0)</f>
        <v>1</v>
      </c>
    </row>
    <row r="6492" customFormat="false" ht="15" hidden="false" customHeight="false" outlineLevel="0" collapsed="false">
      <c r="A6492" s="5" t="s">
        <v>315</v>
      </c>
      <c r="G6492" s="20" t="n">
        <f aca="false">IF(G6491=1,1,0)</f>
        <v>0</v>
      </c>
      <c r="H6492" s="20" t="n">
        <f aca="false">IF(AND(H6491=1,SUM($G$6491:G6491)=0),1,0)</f>
        <v>1</v>
      </c>
      <c r="I6492" s="20" t="n">
        <f aca="false">IF(AND(I6491=1,SUM($G$6491:H6491)=0),1,0)</f>
        <v>0</v>
      </c>
      <c r="J6492" s="20" t="n">
        <f aca="false">IF(AND(J6491=1,SUM($G$6491:I6491)=0),1,0)</f>
        <v>0</v>
      </c>
      <c r="K6492" s="20" t="n">
        <f aca="false">IF(AND(K6491=1,SUM($G$6491:J6491)=0),1,0)</f>
        <v>0</v>
      </c>
    </row>
    <row r="6493" customFormat="false" ht="15" hidden="false" customHeight="false" outlineLevel="0" collapsed="false">
      <c r="A6493" s="5" t="s">
        <v>316</v>
      </c>
      <c r="G6493" s="25" t="n">
        <f aca="false">(G6455-F6455)-(G6482+G6382-G6480-G6484-G6488)</f>
        <v>0</v>
      </c>
      <c r="H6493" s="25" t="n">
        <f aca="false">(H6455-G6455)-(H6482+H6382-H6480-H6484-H6488)</f>
        <v>-4.52970994047064E-014</v>
      </c>
      <c r="I6493" s="25" t="n">
        <f aca="false">(I6455-H6455)-(I6482+I6382-I6480-I6484-I6488)</f>
        <v>-4.52970994047064E-014</v>
      </c>
      <c r="J6493" s="25" t="n">
        <f aca="false">(J6455-I6455)-(J6482+J6382-J6480-J6484-J6488)</f>
        <v>-4.52970994047064E-014</v>
      </c>
      <c r="K6493" s="25" t="n">
        <f aca="false">(K6455-J6455)-(K6482+K6382-K6480-K6484-K6488)</f>
        <v>1.82076576038526E-013</v>
      </c>
    </row>
    <row r="6495" customFormat="false" ht="15" hidden="false" customHeight="false" outlineLevel="0" collapsed="false">
      <c r="A6495" s="23" t="s">
        <v>318</v>
      </c>
      <c r="B6495" s="24"/>
      <c r="C6495" s="24"/>
      <c r="D6495" s="24"/>
      <c r="E6495" s="24"/>
      <c r="F6495" s="24"/>
      <c r="G6495" s="24"/>
      <c r="H6495" s="24"/>
      <c r="I6495" s="24"/>
      <c r="J6495" s="24"/>
      <c r="K6495" s="24"/>
    </row>
    <row r="6496" customFormat="false" ht="15" hidden="false" customHeight="false" outlineLevel="0" collapsed="false">
      <c r="A6496" s="5" t="s">
        <v>319</v>
      </c>
      <c r="G6496" s="25" t="n">
        <f aca="false">G6455</f>
        <v>1196.24</v>
      </c>
      <c r="H6496" s="25" t="n">
        <f aca="false">H6455</f>
        <v>1191.04</v>
      </c>
      <c r="I6496" s="25" t="n">
        <f aca="false">I6455</f>
        <v>1185.84</v>
      </c>
      <c r="J6496" s="25" t="n">
        <f aca="false">J6455</f>
        <v>1180.64</v>
      </c>
      <c r="K6496" s="25" t="n">
        <f aca="false">K6455</f>
        <v>1175.44</v>
      </c>
    </row>
    <row r="6497" customFormat="false" ht="15" hidden="false" customHeight="false" outlineLevel="0" collapsed="false">
      <c r="A6497" s="5" t="s">
        <v>320</v>
      </c>
      <c r="G6497" s="25" t="n">
        <f aca="false">Assumptions!$O$53*G6414+Assumptions!$O$54*G6427+Assumptions!$O$55*G6440+Assumptions!$O$56*G6453</f>
        <v>896.24</v>
      </c>
      <c r="H6497" s="25" t="n">
        <f aca="false">Assumptions!$O$53*H6414+Assumptions!$O$54*H6427+Assumptions!$O$55*H6440+Assumptions!$O$56*H6453</f>
        <v>891.04</v>
      </c>
      <c r="I6497" s="25" t="n">
        <f aca="false">Assumptions!$O$53*I6414+Assumptions!$O$54*I6427+Assumptions!$O$55*I6440+Assumptions!$O$56*I6453</f>
        <v>885.84</v>
      </c>
      <c r="J6497" s="25" t="n">
        <f aca="false">Assumptions!$O$53*J6414+Assumptions!$O$54*J6427+Assumptions!$O$55*J6440+Assumptions!$O$56*J6453</f>
        <v>880.64</v>
      </c>
      <c r="K6497" s="25" t="n">
        <f aca="false">Assumptions!$O$53*K6414+Assumptions!$O$54*K6427+Assumptions!$O$55*K6440+Assumptions!$O$56*K6453</f>
        <v>875.44</v>
      </c>
    </row>
    <row r="6498" customFormat="false" ht="15" hidden="false" customHeight="false" outlineLevel="0" collapsed="false">
      <c r="A6498" s="5" t="s">
        <v>321</v>
      </c>
      <c r="G6498" s="25" t="n">
        <f aca="false">G6496-G6489</f>
        <v>1196.24</v>
      </c>
      <c r="H6498" s="25" t="n">
        <f aca="false">H6496-H6489</f>
        <v>1191.40856</v>
      </c>
      <c r="I6498" s="25" t="n">
        <f aca="false">I6496-I6489</f>
        <v>1193.9979176</v>
      </c>
      <c r="J6498" s="25" t="n">
        <f aca="false">J6496-J6489</f>
        <v>1204.945836696</v>
      </c>
      <c r="K6498" s="25" t="n">
        <f aca="false">K6496-K6489</f>
        <v>1223.60809855592</v>
      </c>
    </row>
    <row r="6499" customFormat="false" ht="15" hidden="false" customHeight="false" outlineLevel="0" collapsed="false">
      <c r="A6499" s="5" t="s">
        <v>322</v>
      </c>
      <c r="G6499" s="31" t="n">
        <f aca="false">IF(G6377&gt;0,G6496/G6377,0)</f>
        <v>8.61596081820801</v>
      </c>
      <c r="H6499" s="31" t="n">
        <f aca="false">IF(H6377&gt;0,H6496/H6377,0)</f>
        <v>9.35104806732654</v>
      </c>
      <c r="I6499" s="31" t="n">
        <f aca="false">IF(I6377&gt;0,I6496/I6377,0)</f>
        <v>10.1577084456443</v>
      </c>
      <c r="J6499" s="31" t="n">
        <f aca="false">IF(J6377&gt;0,J6496/J6377,0)</f>
        <v>11.0430204392167</v>
      </c>
      <c r="K6499" s="31" t="n">
        <f aca="false">IF(K6377&gt;0,K6496/K6377,0)</f>
        <v>12.0147940425183</v>
      </c>
    </row>
    <row r="6500" customFormat="false" ht="15" hidden="false" customHeight="false" outlineLevel="0" collapsed="false">
      <c r="A6500" s="5" t="s">
        <v>323</v>
      </c>
      <c r="G6500" s="31" t="n">
        <f aca="false">IF(G6377&gt;0,G6498/G6377,0)</f>
        <v>8.61596081820801</v>
      </c>
      <c r="H6500" s="31" t="n">
        <f aca="false">IF(H6377&gt;0,H6498/H6377,0)</f>
        <v>9.35394169161766</v>
      </c>
      <c r="I6500" s="31" t="n">
        <f aca="false">IF(I6377&gt;0,I6498/I6377,0)</f>
        <v>10.2275878125946</v>
      </c>
      <c r="J6500" s="31" t="n">
        <f aca="false">IF(J6377&gt;0,J6498/J6377,0)</f>
        <v>11.2703631105019</v>
      </c>
      <c r="K6500" s="31" t="n">
        <f aca="false">IF(K6377&gt;0,K6498/K6377,0)</f>
        <v>12.5071456585677</v>
      </c>
    </row>
    <row r="6501" customFormat="false" ht="15" hidden="false" customHeight="false" outlineLevel="0" collapsed="false">
      <c r="A6501" s="5" t="s">
        <v>324</v>
      </c>
      <c r="G6501" s="31" t="n">
        <f aca="false">IF(G6381&gt;0,G6377/G6381,0)</f>
        <v>1.16633064516129</v>
      </c>
      <c r="H6501" s="31" t="n">
        <f aca="false">IF(H6381&gt;0,H6377/H6381,0)</f>
        <v>1.13003900893458</v>
      </c>
      <c r="I6501" s="31" t="n">
        <f aca="false">IF(I6381&gt;0,I6377/I6381,0)</f>
        <v>1.05566117092502</v>
      </c>
      <c r="J6501" s="31" t="n">
        <f aca="false">IF(J6381&gt;0,J6377/J6381,0)</f>
        <v>0.971247061751939</v>
      </c>
      <c r="K6501" s="31" t="n">
        <f aca="false">IF(K6381&gt;0,K6377/K6381,0)</f>
        <v>0.892893064144135</v>
      </c>
    </row>
    <row r="6502" customFormat="false" ht="15" hidden="false" customHeight="false" outlineLevel="0" collapsed="false">
      <c r="A6502" s="5" t="s">
        <v>325</v>
      </c>
      <c r="G6502" s="31" t="n">
        <f aca="false">IF(G6381&gt;0,G6380/G6381,0)</f>
        <v>0.771572580645161</v>
      </c>
      <c r="H6502" s="31" t="n">
        <f aca="false">IF(H6381&gt;0,H6380/H6381,0)</f>
        <v>0.758981423911285</v>
      </c>
      <c r="I6502" s="31" t="n">
        <f aca="false">IF(I6381&gt;0,I6380/I6381,0)</f>
        <v>0.719073551209794</v>
      </c>
      <c r="J6502" s="31" t="n">
        <f aca="false">IF(J6381&gt;0,J6380/J6381,0)</f>
        <v>0.670297267969648</v>
      </c>
      <c r="K6502" s="31" t="n">
        <f aca="false">IF(K6381&gt;0,K6380/K6381,0)</f>
        <v>0.623802003717136</v>
      </c>
    </row>
    <row r="6503" customFormat="false" ht="15" hidden="false" customHeight="false" outlineLevel="0" collapsed="false">
      <c r="A6503" s="5" t="s">
        <v>182</v>
      </c>
      <c r="G6503" s="21" t="n">
        <f aca="false">IF(G6496&gt;0,G6390/G6496,0)</f>
        <v>0.00732294522838227</v>
      </c>
      <c r="H6503" s="21" t="n">
        <f aca="false">IF(H6496&gt;0,H6390/H6496,0)</f>
        <v>0.00405648844707148</v>
      </c>
      <c r="I6503" s="21" t="n">
        <f aca="false">IF(I6496&gt;0,I6390/I6496,0)</f>
        <v>-0.00218356405585913</v>
      </c>
      <c r="J6503" s="21" t="n">
        <f aca="false">IF(J6496&gt;0,J6390/J6496,0)</f>
        <v>-0.00927286818674616</v>
      </c>
      <c r="K6503" s="21" t="n">
        <f aca="false">IF(K6496&gt;0,K6390/K6496,0)</f>
        <v>-0.0158768306846117</v>
      </c>
    </row>
    <row r="6504" customFormat="false" ht="15" hidden="false" customHeight="false" outlineLevel="0" collapsed="false">
      <c r="A6504" s="5" t="s">
        <v>326</v>
      </c>
      <c r="G6504" s="31" t="n">
        <f aca="false">IF(G6381+G6480&gt;0,(G6377-G6388-G6385)/(G6381+G6480),0)</f>
        <v>0.773663876368319</v>
      </c>
      <c r="H6504" s="31" t="n">
        <f aca="false">IF(H6381+H6480&gt;0,(H6377-H6388-H6385)/(H6381+H6480),0)</f>
        <v>0.757754893792557</v>
      </c>
      <c r="I6504" s="31" t="n">
        <f aca="false">IF(I6381+I6480&gt;0,(I6377-I6388-I6385)/(I6381+I6480),0)</f>
        <v>0.716004727283028</v>
      </c>
      <c r="J6504" s="31" t="n">
        <f aca="false">IF(J6381+J6480&gt;0,(J6377-J6388-J6385)/(J6381+J6480),0)</f>
        <v>0.666186172329391</v>
      </c>
      <c r="K6504" s="31" t="n">
        <f aca="false">IF(K6381+K6480&gt;0,(K6377-K6388-K6385)/(K6381+K6480),0)</f>
        <v>0.618892789427459</v>
      </c>
    </row>
    <row r="6505" customFormat="false" ht="15" hidden="false" customHeight="false" outlineLevel="0" collapsed="false">
      <c r="A6505" s="5" t="s">
        <v>327</v>
      </c>
      <c r="G6505" s="25" t="n">
        <f aca="false">MAX(0,G6489)+Assumptions!$P$53*MAX(0,Assumptions!$D$53-G6414)+Assumptions!$P$54*MAX(0,Assumptions!$D$54-G6427)+Assumptions!$P$55*MAX(0,Assumptions!$D$55-G6440)+Assumptions!$P$56*MAX(0,Assumptions!$D$56-G6453)</f>
        <v>168.56</v>
      </c>
      <c r="H6505" s="25" t="n">
        <f aca="false">MAX(0,H6489)+Assumptions!$P$53*MAX(0,Assumptions!$D$53-H6414)+Assumptions!$P$54*MAX(0,Assumptions!$D$54-H6427)+Assumptions!$P$55*MAX(0,Assumptions!$D$55-H6440)+Assumptions!$P$56*MAX(0,Assumptions!$D$56-H6453)</f>
        <v>168.56</v>
      </c>
      <c r="I6505" s="25" t="n">
        <f aca="false">MAX(0,I6489)+Assumptions!$P$53*MAX(0,Assumptions!$D$53-I6414)+Assumptions!$P$54*MAX(0,Assumptions!$D$54-I6427)+Assumptions!$P$55*MAX(0,Assumptions!$D$55-I6440)+Assumptions!$P$56*MAX(0,Assumptions!$D$56-I6453)</f>
        <v>168.56</v>
      </c>
      <c r="J6505" s="25" t="n">
        <f aca="false">MAX(0,J6489)+Assumptions!$P$53*MAX(0,Assumptions!$D$53-J6414)+Assumptions!$P$54*MAX(0,Assumptions!$D$54-J6427)+Assumptions!$P$55*MAX(0,Assumptions!$D$55-J6440)+Assumptions!$P$56*MAX(0,Assumptions!$D$56-J6453)</f>
        <v>168.56</v>
      </c>
      <c r="K6505" s="25" t="n">
        <f aca="false">MAX(0,K6489)+Assumptions!$P$53*MAX(0,Assumptions!$D$53-K6414)+Assumptions!$P$54*MAX(0,Assumptions!$D$54-K6427)+Assumptions!$P$55*MAX(0,Assumptions!$D$55-K6440)+Assumptions!$P$56*MAX(0,Assumptions!$D$56-K6453)</f>
        <v>168.56</v>
      </c>
    </row>
    <row r="6506" customFormat="false" ht="15" hidden="false" customHeight="false" outlineLevel="0" collapsed="false">
      <c r="A6506" s="5" t="s">
        <v>328</v>
      </c>
      <c r="G6506" s="21" t="n">
        <f aca="false">IF(G6496&gt;0,G6496/(G6496+MAX(0,G6377*CHOOSE($C$6360,Assumptions!$C$76,Assumptions!$C$95,Assumptions!$C$114)-G6498)),0)</f>
        <v>1</v>
      </c>
      <c r="H6506" s="21" t="n">
        <f aca="false">IF(H6496&gt;0,H6496/(H6496+MAX(0,H6377*CHOOSE($C$6360,Assumptions!$C$76,Assumptions!$C$95,Assumptions!$C$114)-H6498)),0)</f>
        <v>1</v>
      </c>
      <c r="I6506" s="21" t="n">
        <f aca="false">IF(I6496&gt;0,I6496/(I6496+MAX(0,I6377*CHOOSE($C$6360,Assumptions!$C$76,Assumptions!$C$95,Assumptions!$C$114)-I6498)),0)</f>
        <v>1</v>
      </c>
      <c r="J6506" s="21" t="n">
        <f aca="false">IF(J6496&gt;0,J6496/(J6496+MAX(0,J6377*CHOOSE($C$6360,Assumptions!$C$76,Assumptions!$C$95,Assumptions!$C$114)-J6498)),0)</f>
        <v>1</v>
      </c>
      <c r="K6506" s="21" t="n">
        <f aca="false">IF(K6496&gt;0,K6496/(K6496+MAX(0,K6377*CHOOSE($C$6360,Assumptions!$C$76,Assumptions!$C$95,Assumptions!$C$114)-K6498)),0)</f>
        <v>1</v>
      </c>
    </row>
    <row r="6507" customFormat="false" ht="15" hidden="false" customHeight="false" outlineLevel="0" collapsed="false">
      <c r="A6507" s="5" t="s">
        <v>329</v>
      </c>
      <c r="G6507" s="21" t="n">
        <f aca="false">IF(G6496&gt;0,MAX(0,G6489)/G6496,0)</f>
        <v>0</v>
      </c>
      <c r="H6507" s="21" t="n">
        <f aca="false">IF(H6496&gt;0,MAX(0,H6489)/H6496,0)</f>
        <v>0</v>
      </c>
      <c r="I6507" s="21" t="n">
        <f aca="false">IF(I6496&gt;0,MAX(0,I6489)/I6496,0)</f>
        <v>0</v>
      </c>
      <c r="J6507" s="21" t="n">
        <f aca="false">IF(J6496&gt;0,MAX(0,J6489)/J6496,0)</f>
        <v>0</v>
      </c>
      <c r="K6507" s="21" t="n">
        <f aca="false">IF(K6496&gt;0,MAX(0,K6489)/K6496,0)</f>
        <v>0</v>
      </c>
    </row>
    <row r="6508" customFormat="false" ht="15" hidden="false" customHeight="false" outlineLevel="0" collapsed="false">
      <c r="A6508" s="5" t="s">
        <v>330</v>
      </c>
      <c r="G6508" s="25" t="n">
        <f aca="false">Assumptions!$C$27*(1-CHOOSE($C$6360,Assumptions!$C$79,Assumptions!$C$98,Assumptions!$C$117))</f>
        <v>1040</v>
      </c>
      <c r="H6508" s="25" t="n">
        <f aca="false">Assumptions!$C$27*(1-CHOOSE($C$6360,Assumptions!$C$79,Assumptions!$C$98,Assumptions!$C$117))</f>
        <v>1040</v>
      </c>
      <c r="I6508" s="25" t="n">
        <f aca="false">Assumptions!$C$27*(1-CHOOSE($C$6360,Assumptions!$C$79,Assumptions!$C$98,Assumptions!$C$117))</f>
        <v>1040</v>
      </c>
      <c r="J6508" s="25" t="n">
        <f aca="false">Assumptions!$C$27*(1-CHOOSE($C$6360,Assumptions!$C$79,Assumptions!$C$98,Assumptions!$C$117))</f>
        <v>1040</v>
      </c>
      <c r="K6508" s="25" t="n">
        <f aca="false">Assumptions!$C$27*(1-CHOOSE($C$6360,Assumptions!$C$79,Assumptions!$C$98,Assumptions!$C$117))</f>
        <v>1040</v>
      </c>
    </row>
    <row r="6509" customFormat="false" ht="15" hidden="false" customHeight="false" outlineLevel="0" collapsed="false">
      <c r="A6509" s="23" t="s">
        <v>331</v>
      </c>
      <c r="B6509" s="24"/>
      <c r="C6509" s="24"/>
      <c r="D6509" s="24"/>
      <c r="E6509" s="24"/>
      <c r="F6509" s="24"/>
      <c r="G6509" s="24"/>
      <c r="H6509" s="24"/>
      <c r="I6509" s="24"/>
      <c r="J6509" s="24"/>
      <c r="K6509" s="24"/>
    </row>
    <row r="6510" customFormat="false" ht="15" hidden="false" customHeight="false" outlineLevel="0" collapsed="false">
      <c r="A6510" s="23" t="s">
        <v>332</v>
      </c>
      <c r="B6510" s="24"/>
      <c r="C6510" s="24"/>
      <c r="D6510" s="24"/>
      <c r="E6510" s="24"/>
      <c r="F6510" s="24"/>
      <c r="G6510" s="24"/>
      <c r="H6510" s="24"/>
      <c r="I6510" s="24"/>
      <c r="J6510" s="24"/>
      <c r="K6510" s="24"/>
    </row>
    <row r="6511" customFormat="false" ht="15" hidden="false" customHeight="false" outlineLevel="0" collapsed="false">
      <c r="A6511" s="5" t="s">
        <v>333</v>
      </c>
      <c r="G6511" s="31" t="n">
        <f aca="false">IF(G6377&gt;0,G6498/G6377,99)</f>
        <v>8.61596081820801</v>
      </c>
      <c r="H6511" s="31" t="n">
        <f aca="false">IF(H6377&gt;0,H6498/H6377,99)</f>
        <v>9.35394169161766</v>
      </c>
      <c r="I6511" s="31" t="n">
        <f aca="false">IF(I6377&gt;0,I6498/I6377,99)</f>
        <v>10.2275878125946</v>
      </c>
      <c r="J6511" s="31" t="n">
        <f aca="false">IF(J6377&gt;0,J6498/J6377,99)</f>
        <v>11.2703631105019</v>
      </c>
      <c r="K6511" s="31" t="n">
        <f aca="false">IF(K6377&gt;0,K6498/K6377,99)</f>
        <v>12.5071456585677</v>
      </c>
    </row>
    <row r="6512" customFormat="false" ht="15" hidden="false" customHeight="false" outlineLevel="0" collapsed="false">
      <c r="A6512" s="5" t="s">
        <v>334</v>
      </c>
      <c r="G6512" s="32" t="n">
        <f aca="false">Assumptions!$G$61</f>
        <v>8.5</v>
      </c>
      <c r="H6512" s="32" t="n">
        <f aca="false">Assumptions!$H$61</f>
        <v>8.5</v>
      </c>
      <c r="I6512" s="32" t="n">
        <f aca="false">Assumptions!$I$61</f>
        <v>8.5</v>
      </c>
      <c r="J6512" s="32" t="n">
        <f aca="false">Assumptions!$J$61</f>
        <v>8.5</v>
      </c>
      <c r="K6512" s="32" t="n">
        <f aca="false">Assumptions!$K$61</f>
        <v>8.5</v>
      </c>
    </row>
    <row r="6513" customFormat="false" ht="15" hidden="false" customHeight="false" outlineLevel="0" collapsed="false">
      <c r="A6513" s="5" t="s">
        <v>335</v>
      </c>
      <c r="G6513" s="31" t="n">
        <f aca="false">G6512-G6511</f>
        <v>-0.115960818208009</v>
      </c>
      <c r="H6513" s="31" t="n">
        <f aca="false">H6512-H6511</f>
        <v>-0.853941691617658</v>
      </c>
      <c r="I6513" s="31" t="n">
        <f aca="false">I6512-I6511</f>
        <v>-1.7275878125946</v>
      </c>
      <c r="J6513" s="31" t="n">
        <f aca="false">J6512-J6511</f>
        <v>-2.7703631105019</v>
      </c>
      <c r="K6513" s="31" t="n">
        <f aca="false">K6512-K6511</f>
        <v>-4.0071456585677</v>
      </c>
    </row>
    <row r="6514" customFormat="false" ht="15" hidden="false" customHeight="false" outlineLevel="0" collapsed="false">
      <c r="A6514" s="5" t="s">
        <v>336</v>
      </c>
      <c r="G6514" s="21" t="n">
        <f aca="false">IF(G6512=0,0,G6513/ABS(G6512))</f>
        <v>-0.0136424492009423</v>
      </c>
      <c r="H6514" s="21" t="n">
        <f aca="false">IF(H6512=0,0,H6513/ABS(H6512))</f>
        <v>-0.100463728425607</v>
      </c>
      <c r="I6514" s="21" t="n">
        <f aca="false">IF(I6512=0,0,I6513/ABS(I6512))</f>
        <v>-0.20324562501113</v>
      </c>
      <c r="J6514" s="21" t="n">
        <f aca="false">IF(J6512=0,0,J6513/ABS(J6512))</f>
        <v>-0.325925071823752</v>
      </c>
      <c r="K6514" s="21" t="n">
        <f aca="false">IF(K6512=0,0,K6513/ABS(K6512))</f>
        <v>-0.471428901007964</v>
      </c>
    </row>
    <row r="6515" customFormat="false" ht="15" hidden="false" customHeight="false" outlineLevel="0" collapsed="false">
      <c r="A6515" s="5" t="s">
        <v>337</v>
      </c>
      <c r="G6515" s="20" t="n">
        <f aca="false">IF(G6513&lt;0,1,0)</f>
        <v>1</v>
      </c>
      <c r="H6515" s="20" t="n">
        <f aca="false">IF(H6513&lt;0,1,0)</f>
        <v>1</v>
      </c>
      <c r="I6515" s="20" t="n">
        <f aca="false">IF(I6513&lt;0,1,0)</f>
        <v>1</v>
      </c>
      <c r="J6515" s="20" t="n">
        <f aca="false">IF(J6513&lt;0,1,0)</f>
        <v>1</v>
      </c>
      <c r="K6515" s="20" t="n">
        <f aca="false">IF(K6513&lt;0,1,0)</f>
        <v>1</v>
      </c>
    </row>
    <row r="6516" customFormat="false" ht="15" hidden="false" customHeight="false" outlineLevel="0" collapsed="false">
      <c r="A6516" s="5" t="s">
        <v>338</v>
      </c>
      <c r="C6516" s="20" t="n">
        <f aca="false">IFERROR(INDEX($G$6367:$K$6367,MATCH(1,$G$6515:$K$6515,0)),0)</f>
        <v>2026</v>
      </c>
    </row>
    <row r="6517" customFormat="false" ht="15" hidden="false" customHeight="false" outlineLevel="0" collapsed="false">
      <c r="A6517" s="5" t="s">
        <v>339</v>
      </c>
      <c r="C6517" s="21" t="n">
        <f aca="false">MIN($G$6514:$K$6514)</f>
        <v>-0.471428901007964</v>
      </c>
    </row>
    <row r="6518" customFormat="false" ht="15" hidden="false" customHeight="false" outlineLevel="0" collapsed="false">
      <c r="A6518" s="5" t="s">
        <v>340</v>
      </c>
      <c r="G6518" s="20" t="n">
        <f aca="false">G6515</f>
        <v>1</v>
      </c>
      <c r="H6518" s="20" t="n">
        <f aca="false">H6515</f>
        <v>1</v>
      </c>
      <c r="I6518" s="20" t="n">
        <f aca="false">I6515</f>
        <v>1</v>
      </c>
      <c r="J6518" s="20" t="n">
        <f aca="false">J6515</f>
        <v>1</v>
      </c>
      <c r="K6518" s="20" t="n">
        <f aca="false">K6515</f>
        <v>1</v>
      </c>
    </row>
    <row r="6519" customFormat="false" ht="15" hidden="false" customHeight="false" outlineLevel="0" collapsed="false">
      <c r="A6519" s="5" t="s">
        <v>341</v>
      </c>
      <c r="C6519" s="20" t="n">
        <f aca="false">SUM($G$6518:$K$6518)</f>
        <v>5</v>
      </c>
    </row>
    <row r="6520" customFormat="false" ht="15" hidden="false" customHeight="false" outlineLevel="0" collapsed="false">
      <c r="A6520" s="5" t="s">
        <v>342</v>
      </c>
      <c r="C6520" s="21" t="n">
        <f aca="false">MIN(C6517)</f>
        <v>-0.471428901007964</v>
      </c>
    </row>
    <row r="6522" customFormat="false" ht="15" hidden="false" customHeight="false" outlineLevel="0" collapsed="false">
      <c r="A6522" s="23" t="s">
        <v>444</v>
      </c>
      <c r="B6522" s="24"/>
      <c r="C6522" s="24"/>
      <c r="D6522" s="24"/>
      <c r="E6522" s="24"/>
      <c r="F6522" s="24"/>
      <c r="G6522" s="24"/>
      <c r="H6522" s="24"/>
      <c r="I6522" s="24"/>
      <c r="J6522" s="24"/>
      <c r="K6522" s="24"/>
    </row>
    <row r="6523" customFormat="false" ht="15" hidden="false" customHeight="false" outlineLevel="0" collapsed="false">
      <c r="A6523" s="5" t="s">
        <v>445</v>
      </c>
      <c r="G6523" s="20" t="n">
        <f aca="false">IF($C$6524=1,G6492,IF(G6377=MIN($G$6377:$K$6377),1,0))</f>
        <v>0</v>
      </c>
      <c r="H6523" s="20" t="n">
        <f aca="false">IF($C$6524=1,H6492,IF(AND(H6377=MIN($G$6377:$K$6377),SUM($G$6523:G6523)=0),1,0))</f>
        <v>1</v>
      </c>
      <c r="I6523" s="20" t="n">
        <f aca="false">IF($C$6524=1,I6492,IF(AND(I6377=MIN($G$6377:$K$6377),SUM($G$6523:H6523)=0),1,0))</f>
        <v>0</v>
      </c>
      <c r="J6523" s="20" t="n">
        <f aca="false">IF($C$6524=1,J6492,IF(AND(J6377=MIN($G$6377:$K$6377),SUM($G$6523:I6523)=0),1,0))</f>
        <v>0</v>
      </c>
      <c r="K6523" s="20" t="n">
        <f aca="false">IF($C$6524=1,K6492,IF(AND(K6377=MIN($G$6377:$K$6377),SUM($G$6523:J6523)=0),1,0))</f>
        <v>0</v>
      </c>
    </row>
    <row r="6524" customFormat="false" ht="15" hidden="false" customHeight="false" outlineLevel="0" collapsed="false">
      <c r="A6524" s="5" t="s">
        <v>446</v>
      </c>
      <c r="C6524" s="20" t="n">
        <f aca="false">IF(SUM($G$6492:$K$6492)&gt;0,1,0)</f>
        <v>1</v>
      </c>
    </row>
    <row r="6525" customFormat="false" ht="15" hidden="false" customHeight="false" outlineLevel="0" collapsed="false">
      <c r="A6525" s="5" t="s">
        <v>447</v>
      </c>
      <c r="C6525" s="20" t="n">
        <f aca="false">SUMPRODUCT($G$6523:$K$6523,$G$6367:$K$6367)</f>
        <v>2027</v>
      </c>
    </row>
    <row r="6526" customFormat="false" ht="15" hidden="false" customHeight="false" outlineLevel="0" collapsed="false">
      <c r="A6526" s="5" t="s">
        <v>448</v>
      </c>
      <c r="C6526" s="25" t="n">
        <f aca="false">SUMPRODUCT($G$6523:$K$6523,$G$6377:$K$6377)</f>
        <v>127.36968</v>
      </c>
    </row>
    <row r="6527" customFormat="false" ht="15" hidden="false" customHeight="false" outlineLevel="0" collapsed="false">
      <c r="A6527" s="5" t="s">
        <v>449</v>
      </c>
      <c r="C6527" s="25" t="n">
        <f aca="false">MAX(0,SUMPRODUCT($G$6523:$K$6523,$G$6489:$K$6489))</f>
        <v>0</v>
      </c>
    </row>
    <row r="6528" customFormat="false" ht="15" hidden="false" customHeight="false" outlineLevel="0" collapsed="false">
      <c r="A6528" s="5" t="s">
        <v>450</v>
      </c>
      <c r="C6528" s="25" t="n">
        <f aca="false">(CHOOSE($C$6360,Assumptions!$C$78,Assumptions!$C$97,Assumptions!$C$116)+$C$6364)*C6526</f>
        <v>509.47872</v>
      </c>
    </row>
    <row r="6529" customFormat="false" ht="15" hidden="false" customHeight="false" outlineLevel="0" collapsed="false">
      <c r="A6529" s="5" t="s">
        <v>451</v>
      </c>
      <c r="C6529" s="25" t="n">
        <f aca="false">Assumptions!$C$27*(1-CHOOSE($C$6360,Assumptions!$C$79,Assumptions!$C$98,Assumptions!$C$117))*CHOOSE($C$6360,Assumptions!$C$80,Assumptions!$C$99,Assumptions!$C$118)</f>
        <v>624</v>
      </c>
    </row>
    <row r="6530" customFormat="false" ht="15" hidden="false" customHeight="false" outlineLevel="0" collapsed="false">
      <c r="A6530" s="5" t="s">
        <v>452</v>
      </c>
      <c r="C6530" s="25" t="n">
        <f aca="false">MAX(C6528,C6529)+C6527</f>
        <v>624</v>
      </c>
    </row>
    <row r="6531" customFormat="false" ht="15" hidden="false" customHeight="false" outlineLevel="0" collapsed="false">
      <c r="A6531" s="2" t="s">
        <v>453</v>
      </c>
      <c r="C6531" s="16" t="n">
        <f aca="false">IF(ISNUMBER(Assumptions!$C$14),Assumptions!$C$14,C6530)</f>
        <v>624</v>
      </c>
    </row>
    <row r="6532" customFormat="false" ht="15" hidden="false" customHeight="false" outlineLevel="0" collapsed="false">
      <c r="A6532" s="5" t="s">
        <v>454</v>
      </c>
      <c r="C6532" s="25" t="n">
        <f aca="false">C6531*Assumptions!$C$15</f>
        <v>24.96</v>
      </c>
    </row>
    <row r="6533" customFormat="false" ht="15" hidden="false" customHeight="false" outlineLevel="0" collapsed="false">
      <c r="A6533" s="2" t="s">
        <v>455</v>
      </c>
      <c r="C6533" s="16" t="n">
        <f aca="false">C6531-C6532</f>
        <v>599.04</v>
      </c>
    </row>
    <row r="6534" customFormat="false" ht="15" hidden="false" customHeight="false" outlineLevel="0" collapsed="false">
      <c r="A6534" s="23" t="s">
        <v>456</v>
      </c>
      <c r="B6534" s="24"/>
      <c r="C6534" s="24"/>
      <c r="D6534" s="24"/>
      <c r="E6534" s="24"/>
      <c r="F6534" s="24"/>
      <c r="G6534" s="24"/>
      <c r="H6534" s="24"/>
      <c r="I6534" s="24"/>
      <c r="J6534" s="24"/>
      <c r="K6534" s="24"/>
    </row>
    <row r="6535" customFormat="false" ht="15" hidden="false" customHeight="false" outlineLevel="0" collapsed="false">
      <c r="A6535" s="5" t="s">
        <v>457</v>
      </c>
      <c r="C6535" s="25" t="n">
        <f aca="false">SUMPRODUCT($G$6523:$K$6523,$G$6414:$K$6414)*(1+SUMPRODUCT($G$6523:$K$6523,$G$6406:$K$6406)*Assumptions!$C$16/12)</f>
        <v>134.18381</v>
      </c>
    </row>
    <row r="6536" customFormat="false" ht="15" hidden="false" customHeight="false" outlineLevel="0" collapsed="false">
      <c r="A6536" s="5" t="s">
        <v>458</v>
      </c>
      <c r="C6536" s="25" t="n">
        <f aca="false">SUMPRODUCT($G$6523:$K$6523,$G$6427:$K$6427)*(1+SUMPRODUCT($G$6523:$K$6523,$G$6419:$K$6419)*Assumptions!$C$16/12)</f>
        <v>522.4037</v>
      </c>
    </row>
    <row r="6537" customFormat="false" ht="15" hidden="false" customHeight="false" outlineLevel="0" collapsed="false">
      <c r="A6537" s="5" t="s">
        <v>459</v>
      </c>
      <c r="C6537" s="25" t="n">
        <f aca="false">SUMPRODUCT($G$6523:$K$6523,$G$6440:$K$6440)*(1+SUMPRODUCT($G$6523:$K$6523,$G$6432:$K$6432)*Assumptions!$C$16/12)</f>
        <v>256.875</v>
      </c>
    </row>
    <row r="6538" customFormat="false" ht="15" hidden="false" customHeight="false" outlineLevel="0" collapsed="false">
      <c r="A6538" s="5" t="s">
        <v>460</v>
      </c>
      <c r="C6538" s="25" t="n">
        <f aca="false">SUMPRODUCT($G$6523:$K$6523,$G$6453:$K$6453)*(1+SUMPRODUCT($G$6523:$K$6523,$G$6445:$K$6445)*Assumptions!$C$16/12)</f>
        <v>305.625</v>
      </c>
    </row>
    <row r="6539" customFormat="false" ht="15" hidden="false" customHeight="false" outlineLevel="0" collapsed="false">
      <c r="A6539" s="23" t="s">
        <v>461</v>
      </c>
      <c r="B6539" s="24"/>
      <c r="C6539" s="24"/>
      <c r="D6539" s="24"/>
      <c r="E6539" s="24"/>
      <c r="F6539" s="24"/>
      <c r="G6539" s="24"/>
      <c r="H6539" s="24"/>
      <c r="I6539" s="24"/>
      <c r="J6539" s="24"/>
      <c r="K6539" s="24"/>
    </row>
    <row r="6540" customFormat="false" ht="15" hidden="false" customHeight="false" outlineLevel="0" collapsed="false">
      <c r="A6540" s="5" t="s">
        <v>457</v>
      </c>
      <c r="C6540" s="26" t="n">
        <f aca="false">Assumptions!$M$53</f>
        <v>1</v>
      </c>
    </row>
    <row r="6541" customFormat="false" ht="15" hidden="false" customHeight="false" outlineLevel="0" collapsed="false">
      <c r="A6541" s="5" t="s">
        <v>458</v>
      </c>
      <c r="C6541" s="26" t="n">
        <f aca="false">Assumptions!$M$54</f>
        <v>2</v>
      </c>
    </row>
    <row r="6542" customFormat="false" ht="15" hidden="false" customHeight="false" outlineLevel="0" collapsed="false">
      <c r="A6542" s="5" t="s">
        <v>459</v>
      </c>
      <c r="C6542" s="26" t="n">
        <f aca="false">Assumptions!$M$55</f>
        <v>3</v>
      </c>
    </row>
    <row r="6543" customFormat="false" ht="15" hidden="false" customHeight="false" outlineLevel="0" collapsed="false">
      <c r="A6543" s="5" t="s">
        <v>460</v>
      </c>
      <c r="C6543" s="26" t="n">
        <f aca="false">Assumptions!$M$56</f>
        <v>4</v>
      </c>
    </row>
    <row r="6544" customFormat="false" ht="15" hidden="false" customHeight="false" outlineLevel="0" collapsed="false">
      <c r="A6544" s="23" t="s">
        <v>462</v>
      </c>
      <c r="B6544" s="24"/>
      <c r="C6544" s="24"/>
      <c r="D6544" s="24"/>
      <c r="E6544" s="24"/>
      <c r="F6544" s="24"/>
      <c r="G6544" s="24"/>
      <c r="H6544" s="24"/>
      <c r="I6544" s="24"/>
      <c r="J6544" s="24"/>
      <c r="K6544" s="24"/>
    </row>
    <row r="6545" customFormat="false" ht="15" hidden="false" customHeight="false" outlineLevel="0" collapsed="false">
      <c r="A6545" s="5" t="s">
        <v>457</v>
      </c>
      <c r="C6545" s="34" t="n">
        <f aca="false">Assumptions!$Q$53</f>
        <v>0</v>
      </c>
    </row>
    <row r="6546" customFormat="false" ht="15" hidden="false" customHeight="false" outlineLevel="0" collapsed="false">
      <c r="A6546" s="5" t="s">
        <v>458</v>
      </c>
      <c r="C6546" s="34" t="n">
        <f aca="false">Assumptions!$Q$54</f>
        <v>0</v>
      </c>
    </row>
    <row r="6547" customFormat="false" ht="15" hidden="false" customHeight="false" outlineLevel="0" collapsed="false">
      <c r="A6547" s="5" t="s">
        <v>459</v>
      </c>
      <c r="C6547" s="34" t="n">
        <f aca="false">Assumptions!$Q$55</f>
        <v>0</v>
      </c>
    </row>
    <row r="6548" customFormat="false" ht="15" hidden="false" customHeight="false" outlineLevel="0" collapsed="false">
      <c r="A6548" s="5" t="s">
        <v>460</v>
      </c>
      <c r="C6548" s="34" t="n">
        <f aca="false">Assumptions!$Q$56</f>
        <v>0</v>
      </c>
    </row>
    <row r="6549" customFormat="false" ht="15" hidden="false" customHeight="false" outlineLevel="0" collapsed="false">
      <c r="A6549" s="23" t="s">
        <v>463</v>
      </c>
      <c r="B6549" s="24"/>
      <c r="C6549" s="24"/>
      <c r="D6549" s="24"/>
      <c r="E6549" s="24"/>
      <c r="F6549" s="24"/>
      <c r="G6549" s="24"/>
      <c r="H6549" s="24"/>
      <c r="I6549" s="24"/>
      <c r="J6549" s="24"/>
      <c r="K6549" s="24"/>
    </row>
    <row r="6550" customFormat="false" ht="15" hidden="false" customHeight="false" outlineLevel="0" collapsed="false">
      <c r="A6550" s="5" t="s">
        <v>457</v>
      </c>
      <c r="C6550" s="25" t="n">
        <f aca="false">IF(C6545&gt;0,MIN(C6535,C6545*$C$6533),0)</f>
        <v>0</v>
      </c>
    </row>
    <row r="6551" customFormat="false" ht="15" hidden="false" customHeight="false" outlineLevel="0" collapsed="false">
      <c r="A6551" s="5" t="s">
        <v>458</v>
      </c>
      <c r="C6551" s="25" t="n">
        <f aca="false">IF(C6546&gt;0,MIN(C6536,C6546*$C$6533),0)</f>
        <v>0</v>
      </c>
    </row>
    <row r="6552" customFormat="false" ht="15" hidden="false" customHeight="false" outlineLevel="0" collapsed="false">
      <c r="A6552" s="5" t="s">
        <v>459</v>
      </c>
      <c r="C6552" s="25" t="n">
        <f aca="false">IF(C6547&gt;0,MIN(C6537,C6547*$C$6533),0)</f>
        <v>0</v>
      </c>
    </row>
    <row r="6553" customFormat="false" ht="15" hidden="false" customHeight="false" outlineLevel="0" collapsed="false">
      <c r="A6553" s="5" t="s">
        <v>460</v>
      </c>
      <c r="C6553" s="25" t="n">
        <f aca="false">IF(C6548&gt;0,MIN(C6538,C6548*$C$6533),0)</f>
        <v>0</v>
      </c>
    </row>
    <row r="6554" customFormat="false" ht="15" hidden="false" customHeight="false" outlineLevel="0" collapsed="false">
      <c r="A6554" s="23" t="s">
        <v>464</v>
      </c>
      <c r="B6554" s="24"/>
      <c r="C6554" s="24"/>
      <c r="D6554" s="24"/>
      <c r="E6554" s="24"/>
      <c r="F6554" s="24"/>
      <c r="G6554" s="24"/>
      <c r="H6554" s="24"/>
      <c r="I6554" s="24"/>
      <c r="J6554" s="24"/>
      <c r="K6554" s="24"/>
    </row>
    <row r="6555" customFormat="false" ht="15" hidden="false" customHeight="false" outlineLevel="0" collapsed="false">
      <c r="A6555" s="5" t="s">
        <v>457</v>
      </c>
      <c r="C6555" s="25" t="n">
        <f aca="false">IF(C6545&gt;0,C6535-C6550,0)</f>
        <v>0</v>
      </c>
      <c r="G6555" s="20" t="n">
        <f aca="false">IF(AND(G6404=1,G6401=1),1,0)</f>
        <v>0</v>
      </c>
      <c r="H6555" s="20" t="n">
        <f aca="false">IF(G6555=1,1,IF(AND(H6404=1,H6401=1),1,0))</f>
        <v>0</v>
      </c>
      <c r="I6555" s="20" t="n">
        <f aca="false">IF(H6555=1,1,IF(AND(I6404=1,I6401=1),1,0))</f>
        <v>0</v>
      </c>
      <c r="J6555" s="20" t="n">
        <f aca="false">IF(I6555=1,1,IF(AND(J6404=1,J6401=1),1,0))</f>
        <v>0</v>
      </c>
      <c r="K6555" s="20" t="n">
        <f aca="false">IF(J6555=1,1,IF(AND(K6404=1,K6401=1),1,0))</f>
        <v>0</v>
      </c>
    </row>
    <row r="6556" customFormat="false" ht="15" hidden="false" customHeight="false" outlineLevel="0" collapsed="false">
      <c r="A6556" s="5" t="s">
        <v>458</v>
      </c>
      <c r="C6556" s="25" t="n">
        <f aca="false">IF(C6546&gt;0,C6536-C6551,0)</f>
        <v>0</v>
      </c>
      <c r="G6556" s="20" t="n">
        <f aca="false">IF(AND(G6417=1,G6401=1),1,0)</f>
        <v>0</v>
      </c>
      <c r="H6556" s="20" t="n">
        <f aca="false">IF(G6556=1,1,IF(AND(H6417=1,H6401=1),1,0))</f>
        <v>0</v>
      </c>
      <c r="I6556" s="20" t="n">
        <f aca="false">IF(H6556=1,1,IF(AND(I6417=1,I6401=1),1,0))</f>
        <v>0</v>
      </c>
      <c r="J6556" s="20" t="n">
        <f aca="false">IF(I6556=1,1,IF(AND(J6417=1,J6401=1),1,0))</f>
        <v>0</v>
      </c>
      <c r="K6556" s="20" t="n">
        <f aca="false">IF(J6556=1,1,IF(AND(K6417=1,K6401=1),1,0))</f>
        <v>0</v>
      </c>
    </row>
    <row r="6557" customFormat="false" ht="15" hidden="false" customHeight="false" outlineLevel="0" collapsed="false">
      <c r="A6557" s="5" t="s">
        <v>459</v>
      </c>
      <c r="C6557" s="25" t="n">
        <f aca="false">IF(C6547&gt;0,C6537-C6552,0)</f>
        <v>0</v>
      </c>
      <c r="G6557" s="20" t="n">
        <f aca="false">IF(AND(G6430=1,G6401=1),1,0)</f>
        <v>0</v>
      </c>
      <c r="H6557" s="20" t="n">
        <f aca="false">IF(G6557=1,1,IF(AND(H6430=1,H6401=1),1,0))</f>
        <v>0</v>
      </c>
      <c r="I6557" s="20" t="n">
        <f aca="false">IF(H6557=1,1,IF(AND(I6430=1,I6401=1),1,0))</f>
        <v>0</v>
      </c>
      <c r="J6557" s="20" t="n">
        <f aca="false">IF(I6557=1,1,IF(AND(J6430=1,J6401=1),1,0))</f>
        <v>0</v>
      </c>
      <c r="K6557" s="20" t="n">
        <f aca="false">IF(J6557=1,1,IF(AND(K6430=1,K6401=1),1,0))</f>
        <v>0</v>
      </c>
    </row>
    <row r="6558" customFormat="false" ht="15" hidden="false" customHeight="false" outlineLevel="0" collapsed="false">
      <c r="A6558" s="5" t="s">
        <v>460</v>
      </c>
      <c r="C6558" s="25" t="n">
        <f aca="false">IF(C6548&gt;0,C6538-C6553,0)</f>
        <v>0</v>
      </c>
      <c r="G6558" s="20" t="n">
        <f aca="false">IF(AND(G6443=1,G6401=1),1,0)</f>
        <v>0</v>
      </c>
      <c r="H6558" s="20" t="n">
        <f aca="false">IF(G6558=1,1,IF(AND(H6443=1,H6401=1),1,0))</f>
        <v>0</v>
      </c>
      <c r="I6558" s="20" t="n">
        <f aca="false">IF(H6558=1,1,IF(AND(I6443=1,I6401=1),1,0))</f>
        <v>0</v>
      </c>
      <c r="J6558" s="20" t="n">
        <f aca="false">IF(I6558=1,1,IF(AND(J6443=1,J6401=1),1,0))</f>
        <v>0</v>
      </c>
      <c r="K6558" s="20" t="n">
        <f aca="false">IF(J6558=1,1,IF(AND(K6443=1,K6401=1),1,0))</f>
        <v>0</v>
      </c>
    </row>
    <row r="6559" customFormat="false" ht="15" hidden="false" customHeight="false" outlineLevel="0" collapsed="false">
      <c r="A6559" s="23" t="s">
        <v>465</v>
      </c>
      <c r="B6559" s="24"/>
      <c r="C6559" s="24"/>
      <c r="D6559" s="24"/>
      <c r="E6559" s="24"/>
      <c r="F6559" s="24"/>
      <c r="G6559" s="24"/>
      <c r="H6559" s="24"/>
      <c r="I6559" s="24"/>
      <c r="J6559" s="24"/>
      <c r="K6559" s="24"/>
    </row>
    <row r="6560" customFormat="false" ht="15" hidden="false" customHeight="false" outlineLevel="0" collapsed="false">
      <c r="A6560" s="5" t="s">
        <v>457</v>
      </c>
      <c r="C6560" s="25" t="n">
        <f aca="false">IF(C6545&gt;0,C6555,C6535)</f>
        <v>134.18381</v>
      </c>
    </row>
    <row r="6561" customFormat="false" ht="15" hidden="false" customHeight="false" outlineLevel="0" collapsed="false">
      <c r="A6561" s="5" t="s">
        <v>458</v>
      </c>
      <c r="C6561" s="25" t="n">
        <f aca="false">IF(C6546&gt;0,C6556,C6536)</f>
        <v>522.4037</v>
      </c>
    </row>
    <row r="6562" customFormat="false" ht="15" hidden="false" customHeight="false" outlineLevel="0" collapsed="false">
      <c r="A6562" s="5" t="s">
        <v>459</v>
      </c>
      <c r="C6562" s="25" t="n">
        <f aca="false">IF(C6547&gt;0,C6557,C6537)</f>
        <v>256.875</v>
      </c>
    </row>
    <row r="6563" customFormat="false" ht="15" hidden="false" customHeight="false" outlineLevel="0" collapsed="false">
      <c r="A6563" s="5" t="s">
        <v>460</v>
      </c>
      <c r="C6563" s="25" t="n">
        <f aca="false">IF(C6548&gt;0,C6558,C6538)</f>
        <v>305.625</v>
      </c>
    </row>
    <row r="6564" customFormat="false" ht="15" hidden="false" customHeight="false" outlineLevel="0" collapsed="false">
      <c r="A6564" s="23" t="s">
        <v>466</v>
      </c>
      <c r="B6564" s="24"/>
      <c r="C6564" s="24"/>
      <c r="D6564" s="24"/>
      <c r="E6564" s="24"/>
      <c r="F6564" s="24"/>
      <c r="G6564" s="24"/>
      <c r="H6564" s="24"/>
      <c r="I6564" s="24"/>
      <c r="J6564" s="24"/>
      <c r="K6564" s="24"/>
    </row>
    <row r="6565" customFormat="false" ht="15" hidden="false" customHeight="false" outlineLevel="0" collapsed="false">
      <c r="A6565" s="5" t="s">
        <v>457</v>
      </c>
      <c r="C6565" s="20" t="n">
        <f aca="false">IF(C6545&gt;0,Assumptions!$C$17,C6540)</f>
        <v>1</v>
      </c>
    </row>
    <row r="6566" customFormat="false" ht="15" hidden="false" customHeight="false" outlineLevel="0" collapsed="false">
      <c r="A6566" s="5" t="s">
        <v>458</v>
      </c>
      <c r="C6566" s="20" t="n">
        <f aca="false">IF(C6546&gt;0,Assumptions!$C$17,C6541)</f>
        <v>2</v>
      </c>
    </row>
    <row r="6567" customFormat="false" ht="15" hidden="false" customHeight="false" outlineLevel="0" collapsed="false">
      <c r="A6567" s="5" t="s">
        <v>459</v>
      </c>
      <c r="C6567" s="20" t="n">
        <f aca="false">IF(C6547&gt;0,Assumptions!$C$17,C6542)</f>
        <v>3</v>
      </c>
    </row>
    <row r="6568" customFormat="false" ht="15" hidden="false" customHeight="false" outlineLevel="0" collapsed="false">
      <c r="A6568" s="5" t="s">
        <v>460</v>
      </c>
      <c r="C6568" s="20" t="n">
        <f aca="false">IF(C6548&gt;0,Assumptions!$C$17,C6543)</f>
        <v>4</v>
      </c>
    </row>
    <row r="6569" customFormat="false" ht="15" hidden="false" customHeight="false" outlineLevel="0" collapsed="false">
      <c r="A6569" s="23" t="s">
        <v>467</v>
      </c>
      <c r="B6569" s="24"/>
      <c r="C6569" s="24"/>
      <c r="D6569" s="24"/>
      <c r="E6569" s="24"/>
      <c r="F6569" s="24"/>
      <c r="G6569" s="24"/>
      <c r="H6569" s="24"/>
      <c r="I6569" s="24"/>
      <c r="J6569" s="24"/>
      <c r="K6569" s="24"/>
    </row>
    <row r="6570" customFormat="false" ht="15" hidden="false" customHeight="false" outlineLevel="0" collapsed="false">
      <c r="A6570" s="5" t="s">
        <v>457</v>
      </c>
      <c r="C6570" s="25" t="n">
        <f aca="false">SUMPRODUCT(($C$6565:$C$6568&lt;C6565)*$C$6560:$C$6563)</f>
        <v>0</v>
      </c>
    </row>
    <row r="6571" customFormat="false" ht="15" hidden="false" customHeight="false" outlineLevel="0" collapsed="false">
      <c r="A6571" s="5" t="s">
        <v>458</v>
      </c>
      <c r="C6571" s="25" t="n">
        <f aca="false">SUMPRODUCT(($C$6565:$C$6568&lt;C6566)*$C$6560:$C$6563)</f>
        <v>134.18381</v>
      </c>
    </row>
    <row r="6572" customFormat="false" ht="15" hidden="false" customHeight="false" outlineLevel="0" collapsed="false">
      <c r="A6572" s="5" t="s">
        <v>459</v>
      </c>
      <c r="C6572" s="25" t="n">
        <f aca="false">SUMPRODUCT(($C$6565:$C$6568&lt;C6567)*$C$6560:$C$6563)</f>
        <v>656.58751</v>
      </c>
    </row>
    <row r="6573" customFormat="false" ht="15" hidden="false" customHeight="false" outlineLevel="0" collapsed="false">
      <c r="A6573" s="5" t="s">
        <v>460</v>
      </c>
      <c r="C6573" s="25" t="n">
        <f aca="false">SUMPRODUCT(($C$6565:$C$6568&lt;C6568)*$C$6560:$C$6563)</f>
        <v>913.46251</v>
      </c>
    </row>
    <row r="6574" customFormat="false" ht="15" hidden="false" customHeight="false" outlineLevel="0" collapsed="false">
      <c r="A6574" s="23" t="s">
        <v>468</v>
      </c>
      <c r="B6574" s="24"/>
      <c r="C6574" s="24"/>
      <c r="D6574" s="24"/>
      <c r="E6574" s="24"/>
      <c r="F6574" s="24"/>
      <c r="G6574" s="24"/>
      <c r="H6574" s="24"/>
      <c r="I6574" s="24"/>
      <c r="J6574" s="24"/>
      <c r="K6574" s="24"/>
    </row>
    <row r="6575" customFormat="false" ht="15" hidden="false" customHeight="false" outlineLevel="0" collapsed="false">
      <c r="A6575" s="5" t="s">
        <v>457</v>
      </c>
      <c r="C6575" s="25" t="n">
        <f aca="false">SUMPRODUCT(($C$6565:$C$6568=C6565)*$C$6560:$C$6563)</f>
        <v>134.18381</v>
      </c>
    </row>
    <row r="6576" customFormat="false" ht="15" hidden="false" customHeight="false" outlineLevel="0" collapsed="false">
      <c r="A6576" s="5" t="s">
        <v>458</v>
      </c>
      <c r="C6576" s="25" t="n">
        <f aca="false">SUMPRODUCT(($C$6565:$C$6568=C6566)*$C$6560:$C$6563)</f>
        <v>522.4037</v>
      </c>
    </row>
    <row r="6577" customFormat="false" ht="15" hidden="false" customHeight="false" outlineLevel="0" collapsed="false">
      <c r="A6577" s="5" t="s">
        <v>459</v>
      </c>
      <c r="C6577" s="25" t="n">
        <f aca="false">SUMPRODUCT(($C$6565:$C$6568=C6567)*$C$6560:$C$6563)</f>
        <v>256.875</v>
      </c>
    </row>
    <row r="6578" customFormat="false" ht="15" hidden="false" customHeight="false" outlineLevel="0" collapsed="false">
      <c r="A6578" s="5" t="s">
        <v>460</v>
      </c>
      <c r="C6578" s="25" t="n">
        <f aca="false">SUMPRODUCT(($C$6565:$C$6568=C6568)*$C$6560:$C$6563)</f>
        <v>305.625</v>
      </c>
    </row>
    <row r="6579" customFormat="false" ht="15" hidden="false" customHeight="false" outlineLevel="0" collapsed="false">
      <c r="A6579" s="23" t="s">
        <v>469</v>
      </c>
      <c r="B6579" s="24"/>
      <c r="C6579" s="24"/>
      <c r="D6579" s="24"/>
      <c r="E6579" s="24"/>
      <c r="F6579" s="24"/>
      <c r="G6579" s="24"/>
      <c r="H6579" s="24"/>
      <c r="I6579" s="24"/>
      <c r="J6579" s="24"/>
      <c r="K6579" s="24"/>
    </row>
    <row r="6580" customFormat="false" ht="15" hidden="false" customHeight="false" outlineLevel="0" collapsed="false">
      <c r="A6580" s="5" t="s">
        <v>457</v>
      </c>
      <c r="C6580" s="25" t="n">
        <f aca="false">IF(C6575=0,0,C6560/C6575*MAX(0,MIN(C6575,$C$6533-SUM($C$6550:$C$6553)-C6570)))</f>
        <v>134.18381</v>
      </c>
    </row>
    <row r="6581" customFormat="false" ht="15" hidden="false" customHeight="false" outlineLevel="0" collapsed="false">
      <c r="A6581" s="5" t="s">
        <v>458</v>
      </c>
      <c r="C6581" s="25" t="n">
        <f aca="false">IF(C6576=0,0,C6561/C6576*MAX(0,MIN(C6576,$C$6533-SUM($C$6550:$C$6553)-C6571)))</f>
        <v>464.85619</v>
      </c>
    </row>
    <row r="6582" customFormat="false" ht="15" hidden="false" customHeight="false" outlineLevel="0" collapsed="false">
      <c r="A6582" s="5" t="s">
        <v>459</v>
      </c>
      <c r="C6582" s="25" t="n">
        <f aca="false">IF(C6577=0,0,C6562/C6577*MAX(0,MIN(C6577,$C$6533-SUM($C$6550:$C$6553)-C6572)))</f>
        <v>0</v>
      </c>
    </row>
    <row r="6583" customFormat="false" ht="15" hidden="false" customHeight="false" outlineLevel="0" collapsed="false">
      <c r="A6583" s="5" t="s">
        <v>460</v>
      </c>
      <c r="C6583" s="25" t="n">
        <f aca="false">IF(C6578=0,0,C6563/C6578*MAX(0,MIN(C6578,$C$6533-SUM($C$6550:$C$6553)-C6573)))</f>
        <v>0</v>
      </c>
    </row>
    <row r="6584" customFormat="false" ht="15" hidden="false" customHeight="false" outlineLevel="0" collapsed="false">
      <c r="A6584" s="23" t="s">
        <v>470</v>
      </c>
      <c r="B6584" s="24"/>
      <c r="C6584" s="24"/>
      <c r="D6584" s="24"/>
      <c r="E6584" s="24"/>
      <c r="F6584" s="24"/>
      <c r="G6584" s="24"/>
      <c r="H6584" s="24"/>
      <c r="I6584" s="24"/>
      <c r="J6584" s="24"/>
      <c r="K6584" s="24"/>
    </row>
    <row r="6585" customFormat="false" ht="15" hidden="false" customHeight="false" outlineLevel="0" collapsed="false">
      <c r="A6585" s="2" t="s">
        <v>457</v>
      </c>
      <c r="C6585" s="16" t="n">
        <f aca="false">C6550+C6580</f>
        <v>134.18381</v>
      </c>
    </row>
    <row r="6586" customFormat="false" ht="15" hidden="false" customHeight="false" outlineLevel="0" collapsed="false">
      <c r="A6586" s="2" t="s">
        <v>458</v>
      </c>
      <c r="C6586" s="16" t="n">
        <f aca="false">C6551+C6581</f>
        <v>464.85619</v>
      </c>
    </row>
    <row r="6587" customFormat="false" ht="15" hidden="false" customHeight="false" outlineLevel="0" collapsed="false">
      <c r="A6587" s="2" t="s">
        <v>459</v>
      </c>
      <c r="C6587" s="16" t="n">
        <f aca="false">C6552+C6582</f>
        <v>0</v>
      </c>
    </row>
    <row r="6588" customFormat="false" ht="15" hidden="false" customHeight="false" outlineLevel="0" collapsed="false">
      <c r="A6588" s="2" t="s">
        <v>460</v>
      </c>
      <c r="C6588" s="16" t="n">
        <f aca="false">C6553+C6583</f>
        <v>0</v>
      </c>
    </row>
    <row r="6589" customFormat="false" ht="15" hidden="false" customHeight="false" outlineLevel="0" collapsed="false">
      <c r="A6589" s="23" t="s">
        <v>471</v>
      </c>
      <c r="B6589" s="24"/>
      <c r="C6589" s="24"/>
      <c r="D6589" s="24"/>
      <c r="E6589" s="24"/>
      <c r="F6589" s="24"/>
      <c r="G6589" s="24"/>
      <c r="H6589" s="24"/>
      <c r="I6589" s="24"/>
      <c r="J6589" s="24"/>
      <c r="K6589" s="24"/>
    </row>
    <row r="6590" customFormat="false" ht="15" hidden="false" customHeight="false" outlineLevel="0" collapsed="false">
      <c r="A6590" s="5" t="s">
        <v>457</v>
      </c>
      <c r="C6590" s="21" t="n">
        <f aca="false">IF(C6535=0,1,C6585/C6535)</f>
        <v>1</v>
      </c>
    </row>
    <row r="6591" customFormat="false" ht="15" hidden="false" customHeight="false" outlineLevel="0" collapsed="false">
      <c r="A6591" s="5" t="s">
        <v>458</v>
      </c>
      <c r="C6591" s="21" t="n">
        <f aca="false">IF(C6536=0,1,C6586/C6536)</f>
        <v>0.889840921877085</v>
      </c>
    </row>
    <row r="6592" customFormat="false" ht="15" hidden="false" customHeight="false" outlineLevel="0" collapsed="false">
      <c r="A6592" s="5" t="s">
        <v>459</v>
      </c>
      <c r="C6592" s="21" t="n">
        <f aca="false">IF(C6537=0,1,C6587/C6537)</f>
        <v>0</v>
      </c>
    </row>
    <row r="6593" customFormat="false" ht="15" hidden="false" customHeight="false" outlineLevel="0" collapsed="false">
      <c r="A6593" s="5" t="s">
        <v>460</v>
      </c>
      <c r="C6593" s="21" t="n">
        <f aca="false">IF(C6538=0,1,C6588/C6538)</f>
        <v>0</v>
      </c>
    </row>
    <row r="6594" customFormat="false" ht="15" hidden="false" customHeight="false" outlineLevel="0" collapsed="false">
      <c r="A6594" s="23" t="s">
        <v>472</v>
      </c>
      <c r="B6594" s="24"/>
      <c r="C6594" s="24"/>
      <c r="D6594" s="24"/>
      <c r="E6594" s="24"/>
      <c r="F6594" s="24"/>
      <c r="G6594" s="24"/>
      <c r="H6594" s="24"/>
      <c r="I6594" s="24"/>
      <c r="J6594" s="24"/>
      <c r="K6594" s="24"/>
    </row>
    <row r="6595" customFormat="false" ht="15" hidden="false" customHeight="false" outlineLevel="0" collapsed="false">
      <c r="A6595" s="5" t="s">
        <v>457</v>
      </c>
      <c r="C6595" s="25" t="n">
        <f aca="false">C6535-C6585</f>
        <v>0</v>
      </c>
    </row>
    <row r="6596" customFormat="false" ht="15" hidden="false" customHeight="false" outlineLevel="0" collapsed="false">
      <c r="A6596" s="5" t="s">
        <v>458</v>
      </c>
      <c r="C6596" s="25" t="n">
        <f aca="false">C6536-C6586</f>
        <v>57.54751</v>
      </c>
    </row>
    <row r="6597" customFormat="false" ht="15" hidden="false" customHeight="false" outlineLevel="0" collapsed="false">
      <c r="A6597" s="5" t="s">
        <v>459</v>
      </c>
      <c r="C6597" s="25" t="n">
        <f aca="false">C6537-C6587</f>
        <v>256.875</v>
      </c>
    </row>
    <row r="6598" customFormat="false" ht="15" hidden="false" customHeight="false" outlineLevel="0" collapsed="false">
      <c r="A6598" s="5" t="s">
        <v>460</v>
      </c>
      <c r="C6598" s="25" t="n">
        <f aca="false">C6538-C6588</f>
        <v>305.625</v>
      </c>
    </row>
    <row r="6599" customFormat="false" ht="15" hidden="false" customHeight="false" outlineLevel="0" collapsed="false">
      <c r="A6599" s="23" t="s">
        <v>473</v>
      </c>
      <c r="B6599" s="24"/>
      <c r="C6599" s="24"/>
      <c r="D6599" s="24"/>
      <c r="E6599" s="24"/>
      <c r="F6599" s="24"/>
      <c r="G6599" s="24"/>
      <c r="H6599" s="24"/>
      <c r="I6599" s="24"/>
      <c r="J6599" s="24"/>
      <c r="K6599" s="24"/>
    </row>
    <row r="6600" customFormat="false" ht="15" hidden="false" customHeight="false" outlineLevel="0" collapsed="false">
      <c r="A6600" s="5" t="s">
        <v>457</v>
      </c>
      <c r="C6600" s="21" t="n">
        <f aca="false">IF(C6535=0,0,C6595/C6535)</f>
        <v>0</v>
      </c>
    </row>
    <row r="6601" customFormat="false" ht="15" hidden="false" customHeight="false" outlineLevel="0" collapsed="false">
      <c r="A6601" s="5" t="s">
        <v>458</v>
      </c>
      <c r="C6601" s="21" t="n">
        <f aca="false">IF(C6536=0,0,C6596/C6536)</f>
        <v>0.110159078122915</v>
      </c>
    </row>
    <row r="6602" customFormat="false" ht="15" hidden="false" customHeight="false" outlineLevel="0" collapsed="false">
      <c r="A6602" s="5" t="s">
        <v>459</v>
      </c>
      <c r="C6602" s="21" t="n">
        <f aca="false">IF(C6537=0,0,C6597/C6537)</f>
        <v>1</v>
      </c>
    </row>
    <row r="6603" customFormat="false" ht="15" hidden="false" customHeight="false" outlineLevel="0" collapsed="false">
      <c r="A6603" s="5" t="s">
        <v>460</v>
      </c>
      <c r="C6603" s="21" t="n">
        <f aca="false">IF(C6538=0,0,C6598/C6538)</f>
        <v>1</v>
      </c>
    </row>
    <row r="6604" customFormat="false" ht="15" hidden="false" customHeight="false" outlineLevel="0" collapsed="false">
      <c r="A6604" s="2" t="s">
        <v>474</v>
      </c>
      <c r="C6604" s="16" t="n">
        <f aca="false">MAX(0,$C$6533-SUM($C$6550:$C$6553)-SUM($C$6560:$C$6563))</f>
        <v>0</v>
      </c>
    </row>
    <row r="6605" customFormat="false" ht="15" hidden="false" customHeight="false" outlineLevel="0" collapsed="false">
      <c r="A6605" s="5" t="s">
        <v>475</v>
      </c>
      <c r="C6605" s="25" t="n">
        <f aca="false">SUM($C$6585:$C$6588)+C6604+C6532-C6531</f>
        <v>0</v>
      </c>
    </row>
    <row r="6607" customFormat="false" ht="15" hidden="false" customHeight="false" outlineLevel="0" collapsed="false">
      <c r="A6607" s="23" t="s">
        <v>478</v>
      </c>
      <c r="B6607" s="24"/>
      <c r="C6607" s="24"/>
      <c r="D6607" s="24"/>
      <c r="E6607" s="24"/>
      <c r="F6607" s="24"/>
      <c r="G6607" s="24"/>
      <c r="H6607" s="24"/>
      <c r="I6607" s="24"/>
      <c r="J6607" s="24"/>
      <c r="K6607" s="24"/>
    </row>
    <row r="6608" customFormat="false" ht="15" hidden="false" customHeight="false" outlineLevel="0" collapsed="false">
      <c r="A6608" s="5" t="s">
        <v>479</v>
      </c>
      <c r="C6608" s="26" t="n">
        <f aca="false">Assumptions!$C$30</f>
        <v>2</v>
      </c>
    </row>
    <row r="6609" customFormat="false" ht="15" hidden="false" customHeight="false" outlineLevel="0" collapsed="false">
      <c r="A6609" s="5" t="s">
        <v>480</v>
      </c>
      <c r="C6609" s="28" t="n">
        <f aca="false">Assumptions!$C$31</f>
        <v>100</v>
      </c>
    </row>
    <row r="6610" customFormat="false" ht="15" hidden="false" customHeight="false" outlineLevel="0" collapsed="false">
      <c r="A6610" s="5" t="s">
        <v>481</v>
      </c>
      <c r="C6610" s="39" t="n">
        <f aca="false">Assumptions!$C$32</f>
        <v>78</v>
      </c>
    </row>
    <row r="6611" customFormat="false" ht="15" hidden="false" customHeight="false" outlineLevel="0" collapsed="false">
      <c r="A6611" s="5" t="s">
        <v>482</v>
      </c>
      <c r="C6611" s="25" t="n">
        <f aca="false">C6609*C6610/100*(1+Assumptions!$C$33)</f>
        <v>78.39</v>
      </c>
    </row>
    <row r="6612" customFormat="false" ht="15" hidden="false" customHeight="false" outlineLevel="0" collapsed="false">
      <c r="A6612" s="5" t="s">
        <v>483</v>
      </c>
      <c r="C6612" s="26" t="n">
        <f aca="false">Assumptions!$C$34</f>
        <v>2</v>
      </c>
    </row>
    <row r="6613" customFormat="false" ht="15" hidden="false" customHeight="false" outlineLevel="0" collapsed="false">
      <c r="A6613" s="5" t="s">
        <v>484</v>
      </c>
      <c r="C6613" s="20" t="n">
        <f aca="false">IF(C6524=1,SUMPRODUCT($G$6492:$K$6492,$G$6368:$K$6368),0)</f>
        <v>2</v>
      </c>
    </row>
    <row r="6614" customFormat="false" ht="15" hidden="false" customHeight="false" outlineLevel="0" collapsed="false">
      <c r="A6614" s="5" t="s">
        <v>485</v>
      </c>
      <c r="C6614" s="21" t="n">
        <f aca="false">IFERROR(C6609/CHOOSE(C6608,SUMPRODUCT($G$6523:$K$6523,$G$6414:$K$6414),SUMPRODUCT($G$6523:$K$6523,$G$6427:$K$6427),SUMPRODUCT($G$6523:$K$6523,$G$6440:$K$6440),SUMPRODUCT($G$6523:$K$6523,$G$6453:$K$6453)),0)</f>
        <v>0.196232339089482</v>
      </c>
    </row>
    <row r="6615" customFormat="false" ht="15" hidden="false" customHeight="false" outlineLevel="0" collapsed="false">
      <c r="A6615" s="5" t="s">
        <v>486</v>
      </c>
      <c r="C6615" s="25" t="n">
        <f aca="false">CHOOSE(C6608,C6585,C6586,C6587,C6588)*C6614</f>
        <v>91.2198175039247</v>
      </c>
    </row>
    <row r="6616" customFormat="false" ht="15" hidden="false" customHeight="false" outlineLevel="0" collapsed="false">
      <c r="A6616" s="5" t="s">
        <v>487</v>
      </c>
      <c r="C6616" s="21" t="n">
        <f aca="false">CHOOSE(C6608,C6590,C6591,C6592,C6593)</f>
        <v>0.889840921877085</v>
      </c>
    </row>
    <row r="6617" customFormat="false" ht="15" hidden="false" customHeight="false" outlineLevel="0" collapsed="false">
      <c r="A6617" s="5" t="s">
        <v>488</v>
      </c>
      <c r="C6617" s="20" t="n">
        <f aca="false">IF(C6524=1,C6613,C6612)</f>
        <v>2</v>
      </c>
    </row>
    <row r="6618" customFormat="false" ht="15" hidden="false" customHeight="false" outlineLevel="0" collapsed="false">
      <c r="A6618" s="5" t="s">
        <v>489</v>
      </c>
      <c r="C6618" s="33" t="n">
        <f aca="false">CHOOSE($C$6360,Assumptions!$C$77,Assumptions!$C$96,Assumptions!$C$115)</f>
        <v>100</v>
      </c>
    </row>
    <row r="6619" customFormat="false" ht="15" hidden="false" customHeight="false" outlineLevel="0" collapsed="false">
      <c r="A6619" s="5" t="s">
        <v>490</v>
      </c>
      <c r="C6619" s="25" t="n">
        <f aca="false">INDEX($G$6377:$K$6377,C6612)*CHOOSE($C$6360,Assumptions!$C$76,Assumptions!$C$95,Assumptions!$C$114)+MAX(0,INDEX($G$6489:$K$6489,C6612))</f>
        <v>827.90292</v>
      </c>
    </row>
    <row r="6620" customFormat="false" ht="15" hidden="false" customHeight="false" outlineLevel="0" collapsed="false">
      <c r="A6620" s="23" t="s">
        <v>491</v>
      </c>
      <c r="B6620" s="24"/>
      <c r="C6620" s="24"/>
      <c r="D6620" s="24"/>
      <c r="E6620" s="24"/>
      <c r="F6620" s="24"/>
      <c r="G6620" s="24"/>
      <c r="H6620" s="24"/>
      <c r="I6620" s="24"/>
      <c r="J6620" s="24"/>
      <c r="K6620" s="24"/>
    </row>
    <row r="6621" customFormat="false" ht="15" hidden="false" customHeight="false" outlineLevel="0" collapsed="false">
      <c r="A6621" s="5" t="s">
        <v>457</v>
      </c>
      <c r="C6621" s="25" t="n">
        <f aca="false">INDEX($G$6414:$K$6414,C6612)</f>
        <v>131.44</v>
      </c>
    </row>
    <row r="6622" customFormat="false" ht="15" hidden="false" customHeight="false" outlineLevel="0" collapsed="false">
      <c r="A6622" s="5" t="s">
        <v>458</v>
      </c>
      <c r="C6622" s="25" t="n">
        <f aca="false">INDEX($G$6427:$K$6427,C6612)</f>
        <v>509.6</v>
      </c>
    </row>
    <row r="6623" customFormat="false" ht="15" hidden="false" customHeight="false" outlineLevel="0" collapsed="false">
      <c r="A6623" s="5" t="s">
        <v>459</v>
      </c>
      <c r="C6623" s="25" t="n">
        <f aca="false">INDEX($G$6440:$K$6440,C6612)</f>
        <v>250</v>
      </c>
    </row>
    <row r="6624" customFormat="false" ht="15" hidden="false" customHeight="false" outlineLevel="0" collapsed="false">
      <c r="A6624" s="5" t="s">
        <v>460</v>
      </c>
      <c r="C6624" s="25" t="n">
        <f aca="false">INDEX($G$6453:$K$6453,C6612)</f>
        <v>300</v>
      </c>
    </row>
    <row r="6625" customFormat="false" ht="15" hidden="false" customHeight="false" outlineLevel="0" collapsed="false">
      <c r="A6625" s="23" t="s">
        <v>461</v>
      </c>
      <c r="B6625" s="24"/>
      <c r="C6625" s="24"/>
      <c r="D6625" s="24"/>
      <c r="E6625" s="24"/>
      <c r="F6625" s="24"/>
      <c r="G6625" s="24"/>
      <c r="H6625" s="24"/>
      <c r="I6625" s="24"/>
      <c r="J6625" s="24"/>
      <c r="K6625" s="24"/>
    </row>
    <row r="6626" customFormat="false" ht="15" hidden="false" customHeight="false" outlineLevel="0" collapsed="false">
      <c r="A6626" s="5" t="s">
        <v>457</v>
      </c>
      <c r="C6626" s="26" t="n">
        <f aca="false">Assumptions!$M$53</f>
        <v>1</v>
      </c>
    </row>
    <row r="6627" customFormat="false" ht="15" hidden="false" customHeight="false" outlineLevel="0" collapsed="false">
      <c r="A6627" s="5" t="s">
        <v>458</v>
      </c>
      <c r="C6627" s="26" t="n">
        <f aca="false">Assumptions!$M$54</f>
        <v>2</v>
      </c>
    </row>
    <row r="6628" customFormat="false" ht="15" hidden="false" customHeight="false" outlineLevel="0" collapsed="false">
      <c r="A6628" s="5" t="s">
        <v>459</v>
      </c>
      <c r="C6628" s="26" t="n">
        <f aca="false">Assumptions!$M$55</f>
        <v>3</v>
      </c>
    </row>
    <row r="6629" customFormat="false" ht="15" hidden="false" customHeight="false" outlineLevel="0" collapsed="false">
      <c r="A6629" s="5" t="s">
        <v>460</v>
      </c>
      <c r="C6629" s="26" t="n">
        <f aca="false">Assumptions!$M$56</f>
        <v>4</v>
      </c>
    </row>
    <row r="6630" customFormat="false" ht="15" hidden="false" customHeight="false" outlineLevel="0" collapsed="false">
      <c r="A6630" s="23" t="s">
        <v>462</v>
      </c>
      <c r="B6630" s="24"/>
      <c r="C6630" s="24"/>
      <c r="D6630" s="24"/>
      <c r="E6630" s="24"/>
      <c r="F6630" s="24"/>
      <c r="G6630" s="24"/>
      <c r="H6630" s="24"/>
      <c r="I6630" s="24"/>
      <c r="J6630" s="24"/>
      <c r="K6630" s="24"/>
    </row>
    <row r="6631" customFormat="false" ht="15" hidden="false" customHeight="false" outlineLevel="0" collapsed="false">
      <c r="A6631" s="5" t="s">
        <v>457</v>
      </c>
      <c r="C6631" s="34" t="n">
        <f aca="false">Assumptions!$Q$53</f>
        <v>0</v>
      </c>
    </row>
    <row r="6632" customFormat="false" ht="15" hidden="false" customHeight="false" outlineLevel="0" collapsed="false">
      <c r="A6632" s="5" t="s">
        <v>458</v>
      </c>
      <c r="C6632" s="34" t="n">
        <f aca="false">Assumptions!$Q$54</f>
        <v>0</v>
      </c>
    </row>
    <row r="6633" customFormat="false" ht="15" hidden="false" customHeight="false" outlineLevel="0" collapsed="false">
      <c r="A6633" s="5" t="s">
        <v>459</v>
      </c>
      <c r="C6633" s="34" t="n">
        <f aca="false">Assumptions!$Q$55</f>
        <v>0</v>
      </c>
    </row>
    <row r="6634" customFormat="false" ht="15" hidden="false" customHeight="false" outlineLevel="0" collapsed="false">
      <c r="A6634" s="5" t="s">
        <v>460</v>
      </c>
      <c r="C6634" s="34" t="n">
        <f aca="false">Assumptions!$Q$56</f>
        <v>0</v>
      </c>
    </row>
    <row r="6635" customFormat="false" ht="15" hidden="false" customHeight="false" outlineLevel="0" collapsed="false">
      <c r="A6635" s="23" t="s">
        <v>463</v>
      </c>
      <c r="B6635" s="24"/>
      <c r="C6635" s="24"/>
      <c r="D6635" s="24"/>
      <c r="E6635" s="24"/>
      <c r="F6635" s="24"/>
      <c r="G6635" s="24"/>
      <c r="H6635" s="24"/>
      <c r="I6635" s="24"/>
      <c r="J6635" s="24"/>
      <c r="K6635" s="24"/>
    </row>
    <row r="6636" customFormat="false" ht="15" hidden="false" customHeight="false" outlineLevel="0" collapsed="false">
      <c r="A6636" s="5" t="s">
        <v>457</v>
      </c>
      <c r="C6636" s="25" t="n">
        <f aca="false">IF(C6631&gt;0,MIN(C6621,C6631*$C$6619),0)</f>
        <v>0</v>
      </c>
    </row>
    <row r="6637" customFormat="false" ht="15" hidden="false" customHeight="false" outlineLevel="0" collapsed="false">
      <c r="A6637" s="5" t="s">
        <v>458</v>
      </c>
      <c r="C6637" s="25" t="n">
        <f aca="false">IF(C6632&gt;0,MIN(C6622,C6632*$C$6619),0)</f>
        <v>0</v>
      </c>
    </row>
    <row r="6638" customFormat="false" ht="15" hidden="false" customHeight="false" outlineLevel="0" collapsed="false">
      <c r="A6638" s="5" t="s">
        <v>459</v>
      </c>
      <c r="C6638" s="25" t="n">
        <f aca="false">IF(C6633&gt;0,MIN(C6623,C6633*$C$6619),0)</f>
        <v>0</v>
      </c>
    </row>
    <row r="6639" customFormat="false" ht="15" hidden="false" customHeight="false" outlineLevel="0" collapsed="false">
      <c r="A6639" s="5" t="s">
        <v>460</v>
      </c>
      <c r="C6639" s="25" t="n">
        <f aca="false">IF(C6634&gt;0,MIN(C6624,C6634*$C$6619),0)</f>
        <v>0</v>
      </c>
    </row>
    <row r="6640" customFormat="false" ht="15" hidden="false" customHeight="false" outlineLevel="0" collapsed="false">
      <c r="A6640" s="23" t="s">
        <v>464</v>
      </c>
      <c r="B6640" s="24"/>
      <c r="C6640" s="24"/>
      <c r="D6640" s="24"/>
      <c r="E6640" s="24"/>
      <c r="F6640" s="24"/>
      <c r="G6640" s="24"/>
      <c r="H6640" s="24"/>
      <c r="I6640" s="24"/>
      <c r="J6640" s="24"/>
      <c r="K6640" s="24"/>
    </row>
    <row r="6641" customFormat="false" ht="15" hidden="false" customHeight="false" outlineLevel="0" collapsed="false">
      <c r="A6641" s="5" t="s">
        <v>457</v>
      </c>
      <c r="C6641" s="25" t="n">
        <f aca="false">IF(C6631&gt;0,C6621-C6636,0)</f>
        <v>0</v>
      </c>
    </row>
    <row r="6642" customFormat="false" ht="15" hidden="false" customHeight="false" outlineLevel="0" collapsed="false">
      <c r="A6642" s="5" t="s">
        <v>458</v>
      </c>
      <c r="C6642" s="25" t="n">
        <f aca="false">IF(C6632&gt;0,C6622-C6637,0)</f>
        <v>0</v>
      </c>
    </row>
    <row r="6643" customFormat="false" ht="15" hidden="false" customHeight="false" outlineLevel="0" collapsed="false">
      <c r="A6643" s="5" t="s">
        <v>459</v>
      </c>
      <c r="C6643" s="25" t="n">
        <f aca="false">IF(C6633&gt;0,C6623-C6638,0)</f>
        <v>0</v>
      </c>
    </row>
    <row r="6644" customFormat="false" ht="15" hidden="false" customHeight="false" outlineLevel="0" collapsed="false">
      <c r="A6644" s="5" t="s">
        <v>460</v>
      </c>
      <c r="C6644" s="25" t="n">
        <f aca="false">IF(C6634&gt;0,C6624-C6639,0)</f>
        <v>0</v>
      </c>
    </row>
    <row r="6645" customFormat="false" ht="15" hidden="false" customHeight="false" outlineLevel="0" collapsed="false">
      <c r="A6645" s="23" t="s">
        <v>465</v>
      </c>
      <c r="B6645" s="24"/>
      <c r="C6645" s="24"/>
      <c r="D6645" s="24"/>
      <c r="E6645" s="24"/>
      <c r="F6645" s="24"/>
      <c r="G6645" s="24"/>
      <c r="H6645" s="24"/>
      <c r="I6645" s="24"/>
      <c r="J6645" s="24"/>
      <c r="K6645" s="24"/>
    </row>
    <row r="6646" customFormat="false" ht="15" hidden="false" customHeight="false" outlineLevel="0" collapsed="false">
      <c r="A6646" s="5" t="s">
        <v>457</v>
      </c>
      <c r="C6646" s="25" t="n">
        <f aca="false">IF(C6631&gt;0,C6641,C6621)</f>
        <v>131.44</v>
      </c>
    </row>
    <row r="6647" customFormat="false" ht="15" hidden="false" customHeight="false" outlineLevel="0" collapsed="false">
      <c r="A6647" s="5" t="s">
        <v>458</v>
      </c>
      <c r="C6647" s="25" t="n">
        <f aca="false">IF(C6632&gt;0,C6642,C6622)</f>
        <v>509.6</v>
      </c>
    </row>
    <row r="6648" customFormat="false" ht="15" hidden="false" customHeight="false" outlineLevel="0" collapsed="false">
      <c r="A6648" s="5" t="s">
        <v>459</v>
      </c>
      <c r="C6648" s="25" t="n">
        <f aca="false">IF(C6633&gt;0,C6643,C6623)</f>
        <v>250</v>
      </c>
    </row>
    <row r="6649" customFormat="false" ht="15" hidden="false" customHeight="false" outlineLevel="0" collapsed="false">
      <c r="A6649" s="5" t="s">
        <v>460</v>
      </c>
      <c r="C6649" s="25" t="n">
        <f aca="false">IF(C6634&gt;0,C6644,C6624)</f>
        <v>300</v>
      </c>
    </row>
    <row r="6650" customFormat="false" ht="15" hidden="false" customHeight="false" outlineLevel="0" collapsed="false">
      <c r="A6650" s="23" t="s">
        <v>466</v>
      </c>
      <c r="B6650" s="24"/>
      <c r="C6650" s="24"/>
      <c r="D6650" s="24"/>
      <c r="E6650" s="24"/>
      <c r="F6650" s="24"/>
      <c r="G6650" s="24"/>
      <c r="H6650" s="24"/>
      <c r="I6650" s="24"/>
      <c r="J6650" s="24"/>
      <c r="K6650" s="24"/>
    </row>
    <row r="6651" customFormat="false" ht="15" hidden="false" customHeight="false" outlineLevel="0" collapsed="false">
      <c r="A6651" s="5" t="s">
        <v>457</v>
      </c>
      <c r="C6651" s="20" t="n">
        <f aca="false">IF(C6631&gt;0,Assumptions!$C$17,C6626)</f>
        <v>1</v>
      </c>
    </row>
    <row r="6652" customFormat="false" ht="15" hidden="false" customHeight="false" outlineLevel="0" collapsed="false">
      <c r="A6652" s="5" t="s">
        <v>458</v>
      </c>
      <c r="C6652" s="20" t="n">
        <f aca="false">IF(C6632&gt;0,Assumptions!$C$17,C6627)</f>
        <v>2</v>
      </c>
    </row>
    <row r="6653" customFormat="false" ht="15" hidden="false" customHeight="false" outlineLevel="0" collapsed="false">
      <c r="A6653" s="5" t="s">
        <v>459</v>
      </c>
      <c r="C6653" s="20" t="n">
        <f aca="false">IF(C6633&gt;0,Assumptions!$C$17,C6628)</f>
        <v>3</v>
      </c>
    </row>
    <row r="6654" customFormat="false" ht="15" hidden="false" customHeight="false" outlineLevel="0" collapsed="false">
      <c r="A6654" s="5" t="s">
        <v>460</v>
      </c>
      <c r="C6654" s="20" t="n">
        <f aca="false">IF(C6634&gt;0,Assumptions!$C$17,C6629)</f>
        <v>4</v>
      </c>
    </row>
    <row r="6655" customFormat="false" ht="15" hidden="false" customHeight="false" outlineLevel="0" collapsed="false">
      <c r="A6655" s="23" t="s">
        <v>467</v>
      </c>
      <c r="B6655" s="24"/>
      <c r="C6655" s="24"/>
      <c r="D6655" s="24"/>
      <c r="E6655" s="24"/>
      <c r="F6655" s="24"/>
      <c r="G6655" s="24"/>
      <c r="H6655" s="24"/>
      <c r="I6655" s="24"/>
      <c r="J6655" s="24"/>
      <c r="K6655" s="24"/>
    </row>
    <row r="6656" customFormat="false" ht="15" hidden="false" customHeight="false" outlineLevel="0" collapsed="false">
      <c r="A6656" s="5" t="s">
        <v>457</v>
      </c>
      <c r="C6656" s="25" t="n">
        <f aca="false">SUMPRODUCT(($C$6651:$C$6654&lt;C6651)*$C$6646:$C$6649)</f>
        <v>0</v>
      </c>
    </row>
    <row r="6657" customFormat="false" ht="15" hidden="false" customHeight="false" outlineLevel="0" collapsed="false">
      <c r="A6657" s="5" t="s">
        <v>458</v>
      </c>
      <c r="C6657" s="25" t="n">
        <f aca="false">SUMPRODUCT(($C$6651:$C$6654&lt;C6652)*$C$6646:$C$6649)</f>
        <v>131.44</v>
      </c>
    </row>
    <row r="6658" customFormat="false" ht="15" hidden="false" customHeight="false" outlineLevel="0" collapsed="false">
      <c r="A6658" s="5" t="s">
        <v>459</v>
      </c>
      <c r="C6658" s="25" t="n">
        <f aca="false">SUMPRODUCT(($C$6651:$C$6654&lt;C6653)*$C$6646:$C$6649)</f>
        <v>641.04</v>
      </c>
    </row>
    <row r="6659" customFormat="false" ht="15" hidden="false" customHeight="false" outlineLevel="0" collapsed="false">
      <c r="A6659" s="5" t="s">
        <v>460</v>
      </c>
      <c r="C6659" s="25" t="n">
        <f aca="false">SUMPRODUCT(($C$6651:$C$6654&lt;C6654)*$C$6646:$C$6649)</f>
        <v>891.04</v>
      </c>
    </row>
    <row r="6660" customFormat="false" ht="15" hidden="false" customHeight="false" outlineLevel="0" collapsed="false">
      <c r="A6660" s="23" t="s">
        <v>468</v>
      </c>
      <c r="B6660" s="24"/>
      <c r="C6660" s="24"/>
      <c r="D6660" s="24"/>
      <c r="E6660" s="24"/>
      <c r="F6660" s="24"/>
      <c r="G6660" s="24"/>
      <c r="H6660" s="24"/>
      <c r="I6660" s="24"/>
      <c r="J6660" s="24"/>
      <c r="K6660" s="24"/>
    </row>
    <row r="6661" customFormat="false" ht="15" hidden="false" customHeight="false" outlineLevel="0" collapsed="false">
      <c r="A6661" s="5" t="s">
        <v>457</v>
      </c>
      <c r="C6661" s="25" t="n">
        <f aca="false">SUMPRODUCT(($C$6651:$C$6654=C6651)*$C$6646:$C$6649)</f>
        <v>131.44</v>
      </c>
    </row>
    <row r="6662" customFormat="false" ht="15" hidden="false" customHeight="false" outlineLevel="0" collapsed="false">
      <c r="A6662" s="5" t="s">
        <v>458</v>
      </c>
      <c r="C6662" s="25" t="n">
        <f aca="false">SUMPRODUCT(($C$6651:$C$6654=C6652)*$C$6646:$C$6649)</f>
        <v>509.6</v>
      </c>
    </row>
    <row r="6663" customFormat="false" ht="15" hidden="false" customHeight="false" outlineLevel="0" collapsed="false">
      <c r="A6663" s="5" t="s">
        <v>459</v>
      </c>
      <c r="C6663" s="25" t="n">
        <f aca="false">SUMPRODUCT(($C$6651:$C$6654=C6653)*$C$6646:$C$6649)</f>
        <v>250</v>
      </c>
    </row>
    <row r="6664" customFormat="false" ht="15" hidden="false" customHeight="false" outlineLevel="0" collapsed="false">
      <c r="A6664" s="5" t="s">
        <v>460</v>
      </c>
      <c r="C6664" s="25" t="n">
        <f aca="false">SUMPRODUCT(($C$6651:$C$6654=C6654)*$C$6646:$C$6649)</f>
        <v>300</v>
      </c>
    </row>
    <row r="6665" customFormat="false" ht="15" hidden="false" customHeight="false" outlineLevel="0" collapsed="false">
      <c r="A6665" s="23" t="s">
        <v>469</v>
      </c>
      <c r="B6665" s="24"/>
      <c r="C6665" s="24"/>
      <c r="D6665" s="24"/>
      <c r="E6665" s="24"/>
      <c r="F6665" s="24"/>
      <c r="G6665" s="24"/>
      <c r="H6665" s="24"/>
      <c r="I6665" s="24"/>
      <c r="J6665" s="24"/>
      <c r="K6665" s="24"/>
    </row>
    <row r="6666" customFormat="false" ht="15" hidden="false" customHeight="false" outlineLevel="0" collapsed="false">
      <c r="A6666" s="5" t="s">
        <v>457</v>
      </c>
      <c r="C6666" s="25" t="n">
        <f aca="false">IF(C6661=0,0,C6646/C6661*MAX(0,MIN(C6661,$C$6619-SUM($C$6636:$C$6639)-C6656)))</f>
        <v>131.44</v>
      </c>
    </row>
    <row r="6667" customFormat="false" ht="15" hidden="false" customHeight="false" outlineLevel="0" collapsed="false">
      <c r="A6667" s="5" t="s">
        <v>458</v>
      </c>
      <c r="C6667" s="25" t="n">
        <f aca="false">IF(C6662=0,0,C6647/C6662*MAX(0,MIN(C6662,$C$6619-SUM($C$6636:$C$6639)-C6657)))</f>
        <v>509.6</v>
      </c>
    </row>
    <row r="6668" customFormat="false" ht="15" hidden="false" customHeight="false" outlineLevel="0" collapsed="false">
      <c r="A6668" s="5" t="s">
        <v>459</v>
      </c>
      <c r="C6668" s="25" t="n">
        <f aca="false">IF(C6663=0,0,C6648/C6663*MAX(0,MIN(C6663,$C$6619-SUM($C$6636:$C$6639)-C6658)))</f>
        <v>186.86292</v>
      </c>
    </row>
    <row r="6669" customFormat="false" ht="15" hidden="false" customHeight="false" outlineLevel="0" collapsed="false">
      <c r="A6669" s="5" t="s">
        <v>460</v>
      </c>
      <c r="C6669" s="25" t="n">
        <f aca="false">IF(C6664=0,0,C6649/C6664*MAX(0,MIN(C6664,$C$6619-SUM($C$6636:$C$6639)-C6659)))</f>
        <v>0</v>
      </c>
    </row>
    <row r="6670" customFormat="false" ht="15" hidden="false" customHeight="false" outlineLevel="0" collapsed="false">
      <c r="A6670" s="23" t="s">
        <v>470</v>
      </c>
      <c r="B6670" s="24"/>
      <c r="C6670" s="24"/>
      <c r="D6670" s="24"/>
      <c r="E6670" s="24"/>
      <c r="F6670" s="24"/>
      <c r="G6670" s="24"/>
      <c r="H6670" s="24"/>
      <c r="I6670" s="24"/>
      <c r="J6670" s="24"/>
      <c r="K6670" s="24"/>
    </row>
    <row r="6671" customFormat="false" ht="15" hidden="false" customHeight="false" outlineLevel="0" collapsed="false">
      <c r="A6671" s="2" t="s">
        <v>457</v>
      </c>
      <c r="C6671" s="16" t="n">
        <f aca="false">C6636+C6666</f>
        <v>131.44</v>
      </c>
    </row>
    <row r="6672" customFormat="false" ht="15" hidden="false" customHeight="false" outlineLevel="0" collapsed="false">
      <c r="A6672" s="2" t="s">
        <v>458</v>
      </c>
      <c r="C6672" s="16" t="n">
        <f aca="false">C6637+C6667</f>
        <v>509.6</v>
      </c>
    </row>
    <row r="6673" customFormat="false" ht="15" hidden="false" customHeight="false" outlineLevel="0" collapsed="false">
      <c r="A6673" s="2" t="s">
        <v>459</v>
      </c>
      <c r="C6673" s="16" t="n">
        <f aca="false">C6638+C6668</f>
        <v>186.86292</v>
      </c>
    </row>
    <row r="6674" customFormat="false" ht="15" hidden="false" customHeight="false" outlineLevel="0" collapsed="false">
      <c r="A6674" s="2" t="s">
        <v>460</v>
      </c>
      <c r="C6674" s="16" t="n">
        <f aca="false">C6639+C6669</f>
        <v>0</v>
      </c>
    </row>
    <row r="6675" customFormat="false" ht="15" hidden="false" customHeight="false" outlineLevel="0" collapsed="false">
      <c r="A6675" s="23" t="s">
        <v>471</v>
      </c>
      <c r="B6675" s="24"/>
      <c r="C6675" s="24"/>
      <c r="D6675" s="24"/>
      <c r="E6675" s="24"/>
      <c r="F6675" s="24"/>
      <c r="G6675" s="24"/>
      <c r="H6675" s="24"/>
      <c r="I6675" s="24"/>
      <c r="J6675" s="24"/>
      <c r="K6675" s="24"/>
    </row>
    <row r="6676" customFormat="false" ht="15" hidden="false" customHeight="false" outlineLevel="0" collapsed="false">
      <c r="A6676" s="5" t="s">
        <v>457</v>
      </c>
      <c r="C6676" s="21" t="n">
        <f aca="false">IF(C6621=0,1,C6671/C6621)</f>
        <v>1</v>
      </c>
    </row>
    <row r="6677" customFormat="false" ht="15" hidden="false" customHeight="false" outlineLevel="0" collapsed="false">
      <c r="A6677" s="5" t="s">
        <v>458</v>
      </c>
      <c r="C6677" s="21" t="n">
        <f aca="false">IF(C6622=0,1,C6672/C6622)</f>
        <v>1</v>
      </c>
    </row>
    <row r="6678" customFormat="false" ht="15" hidden="false" customHeight="false" outlineLevel="0" collapsed="false">
      <c r="A6678" s="5" t="s">
        <v>459</v>
      </c>
      <c r="C6678" s="21" t="n">
        <f aca="false">IF(C6623=0,1,C6673/C6623)</f>
        <v>0.74745168</v>
      </c>
    </row>
    <row r="6679" customFormat="false" ht="15" hidden="false" customHeight="false" outlineLevel="0" collapsed="false">
      <c r="A6679" s="5" t="s">
        <v>460</v>
      </c>
      <c r="C6679" s="21" t="n">
        <f aca="false">IF(C6624=0,1,C6674/C6624)</f>
        <v>0</v>
      </c>
    </row>
    <row r="6680" customFormat="false" ht="15" hidden="false" customHeight="false" outlineLevel="0" collapsed="false">
      <c r="A6680" s="23" t="s">
        <v>472</v>
      </c>
      <c r="B6680" s="24"/>
      <c r="C6680" s="24"/>
      <c r="D6680" s="24"/>
      <c r="E6680" s="24"/>
      <c r="F6680" s="24"/>
      <c r="G6680" s="24"/>
      <c r="H6680" s="24"/>
      <c r="I6680" s="24"/>
      <c r="J6680" s="24"/>
      <c r="K6680" s="24"/>
    </row>
    <row r="6681" customFormat="false" ht="15" hidden="false" customHeight="false" outlineLevel="0" collapsed="false">
      <c r="A6681" s="5" t="s">
        <v>457</v>
      </c>
      <c r="C6681" s="25" t="n">
        <f aca="false">C6621-C6671</f>
        <v>0</v>
      </c>
    </row>
    <row r="6682" customFormat="false" ht="15" hidden="false" customHeight="false" outlineLevel="0" collapsed="false">
      <c r="A6682" s="5" t="s">
        <v>458</v>
      </c>
      <c r="C6682" s="25" t="n">
        <f aca="false">C6622-C6672</f>
        <v>0</v>
      </c>
    </row>
    <row r="6683" customFormat="false" ht="15" hidden="false" customHeight="false" outlineLevel="0" collapsed="false">
      <c r="A6683" s="5" t="s">
        <v>459</v>
      </c>
      <c r="C6683" s="25" t="n">
        <f aca="false">C6623-C6673</f>
        <v>63.13708</v>
      </c>
    </row>
    <row r="6684" customFormat="false" ht="15" hidden="false" customHeight="false" outlineLevel="0" collapsed="false">
      <c r="A6684" s="5" t="s">
        <v>460</v>
      </c>
      <c r="C6684" s="25" t="n">
        <f aca="false">C6624-C6674</f>
        <v>300</v>
      </c>
    </row>
    <row r="6685" customFormat="false" ht="15" hidden="false" customHeight="false" outlineLevel="0" collapsed="false">
      <c r="A6685" s="23" t="s">
        <v>473</v>
      </c>
      <c r="B6685" s="24"/>
      <c r="C6685" s="24"/>
      <c r="D6685" s="24"/>
      <c r="E6685" s="24"/>
      <c r="F6685" s="24"/>
      <c r="G6685" s="24"/>
      <c r="H6685" s="24"/>
      <c r="I6685" s="24"/>
      <c r="J6685" s="24"/>
      <c r="K6685" s="24"/>
    </row>
    <row r="6686" customFormat="false" ht="15" hidden="false" customHeight="false" outlineLevel="0" collapsed="false">
      <c r="A6686" s="5" t="s">
        <v>457</v>
      </c>
      <c r="C6686" s="21" t="n">
        <f aca="false">IF(C6621=0,0,C6681/C6621)</f>
        <v>0</v>
      </c>
    </row>
    <row r="6687" customFormat="false" ht="15" hidden="false" customHeight="false" outlineLevel="0" collapsed="false">
      <c r="A6687" s="5" t="s">
        <v>458</v>
      </c>
      <c r="C6687" s="21" t="n">
        <f aca="false">IF(C6622=0,0,C6682/C6622)</f>
        <v>0</v>
      </c>
    </row>
    <row r="6688" customFormat="false" ht="15" hidden="false" customHeight="false" outlineLevel="0" collapsed="false">
      <c r="A6688" s="5" t="s">
        <v>459</v>
      </c>
      <c r="C6688" s="21" t="n">
        <f aca="false">IF(C6623=0,0,C6683/C6623)</f>
        <v>0.25254832</v>
      </c>
    </row>
    <row r="6689" customFormat="false" ht="15" hidden="false" customHeight="false" outlineLevel="0" collapsed="false">
      <c r="A6689" s="5" t="s">
        <v>460</v>
      </c>
      <c r="C6689" s="21" t="n">
        <f aca="false">IF(C6624=0,0,C6684/C6624)</f>
        <v>1</v>
      </c>
    </row>
    <row r="6690" customFormat="false" ht="15" hidden="false" customHeight="false" outlineLevel="0" collapsed="false">
      <c r="A6690" s="2" t="s">
        <v>474</v>
      </c>
      <c r="C6690" s="16" t="n">
        <f aca="false">MAX(0,$C$6619-SUM($C$6636:$C$6639)-SUM($C$6646:$C$6649))</f>
        <v>0</v>
      </c>
    </row>
    <row r="6691" customFormat="false" ht="15" hidden="false" customHeight="false" outlineLevel="0" collapsed="false">
      <c r="A6691" s="5" t="s">
        <v>492</v>
      </c>
      <c r="C6691" s="33" t="n">
        <f aca="false">MIN(C6618,100*CHOOSE(C6608,C6676,C6677,C6678,C6679))</f>
        <v>100</v>
      </c>
    </row>
    <row r="6692" customFormat="false" ht="15" hidden="false" customHeight="false" outlineLevel="0" collapsed="false">
      <c r="A6692" s="5" t="s">
        <v>493</v>
      </c>
      <c r="C6692" s="20" t="n">
        <f aca="false">IF(C6524=1,C6613+Assumptions!$C$36,C6612)</f>
        <v>3</v>
      </c>
    </row>
    <row r="6693" customFormat="false" ht="15" hidden="false" customHeight="false" outlineLevel="0" collapsed="false">
      <c r="A6693" s="23" t="s">
        <v>494</v>
      </c>
      <c r="B6693" s="24"/>
      <c r="C6693" s="24"/>
      <c r="D6693" s="24"/>
      <c r="E6693" s="24"/>
      <c r="F6693" s="24"/>
      <c r="G6693" s="24"/>
      <c r="H6693" s="24"/>
      <c r="I6693" s="24"/>
      <c r="J6693" s="24"/>
      <c r="K6693" s="24"/>
    </row>
    <row r="6694" customFormat="false" ht="15" hidden="false" customHeight="false" outlineLevel="0" collapsed="false">
      <c r="A6694" s="5" t="s">
        <v>495</v>
      </c>
      <c r="C6694" s="20" t="n">
        <f aca="false">COLUMN()-COLUMN($C$1)</f>
        <v>0</v>
      </c>
      <c r="D6694" s="20" t="n">
        <f aca="false">COLUMN()-COLUMN($C$1)</f>
        <v>1</v>
      </c>
      <c r="E6694" s="20" t="n">
        <f aca="false">COLUMN()-COLUMN($C$1)</f>
        <v>2</v>
      </c>
      <c r="F6694" s="20" t="n">
        <f aca="false">COLUMN()-COLUMN($C$1)</f>
        <v>3</v>
      </c>
      <c r="G6694" s="20" t="n">
        <f aca="false">COLUMN()-COLUMN($C$1)</f>
        <v>4</v>
      </c>
      <c r="H6694" s="20" t="n">
        <f aca="false">COLUMN()-COLUMN($C$1)</f>
        <v>5</v>
      </c>
      <c r="I6694" s="20" t="n">
        <f aca="false">COLUMN()-COLUMN($C$1)</f>
        <v>6</v>
      </c>
    </row>
    <row r="6695" customFormat="false" ht="15" hidden="false" customHeight="false" outlineLevel="0" collapsed="false">
      <c r="A6695" s="5" t="s">
        <v>496</v>
      </c>
      <c r="D6695" s="30" t="n">
        <f aca="false">CHOOSE($C$6608,G6406,G6419,G6432,G6445)</f>
        <v>0.103</v>
      </c>
      <c r="E6695" s="30" t="n">
        <f aca="false">CHOOSE($C$6608,H6406,H6419,H6432,H6445)</f>
        <v>0.1005</v>
      </c>
      <c r="F6695" s="30" t="n">
        <f aca="false">CHOOSE($C$6608,I6406,I6419,I6432,I6445)</f>
        <v>0.098</v>
      </c>
      <c r="G6695" s="30" t="n">
        <f aca="false">CHOOSE($C$6608,J6406,J6419,J6432,J6445)</f>
        <v>0.098</v>
      </c>
      <c r="H6695" s="30" t="n">
        <f aca="false">CHOOSE($C$6608,K6406,K6419,K6432,K6445)</f>
        <v>0.098</v>
      </c>
    </row>
    <row r="6696" customFormat="false" ht="15" hidden="false" customHeight="false" outlineLevel="0" collapsed="false">
      <c r="A6696" s="5" t="s">
        <v>497</v>
      </c>
      <c r="D6696" s="25" t="n">
        <f aca="false">IF(D6694&lt;=$C$6617,$C$6609*D6695,0)</f>
        <v>10.3</v>
      </c>
      <c r="E6696" s="25" t="n">
        <f aca="false">IF(E6694&lt;=$C$6617,$C$6609*E6695,0)</f>
        <v>10.05</v>
      </c>
      <c r="F6696" s="25" t="n">
        <f aca="false">IF(F6694&lt;=$C$6617,$C$6609*F6695,0)</f>
        <v>0</v>
      </c>
      <c r="G6696" s="25" t="n">
        <f aca="false">IF(G6694&lt;=$C$6617,$C$6609*G6695,0)</f>
        <v>0</v>
      </c>
      <c r="H6696" s="25" t="n">
        <f aca="false">IF(H6694&lt;=$C$6617,$C$6609*H6695,0)</f>
        <v>0</v>
      </c>
    </row>
    <row r="6697" customFormat="false" ht="15" hidden="false" customHeight="false" outlineLevel="0" collapsed="false">
      <c r="A6697" s="5" t="s">
        <v>498</v>
      </c>
      <c r="D6697" s="25" t="n">
        <f aca="false">IF(AND($C$6524=0,D6694=$C$6612),$C$6609*$C$6691/100,0)+IF(AND($C$6524=1,D6694=$C$6692),$C$6615,0)</f>
        <v>0</v>
      </c>
      <c r="E6697" s="25" t="n">
        <f aca="false">IF(AND($C$6524=0,E6694=$C$6612),$C$6609*$C$6691/100,0)+IF(AND($C$6524=1,E6694=$C$6692),$C$6615,0)</f>
        <v>0</v>
      </c>
      <c r="F6697" s="25" t="n">
        <f aca="false">IF(AND($C$6524=0,F6694=$C$6612),$C$6609*$C$6691/100,0)+IF(AND($C$6524=1,F6694=$C$6692),$C$6615,0)</f>
        <v>91.2198175039247</v>
      </c>
      <c r="G6697" s="25" t="n">
        <f aca="false">IF(AND($C$6524=0,G6694=$C$6612),$C$6609*$C$6691/100,0)+IF(AND($C$6524=1,G6694=$C$6692),$C$6615,0)</f>
        <v>0</v>
      </c>
      <c r="H6697" s="25" t="n">
        <f aca="false">IF(AND($C$6524=0,H6694=$C$6612),$C$6609*$C$6691/100,0)+IF(AND($C$6524=1,H6694=$C$6692),$C$6615,0)</f>
        <v>0</v>
      </c>
      <c r="I6697" s="25" t="n">
        <f aca="false">IF(AND($C$6524=0,I6694=$C$6612),$C$6609*$C$6691/100,0)+IF(AND($C$6524=1,I6694=$C$6692),$C$6615,0)</f>
        <v>0</v>
      </c>
    </row>
    <row r="6698" customFormat="false" ht="15" hidden="false" customHeight="false" outlineLevel="0" collapsed="false">
      <c r="A6698" s="2" t="s">
        <v>499</v>
      </c>
      <c r="C6698" s="16" t="n">
        <f aca="false">-$C$6611</f>
        <v>-78.39</v>
      </c>
      <c r="D6698" s="16" t="n">
        <f aca="false">D6696+D6697</f>
        <v>10.3</v>
      </c>
      <c r="E6698" s="16" t="n">
        <f aca="false">E6696+E6697</f>
        <v>10.05</v>
      </c>
      <c r="F6698" s="16" t="n">
        <f aca="false">F6696+F6697</f>
        <v>91.2198175039247</v>
      </c>
      <c r="G6698" s="16" t="n">
        <f aca="false">G6696+G6697</f>
        <v>0</v>
      </c>
      <c r="H6698" s="16" t="n">
        <f aca="false">H6696+H6697</f>
        <v>0</v>
      </c>
      <c r="I6698" s="16" t="n">
        <f aca="false">I6696+I6697</f>
        <v>0</v>
      </c>
    </row>
    <row r="6699" customFormat="false" ht="15" hidden="false" customHeight="false" outlineLevel="0" collapsed="false">
      <c r="A6699" s="5" t="s">
        <v>500</v>
      </c>
      <c r="C6699" s="25" t="n">
        <f aca="false">SUM($C$6696:$I$6696)</f>
        <v>20.35</v>
      </c>
    </row>
    <row r="6700" customFormat="false" ht="15" hidden="false" customHeight="false" outlineLevel="0" collapsed="false">
      <c r="A6700" s="5" t="s">
        <v>501</v>
      </c>
      <c r="C6700" s="25" t="n">
        <f aca="false">SUM($C$6697:$I$6697)</f>
        <v>91.2198175039247</v>
      </c>
    </row>
    <row r="6701" customFormat="false" ht="15" hidden="false" customHeight="false" outlineLevel="0" collapsed="false">
      <c r="A6701" s="5" t="s">
        <v>502</v>
      </c>
      <c r="C6701" s="25" t="n">
        <f aca="false">C6699+C6700</f>
        <v>111.569817503925</v>
      </c>
    </row>
    <row r="6702" customFormat="false" ht="15" hidden="false" customHeight="false" outlineLevel="0" collapsed="false">
      <c r="A6702" s="5" t="s">
        <v>503</v>
      </c>
      <c r="C6702" s="25" t="n">
        <f aca="false">C6700-C6609*C6610/100</f>
        <v>13.2198175039246</v>
      </c>
    </row>
    <row r="6703" customFormat="false" ht="15" hidden="false" customHeight="false" outlineLevel="0" collapsed="false">
      <c r="A6703" s="5" t="s">
        <v>504</v>
      </c>
      <c r="C6703" s="25" t="n">
        <f aca="false">C6701-C6611</f>
        <v>33.1798175039247</v>
      </c>
    </row>
    <row r="6704" customFormat="false" ht="15" hidden="false" customHeight="false" outlineLevel="0" collapsed="false">
      <c r="A6704" s="2" t="s">
        <v>385</v>
      </c>
      <c r="C6704" s="43" t="n">
        <f aca="false">C6701/C6611</f>
        <v>1.42326594596153</v>
      </c>
    </row>
    <row r="6705" customFormat="false" ht="15" hidden="false" customHeight="false" outlineLevel="0" collapsed="false">
      <c r="A6705" s="2" t="s">
        <v>384</v>
      </c>
      <c r="C6705" s="41" t="n">
        <f aca="false">IF(C6701&lt;=0,-1,IFERROR(IRR($C$6698:$I$6698,MAX(-0.9,C6704^(1/C6692)-1)),IRR($C$6698:$I$6698,0.1)))</f>
        <v>0.139722313504187</v>
      </c>
    </row>
    <row r="6706" customFormat="false" ht="15" hidden="false" customHeight="false" outlineLevel="0" collapsed="false">
      <c r="A6706" s="5" t="s">
        <v>505</v>
      </c>
      <c r="C6706" s="31" t="n">
        <f aca="false">MAX($G$6500:$K$6500)</f>
        <v>12.5071456585677</v>
      </c>
    </row>
    <row r="6707" customFormat="false" ht="15" hidden="false" customHeight="false" outlineLevel="0" collapsed="false">
      <c r="A6707" s="5" t="s">
        <v>506</v>
      </c>
      <c r="C6707" s="31" t="n">
        <f aca="false">MIN($G$6501:$K$6501)</f>
        <v>0.892893064144135</v>
      </c>
    </row>
    <row r="6708" customFormat="false" ht="15" hidden="false" customHeight="false" outlineLevel="0" collapsed="false">
      <c r="A6708" s="5" t="s">
        <v>507</v>
      </c>
      <c r="C6708" s="25" t="n">
        <f aca="false">SUM($G$6390:$K$6390)</f>
        <v>-18.60809855592</v>
      </c>
    </row>
    <row r="6712" customFormat="false" ht="15" hidden="false" customHeight="false" outlineLevel="0" collapsed="false">
      <c r="A6712" s="9" t="s">
        <v>645</v>
      </c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</row>
    <row r="6713" customFormat="false" ht="15" hidden="false" customHeight="false" outlineLevel="0" collapsed="false">
      <c r="A6713" s="5" t="s">
        <v>622</v>
      </c>
      <c r="C6713" s="11" t="n">
        <v>1</v>
      </c>
    </row>
    <row r="6714" customFormat="false" ht="15" hidden="false" customHeight="false" outlineLevel="0" collapsed="false">
      <c r="A6714" s="5" t="s">
        <v>623</v>
      </c>
      <c r="C6714" s="29" t="n">
        <f aca="false">Sensitivities!$A$41</f>
        <v>-0.05</v>
      </c>
    </row>
    <row r="6715" customFormat="false" ht="15" hidden="false" customHeight="false" outlineLevel="0" collapsed="false">
      <c r="A6715" s="5" t="s">
        <v>624</v>
      </c>
      <c r="C6715" s="18" t="n">
        <v>0</v>
      </c>
    </row>
    <row r="6716" customFormat="false" ht="15" hidden="false" customHeight="false" outlineLevel="0" collapsed="false">
      <c r="A6716" s="5" t="s">
        <v>625</v>
      </c>
      <c r="C6716" s="18" t="n">
        <v>0</v>
      </c>
    </row>
    <row r="6717" customFormat="false" ht="15" hidden="false" customHeight="false" outlineLevel="0" collapsed="false">
      <c r="A6717" s="5" t="s">
        <v>626</v>
      </c>
      <c r="C6717" s="15" t="n">
        <v>0</v>
      </c>
    </row>
    <row r="6719" customFormat="false" ht="15" hidden="false" customHeight="false" outlineLevel="0" collapsed="false">
      <c r="A6719" s="23" t="s">
        <v>237</v>
      </c>
      <c r="B6719" s="24"/>
      <c r="C6719" s="24"/>
      <c r="D6719" s="24"/>
      <c r="E6719" s="24"/>
      <c r="F6719" s="24"/>
      <c r="G6719" s="24"/>
      <c r="H6719" s="24"/>
      <c r="I6719" s="24"/>
      <c r="J6719" s="24"/>
      <c r="K6719" s="24"/>
    </row>
    <row r="6720" customFormat="false" ht="15" hidden="false" customHeight="false" outlineLevel="0" collapsed="false">
      <c r="A6720" s="5" t="s">
        <v>238</v>
      </c>
      <c r="F6720" s="26" t="n">
        <f aca="false">Assumptions!$C$6</f>
        <v>2025</v>
      </c>
      <c r="G6720" s="20" t="n">
        <f aca="false">F6720+1</f>
        <v>2026</v>
      </c>
      <c r="H6720" s="20" t="n">
        <f aca="false">G6720+1</f>
        <v>2027</v>
      </c>
      <c r="I6720" s="20" t="n">
        <f aca="false">H6720+1</f>
        <v>2028</v>
      </c>
      <c r="J6720" s="20" t="n">
        <f aca="false">I6720+1</f>
        <v>2029</v>
      </c>
      <c r="K6720" s="20" t="n">
        <f aca="false">J6720+1</f>
        <v>2030</v>
      </c>
    </row>
    <row r="6721" customFormat="false" ht="15" hidden="false" customHeight="false" outlineLevel="0" collapsed="false">
      <c r="A6721" s="5" t="s">
        <v>239</v>
      </c>
      <c r="G6721" s="20" t="n">
        <f aca="false">G6720-Assumptions!$C$6</f>
        <v>1</v>
      </c>
      <c r="H6721" s="20" t="n">
        <f aca="false">H6720-Assumptions!$C$6</f>
        <v>2</v>
      </c>
      <c r="I6721" s="20" t="n">
        <f aca="false">I6720-Assumptions!$C$6</f>
        <v>3</v>
      </c>
      <c r="J6721" s="20" t="n">
        <f aca="false">J6720-Assumptions!$C$6</f>
        <v>4</v>
      </c>
      <c r="K6721" s="20" t="n">
        <f aca="false">K6720-Assumptions!$C$6</f>
        <v>5</v>
      </c>
    </row>
    <row r="6722" customFormat="false" ht="15" hidden="false" customHeight="false" outlineLevel="0" collapsed="false">
      <c r="A6722" s="5" t="s">
        <v>149</v>
      </c>
      <c r="G6722" s="21" t="n">
        <f aca="false">CHOOSE($C$6713,Assumptions!$G$65,Assumptions!$G$84,Assumptions!$G$103)+$C$6714</f>
        <v>-0.06</v>
      </c>
      <c r="H6722" s="21" t="n">
        <f aca="false">CHOOSE($C$6713,Assumptions!$H$65,Assumptions!$H$84,Assumptions!$H$103)+$C$6714</f>
        <v>-0.06</v>
      </c>
      <c r="I6722" s="21" t="n">
        <f aca="false">CHOOSE($C$6713,Assumptions!$I$65,Assumptions!$I$84,Assumptions!$I$103)+$C$6714</f>
        <v>-0.06</v>
      </c>
      <c r="J6722" s="21" t="n">
        <f aca="false">CHOOSE($C$6713,Assumptions!$J$65,Assumptions!$J$84,Assumptions!$J$103)+$C$6714</f>
        <v>-0.06</v>
      </c>
      <c r="K6722" s="21" t="n">
        <f aca="false">CHOOSE($C$6713,Assumptions!$K$65,Assumptions!$K$84,Assumptions!$K$103)+$C$6714</f>
        <v>-0.06</v>
      </c>
    </row>
    <row r="6723" customFormat="false" ht="15" hidden="false" customHeight="false" outlineLevel="0" collapsed="false">
      <c r="A6723" s="5" t="s">
        <v>150</v>
      </c>
      <c r="G6723" s="21" t="n">
        <f aca="false">CHOOSE($C$6713,Assumptions!$G$66,Assumptions!$G$85,Assumptions!$G$104)</f>
        <v>0.36</v>
      </c>
      <c r="H6723" s="21" t="n">
        <f aca="false">CHOOSE($C$6713,Assumptions!$H$66,Assumptions!$H$85,Assumptions!$H$104)</f>
        <v>0.362</v>
      </c>
      <c r="I6723" s="21" t="n">
        <f aca="false">CHOOSE($C$6713,Assumptions!$I$66,Assumptions!$I$85,Assumptions!$I$104)</f>
        <v>0.364</v>
      </c>
      <c r="J6723" s="21" t="n">
        <f aca="false">CHOOSE($C$6713,Assumptions!$J$66,Assumptions!$J$85,Assumptions!$J$104)</f>
        <v>0.366</v>
      </c>
      <c r="K6723" s="21" t="n">
        <f aca="false">CHOOSE($C$6713,Assumptions!$K$66,Assumptions!$K$85,Assumptions!$K$104)</f>
        <v>0.368</v>
      </c>
    </row>
    <row r="6724" customFormat="false" ht="15" hidden="false" customHeight="false" outlineLevel="0" collapsed="false">
      <c r="A6724" s="5" t="s">
        <v>151</v>
      </c>
      <c r="G6724" s="21" t="n">
        <f aca="false">CHOOSE($C$6713,Assumptions!$G$67,Assumptions!$G$86,Assumptions!$G$105)+$C$6715</f>
        <v>0.065</v>
      </c>
      <c r="H6724" s="21" t="n">
        <f aca="false">CHOOSE($C$6713,Assumptions!$H$67,Assumptions!$H$86,Assumptions!$H$105)+$C$6715</f>
        <v>0.067</v>
      </c>
      <c r="I6724" s="21" t="n">
        <f aca="false">CHOOSE($C$6713,Assumptions!$I$67,Assumptions!$I$86,Assumptions!$I$105)+$C$6715</f>
        <v>0.069</v>
      </c>
      <c r="J6724" s="21" t="n">
        <f aca="false">CHOOSE($C$6713,Assumptions!$J$67,Assumptions!$J$86,Assumptions!$J$105)+$C$6715</f>
        <v>0.071</v>
      </c>
      <c r="K6724" s="21" t="n">
        <f aca="false">CHOOSE($C$6713,Assumptions!$K$67,Assumptions!$K$86,Assumptions!$K$105)+$C$6715</f>
        <v>0.073</v>
      </c>
    </row>
    <row r="6725" customFormat="false" ht="15" hidden="false" customHeight="false" outlineLevel="0" collapsed="false">
      <c r="A6725" s="23" t="s">
        <v>240</v>
      </c>
      <c r="B6725" s="24"/>
      <c r="C6725" s="24"/>
      <c r="D6725" s="24"/>
      <c r="E6725" s="24"/>
      <c r="F6725" s="24"/>
      <c r="G6725" s="24"/>
      <c r="H6725" s="24"/>
      <c r="I6725" s="24"/>
      <c r="J6725" s="24"/>
      <c r="K6725" s="24"/>
    </row>
    <row r="6726" customFormat="false" ht="15" hidden="false" customHeight="false" outlineLevel="0" collapsed="false">
      <c r="A6726" s="2" t="s">
        <v>207</v>
      </c>
      <c r="F6726" s="27" t="n">
        <f aca="false">'Historical Financials'!E17</f>
        <v>2400</v>
      </c>
      <c r="G6726" s="16" t="n">
        <f aca="false">F6726*(1+G6722)</f>
        <v>2256</v>
      </c>
      <c r="H6726" s="16" t="n">
        <f aca="false">G6726*(1+H6722)</f>
        <v>2120.64</v>
      </c>
      <c r="I6726" s="16" t="n">
        <f aca="false">H6726*(1+I6722)</f>
        <v>1993.4016</v>
      </c>
      <c r="J6726" s="16" t="n">
        <f aca="false">I6726*(1+J6722)</f>
        <v>1873.797504</v>
      </c>
      <c r="K6726" s="16" t="n">
        <f aca="false">J6726*(1+K6722)</f>
        <v>1761.36965376</v>
      </c>
    </row>
    <row r="6727" customFormat="false" ht="15" hidden="false" customHeight="false" outlineLevel="0" collapsed="false">
      <c r="A6727" s="5" t="s">
        <v>217</v>
      </c>
      <c r="G6727" s="25" t="n">
        <f aca="false">G6726*(1-G6723)</f>
        <v>1443.84</v>
      </c>
      <c r="H6727" s="25" t="n">
        <f aca="false">H6726*(1-H6723)</f>
        <v>1352.96832</v>
      </c>
      <c r="I6727" s="25" t="n">
        <f aca="false">I6726*(1-I6723)</f>
        <v>1267.8034176</v>
      </c>
      <c r="J6727" s="25" t="n">
        <f aca="false">J6726*(1-J6723)</f>
        <v>1187.987617536</v>
      </c>
      <c r="K6727" s="25" t="n">
        <f aca="false">K6726*(1-K6723)</f>
        <v>1113.18562117632</v>
      </c>
    </row>
    <row r="6728" customFormat="false" ht="15" hidden="false" customHeight="false" outlineLevel="0" collapsed="false">
      <c r="A6728" s="2" t="s">
        <v>218</v>
      </c>
      <c r="G6728" s="16" t="n">
        <f aca="false">G6726-G6727</f>
        <v>812.16</v>
      </c>
      <c r="H6728" s="16" t="n">
        <f aca="false">H6726-H6727</f>
        <v>767.67168</v>
      </c>
      <c r="I6728" s="16" t="n">
        <f aca="false">I6726-I6727</f>
        <v>725.5981824</v>
      </c>
      <c r="J6728" s="16" t="n">
        <f aca="false">J6726-J6727</f>
        <v>685.809886464</v>
      </c>
      <c r="K6728" s="16" t="n">
        <f aca="false">K6726-K6727</f>
        <v>648.18403258368</v>
      </c>
    </row>
    <row r="6729" customFormat="false" ht="15" hidden="false" customHeight="false" outlineLevel="0" collapsed="false">
      <c r="A6729" s="5" t="s">
        <v>241</v>
      </c>
      <c r="G6729" s="25" t="n">
        <f aca="false">G6728-G6730</f>
        <v>665.52</v>
      </c>
      <c r="H6729" s="25" t="n">
        <f aca="false">H6728-H6730</f>
        <v>625.5888</v>
      </c>
      <c r="I6729" s="25" t="n">
        <f aca="false">I6728-I6730</f>
        <v>588.053472</v>
      </c>
      <c r="J6729" s="25" t="n">
        <f aca="false">J6728-J6730</f>
        <v>552.77026368</v>
      </c>
      <c r="K6729" s="25" t="n">
        <f aca="false">K6728-K6730</f>
        <v>519.6040478592</v>
      </c>
    </row>
    <row r="6730" customFormat="false" ht="15" hidden="false" customHeight="false" outlineLevel="0" collapsed="false">
      <c r="A6730" s="2" t="s">
        <v>242</v>
      </c>
      <c r="G6730" s="16" t="n">
        <f aca="false">G6726*G6724</f>
        <v>146.64</v>
      </c>
      <c r="H6730" s="16" t="n">
        <f aca="false">H6726*H6724</f>
        <v>142.08288</v>
      </c>
      <c r="I6730" s="16" t="n">
        <f aca="false">I6726*I6724</f>
        <v>137.5447104</v>
      </c>
      <c r="J6730" s="16" t="n">
        <f aca="false">J6726*J6724</f>
        <v>133.039622784</v>
      </c>
      <c r="K6730" s="16" t="n">
        <f aca="false">K6726*K6724</f>
        <v>128.57998472448</v>
      </c>
    </row>
    <row r="6731" customFormat="false" ht="15" hidden="false" customHeight="false" outlineLevel="0" collapsed="false">
      <c r="A6731" s="5" t="s">
        <v>243</v>
      </c>
      <c r="G6731" s="25" t="n">
        <f aca="false">G6726*'Historical Financials'!E22/'Historical Financials'!E17</f>
        <v>49.632</v>
      </c>
      <c r="H6731" s="25" t="n">
        <f aca="false">H6726*'Historical Financials'!E22/'Historical Financials'!E17</f>
        <v>46.65408</v>
      </c>
      <c r="I6731" s="25" t="n">
        <f aca="false">I6726*'Historical Financials'!E22/'Historical Financials'!E17</f>
        <v>43.8548352</v>
      </c>
      <c r="J6731" s="25" t="n">
        <f aca="false">J6726*'Historical Financials'!E22/'Historical Financials'!E17</f>
        <v>41.223545088</v>
      </c>
      <c r="K6731" s="25" t="n">
        <f aca="false">K6726*'Historical Financials'!E22/'Historical Financials'!E17</f>
        <v>38.75013238272</v>
      </c>
    </row>
    <row r="6732" customFormat="false" ht="15" hidden="false" customHeight="false" outlineLevel="0" collapsed="false">
      <c r="A6732" s="5" t="s">
        <v>244</v>
      </c>
      <c r="G6732" s="25" t="n">
        <f aca="false">G6726*'Historical Financials'!E23/'Historical Financials'!E17</f>
        <v>0</v>
      </c>
      <c r="H6732" s="25" t="n">
        <f aca="false">H6726*'Historical Financials'!E23/'Historical Financials'!E17</f>
        <v>0</v>
      </c>
      <c r="I6732" s="25" t="n">
        <f aca="false">I6726*'Historical Financials'!E23/'Historical Financials'!E17</f>
        <v>0</v>
      </c>
      <c r="J6732" s="25" t="n">
        <f aca="false">J6726*'Historical Financials'!E23/'Historical Financials'!E17</f>
        <v>0</v>
      </c>
      <c r="K6732" s="25" t="n">
        <f aca="false">K6726*'Historical Financials'!E23/'Historical Financials'!E17</f>
        <v>0</v>
      </c>
    </row>
    <row r="6733" customFormat="false" ht="15" hidden="false" customHeight="false" outlineLevel="0" collapsed="false">
      <c r="A6733" s="2" t="s">
        <v>245</v>
      </c>
      <c r="G6733" s="16" t="n">
        <f aca="false">G6730-G6731-G6732</f>
        <v>97.008</v>
      </c>
      <c r="H6733" s="16" t="n">
        <f aca="false">H6730-H6731-H6732</f>
        <v>95.4288</v>
      </c>
      <c r="I6733" s="16" t="n">
        <f aca="false">I6730-I6731-I6732</f>
        <v>93.6898752</v>
      </c>
      <c r="J6733" s="16" t="n">
        <f aca="false">J6730-J6731-J6732</f>
        <v>91.816077696</v>
      </c>
      <c r="K6733" s="16" t="n">
        <f aca="false">K6730-K6731-K6732</f>
        <v>89.82985234176</v>
      </c>
    </row>
    <row r="6734" customFormat="false" ht="15" hidden="false" customHeight="false" outlineLevel="0" collapsed="false">
      <c r="A6734" s="5" t="s">
        <v>246</v>
      </c>
      <c r="G6734" s="25" t="n">
        <f aca="false">G6760+G6773+G6786+G6799</f>
        <v>119.04</v>
      </c>
      <c r="H6734" s="25" t="n">
        <f aca="false">H6760+H6773+H6786+H6799</f>
        <v>113.46414</v>
      </c>
      <c r="I6734" s="25" t="n">
        <f aca="false">I6760+I6773+I6786+I6799</f>
        <v>111.31644</v>
      </c>
      <c r="J6734" s="25" t="n">
        <f aca="false">J6760+J6773+J6786+J6799</f>
        <v>110.80684</v>
      </c>
      <c r="K6734" s="25" t="n">
        <f aca="false">K6760+K6773+K6786+K6799</f>
        <v>110.29724</v>
      </c>
    </row>
    <row r="6735" customFormat="false" ht="15" hidden="false" customHeight="false" outlineLevel="0" collapsed="false">
      <c r="A6735" s="5" t="s">
        <v>247</v>
      </c>
      <c r="G6735" s="25" t="n">
        <f aca="false">G6761+G6774+G6787+G6800</f>
        <v>0</v>
      </c>
      <c r="H6735" s="25" t="n">
        <f aca="false">H6761+H6774+H6787+H6800</f>
        <v>0</v>
      </c>
      <c r="I6735" s="25" t="n">
        <f aca="false">I6761+I6774+I6787+I6800</f>
        <v>0</v>
      </c>
      <c r="J6735" s="25" t="n">
        <f aca="false">J6761+J6774+J6787+J6800</f>
        <v>0</v>
      </c>
      <c r="K6735" s="25" t="n">
        <f aca="false">K6761+K6774+K6787+K6800</f>
        <v>0</v>
      </c>
    </row>
    <row r="6736" customFormat="false" ht="15" hidden="false" customHeight="false" outlineLevel="0" collapsed="false">
      <c r="A6736" s="5" t="s">
        <v>212</v>
      </c>
      <c r="G6736" s="25" t="n">
        <f aca="false">G6734+G6735</f>
        <v>119.04</v>
      </c>
      <c r="H6736" s="25" t="n">
        <f aca="false">H6734+H6735</f>
        <v>113.46414</v>
      </c>
      <c r="I6736" s="25" t="n">
        <f aca="false">I6734+I6735</f>
        <v>111.31644</v>
      </c>
      <c r="J6736" s="25" t="n">
        <f aca="false">J6734+J6735</f>
        <v>110.80684</v>
      </c>
      <c r="K6736" s="25" t="n">
        <f aca="false">K6734+K6735</f>
        <v>110.29724</v>
      </c>
    </row>
    <row r="6737" customFormat="false" ht="15" hidden="false" customHeight="false" outlineLevel="0" collapsed="false">
      <c r="A6737" s="2" t="s">
        <v>223</v>
      </c>
      <c r="G6737" s="16" t="n">
        <f aca="false">G6733-G6736</f>
        <v>-22.032</v>
      </c>
      <c r="H6737" s="16" t="n">
        <f aca="false">H6733-H6736</f>
        <v>-18.03534</v>
      </c>
      <c r="I6737" s="16" t="n">
        <f aca="false">I6733-I6736</f>
        <v>-17.6265648</v>
      </c>
      <c r="J6737" s="16" t="n">
        <f aca="false">J6733-J6736</f>
        <v>-18.990762304</v>
      </c>
      <c r="K6737" s="16" t="n">
        <f aca="false">K6733-K6736</f>
        <v>-20.46738765824</v>
      </c>
    </row>
    <row r="6738" customFormat="false" ht="15" hidden="false" customHeight="false" outlineLevel="0" collapsed="false">
      <c r="A6738" s="5" t="s">
        <v>213</v>
      </c>
      <c r="G6738" s="25" t="n">
        <f aca="false">MAX(0,G6737)*Assumptions!$C$9</f>
        <v>0</v>
      </c>
      <c r="H6738" s="25" t="n">
        <f aca="false">MAX(0,H6737)*Assumptions!$C$9</f>
        <v>0</v>
      </c>
      <c r="I6738" s="25" t="n">
        <f aca="false">MAX(0,I6737)*Assumptions!$C$9</f>
        <v>0</v>
      </c>
      <c r="J6738" s="25" t="n">
        <f aca="false">MAX(0,J6737)*Assumptions!$C$9</f>
        <v>0</v>
      </c>
      <c r="K6738" s="25" t="n">
        <f aca="false">MAX(0,K6737)*Assumptions!$C$9</f>
        <v>0</v>
      </c>
    </row>
    <row r="6739" customFormat="false" ht="15" hidden="false" customHeight="false" outlineLevel="0" collapsed="false">
      <c r="A6739" s="2" t="s">
        <v>248</v>
      </c>
      <c r="G6739" s="16" t="n">
        <f aca="false">G6737-G6738</f>
        <v>-22.032</v>
      </c>
      <c r="H6739" s="16" t="n">
        <f aca="false">H6737-H6738</f>
        <v>-18.03534</v>
      </c>
      <c r="I6739" s="16" t="n">
        <f aca="false">I6737-I6738</f>
        <v>-17.6265648</v>
      </c>
      <c r="J6739" s="16" t="n">
        <f aca="false">J6737-J6738</f>
        <v>-18.990762304</v>
      </c>
      <c r="K6739" s="16" t="n">
        <f aca="false">K6737-K6738</f>
        <v>-20.46738765824</v>
      </c>
    </row>
    <row r="6740" customFormat="false" ht="15" hidden="false" customHeight="false" outlineLevel="0" collapsed="false">
      <c r="A6740" s="23" t="s">
        <v>249</v>
      </c>
      <c r="B6740" s="24"/>
      <c r="C6740" s="24"/>
      <c r="D6740" s="24"/>
      <c r="E6740" s="24"/>
      <c r="F6740" s="24"/>
      <c r="G6740" s="24"/>
      <c r="H6740" s="24"/>
      <c r="I6740" s="24"/>
      <c r="J6740" s="24"/>
      <c r="K6740" s="24"/>
    </row>
    <row r="6741" customFormat="false" ht="15" hidden="false" customHeight="false" outlineLevel="0" collapsed="false">
      <c r="A6741" s="5" t="s">
        <v>153</v>
      </c>
      <c r="G6741" s="25" t="n">
        <f aca="false">G6726*CHOOSE($C$6713,Assumptions!$C$69,Assumptions!$C$88,Assumptions!$C$107)</f>
        <v>45.12</v>
      </c>
      <c r="H6741" s="25" t="n">
        <f aca="false">H6726*CHOOSE($C$6713,Assumptions!$C$69,Assumptions!$C$88,Assumptions!$C$107)</f>
        <v>42.4128</v>
      </c>
      <c r="I6741" s="25" t="n">
        <f aca="false">I6726*CHOOSE($C$6713,Assumptions!$C$69,Assumptions!$C$88,Assumptions!$C$107)</f>
        <v>39.868032</v>
      </c>
      <c r="J6741" s="25" t="n">
        <f aca="false">J6726*CHOOSE($C$6713,Assumptions!$C$69,Assumptions!$C$88,Assumptions!$C$107)</f>
        <v>37.47595008</v>
      </c>
      <c r="K6741" s="25" t="n">
        <f aca="false">K6726*CHOOSE($C$6713,Assumptions!$C$69,Assumptions!$C$88,Assumptions!$C$107)</f>
        <v>35.2273930752</v>
      </c>
    </row>
    <row r="6742" customFormat="false" ht="15" hidden="false" customHeight="false" outlineLevel="0" collapsed="false">
      <c r="A6742" s="5" t="s">
        <v>250</v>
      </c>
      <c r="G6742" s="25" t="n">
        <f aca="false">CHOOSE($C$6713,Assumptions!$C$70,Assumptions!$C$89,Assumptions!$C$108)*(G6726-F6726)+CHOOSE($C$6713,Assumptions!$C$71,Assumptions!$C$90,Assumptions!$C$109)*G6726</f>
        <v>-17.28</v>
      </c>
      <c r="H6742" s="25" t="n">
        <f aca="false">CHOOSE($C$6713,Assumptions!$C$70,Assumptions!$C$89,Assumptions!$C$108)*(H6726-G6726)+CHOOSE($C$6713,Assumptions!$C$71,Assumptions!$C$90,Assumptions!$C$109)*H6726</f>
        <v>-16.2432</v>
      </c>
      <c r="I6742" s="25" t="n">
        <f aca="false">CHOOSE($C$6713,Assumptions!$C$70,Assumptions!$C$89,Assumptions!$C$108)*(I6726-H6726)+CHOOSE($C$6713,Assumptions!$C$71,Assumptions!$C$90,Assumptions!$C$109)*I6726</f>
        <v>-15.268608</v>
      </c>
      <c r="J6742" s="25" t="n">
        <f aca="false">CHOOSE($C$6713,Assumptions!$C$70,Assumptions!$C$89,Assumptions!$C$108)*(J6726-I6726)+CHOOSE($C$6713,Assumptions!$C$71,Assumptions!$C$90,Assumptions!$C$109)*J6726</f>
        <v>-14.35249152</v>
      </c>
      <c r="K6742" s="25" t="n">
        <f aca="false">CHOOSE($C$6713,Assumptions!$C$70,Assumptions!$C$89,Assumptions!$C$108)*(K6726-J6726)+CHOOSE($C$6713,Assumptions!$C$71,Assumptions!$C$90,Assumptions!$C$109)*K6726</f>
        <v>-13.4913420288</v>
      </c>
    </row>
    <row r="6743" customFormat="false" ht="15" hidden="false" customHeight="false" outlineLevel="0" collapsed="false">
      <c r="A6743" s="2" t="s">
        <v>251</v>
      </c>
      <c r="G6743" s="16" t="n">
        <f aca="false">G6739+G6731+G6732+G6735-G6741-G6742</f>
        <v>-0.239999999999995</v>
      </c>
      <c r="H6743" s="16" t="n">
        <f aca="false">H6739+H6731+H6732+H6735-H6741-H6742</f>
        <v>2.44914000000001</v>
      </c>
      <c r="I6743" s="16" t="n">
        <f aca="false">I6739+I6731+I6732+I6735-I6741-I6742</f>
        <v>1.62884640000001</v>
      </c>
      <c r="J6743" s="16" t="n">
        <f aca="false">J6739+J6731+J6732+J6735-J6741-J6742</f>
        <v>-0.890675776</v>
      </c>
      <c r="K6743" s="16" t="n">
        <f aca="false">K6739+K6731+K6732+K6735-K6741-K6742</f>
        <v>-3.45330632191997</v>
      </c>
    </row>
    <row r="6745" customFormat="false" ht="15" hidden="false" customHeight="false" outlineLevel="0" collapsed="false">
      <c r="A6745" s="23" t="s">
        <v>253</v>
      </c>
      <c r="B6745" s="24"/>
      <c r="C6745" s="24"/>
      <c r="D6745" s="24"/>
      <c r="E6745" s="24"/>
      <c r="F6745" s="24"/>
      <c r="G6745" s="24"/>
      <c r="H6745" s="24"/>
      <c r="I6745" s="24"/>
      <c r="J6745" s="24"/>
      <c r="K6745" s="24"/>
    </row>
    <row r="6746" customFormat="false" ht="15" hidden="false" customHeight="false" outlineLevel="0" collapsed="false">
      <c r="A6746" s="5" t="s">
        <v>254</v>
      </c>
      <c r="G6746" s="29" t="n">
        <f aca="false">Assumptions!$G$49</f>
        <v>0.0425</v>
      </c>
      <c r="H6746" s="29" t="n">
        <f aca="false">Assumptions!$H$49</f>
        <v>0.04</v>
      </c>
      <c r="I6746" s="29" t="n">
        <f aca="false">Assumptions!$I$49</f>
        <v>0.0375</v>
      </c>
      <c r="J6746" s="29" t="n">
        <f aca="false">Assumptions!$J$49</f>
        <v>0.0375</v>
      </c>
      <c r="K6746" s="29" t="n">
        <f aca="false">Assumptions!$K$49</f>
        <v>0.0375</v>
      </c>
    </row>
    <row r="6747" customFormat="false" ht="15" hidden="false" customHeight="false" outlineLevel="0" collapsed="false">
      <c r="A6747" s="5" t="s">
        <v>255</v>
      </c>
      <c r="C6747" s="30" t="n">
        <f aca="false">CHOOSE($C$6713,Assumptions!$C$72,Assumptions!$C$91,Assumptions!$C$110)+$C$6716</f>
        <v>0</v>
      </c>
    </row>
    <row r="6748" customFormat="false" ht="15" hidden="false" customHeight="false" outlineLevel="0" collapsed="false">
      <c r="A6748" s="5" t="s">
        <v>256</v>
      </c>
      <c r="C6748" s="30" t="n">
        <f aca="false">CHOOSE($C$6713,Assumptions!$C$73,Assumptions!$C$92,Assumptions!$C$111)</f>
        <v>0.11</v>
      </c>
    </row>
    <row r="6749" customFormat="false" ht="15" hidden="false" customHeight="false" outlineLevel="0" collapsed="false">
      <c r="A6749" s="5" t="s">
        <v>257</v>
      </c>
      <c r="C6749" s="31" t="n">
        <f aca="false">CHOOSE($C$6713,Assumptions!$C$74,Assumptions!$C$93,Assumptions!$C$112)</f>
        <v>8.5</v>
      </c>
    </row>
    <row r="6750" customFormat="false" ht="15" hidden="false" customHeight="false" outlineLevel="0" collapsed="false">
      <c r="A6750" s="5" t="s">
        <v>258</v>
      </c>
      <c r="C6750" s="31" t="n">
        <f aca="false">CHOOSE($C$6713,Assumptions!$C$75,Assumptions!$C$94,Assumptions!$C$113)</f>
        <v>1.2</v>
      </c>
    </row>
    <row r="6751" customFormat="false" ht="15" hidden="false" customHeight="false" outlineLevel="0" collapsed="false">
      <c r="A6751" s="5" t="s">
        <v>259</v>
      </c>
      <c r="G6751" s="25" t="n">
        <f aca="false">G6756+G6769+G6782+G6795</f>
        <v>1250</v>
      </c>
      <c r="H6751" s="25" t="n">
        <f aca="false">H6756+H6769+H6782+H6795</f>
        <v>1205.24</v>
      </c>
      <c r="I6751" s="25" t="n">
        <f aca="false">I6756+I6769+I6782+I6795</f>
        <v>1200.04</v>
      </c>
      <c r="J6751" s="25" t="n">
        <f aca="false">J6756+J6769+J6782+J6795</f>
        <v>1194.84</v>
      </c>
      <c r="K6751" s="25" t="n">
        <f aca="false">K6756+K6769+K6782+K6795</f>
        <v>1189.64</v>
      </c>
    </row>
    <row r="6752" customFormat="false" ht="15" hidden="false" customHeight="false" outlineLevel="0" collapsed="false">
      <c r="A6752" s="5" t="s">
        <v>260</v>
      </c>
      <c r="G6752" s="25" t="n">
        <f aca="false">F6842</f>
        <v>45</v>
      </c>
      <c r="H6752" s="25" t="n">
        <f aca="false">G6842</f>
        <v>0</v>
      </c>
      <c r="I6752" s="25" t="n">
        <f aca="false">H6842</f>
        <v>-2.75085999999999</v>
      </c>
      <c r="J6752" s="25" t="n">
        <f aca="false">I6842</f>
        <v>-6.32201359999999</v>
      </c>
      <c r="K6752" s="25" t="n">
        <f aca="false">J6842</f>
        <v>-12.412689376</v>
      </c>
    </row>
    <row r="6753" customFormat="false" ht="15" hidden="false" customHeight="false" outlineLevel="0" collapsed="false">
      <c r="A6753" s="5" t="s">
        <v>261</v>
      </c>
      <c r="G6753" s="25" t="n">
        <f aca="false">G6756*IF(G6757=1,$C$6748,IF(Assumptions!$I$53=1,MAX(G6746,Assumptions!$G$53)+Assumptions!$F$53+$C$6747,Assumptions!$E$53))+G6769*IF(G6770=1,$C$6748,IF(Assumptions!$I$54=1,MAX(G6746,Assumptions!$G$54)+Assumptions!$F$54+$C$6747,Assumptions!$E$54))+G6782*IF(G6783=1,$C$6748,IF(Assumptions!$I$55=1,MAX(G6746,Assumptions!$G$55)+Assumptions!$F$55+$C$6747,Assumptions!$E$55))+G6795*IF(G6796=1,$C$6748,IF(Assumptions!$I$56=1,MAX(G6746,Assumptions!$G$56)+Assumptions!$F$56+$C$6747,Assumptions!$E$56))</f>
        <v>119.04</v>
      </c>
      <c r="H6753" s="25" t="n">
        <f aca="false">H6756*IF(OR(H6757=1,G6908=1),$C$6748,IF(Assumptions!$I$53=1,MAX(H6746,Assumptions!$G$53)+Assumptions!$F$53+$C$6747,Assumptions!$E$53))+H6769*IF(OR(H6770=1,G6909=1),$C$6748,IF(Assumptions!$I$54=1,MAX(H6746,Assumptions!$G$54)+Assumptions!$F$54+$C$6747,Assumptions!$E$54))+H6782*IF(OR(H6783=1,G6910=1),$C$6748,IF(Assumptions!$I$55=1,MAX(H6746,Assumptions!$G$55)+Assumptions!$F$55+$C$6747,Assumptions!$E$55))+H6795*IF(OR(H6796=1,G6911=1),$C$6748,IF(Assumptions!$I$56=1,MAX(H6746,Assumptions!$G$56)+Assumptions!$F$56+$C$6747,Assumptions!$E$56))</f>
        <v>127.6858</v>
      </c>
      <c r="I6753" s="25" t="n">
        <f aca="false">I6756*IF(OR(I6757=1,H6908=1),$C$6748,IF(Assumptions!$I$53=1,MAX(I6746,Assumptions!$G$53)+Assumptions!$F$53+$C$6747,Assumptions!$E$53))+I6769*IF(OR(I6770=1,H6909=1),$C$6748,IF(Assumptions!$I$54=1,MAX(I6746,Assumptions!$G$54)+Assumptions!$F$54+$C$6747,Assumptions!$E$54))+I6782*IF(OR(I6783=1,H6910=1),$C$6748,IF(Assumptions!$I$55=1,MAX(I6746,Assumptions!$G$55)+Assumptions!$F$55+$C$6747,Assumptions!$E$55))+I6795*IF(OR(I6796=1,H6911=1),$C$6748,IF(Assumptions!$I$56=1,MAX(I6746,Assumptions!$G$56)+Assumptions!$F$56+$C$6747,Assumptions!$E$56))</f>
        <v>117.43164</v>
      </c>
      <c r="J6753" s="25" t="n">
        <f aca="false">J6756*IF(OR(J6757=1,I6908=1),$C$6748,IF(Assumptions!$I$53=1,MAX(J6746,Assumptions!$G$53)+Assumptions!$F$53+$C$6747,Assumptions!$E$53))+J6769*IF(OR(J6770=1,I6909=1),$C$6748,IF(Assumptions!$I$54=1,MAX(J6746,Assumptions!$G$54)+Assumptions!$F$54+$C$6747,Assumptions!$E$54))+J6782*IF(OR(J6783=1,I6910=1),$C$6748,IF(Assumptions!$I$55=1,MAX(J6746,Assumptions!$G$55)+Assumptions!$F$55+$C$6747,Assumptions!$E$55))+J6795*IF(OR(J6796=1,I6911=1),$C$6748,IF(Assumptions!$I$56=1,MAX(J6746,Assumptions!$G$56)+Assumptions!$F$56+$C$6747,Assumptions!$E$56))</f>
        <v>110.80684</v>
      </c>
      <c r="K6753" s="25" t="n">
        <f aca="false">K6756*IF(OR(K6757=1,J6908=1),$C$6748,IF(Assumptions!$I$53=1,MAX(K6746,Assumptions!$G$53)+Assumptions!$F$53+$C$6747,Assumptions!$E$53))+K6769*IF(OR(K6770=1,J6909=1),$C$6748,IF(Assumptions!$I$54=1,MAX(K6746,Assumptions!$G$54)+Assumptions!$F$54+$C$6747,Assumptions!$E$54))+K6782*IF(OR(K6783=1,J6910=1),$C$6748,IF(Assumptions!$I$55=1,MAX(K6746,Assumptions!$G$55)+Assumptions!$F$55+$C$6747,Assumptions!$E$55))+K6795*IF(OR(K6796=1,J6911=1),$C$6748,IF(Assumptions!$I$56=1,MAX(K6746,Assumptions!$G$56)+Assumptions!$F$56+$C$6747,Assumptions!$E$56))</f>
        <v>110.29724</v>
      </c>
    </row>
    <row r="6754" customFormat="false" ht="15" hidden="false" customHeight="false" outlineLevel="0" collapsed="false">
      <c r="A6754" s="5" t="s">
        <v>262</v>
      </c>
      <c r="G6754" s="20" t="n">
        <f aca="false">IF(G6730&lt;=0,0,IF(AND((G6751-G6752)/G6730&lt;=$C$6749,G6730/G6753&gt;=$C$6750),1,0))</f>
        <v>1</v>
      </c>
      <c r="H6754" s="20" t="n">
        <f aca="false">IF(H6730&lt;=0,0,IF(AND((H6751-H6752)/H6730&lt;=$C$6749,H6730/H6753&gt;=$C$6750),1,0))</f>
        <v>0</v>
      </c>
      <c r="I6754" s="20" t="n">
        <f aca="false">IF(I6730&lt;=0,0,IF(AND((I6751-I6752)/I6730&lt;=$C$6749,I6730/I6753&gt;=$C$6750),1,0))</f>
        <v>0</v>
      </c>
      <c r="J6754" s="20" t="n">
        <f aca="false">IF(J6730&lt;=0,0,IF(AND((J6751-J6752)/J6730&lt;=$C$6749,J6730/J6753&gt;=$C$6750),1,0))</f>
        <v>0</v>
      </c>
      <c r="K6754" s="20" t="n">
        <f aca="false">IF(K6730&lt;=0,0,IF(AND((K6751-K6752)/K6730&lt;=$C$6749,K6730/K6753&gt;=$C$6750),1,0))</f>
        <v>0</v>
      </c>
    </row>
    <row r="6755" customFormat="false" ht="15" hidden="false" customHeight="false" outlineLevel="0" collapsed="false">
      <c r="A6755" s="23" t="s">
        <v>263</v>
      </c>
      <c r="B6755" s="24"/>
      <c r="C6755" s="24"/>
      <c r="D6755" s="24"/>
      <c r="E6755" s="24"/>
      <c r="F6755" s="24"/>
      <c r="G6755" s="24"/>
      <c r="H6755" s="24"/>
      <c r="I6755" s="24"/>
      <c r="J6755" s="24"/>
      <c r="K6755" s="24"/>
    </row>
    <row r="6756" customFormat="false" ht="15" hidden="false" customHeight="false" outlineLevel="0" collapsed="false">
      <c r="A6756" s="5" t="s">
        <v>264</v>
      </c>
      <c r="G6756" s="25" t="n">
        <f aca="false">F6767</f>
        <v>180</v>
      </c>
      <c r="H6756" s="25" t="n">
        <f aca="false">G6767</f>
        <v>140.44</v>
      </c>
      <c r="I6756" s="25" t="n">
        <f aca="false">H6767</f>
        <v>140.44</v>
      </c>
      <c r="J6756" s="25" t="n">
        <f aca="false">I6767</f>
        <v>140.44</v>
      </c>
      <c r="K6756" s="25" t="n">
        <f aca="false">J6767</f>
        <v>140.44</v>
      </c>
    </row>
    <row r="6757" customFormat="false" ht="15" hidden="false" customHeight="false" outlineLevel="0" collapsed="false">
      <c r="A6757" s="5" t="s">
        <v>265</v>
      </c>
      <c r="G6757" s="20" t="n">
        <f aca="false">IF(G6720=Assumptions!$K$53,1,0)</f>
        <v>0</v>
      </c>
      <c r="H6757" s="20" t="n">
        <f aca="false">IF(H6720=Assumptions!$K$53,1,0)</f>
        <v>1</v>
      </c>
      <c r="I6757" s="20" t="n">
        <f aca="false">IF(I6720=Assumptions!$K$53,1,0)</f>
        <v>0</v>
      </c>
      <c r="J6757" s="20" t="n">
        <f aca="false">IF(J6720=Assumptions!$K$53,1,0)</f>
        <v>0</v>
      </c>
      <c r="K6757" s="20" t="n">
        <f aca="false">IF(K6720=Assumptions!$K$53,1,0)</f>
        <v>0</v>
      </c>
    </row>
    <row r="6759" customFormat="false" ht="15" hidden="false" customHeight="false" outlineLevel="0" collapsed="false">
      <c r="A6759" s="5" t="s">
        <v>266</v>
      </c>
      <c r="G6759" s="30" t="n">
        <f aca="false">IF(Assumptions!$I$53=1,MAX(G6746,Assumptions!$G$53)+Assumptions!$F$53+$C$6747,Assumptions!$E$53)</f>
        <v>0.086</v>
      </c>
      <c r="H6759" s="30" t="n">
        <f aca="false">IF(G6908=1,$C$6748,IF(Assumptions!$I$53=1,MAX(H6746,Assumptions!$G$53)+Assumptions!$F$53+$C$6747,Assumptions!$E$53))</f>
        <v>0.0835</v>
      </c>
      <c r="I6759" s="30" t="n">
        <f aca="false">IF(H6908=1,$C$6748,IF(Assumptions!$I$53=1,MAX(I6746,Assumptions!$G$53)+Assumptions!$F$53+$C$6747,Assumptions!$E$53))</f>
        <v>0.081</v>
      </c>
      <c r="J6759" s="30" t="n">
        <f aca="false">IF(I6908=1,$C$6748,IF(Assumptions!$I$53=1,MAX(J6746,Assumptions!$G$53)+Assumptions!$F$53+$C$6747,Assumptions!$E$53))</f>
        <v>0.081</v>
      </c>
      <c r="K6759" s="30" t="n">
        <f aca="false">IF(J6908=1,$C$6748,IF(Assumptions!$I$53=1,MAX(K6746,Assumptions!$G$53)+Assumptions!$F$53+$C$6747,Assumptions!$E$53))</f>
        <v>0.081</v>
      </c>
    </row>
    <row r="6760" customFormat="false" ht="15" hidden="false" customHeight="false" outlineLevel="0" collapsed="false">
      <c r="A6760" s="5" t="s">
        <v>267</v>
      </c>
      <c r="G6760" s="25" t="n">
        <f aca="false">G6756*G6759</f>
        <v>15.48</v>
      </c>
      <c r="H6760" s="25" t="n">
        <f aca="false">H6756*H6759</f>
        <v>11.72674</v>
      </c>
      <c r="I6760" s="25" t="n">
        <f aca="false">I6756*I6759</f>
        <v>11.37564</v>
      </c>
      <c r="J6760" s="25" t="n">
        <f aca="false">J6756*J6759</f>
        <v>11.37564</v>
      </c>
      <c r="K6760" s="25" t="n">
        <f aca="false">K6756*K6759</f>
        <v>11.37564</v>
      </c>
    </row>
    <row r="6761" customFormat="false" ht="15" hidden="false" customHeight="false" outlineLevel="0" collapsed="false">
      <c r="A6761" s="5" t="s">
        <v>268</v>
      </c>
      <c r="G6761" s="25" t="n">
        <f aca="false">G6756*Assumptions!$H$53</f>
        <v>0</v>
      </c>
      <c r="H6761" s="25" t="n">
        <f aca="false">H6756*Assumptions!$H$53</f>
        <v>0</v>
      </c>
      <c r="I6761" s="25" t="n">
        <f aca="false">I6756*Assumptions!$H$53</f>
        <v>0</v>
      </c>
      <c r="J6761" s="25" t="n">
        <f aca="false">J6756*Assumptions!$H$53</f>
        <v>0</v>
      </c>
      <c r="K6761" s="25" t="n">
        <f aca="false">K6756*Assumptions!$H$53</f>
        <v>0</v>
      </c>
    </row>
    <row r="6762" customFormat="false" ht="15" hidden="false" customHeight="false" outlineLevel="0" collapsed="false">
      <c r="A6762" s="5" t="s">
        <v>269</v>
      </c>
      <c r="G6762" s="25" t="n">
        <f aca="false">MIN(G6756,Assumptions!$L$53*Assumptions!$C$53)</f>
        <v>0</v>
      </c>
      <c r="H6762" s="25" t="n">
        <f aca="false">MIN(H6756,Assumptions!$L$53*Assumptions!$C$53)</f>
        <v>0</v>
      </c>
      <c r="I6762" s="25" t="n">
        <f aca="false">MIN(I6756,Assumptions!$L$53*Assumptions!$C$53)</f>
        <v>0</v>
      </c>
      <c r="J6762" s="25" t="n">
        <f aca="false">MIN(J6756,Assumptions!$L$53*Assumptions!$C$53)</f>
        <v>0</v>
      </c>
      <c r="K6762" s="25" t="n">
        <f aca="false">MIN(K6756,Assumptions!$L$53*Assumptions!$C$53)</f>
        <v>0</v>
      </c>
    </row>
    <row r="6763" customFormat="false" ht="15" hidden="false" customHeight="false" outlineLevel="0" collapsed="false">
      <c r="A6763" s="5" t="s">
        <v>270</v>
      </c>
      <c r="G6763" s="25" t="n">
        <f aca="false">IF(AND(Assumptions!$P$53=1,G6720&lt;Assumptions!$K$53),MIN(MAX(0,-G6834),MAX(0,Assumptions!$D$53-G6756)),0)</f>
        <v>0</v>
      </c>
      <c r="H6763" s="25" t="n">
        <f aca="false">IF(AND(Assumptions!$P$53=1,OR(H6720&lt;Assumptions!$K$53,G6908=1)),MIN(MAX(0,-H6834),MAX(0,Assumptions!$D$53-H6756)),0)</f>
        <v>0</v>
      </c>
      <c r="I6763" s="25" t="n">
        <f aca="false">IF(AND(Assumptions!$P$53=1,OR(I6720&lt;Assumptions!$K$53,H6908=1)),MIN(MAX(0,-I6834),MAX(0,Assumptions!$D$53-I6756)),0)</f>
        <v>0</v>
      </c>
      <c r="J6763" s="25" t="n">
        <f aca="false">IF(AND(Assumptions!$P$53=1,OR(J6720&lt;Assumptions!$K$53,I6908=1)),MIN(MAX(0,-J6834),MAX(0,Assumptions!$D$53-J6756)),0)</f>
        <v>0</v>
      </c>
      <c r="K6763" s="25" t="n">
        <f aca="false">IF(AND(Assumptions!$P$53=1,OR(K6720&lt;Assumptions!$K$53,J6908=1)),MIN(MAX(0,-K6834),MAX(0,Assumptions!$D$53-K6756)),0)</f>
        <v>0</v>
      </c>
    </row>
    <row r="6764" customFormat="false" ht="15" hidden="false" customHeight="false" outlineLevel="0" collapsed="false">
      <c r="A6764" s="5" t="s">
        <v>271</v>
      </c>
      <c r="G6764" s="25" t="n">
        <f aca="false">G6757*MIN(G6756-G6762+G6761,MAX(0,G6836-Assumptions!$C$12*G6754))</f>
        <v>0</v>
      </c>
      <c r="H6764" s="25" t="n">
        <f aca="false">H6757*MIN(H6756-H6762+H6761,MAX(0,H6836-Assumptions!$C$12*H6754))</f>
        <v>0</v>
      </c>
      <c r="I6764" s="25" t="n">
        <f aca="false">I6757*MIN(I6756-I6762+I6761,MAX(0,I6836-Assumptions!$C$12*I6754))</f>
        <v>0</v>
      </c>
      <c r="J6764" s="25" t="n">
        <f aca="false">J6757*MIN(J6756-J6762+J6761,MAX(0,J6836-Assumptions!$C$12*J6754))</f>
        <v>0</v>
      </c>
      <c r="K6764" s="25" t="n">
        <f aca="false">K6757*MIN(K6756-K6762+K6761,MAX(0,K6836-Assumptions!$C$12*K6754))</f>
        <v>0</v>
      </c>
    </row>
    <row r="6765" customFormat="false" ht="15" hidden="false" customHeight="false" outlineLevel="0" collapsed="false">
      <c r="A6765" s="5" t="s">
        <v>272</v>
      </c>
      <c r="G6765" s="25" t="n">
        <f aca="false">Assumptions!$N$53*MIN(G6756+G6763+G6761-G6762-G6764,MAX(0,G6840))</f>
        <v>39.56</v>
      </c>
      <c r="H6765" s="25" t="n">
        <f aca="false">Assumptions!$N$53*MIN(H6756+H6763+H6761-H6762-H6764,MAX(0,H6840))</f>
        <v>0</v>
      </c>
      <c r="I6765" s="25" t="n">
        <f aca="false">Assumptions!$N$53*MIN(I6756+I6763+I6761-I6762-I6764,MAX(0,I6840))</f>
        <v>0</v>
      </c>
      <c r="J6765" s="25" t="n">
        <f aca="false">Assumptions!$N$53*MIN(J6756+J6763+J6761-J6762-J6764,MAX(0,J6840))</f>
        <v>0</v>
      </c>
      <c r="K6765" s="25" t="n">
        <f aca="false">Assumptions!$N$53*MIN(K6756+K6763+K6761-K6762-K6764,MAX(0,K6840))</f>
        <v>0</v>
      </c>
    </row>
    <row r="6766" customFormat="false" ht="15" hidden="false" customHeight="false" outlineLevel="0" collapsed="false">
      <c r="A6766" s="5" t="s">
        <v>273</v>
      </c>
      <c r="G6766" s="25" t="n">
        <f aca="false">G6757*(1-G6754)*(G6756-G6762+G6761-G6764)</f>
        <v>0</v>
      </c>
      <c r="H6766" s="25" t="n">
        <f aca="false">H6757*(1-H6754)*(H6756-H6762+H6761-H6764)</f>
        <v>140.44</v>
      </c>
      <c r="I6766" s="25" t="n">
        <f aca="false">I6757*(1-I6754)*(I6756-I6762+I6761-I6764)</f>
        <v>0</v>
      </c>
      <c r="J6766" s="25" t="n">
        <f aca="false">J6757*(1-J6754)*(J6756-J6762+J6761-J6764)</f>
        <v>0</v>
      </c>
      <c r="K6766" s="25" t="n">
        <f aca="false">K6757*(1-K6754)*(K6756-K6762+K6761-K6764)</f>
        <v>0</v>
      </c>
    </row>
    <row r="6767" customFormat="false" ht="15" hidden="false" customHeight="false" outlineLevel="0" collapsed="false">
      <c r="A6767" s="2" t="s">
        <v>274</v>
      </c>
      <c r="F6767" s="27" t="n">
        <f aca="false">Assumptions!$C$53</f>
        <v>180</v>
      </c>
      <c r="G6767" s="16" t="n">
        <f aca="false">G6756+G6763+G6761-G6762-G6764-G6765</f>
        <v>140.44</v>
      </c>
      <c r="H6767" s="16" t="n">
        <f aca="false">H6756+H6763+H6761-H6762-H6764-H6765</f>
        <v>140.44</v>
      </c>
      <c r="I6767" s="16" t="n">
        <f aca="false">I6756+I6763+I6761-I6762-I6764-I6765</f>
        <v>140.44</v>
      </c>
      <c r="J6767" s="16" t="n">
        <f aca="false">J6756+J6763+J6761-J6762-J6764-J6765</f>
        <v>140.44</v>
      </c>
      <c r="K6767" s="16" t="n">
        <f aca="false">K6756+K6763+K6761-K6762-K6764-K6765</f>
        <v>140.44</v>
      </c>
    </row>
    <row r="6768" customFormat="false" ht="15" hidden="false" customHeight="false" outlineLevel="0" collapsed="false">
      <c r="A6768" s="23" t="s">
        <v>275</v>
      </c>
      <c r="B6768" s="24"/>
      <c r="C6768" s="24"/>
      <c r="D6768" s="24"/>
      <c r="E6768" s="24"/>
      <c r="F6768" s="24"/>
      <c r="G6768" s="24"/>
      <c r="H6768" s="24"/>
      <c r="I6768" s="24"/>
      <c r="J6768" s="24"/>
      <c r="K6768" s="24"/>
    </row>
    <row r="6769" customFormat="false" ht="15" hidden="false" customHeight="false" outlineLevel="0" collapsed="false">
      <c r="A6769" s="5" t="s">
        <v>264</v>
      </c>
      <c r="G6769" s="25" t="n">
        <f aca="false">F6780</f>
        <v>520</v>
      </c>
      <c r="H6769" s="25" t="n">
        <f aca="false">G6780</f>
        <v>514.8</v>
      </c>
      <c r="I6769" s="25" t="n">
        <f aca="false">H6780</f>
        <v>509.6</v>
      </c>
      <c r="J6769" s="25" t="n">
        <f aca="false">I6780</f>
        <v>504.4</v>
      </c>
      <c r="K6769" s="25" t="n">
        <f aca="false">J6780</f>
        <v>499.2</v>
      </c>
    </row>
    <row r="6770" customFormat="false" ht="15" hidden="false" customHeight="false" outlineLevel="0" collapsed="false">
      <c r="A6770" s="5" t="s">
        <v>265</v>
      </c>
      <c r="G6770" s="20" t="n">
        <f aca="false">IF(G6720=Assumptions!$K$54,1,0)</f>
        <v>0</v>
      </c>
      <c r="H6770" s="20" t="n">
        <f aca="false">IF(H6720=Assumptions!$K$54,1,0)</f>
        <v>0</v>
      </c>
      <c r="I6770" s="20" t="n">
        <f aca="false">IF(I6720=Assumptions!$K$54,1,0)</f>
        <v>1</v>
      </c>
      <c r="J6770" s="20" t="n">
        <f aca="false">IF(J6720=Assumptions!$K$54,1,0)</f>
        <v>0</v>
      </c>
      <c r="K6770" s="20" t="n">
        <f aca="false">IF(K6720=Assumptions!$K$54,1,0)</f>
        <v>0</v>
      </c>
    </row>
    <row r="6772" customFormat="false" ht="15" hidden="false" customHeight="false" outlineLevel="0" collapsed="false">
      <c r="A6772" s="5" t="s">
        <v>266</v>
      </c>
      <c r="G6772" s="30" t="n">
        <f aca="false">IF(Assumptions!$I$54=1,MAX(G6746,Assumptions!$G$54)+Assumptions!$F$54+$C$6747,Assumptions!$E$54)</f>
        <v>0.103</v>
      </c>
      <c r="H6772" s="30" t="n">
        <f aca="false">IF(G6909=1,$C$6748,IF(Assumptions!$I$54=1,MAX(H6746,Assumptions!$G$54)+Assumptions!$F$54+$C$6747,Assumptions!$E$54))</f>
        <v>0.1005</v>
      </c>
      <c r="I6772" s="30" t="n">
        <f aca="false">IF(H6909=1,$C$6748,IF(Assumptions!$I$54=1,MAX(I6746,Assumptions!$G$54)+Assumptions!$F$54+$C$6747,Assumptions!$E$54))</f>
        <v>0.098</v>
      </c>
      <c r="J6772" s="30" t="n">
        <f aca="false">IF(I6909=1,$C$6748,IF(Assumptions!$I$54=1,MAX(J6746,Assumptions!$G$54)+Assumptions!$F$54+$C$6747,Assumptions!$E$54))</f>
        <v>0.098</v>
      </c>
      <c r="K6772" s="30" t="n">
        <f aca="false">IF(J6909=1,$C$6748,IF(Assumptions!$I$54=1,MAX(K6746,Assumptions!$G$54)+Assumptions!$F$54+$C$6747,Assumptions!$E$54))</f>
        <v>0.098</v>
      </c>
    </row>
    <row r="6773" customFormat="false" ht="15" hidden="false" customHeight="false" outlineLevel="0" collapsed="false">
      <c r="A6773" s="5" t="s">
        <v>267</v>
      </c>
      <c r="G6773" s="25" t="n">
        <f aca="false">G6769*G6772</f>
        <v>53.56</v>
      </c>
      <c r="H6773" s="25" t="n">
        <f aca="false">H6769*H6772</f>
        <v>51.7374</v>
      </c>
      <c r="I6773" s="25" t="n">
        <f aca="false">I6769*I6772</f>
        <v>49.9408</v>
      </c>
      <c r="J6773" s="25" t="n">
        <f aca="false">J6769*J6772</f>
        <v>49.4312</v>
      </c>
      <c r="K6773" s="25" t="n">
        <f aca="false">K6769*K6772</f>
        <v>48.9216</v>
      </c>
    </row>
    <row r="6774" customFormat="false" ht="15" hidden="false" customHeight="false" outlineLevel="0" collapsed="false">
      <c r="A6774" s="5" t="s">
        <v>268</v>
      </c>
      <c r="G6774" s="25" t="n">
        <f aca="false">G6769*Assumptions!$H$54</f>
        <v>0</v>
      </c>
      <c r="H6774" s="25" t="n">
        <f aca="false">H6769*Assumptions!$H$54</f>
        <v>0</v>
      </c>
      <c r="I6774" s="25" t="n">
        <f aca="false">I6769*Assumptions!$H$54</f>
        <v>0</v>
      </c>
      <c r="J6774" s="25" t="n">
        <f aca="false">J6769*Assumptions!$H$54</f>
        <v>0</v>
      </c>
      <c r="K6774" s="25" t="n">
        <f aca="false">K6769*Assumptions!$H$54</f>
        <v>0</v>
      </c>
    </row>
    <row r="6775" customFormat="false" ht="15" hidden="false" customHeight="false" outlineLevel="0" collapsed="false">
      <c r="A6775" s="5" t="s">
        <v>269</v>
      </c>
      <c r="G6775" s="25" t="n">
        <f aca="false">MIN(G6769,Assumptions!$L$54*Assumptions!$C$54)</f>
        <v>5.2</v>
      </c>
      <c r="H6775" s="25" t="n">
        <f aca="false">MIN(H6769,Assumptions!$L$54*Assumptions!$C$54)</f>
        <v>5.2</v>
      </c>
      <c r="I6775" s="25" t="n">
        <f aca="false">MIN(I6769,Assumptions!$L$54*Assumptions!$C$54)</f>
        <v>5.2</v>
      </c>
      <c r="J6775" s="25" t="n">
        <f aca="false">MIN(J6769,Assumptions!$L$54*Assumptions!$C$54)</f>
        <v>5.2</v>
      </c>
      <c r="K6775" s="25" t="n">
        <f aca="false">MIN(K6769,Assumptions!$L$54*Assumptions!$C$54)</f>
        <v>5.2</v>
      </c>
    </row>
    <row r="6776" customFormat="false" ht="15" hidden="false" customHeight="false" outlineLevel="0" collapsed="false">
      <c r="A6776" s="5" t="s">
        <v>270</v>
      </c>
      <c r="G6776" s="25" t="n">
        <f aca="false">IF(AND(Assumptions!$P$54=1,G6720&lt;Assumptions!$K$54),MIN(MAX(0,-G6834),MAX(0,Assumptions!$D$54-G6769)),0)</f>
        <v>0</v>
      </c>
      <c r="H6776" s="25" t="n">
        <f aca="false">IF(AND(Assumptions!$P$54=1,OR(H6720&lt;Assumptions!$K$54,G6909=1)),MIN(MAX(0,-H6834),MAX(0,Assumptions!$D$54-H6769)),0)</f>
        <v>0</v>
      </c>
      <c r="I6776" s="25" t="n">
        <f aca="false">IF(AND(Assumptions!$P$54=1,OR(I6720&lt;Assumptions!$K$54,H6909=1)),MIN(MAX(0,-I6834),MAX(0,Assumptions!$D$54-I6769)),0)</f>
        <v>0</v>
      </c>
      <c r="J6776" s="25" t="n">
        <f aca="false">IF(AND(Assumptions!$P$54=1,OR(J6720&lt;Assumptions!$K$54,I6909=1)),MIN(MAX(0,-J6834),MAX(0,Assumptions!$D$54-J6769)),0)</f>
        <v>0</v>
      </c>
      <c r="K6776" s="25" t="n">
        <f aca="false">IF(AND(Assumptions!$P$54=1,OR(K6720&lt;Assumptions!$K$54,J6909=1)),MIN(MAX(0,-K6834),MAX(0,Assumptions!$D$54-K6769)),0)</f>
        <v>0</v>
      </c>
    </row>
    <row r="6777" customFormat="false" ht="15" hidden="false" customHeight="false" outlineLevel="0" collapsed="false">
      <c r="A6777" s="5" t="s">
        <v>271</v>
      </c>
      <c r="G6777" s="25" t="n">
        <f aca="false">G6770*MIN(G6769-G6775+G6774,MAX(0,G6836-Assumptions!$C$12*G6754-G6764))</f>
        <v>0</v>
      </c>
      <c r="H6777" s="25" t="n">
        <f aca="false">H6770*MIN(H6769-H6775+H6774,MAX(0,H6836-Assumptions!$C$12*H6754-H6764))</f>
        <v>0</v>
      </c>
      <c r="I6777" s="25" t="n">
        <f aca="false">I6770*MIN(I6769-I6775+I6774,MAX(0,I6836-Assumptions!$C$12*I6754-I6764))</f>
        <v>0</v>
      </c>
      <c r="J6777" s="25" t="n">
        <f aca="false">J6770*MIN(J6769-J6775+J6774,MAX(0,J6836-Assumptions!$C$12*J6754-J6764))</f>
        <v>0</v>
      </c>
      <c r="K6777" s="25" t="n">
        <f aca="false">K6770*MIN(K6769-K6775+K6774,MAX(0,K6836-Assumptions!$C$12*K6754-K6764))</f>
        <v>0</v>
      </c>
    </row>
    <row r="6778" customFormat="false" ht="15" hidden="false" customHeight="false" outlineLevel="0" collapsed="false">
      <c r="A6778" s="5" t="s">
        <v>272</v>
      </c>
      <c r="G6778" s="25" t="n">
        <f aca="false">Assumptions!$N$54*MIN(G6769+G6776+G6774-G6775-G6777,MAX(0,G6840-G6765))</f>
        <v>0</v>
      </c>
      <c r="H6778" s="25" t="n">
        <f aca="false">Assumptions!$N$54*MIN(H6769+H6776+H6774-H6775-H6777,MAX(0,H6840-H6765))</f>
        <v>0</v>
      </c>
      <c r="I6778" s="25" t="n">
        <f aca="false">Assumptions!$N$54*MIN(I6769+I6776+I6774-I6775-I6777,MAX(0,I6840-I6765))</f>
        <v>0</v>
      </c>
      <c r="J6778" s="25" t="n">
        <f aca="false">Assumptions!$N$54*MIN(J6769+J6776+J6774-J6775-J6777,MAX(0,J6840-J6765))</f>
        <v>0</v>
      </c>
      <c r="K6778" s="25" t="n">
        <f aca="false">Assumptions!$N$54*MIN(K6769+K6776+K6774-K6775-K6777,MAX(0,K6840-K6765))</f>
        <v>0</v>
      </c>
    </row>
    <row r="6779" customFormat="false" ht="15" hidden="false" customHeight="false" outlineLevel="0" collapsed="false">
      <c r="A6779" s="5" t="s">
        <v>273</v>
      </c>
      <c r="G6779" s="25" t="n">
        <f aca="false">G6770*(1-G6754)*(G6769-G6775+G6774-G6777)</f>
        <v>0</v>
      </c>
      <c r="H6779" s="25" t="n">
        <f aca="false">H6770*(1-H6754)*(H6769-H6775+H6774-H6777)</f>
        <v>0</v>
      </c>
      <c r="I6779" s="25" t="n">
        <f aca="false">I6770*(1-I6754)*(I6769-I6775+I6774-I6777)</f>
        <v>504.4</v>
      </c>
      <c r="J6779" s="25" t="n">
        <f aca="false">J6770*(1-J6754)*(J6769-J6775+J6774-J6777)</f>
        <v>0</v>
      </c>
      <c r="K6779" s="25" t="n">
        <f aca="false">K6770*(1-K6754)*(K6769-K6775+K6774-K6777)</f>
        <v>0</v>
      </c>
    </row>
    <row r="6780" customFormat="false" ht="15" hidden="false" customHeight="false" outlineLevel="0" collapsed="false">
      <c r="A6780" s="2" t="s">
        <v>274</v>
      </c>
      <c r="F6780" s="27" t="n">
        <f aca="false">Assumptions!$C$54</f>
        <v>520</v>
      </c>
      <c r="G6780" s="16" t="n">
        <f aca="false">G6769+G6776+G6774-G6775-G6777-G6778</f>
        <v>514.8</v>
      </c>
      <c r="H6780" s="16" t="n">
        <f aca="false">H6769+H6776+H6774-H6775-H6777-H6778</f>
        <v>509.6</v>
      </c>
      <c r="I6780" s="16" t="n">
        <f aca="false">I6769+I6776+I6774-I6775-I6777-I6778</f>
        <v>504.4</v>
      </c>
      <c r="J6780" s="16" t="n">
        <f aca="false">J6769+J6776+J6774-J6775-J6777-J6778</f>
        <v>499.2</v>
      </c>
      <c r="K6780" s="16" t="n">
        <f aca="false">K6769+K6776+K6774-K6775-K6777-K6778</f>
        <v>494</v>
      </c>
    </row>
    <row r="6781" customFormat="false" ht="15" hidden="false" customHeight="false" outlineLevel="0" collapsed="false">
      <c r="A6781" s="23" t="s">
        <v>276</v>
      </c>
      <c r="B6781" s="24"/>
      <c r="C6781" s="24"/>
      <c r="D6781" s="24"/>
      <c r="E6781" s="24"/>
      <c r="F6781" s="24"/>
      <c r="G6781" s="24"/>
      <c r="H6781" s="24"/>
      <c r="I6781" s="24"/>
      <c r="J6781" s="24"/>
      <c r="K6781" s="24"/>
    </row>
    <row r="6782" customFormat="false" ht="15" hidden="false" customHeight="false" outlineLevel="0" collapsed="false">
      <c r="A6782" s="5" t="s">
        <v>264</v>
      </c>
      <c r="G6782" s="25" t="n">
        <f aca="false">F6793</f>
        <v>250</v>
      </c>
      <c r="H6782" s="25" t="n">
        <f aca="false">G6793</f>
        <v>250</v>
      </c>
      <c r="I6782" s="25" t="n">
        <f aca="false">H6793</f>
        <v>250</v>
      </c>
      <c r="J6782" s="25" t="n">
        <f aca="false">I6793</f>
        <v>250</v>
      </c>
      <c r="K6782" s="25" t="n">
        <f aca="false">J6793</f>
        <v>250</v>
      </c>
    </row>
    <row r="6783" customFormat="false" ht="15" hidden="false" customHeight="false" outlineLevel="0" collapsed="false">
      <c r="A6783" s="5" t="s">
        <v>265</v>
      </c>
      <c r="G6783" s="20" t="n">
        <f aca="false">IF(G6720=Assumptions!$K$55,1,0)</f>
        <v>0</v>
      </c>
      <c r="H6783" s="20" t="n">
        <f aca="false">IF(H6720=Assumptions!$K$55,1,0)</f>
        <v>0</v>
      </c>
      <c r="I6783" s="20" t="n">
        <f aca="false">IF(I6720=Assumptions!$K$55,1,0)</f>
        <v>0</v>
      </c>
      <c r="J6783" s="20" t="n">
        <f aca="false">IF(J6720=Assumptions!$K$55,1,0)</f>
        <v>1</v>
      </c>
      <c r="K6783" s="20" t="n">
        <f aca="false">IF(K6720=Assumptions!$K$55,1,0)</f>
        <v>0</v>
      </c>
    </row>
    <row r="6785" customFormat="false" ht="15" hidden="false" customHeight="false" outlineLevel="0" collapsed="false">
      <c r="A6785" s="5" t="s">
        <v>266</v>
      </c>
      <c r="G6785" s="30" t="n">
        <f aca="false">IF(Assumptions!$I$55=1,MAX(G6746,Assumptions!$G$55)+Assumptions!$F$55+$C$6747,Assumptions!$E$55)</f>
        <v>0.11</v>
      </c>
      <c r="H6785" s="30" t="n">
        <f aca="false">IF(G6910=1,$C$6748,IF(Assumptions!$I$55=1,MAX(H6746,Assumptions!$G$55)+Assumptions!$F$55+$C$6747,Assumptions!$E$55))</f>
        <v>0.11</v>
      </c>
      <c r="I6785" s="30" t="n">
        <f aca="false">IF(H6910=1,$C$6748,IF(Assumptions!$I$55=1,MAX(I6746,Assumptions!$G$55)+Assumptions!$F$55+$C$6747,Assumptions!$E$55))</f>
        <v>0.11</v>
      </c>
      <c r="J6785" s="30" t="n">
        <f aca="false">IF(I6910=1,$C$6748,IF(Assumptions!$I$55=1,MAX(J6746,Assumptions!$G$55)+Assumptions!$F$55+$C$6747,Assumptions!$E$55))</f>
        <v>0.11</v>
      </c>
      <c r="K6785" s="30" t="n">
        <f aca="false">IF(J6910=1,$C$6748,IF(Assumptions!$I$55=1,MAX(K6746,Assumptions!$G$55)+Assumptions!$F$55+$C$6747,Assumptions!$E$55))</f>
        <v>0.11</v>
      </c>
    </row>
    <row r="6786" customFormat="false" ht="15" hidden="false" customHeight="false" outlineLevel="0" collapsed="false">
      <c r="A6786" s="5" t="s">
        <v>267</v>
      </c>
      <c r="G6786" s="25" t="n">
        <f aca="false">G6782*G6785</f>
        <v>27.5</v>
      </c>
      <c r="H6786" s="25" t="n">
        <f aca="false">H6782*H6785</f>
        <v>27.5</v>
      </c>
      <c r="I6786" s="25" t="n">
        <f aca="false">I6782*I6785</f>
        <v>27.5</v>
      </c>
      <c r="J6786" s="25" t="n">
        <f aca="false">J6782*J6785</f>
        <v>27.5</v>
      </c>
      <c r="K6786" s="25" t="n">
        <f aca="false">K6782*K6785</f>
        <v>27.5</v>
      </c>
    </row>
    <row r="6787" customFormat="false" ht="15" hidden="false" customHeight="false" outlineLevel="0" collapsed="false">
      <c r="A6787" s="5" t="s">
        <v>268</v>
      </c>
      <c r="G6787" s="25" t="n">
        <f aca="false">G6782*Assumptions!$H$55</f>
        <v>0</v>
      </c>
      <c r="H6787" s="25" t="n">
        <f aca="false">H6782*Assumptions!$H$55</f>
        <v>0</v>
      </c>
      <c r="I6787" s="25" t="n">
        <f aca="false">I6782*Assumptions!$H$55</f>
        <v>0</v>
      </c>
      <c r="J6787" s="25" t="n">
        <f aca="false">J6782*Assumptions!$H$55</f>
        <v>0</v>
      </c>
      <c r="K6787" s="25" t="n">
        <f aca="false">K6782*Assumptions!$H$55</f>
        <v>0</v>
      </c>
    </row>
    <row r="6788" customFormat="false" ht="15" hidden="false" customHeight="false" outlineLevel="0" collapsed="false">
      <c r="A6788" s="5" t="s">
        <v>269</v>
      </c>
      <c r="G6788" s="25" t="n">
        <f aca="false">MIN(G6782,Assumptions!$L$55*Assumptions!$C$55)</f>
        <v>0</v>
      </c>
      <c r="H6788" s="25" t="n">
        <f aca="false">MIN(H6782,Assumptions!$L$55*Assumptions!$C$55)</f>
        <v>0</v>
      </c>
      <c r="I6788" s="25" t="n">
        <f aca="false">MIN(I6782,Assumptions!$L$55*Assumptions!$C$55)</f>
        <v>0</v>
      </c>
      <c r="J6788" s="25" t="n">
        <f aca="false">MIN(J6782,Assumptions!$L$55*Assumptions!$C$55)</f>
        <v>0</v>
      </c>
      <c r="K6788" s="25" t="n">
        <f aca="false">MIN(K6782,Assumptions!$L$55*Assumptions!$C$55)</f>
        <v>0</v>
      </c>
    </row>
    <row r="6789" customFormat="false" ht="15" hidden="false" customHeight="false" outlineLevel="0" collapsed="false">
      <c r="A6789" s="5" t="s">
        <v>270</v>
      </c>
      <c r="G6789" s="25" t="n">
        <f aca="false">IF(AND(Assumptions!$P$55=1,G6720&lt;Assumptions!$K$55),MIN(MAX(0,-G6834),MAX(0,Assumptions!$D$55-G6782)),0)</f>
        <v>0</v>
      </c>
      <c r="H6789" s="25" t="n">
        <f aca="false">IF(AND(Assumptions!$P$55=1,OR(H6720&lt;Assumptions!$K$55,G6910=1)),MIN(MAX(0,-H6834),MAX(0,Assumptions!$D$55-H6782)),0)</f>
        <v>0</v>
      </c>
      <c r="I6789" s="25" t="n">
        <f aca="false">IF(AND(Assumptions!$P$55=1,OR(I6720&lt;Assumptions!$K$55,H6910=1)),MIN(MAX(0,-I6834),MAX(0,Assumptions!$D$55-I6782)),0)</f>
        <v>0</v>
      </c>
      <c r="J6789" s="25" t="n">
        <f aca="false">IF(AND(Assumptions!$P$55=1,OR(J6720&lt;Assumptions!$K$55,I6910=1)),MIN(MAX(0,-J6834),MAX(0,Assumptions!$D$55-J6782)),0)</f>
        <v>0</v>
      </c>
      <c r="K6789" s="25" t="n">
        <f aca="false">IF(AND(Assumptions!$P$55=1,OR(K6720&lt;Assumptions!$K$55,J6910=1)),MIN(MAX(0,-K6834),MAX(0,Assumptions!$D$55-K6782)),0)</f>
        <v>0</v>
      </c>
    </row>
    <row r="6790" customFormat="false" ht="15" hidden="false" customHeight="false" outlineLevel="0" collapsed="false">
      <c r="A6790" s="5" t="s">
        <v>271</v>
      </c>
      <c r="G6790" s="25" t="n">
        <f aca="false">G6783*MIN(G6782-G6788+G6787,MAX(0,G6836-Assumptions!$C$12*G6754-G6764-G6777))</f>
        <v>0</v>
      </c>
      <c r="H6790" s="25" t="n">
        <f aca="false">H6783*MIN(H6782-H6788+H6787,MAX(0,H6836-Assumptions!$C$12*H6754-H6764-H6777))</f>
        <v>0</v>
      </c>
      <c r="I6790" s="25" t="n">
        <f aca="false">I6783*MIN(I6782-I6788+I6787,MAX(0,I6836-Assumptions!$C$12*I6754-I6764-I6777))</f>
        <v>0</v>
      </c>
      <c r="J6790" s="25" t="n">
        <f aca="false">J6783*MIN(J6782-J6788+J6787,MAX(0,J6836-Assumptions!$C$12*J6754-J6764-J6777))</f>
        <v>0</v>
      </c>
      <c r="K6790" s="25" t="n">
        <f aca="false">K6783*MIN(K6782-K6788+K6787,MAX(0,K6836-Assumptions!$C$12*K6754-K6764-K6777))</f>
        <v>0</v>
      </c>
    </row>
    <row r="6791" customFormat="false" ht="15" hidden="false" customHeight="false" outlineLevel="0" collapsed="false">
      <c r="A6791" s="5" t="s">
        <v>272</v>
      </c>
      <c r="G6791" s="25" t="n">
        <f aca="false">Assumptions!$N$55*MIN(G6782+G6789+G6787-G6788-G6790,MAX(0,G6840-G6765-G6778))</f>
        <v>0</v>
      </c>
      <c r="H6791" s="25" t="n">
        <f aca="false">Assumptions!$N$55*MIN(H6782+H6789+H6787-H6788-H6790,MAX(0,H6840-H6765-H6778))</f>
        <v>0</v>
      </c>
      <c r="I6791" s="25" t="n">
        <f aca="false">Assumptions!$N$55*MIN(I6782+I6789+I6787-I6788-I6790,MAX(0,I6840-I6765-I6778))</f>
        <v>0</v>
      </c>
      <c r="J6791" s="25" t="n">
        <f aca="false">Assumptions!$N$55*MIN(J6782+J6789+J6787-J6788-J6790,MAX(0,J6840-J6765-J6778))</f>
        <v>0</v>
      </c>
      <c r="K6791" s="25" t="n">
        <f aca="false">Assumptions!$N$55*MIN(K6782+K6789+K6787-K6788-K6790,MAX(0,K6840-K6765-K6778))</f>
        <v>0</v>
      </c>
    </row>
    <row r="6792" customFormat="false" ht="15" hidden="false" customHeight="false" outlineLevel="0" collapsed="false">
      <c r="A6792" s="5" t="s">
        <v>273</v>
      </c>
      <c r="G6792" s="25" t="n">
        <f aca="false">G6783*(1-G6754)*(G6782-G6788+G6787-G6790)</f>
        <v>0</v>
      </c>
      <c r="H6792" s="25" t="n">
        <f aca="false">H6783*(1-H6754)*(H6782-H6788+H6787-H6790)</f>
        <v>0</v>
      </c>
      <c r="I6792" s="25" t="n">
        <f aca="false">I6783*(1-I6754)*(I6782-I6788+I6787-I6790)</f>
        <v>0</v>
      </c>
      <c r="J6792" s="25" t="n">
        <f aca="false">J6783*(1-J6754)*(J6782-J6788+J6787-J6790)</f>
        <v>250</v>
      </c>
      <c r="K6792" s="25" t="n">
        <f aca="false">K6783*(1-K6754)*(K6782-K6788+K6787-K6790)</f>
        <v>0</v>
      </c>
    </row>
    <row r="6793" customFormat="false" ht="15" hidden="false" customHeight="false" outlineLevel="0" collapsed="false">
      <c r="A6793" s="2" t="s">
        <v>274</v>
      </c>
      <c r="F6793" s="27" t="n">
        <f aca="false">Assumptions!$C$55</f>
        <v>250</v>
      </c>
      <c r="G6793" s="16" t="n">
        <f aca="false">G6782+G6789+G6787-G6788-G6790-G6791</f>
        <v>250</v>
      </c>
      <c r="H6793" s="16" t="n">
        <f aca="false">H6782+H6789+H6787-H6788-H6790-H6791</f>
        <v>250</v>
      </c>
      <c r="I6793" s="16" t="n">
        <f aca="false">I6782+I6789+I6787-I6788-I6790-I6791</f>
        <v>250</v>
      </c>
      <c r="J6793" s="16" t="n">
        <f aca="false">J6782+J6789+J6787-J6788-J6790-J6791</f>
        <v>250</v>
      </c>
      <c r="K6793" s="16" t="n">
        <f aca="false">K6782+K6789+K6787-K6788-K6790-K6791</f>
        <v>250</v>
      </c>
    </row>
    <row r="6794" customFormat="false" ht="15" hidden="false" customHeight="false" outlineLevel="0" collapsed="false">
      <c r="A6794" s="23" t="s">
        <v>277</v>
      </c>
      <c r="B6794" s="24"/>
      <c r="C6794" s="24"/>
      <c r="D6794" s="24"/>
      <c r="E6794" s="24"/>
      <c r="F6794" s="24"/>
      <c r="G6794" s="24"/>
      <c r="H6794" s="24"/>
      <c r="I6794" s="24"/>
      <c r="J6794" s="24"/>
      <c r="K6794" s="24"/>
    </row>
    <row r="6795" customFormat="false" ht="15" hidden="false" customHeight="false" outlineLevel="0" collapsed="false">
      <c r="A6795" s="5" t="s">
        <v>264</v>
      </c>
      <c r="G6795" s="25" t="n">
        <f aca="false">F6806</f>
        <v>300</v>
      </c>
      <c r="H6795" s="25" t="n">
        <f aca="false">G6806</f>
        <v>300</v>
      </c>
      <c r="I6795" s="25" t="n">
        <f aca="false">H6806</f>
        <v>300</v>
      </c>
      <c r="J6795" s="25" t="n">
        <f aca="false">I6806</f>
        <v>300</v>
      </c>
      <c r="K6795" s="25" t="n">
        <f aca="false">J6806</f>
        <v>300</v>
      </c>
    </row>
    <row r="6796" customFormat="false" ht="15" hidden="false" customHeight="false" outlineLevel="0" collapsed="false">
      <c r="A6796" s="5" t="s">
        <v>265</v>
      </c>
      <c r="G6796" s="20" t="n">
        <f aca="false">IF(G6720=Assumptions!$K$56,1,0)</f>
        <v>0</v>
      </c>
      <c r="H6796" s="20" t="n">
        <f aca="false">IF(H6720=Assumptions!$K$56,1,0)</f>
        <v>1</v>
      </c>
      <c r="I6796" s="20" t="n">
        <f aca="false">IF(I6720=Assumptions!$K$56,1,0)</f>
        <v>0</v>
      </c>
      <c r="J6796" s="20" t="n">
        <f aca="false">IF(J6720=Assumptions!$K$56,1,0)</f>
        <v>0</v>
      </c>
      <c r="K6796" s="20" t="n">
        <f aca="false">IF(K6720=Assumptions!$K$56,1,0)</f>
        <v>0</v>
      </c>
    </row>
    <row r="6798" customFormat="false" ht="15" hidden="false" customHeight="false" outlineLevel="0" collapsed="false">
      <c r="A6798" s="5" t="s">
        <v>266</v>
      </c>
      <c r="G6798" s="30" t="n">
        <f aca="false">IF(Assumptions!$I$56=1,MAX(G6746,Assumptions!$G$56)+Assumptions!$F$56+$C$6747,Assumptions!$E$56)</f>
        <v>0.075</v>
      </c>
      <c r="H6798" s="30" t="n">
        <f aca="false">IF(G6911=1,$C$6748,IF(Assumptions!$I$56=1,MAX(H6746,Assumptions!$G$56)+Assumptions!$F$56+$C$6747,Assumptions!$E$56))</f>
        <v>0.075</v>
      </c>
      <c r="I6798" s="30" t="n">
        <f aca="false">IF(H6911=1,$C$6748,IF(Assumptions!$I$56=1,MAX(I6746,Assumptions!$G$56)+Assumptions!$F$56+$C$6747,Assumptions!$E$56))</f>
        <v>0.075</v>
      </c>
      <c r="J6798" s="30" t="n">
        <f aca="false">IF(I6911=1,$C$6748,IF(Assumptions!$I$56=1,MAX(J6746,Assumptions!$G$56)+Assumptions!$F$56+$C$6747,Assumptions!$E$56))</f>
        <v>0.075</v>
      </c>
      <c r="K6798" s="30" t="n">
        <f aca="false">IF(J6911=1,$C$6748,IF(Assumptions!$I$56=1,MAX(K6746,Assumptions!$G$56)+Assumptions!$F$56+$C$6747,Assumptions!$E$56))</f>
        <v>0.075</v>
      </c>
    </row>
    <row r="6799" customFormat="false" ht="15" hidden="false" customHeight="false" outlineLevel="0" collapsed="false">
      <c r="A6799" s="5" t="s">
        <v>267</v>
      </c>
      <c r="G6799" s="25" t="n">
        <f aca="false">G6795*G6798</f>
        <v>22.5</v>
      </c>
      <c r="H6799" s="25" t="n">
        <f aca="false">H6795*H6798</f>
        <v>22.5</v>
      </c>
      <c r="I6799" s="25" t="n">
        <f aca="false">I6795*I6798</f>
        <v>22.5</v>
      </c>
      <c r="J6799" s="25" t="n">
        <f aca="false">J6795*J6798</f>
        <v>22.5</v>
      </c>
      <c r="K6799" s="25" t="n">
        <f aca="false">K6795*K6798</f>
        <v>22.5</v>
      </c>
    </row>
    <row r="6800" customFormat="false" ht="15" hidden="false" customHeight="false" outlineLevel="0" collapsed="false">
      <c r="A6800" s="5" t="s">
        <v>268</v>
      </c>
      <c r="G6800" s="25" t="n">
        <f aca="false">G6795*Assumptions!$H$56</f>
        <v>0</v>
      </c>
      <c r="H6800" s="25" t="n">
        <f aca="false">H6795*Assumptions!$H$56</f>
        <v>0</v>
      </c>
      <c r="I6800" s="25" t="n">
        <f aca="false">I6795*Assumptions!$H$56</f>
        <v>0</v>
      </c>
      <c r="J6800" s="25" t="n">
        <f aca="false">J6795*Assumptions!$H$56</f>
        <v>0</v>
      </c>
      <c r="K6800" s="25" t="n">
        <f aca="false">K6795*Assumptions!$H$56</f>
        <v>0</v>
      </c>
    </row>
    <row r="6801" customFormat="false" ht="15" hidden="false" customHeight="false" outlineLevel="0" collapsed="false">
      <c r="A6801" s="5" t="s">
        <v>269</v>
      </c>
      <c r="G6801" s="25" t="n">
        <f aca="false">MIN(G6795,Assumptions!$L$56*Assumptions!$C$56)</f>
        <v>0</v>
      </c>
      <c r="H6801" s="25" t="n">
        <f aca="false">MIN(H6795,Assumptions!$L$56*Assumptions!$C$56)</f>
        <v>0</v>
      </c>
      <c r="I6801" s="25" t="n">
        <f aca="false">MIN(I6795,Assumptions!$L$56*Assumptions!$C$56)</f>
        <v>0</v>
      </c>
      <c r="J6801" s="25" t="n">
        <f aca="false">MIN(J6795,Assumptions!$L$56*Assumptions!$C$56)</f>
        <v>0</v>
      </c>
      <c r="K6801" s="25" t="n">
        <f aca="false">MIN(K6795,Assumptions!$L$56*Assumptions!$C$56)</f>
        <v>0</v>
      </c>
    </row>
    <row r="6802" customFormat="false" ht="15" hidden="false" customHeight="false" outlineLevel="0" collapsed="false">
      <c r="A6802" s="5" t="s">
        <v>270</v>
      </c>
      <c r="G6802" s="25" t="n">
        <f aca="false">IF(AND(Assumptions!$P$56=1,G6720&lt;Assumptions!$K$56),MIN(MAX(0,-G6834),MAX(0,Assumptions!$D$56-G6795)),0)</f>
        <v>0</v>
      </c>
      <c r="H6802" s="25" t="n">
        <f aca="false">IF(AND(Assumptions!$P$56=1,OR(H6720&lt;Assumptions!$K$56,G6911=1)),MIN(MAX(0,-H6834),MAX(0,Assumptions!$D$56-H6795)),0)</f>
        <v>0</v>
      </c>
      <c r="I6802" s="25" t="n">
        <f aca="false">IF(AND(Assumptions!$P$56=1,OR(I6720&lt;Assumptions!$K$56,H6911=1)),MIN(MAX(0,-I6834),MAX(0,Assumptions!$D$56-I6795)),0)</f>
        <v>0</v>
      </c>
      <c r="J6802" s="25" t="n">
        <f aca="false">IF(AND(Assumptions!$P$56=1,OR(J6720&lt;Assumptions!$K$56,I6911=1)),MIN(MAX(0,-J6834),MAX(0,Assumptions!$D$56-J6795)),0)</f>
        <v>0</v>
      </c>
      <c r="K6802" s="25" t="n">
        <f aca="false">IF(AND(Assumptions!$P$56=1,OR(K6720&lt;Assumptions!$K$56,J6911=1)),MIN(MAX(0,-K6834),MAX(0,Assumptions!$D$56-K6795)),0)</f>
        <v>0</v>
      </c>
    </row>
    <row r="6803" customFormat="false" ht="15" hidden="false" customHeight="false" outlineLevel="0" collapsed="false">
      <c r="A6803" s="5" t="s">
        <v>271</v>
      </c>
      <c r="G6803" s="25" t="n">
        <f aca="false">G6796*MIN(G6795-G6801+G6800,MAX(0,G6836-Assumptions!$C$12*G6754-G6764-G6777-G6790))</f>
        <v>0</v>
      </c>
      <c r="H6803" s="25" t="n">
        <f aca="false">H6796*MIN(H6795-H6801+H6800,MAX(0,H6836-Assumptions!$C$12*H6754-H6764-H6777-H6790))</f>
        <v>0</v>
      </c>
      <c r="I6803" s="25" t="n">
        <f aca="false">I6796*MIN(I6795-I6801+I6800,MAX(0,I6836-Assumptions!$C$12*I6754-I6764-I6777-I6790))</f>
        <v>0</v>
      </c>
      <c r="J6803" s="25" t="n">
        <f aca="false">J6796*MIN(J6795-J6801+J6800,MAX(0,J6836-Assumptions!$C$12*J6754-J6764-J6777-J6790))</f>
        <v>0</v>
      </c>
      <c r="K6803" s="25" t="n">
        <f aca="false">K6796*MIN(K6795-K6801+K6800,MAX(0,K6836-Assumptions!$C$12*K6754-K6764-K6777-K6790))</f>
        <v>0</v>
      </c>
    </row>
    <row r="6804" customFormat="false" ht="15" hidden="false" customHeight="false" outlineLevel="0" collapsed="false">
      <c r="A6804" s="5" t="s">
        <v>272</v>
      </c>
      <c r="G6804" s="25" t="n">
        <f aca="false">Assumptions!$N$56*MIN(G6795+G6802+G6800-G6801-G6803,MAX(0,G6840-G6765-G6778-G6791))</f>
        <v>0</v>
      </c>
      <c r="H6804" s="25" t="n">
        <f aca="false">Assumptions!$N$56*MIN(H6795+H6802+H6800-H6801-H6803,MAX(0,H6840-H6765-H6778-H6791))</f>
        <v>0</v>
      </c>
      <c r="I6804" s="25" t="n">
        <f aca="false">Assumptions!$N$56*MIN(I6795+I6802+I6800-I6801-I6803,MAX(0,I6840-I6765-I6778-I6791))</f>
        <v>0</v>
      </c>
      <c r="J6804" s="25" t="n">
        <f aca="false">Assumptions!$N$56*MIN(J6795+J6802+J6800-J6801-J6803,MAX(0,J6840-J6765-J6778-J6791))</f>
        <v>0</v>
      </c>
      <c r="K6804" s="25" t="n">
        <f aca="false">Assumptions!$N$56*MIN(K6795+K6802+K6800-K6801-K6803,MAX(0,K6840-K6765-K6778-K6791))</f>
        <v>0</v>
      </c>
    </row>
    <row r="6805" customFormat="false" ht="15" hidden="false" customHeight="false" outlineLevel="0" collapsed="false">
      <c r="A6805" s="5" t="s">
        <v>273</v>
      </c>
      <c r="G6805" s="25" t="n">
        <f aca="false">G6796*(1-G6754)*(G6795-G6801+G6800-G6803)</f>
        <v>0</v>
      </c>
      <c r="H6805" s="25" t="n">
        <f aca="false">H6796*(1-H6754)*(H6795-H6801+H6800-H6803)</f>
        <v>300</v>
      </c>
      <c r="I6805" s="25" t="n">
        <f aca="false">I6796*(1-I6754)*(I6795-I6801+I6800-I6803)</f>
        <v>0</v>
      </c>
      <c r="J6805" s="25" t="n">
        <f aca="false">J6796*(1-J6754)*(J6795-J6801+J6800-J6803)</f>
        <v>0</v>
      </c>
      <c r="K6805" s="25" t="n">
        <f aca="false">K6796*(1-K6754)*(K6795-K6801+K6800-K6803)</f>
        <v>0</v>
      </c>
    </row>
    <row r="6806" customFormat="false" ht="15" hidden="false" customHeight="false" outlineLevel="0" collapsed="false">
      <c r="A6806" s="2" t="s">
        <v>274</v>
      </c>
      <c r="F6806" s="27" t="n">
        <f aca="false">Assumptions!$C$56</f>
        <v>300</v>
      </c>
      <c r="G6806" s="16" t="n">
        <f aca="false">G6795+G6802+G6800-G6801-G6803-G6804</f>
        <v>300</v>
      </c>
      <c r="H6806" s="16" t="n">
        <f aca="false">H6795+H6802+H6800-H6801-H6803-H6804</f>
        <v>300</v>
      </c>
      <c r="I6806" s="16" t="n">
        <f aca="false">I6795+I6802+I6800-I6801-I6803-I6804</f>
        <v>300</v>
      </c>
      <c r="J6806" s="16" t="n">
        <f aca="false">J6795+J6802+J6800-J6801-J6803-J6804</f>
        <v>300</v>
      </c>
      <c r="K6806" s="16" t="n">
        <f aca="false">K6795+K6802+K6800-K6801-K6803-K6804</f>
        <v>300</v>
      </c>
    </row>
    <row r="6807" customFormat="false" ht="15" hidden="false" customHeight="false" outlineLevel="0" collapsed="false">
      <c r="A6807" s="23" t="s">
        <v>278</v>
      </c>
      <c r="B6807" s="24"/>
      <c r="C6807" s="24"/>
      <c r="D6807" s="24"/>
      <c r="E6807" s="24"/>
      <c r="F6807" s="24"/>
      <c r="G6807" s="24"/>
      <c r="H6807" s="24"/>
      <c r="I6807" s="24"/>
      <c r="J6807" s="24"/>
      <c r="K6807" s="24"/>
    </row>
    <row r="6808" customFormat="false" ht="15" hidden="false" customHeight="false" outlineLevel="0" collapsed="false">
      <c r="A6808" s="2" t="s">
        <v>279</v>
      </c>
      <c r="F6808" s="16" t="n">
        <f aca="false">F6767+F6780+F6793+F6806</f>
        <v>1250</v>
      </c>
      <c r="G6808" s="16" t="n">
        <f aca="false">G6767+G6780+G6793+G6806</f>
        <v>1205.24</v>
      </c>
      <c r="H6808" s="16" t="n">
        <f aca="false">H6767+H6780+H6793+H6806</f>
        <v>1200.04</v>
      </c>
      <c r="I6808" s="16" t="n">
        <f aca="false">I6767+I6780+I6793+I6806</f>
        <v>1194.84</v>
      </c>
      <c r="J6808" s="16" t="n">
        <f aca="false">J6767+J6780+J6793+J6806</f>
        <v>1189.64</v>
      </c>
      <c r="K6808" s="16" t="n">
        <f aca="false">K6767+K6780+K6793+K6806</f>
        <v>1184.44</v>
      </c>
    </row>
    <row r="6809" customFormat="false" ht="15" hidden="false" customHeight="false" outlineLevel="0" collapsed="false">
      <c r="A6809" s="5" t="s">
        <v>280</v>
      </c>
      <c r="G6809" s="25" t="n">
        <f aca="false">G6757*Assumptions!$C$53+G6770*Assumptions!$C$54+G6783*Assumptions!$C$55+G6796*Assumptions!$C$56</f>
        <v>0</v>
      </c>
      <c r="H6809" s="25" t="n">
        <f aca="false">H6757*Assumptions!$C$53+H6770*Assumptions!$C$54+H6783*Assumptions!$C$55+H6796*Assumptions!$C$56</f>
        <v>480</v>
      </c>
      <c r="I6809" s="25" t="n">
        <f aca="false">I6757*Assumptions!$C$53+I6770*Assumptions!$C$54+I6783*Assumptions!$C$55+I6796*Assumptions!$C$56</f>
        <v>520</v>
      </c>
      <c r="J6809" s="25" t="n">
        <f aca="false">J6757*Assumptions!$C$53+J6770*Assumptions!$C$54+J6783*Assumptions!$C$55+J6796*Assumptions!$C$56</f>
        <v>250</v>
      </c>
      <c r="K6809" s="25" t="n">
        <f aca="false">K6757*Assumptions!$C$53+K6770*Assumptions!$C$54+K6783*Assumptions!$C$55+K6796*Assumptions!$C$56</f>
        <v>0</v>
      </c>
    </row>
    <row r="6810" customFormat="false" ht="15" hidden="false" customHeight="false" outlineLevel="0" collapsed="false">
      <c r="A6810" s="23" t="s">
        <v>281</v>
      </c>
      <c r="B6810" s="24"/>
      <c r="C6810" s="24"/>
      <c r="D6810" s="24"/>
      <c r="E6810" s="24"/>
      <c r="F6810" s="24"/>
      <c r="G6810" s="24"/>
      <c r="H6810" s="24"/>
      <c r="I6810" s="24"/>
      <c r="J6810" s="24"/>
      <c r="K6810" s="24"/>
    </row>
    <row r="6811" customFormat="false" ht="15" hidden="false" customHeight="false" outlineLevel="0" collapsed="false">
      <c r="A6811" s="5" t="s">
        <v>282</v>
      </c>
      <c r="C6811" s="25" t="n">
        <f aca="false">SUMPRODUCT($G$6757:$K$6757,$G$6756:$K$6756-$G$6762:$K$6762+$G$6761:$K$6761)</f>
        <v>140.44</v>
      </c>
    </row>
    <row r="6812" customFormat="false" ht="15" hidden="false" customHeight="false" outlineLevel="0" collapsed="false">
      <c r="A6812" s="5" t="s">
        <v>283</v>
      </c>
      <c r="C6812" s="25" t="n">
        <f aca="false">SUMPRODUCT($G$6757:$K$6757,$G$6764:$K$6764)</f>
        <v>0</v>
      </c>
    </row>
    <row r="6813" customFormat="false" ht="15" hidden="false" customHeight="false" outlineLevel="0" collapsed="false">
      <c r="A6813" s="5" t="s">
        <v>284</v>
      </c>
      <c r="C6813" s="5" t="str">
        <f aca="false">IF(SUM($G$6757:$K$6757)=0,"n/a (beyond horizon)",IF(SUMPRODUCT($G$6757:$K$6757,$G$6754:$K$6754)&gt;0,"REFINANCING PASS","REFINANCING FAILURE"))</f>
        <v>REFINANCING FAILURE</v>
      </c>
    </row>
    <row r="6814" customFormat="false" ht="15" hidden="false" customHeight="false" outlineLevel="0" collapsed="false">
      <c r="A6814" s="5" t="s">
        <v>285</v>
      </c>
      <c r="C6814" s="5" t="str">
        <f aca="false">IF(SUM($G$6757:$K$6757)=0,"n/a",IF(C6812&gt;=C6811-0.001,"Repaid from cash",IF(SUMPRODUCT($G$6757:$K$6757,$G$6754:$K$6754)&gt;0,IF(C6812&gt;0,"Partly repaid; remainder refinanced","Refinanced"),IF(SUM($G$6766:$K$6766)&gt;0.001,IF(C6812&gt;0,"Partial repayment; PAYMENT DEFAULT","PAYMENT DEFAULT"),"Repaid from cash"))))</f>
        <v>PAYMENT DEFAULT</v>
      </c>
    </row>
    <row r="6815" customFormat="false" ht="15" hidden="false" customHeight="false" outlineLevel="0" collapsed="false">
      <c r="A6815" s="5" t="s">
        <v>286</v>
      </c>
      <c r="C6815" s="25" t="n">
        <f aca="false">SUMPRODUCT($G$6770:$K$6770,$G$6769:$K$6769-$G$6775:$K$6775+$G$6774:$K$6774)</f>
        <v>504.4</v>
      </c>
    </row>
    <row r="6816" customFormat="false" ht="15" hidden="false" customHeight="false" outlineLevel="0" collapsed="false">
      <c r="A6816" s="5" t="s">
        <v>287</v>
      </c>
      <c r="C6816" s="25" t="n">
        <f aca="false">SUMPRODUCT($G$6770:$K$6770,$G$6777:$K$6777)</f>
        <v>0</v>
      </c>
    </row>
    <row r="6817" customFormat="false" ht="15" hidden="false" customHeight="false" outlineLevel="0" collapsed="false">
      <c r="A6817" s="5" t="s">
        <v>288</v>
      </c>
      <c r="C6817" s="5" t="str">
        <f aca="false">IF(SUM($G$6770:$K$6770)=0,"n/a (beyond horizon)",IF(SUMPRODUCT($G$6770:$K$6770,$G$6754:$K$6754)&gt;0,"REFINANCING PASS","REFINANCING FAILURE"))</f>
        <v>REFINANCING FAILURE</v>
      </c>
    </row>
    <row r="6818" customFormat="false" ht="15" hidden="false" customHeight="false" outlineLevel="0" collapsed="false">
      <c r="A6818" s="5" t="s">
        <v>289</v>
      </c>
      <c r="C6818" s="5" t="str">
        <f aca="false">IF(SUM($G$6770:$K$6770)=0,"n/a",IF(C6816&gt;=C6815-0.001,"Repaid from cash",IF(SUMPRODUCT($G$6770:$K$6770,$G$6754:$K$6754)&gt;0,IF(C6816&gt;0,"Partly repaid; remainder refinanced","Refinanced"),IF(SUM($G$6779:$K$6779)&gt;0.001,IF(C6816&gt;0,"Partial repayment; PAYMENT DEFAULT","PAYMENT DEFAULT"),"Repaid from cash"))))</f>
        <v>PAYMENT DEFAULT</v>
      </c>
    </row>
    <row r="6819" customFormat="false" ht="15" hidden="false" customHeight="false" outlineLevel="0" collapsed="false">
      <c r="A6819" s="5" t="s">
        <v>290</v>
      </c>
      <c r="C6819" s="25" t="n">
        <f aca="false">SUMPRODUCT($G$6783:$K$6783,$G$6782:$K$6782-$G$6788:$K$6788+$G$6787:$K$6787)</f>
        <v>250</v>
      </c>
    </row>
    <row r="6820" customFormat="false" ht="15" hidden="false" customHeight="false" outlineLevel="0" collapsed="false">
      <c r="A6820" s="5" t="s">
        <v>291</v>
      </c>
      <c r="C6820" s="25" t="n">
        <f aca="false">SUMPRODUCT($G$6783:$K$6783,$G$6790:$K$6790)</f>
        <v>0</v>
      </c>
    </row>
    <row r="6821" customFormat="false" ht="15" hidden="false" customHeight="false" outlineLevel="0" collapsed="false">
      <c r="A6821" s="5" t="s">
        <v>292</v>
      </c>
      <c r="C6821" s="5" t="str">
        <f aca="false">IF(SUM($G$6783:$K$6783)=0,"n/a (beyond horizon)",IF(SUMPRODUCT($G$6783:$K$6783,$G$6754:$K$6754)&gt;0,"REFINANCING PASS","REFINANCING FAILURE"))</f>
        <v>REFINANCING FAILURE</v>
      </c>
    </row>
    <row r="6822" customFormat="false" ht="15" hidden="false" customHeight="false" outlineLevel="0" collapsed="false">
      <c r="A6822" s="5" t="s">
        <v>293</v>
      </c>
      <c r="C6822" s="5" t="str">
        <f aca="false">IF(SUM($G$6783:$K$6783)=0,"n/a",IF(C6820&gt;=C6819-0.001,"Repaid from cash",IF(SUMPRODUCT($G$6783:$K$6783,$G$6754:$K$6754)&gt;0,IF(C6820&gt;0,"Partly repaid; remainder refinanced","Refinanced"),IF(SUM($G$6792:$K$6792)&gt;0.001,IF(C6820&gt;0,"Partial repayment; PAYMENT DEFAULT","PAYMENT DEFAULT"),"Repaid from cash"))))</f>
        <v>PAYMENT DEFAULT</v>
      </c>
    </row>
    <row r="6823" customFormat="false" ht="15" hidden="false" customHeight="false" outlineLevel="0" collapsed="false">
      <c r="A6823" s="5" t="s">
        <v>294</v>
      </c>
      <c r="C6823" s="25" t="n">
        <f aca="false">SUMPRODUCT($G$6796:$K$6796,$G$6795:$K$6795-$G$6801:$K$6801+$G$6800:$K$6800)</f>
        <v>300</v>
      </c>
    </row>
    <row r="6824" customFormat="false" ht="15" hidden="false" customHeight="false" outlineLevel="0" collapsed="false">
      <c r="A6824" s="5" t="s">
        <v>295</v>
      </c>
      <c r="C6824" s="25" t="n">
        <f aca="false">SUMPRODUCT($G$6796:$K$6796,$G$6803:$K$6803)</f>
        <v>0</v>
      </c>
    </row>
    <row r="6825" customFormat="false" ht="15" hidden="false" customHeight="false" outlineLevel="0" collapsed="false">
      <c r="A6825" s="5" t="s">
        <v>296</v>
      </c>
      <c r="C6825" s="5" t="str">
        <f aca="false">IF(SUM($G$6796:$K$6796)=0,"n/a (beyond horizon)",IF(SUMPRODUCT($G$6796:$K$6796,$G$6754:$K$6754)&gt;0,"REFINANCING PASS","REFINANCING FAILURE"))</f>
        <v>REFINANCING FAILURE</v>
      </c>
    </row>
    <row r="6826" customFormat="false" ht="15" hidden="false" customHeight="false" outlineLevel="0" collapsed="false">
      <c r="A6826" s="5" t="s">
        <v>297</v>
      </c>
      <c r="C6826" s="5" t="str">
        <f aca="false">IF(SUM($G$6796:$K$6796)=0,"n/a",IF(C6824&gt;=C6823-0.001,"Repaid from cash",IF(SUMPRODUCT($G$6796:$K$6796,$G$6754:$K$6754)&gt;0,IF(C6824&gt;0,"Partly repaid; remainder refinanced","Refinanced"),IF(SUM($G$6805:$K$6805)&gt;0.001,IF(C6824&gt;0,"Partial repayment; PAYMENT DEFAULT","PAYMENT DEFAULT"),"Repaid from cash"))))</f>
        <v>PAYMENT DEFAULT</v>
      </c>
    </row>
    <row r="6827" customFormat="false" ht="15" hidden="false" customHeight="false" outlineLevel="0" collapsed="false">
      <c r="A6827" s="5" t="s">
        <v>298</v>
      </c>
      <c r="C6827" s="20" t="n">
        <f aca="false">IF(C6813="REFINANCING FAILURE",1,0)+IF(C6817="REFINANCING FAILURE",1,0)+IF(C6821="REFINANCING FAILURE",1,0)+IF(C6825="REFINANCING FAILURE",1,0)</f>
        <v>4</v>
      </c>
    </row>
    <row r="6829" customFormat="false" ht="15" hidden="false" customHeight="false" outlineLevel="0" collapsed="false">
      <c r="A6829" s="23" t="s">
        <v>300</v>
      </c>
      <c r="B6829" s="24"/>
      <c r="C6829" s="24"/>
      <c r="D6829" s="24"/>
      <c r="E6829" s="24"/>
      <c r="F6829" s="24"/>
      <c r="G6829" s="24"/>
      <c r="H6829" s="24"/>
      <c r="I6829" s="24"/>
      <c r="J6829" s="24"/>
      <c r="K6829" s="24"/>
    </row>
    <row r="6830" customFormat="false" ht="15" hidden="false" customHeight="false" outlineLevel="0" collapsed="false">
      <c r="A6830" s="5" t="s">
        <v>260</v>
      </c>
      <c r="G6830" s="25" t="n">
        <f aca="false">F6842</f>
        <v>45</v>
      </c>
      <c r="H6830" s="25" t="n">
        <f aca="false">G6842</f>
        <v>0</v>
      </c>
      <c r="I6830" s="25" t="n">
        <f aca="false">H6842</f>
        <v>-2.75085999999999</v>
      </c>
      <c r="J6830" s="25" t="n">
        <f aca="false">I6842</f>
        <v>-6.32201359999999</v>
      </c>
      <c r="K6830" s="25" t="n">
        <f aca="false">J6842</f>
        <v>-12.412689376</v>
      </c>
    </row>
    <row r="6831" customFormat="false" ht="15" hidden="false" customHeight="false" outlineLevel="0" collapsed="false">
      <c r="A6831" s="5" t="s">
        <v>301</v>
      </c>
      <c r="G6831" s="25" t="n">
        <f aca="false">G6743</f>
        <v>-0.239999999999995</v>
      </c>
      <c r="H6831" s="25" t="n">
        <f aca="false">H6743</f>
        <v>2.44914000000001</v>
      </c>
      <c r="I6831" s="25" t="n">
        <f aca="false">I6743</f>
        <v>1.62884640000001</v>
      </c>
      <c r="J6831" s="25" t="n">
        <f aca="false">J6743</f>
        <v>-0.890675776</v>
      </c>
      <c r="K6831" s="25" t="n">
        <f aca="false">K6743</f>
        <v>-3.45330632191997</v>
      </c>
    </row>
    <row r="6832" customFormat="false" ht="15" hidden="false" customHeight="false" outlineLevel="0" collapsed="false">
      <c r="A6832" s="5" t="s">
        <v>302</v>
      </c>
      <c r="G6832" s="25" t="n">
        <f aca="false">CHOOSE($C$6713,Assumptions!$G$68,Assumptions!$G$87,Assumptions!$G$106)</f>
        <v>0</v>
      </c>
      <c r="H6832" s="25" t="n">
        <f aca="false">CHOOSE($C$6713,Assumptions!$H$68,Assumptions!$H$87,Assumptions!$H$106)</f>
        <v>0</v>
      </c>
      <c r="I6832" s="25" t="n">
        <f aca="false">CHOOSE($C$6713,Assumptions!$I$68,Assumptions!$I$87,Assumptions!$I$106)</f>
        <v>0</v>
      </c>
      <c r="J6832" s="25" t="n">
        <f aca="false">CHOOSE($C$6713,Assumptions!$J$68,Assumptions!$J$87,Assumptions!$J$106)</f>
        <v>0</v>
      </c>
      <c r="K6832" s="25" t="n">
        <f aca="false">CHOOSE($C$6713,Assumptions!$K$68,Assumptions!$K$87,Assumptions!$K$106)</f>
        <v>0</v>
      </c>
    </row>
    <row r="6833" customFormat="false" ht="15" hidden="false" customHeight="false" outlineLevel="0" collapsed="false">
      <c r="A6833" s="5" t="s">
        <v>303</v>
      </c>
      <c r="G6833" s="25" t="n">
        <f aca="false">G6762+G6775+G6788+G6801</f>
        <v>5.2</v>
      </c>
      <c r="H6833" s="25" t="n">
        <f aca="false">H6762+H6775+H6788+H6801</f>
        <v>5.2</v>
      </c>
      <c r="I6833" s="25" t="n">
        <f aca="false">I6762+I6775+I6788+I6801</f>
        <v>5.2</v>
      </c>
      <c r="J6833" s="25" t="n">
        <f aca="false">J6762+J6775+J6788+J6801</f>
        <v>5.2</v>
      </c>
      <c r="K6833" s="25" t="n">
        <f aca="false">K6762+K6775+K6788+K6801</f>
        <v>5.2</v>
      </c>
    </row>
    <row r="6834" customFormat="false" ht="15" hidden="false" customHeight="false" outlineLevel="0" collapsed="false">
      <c r="A6834" s="2" t="s">
        <v>304</v>
      </c>
      <c r="G6834" s="16" t="n">
        <f aca="false">G6830+G6831+G6832-G6833</f>
        <v>39.56</v>
      </c>
      <c r="H6834" s="16" t="n">
        <f aca="false">H6830+H6831+H6832-H6833</f>
        <v>-2.75085999999999</v>
      </c>
      <c r="I6834" s="16" t="n">
        <f aca="false">I6830+I6831+I6832-I6833</f>
        <v>-6.32201359999999</v>
      </c>
      <c r="J6834" s="16" t="n">
        <f aca="false">J6830+J6831+J6832-J6833</f>
        <v>-12.412689376</v>
      </c>
      <c r="K6834" s="16" t="n">
        <f aca="false">K6830+K6831+K6832-K6833</f>
        <v>-21.06599569792</v>
      </c>
    </row>
    <row r="6835" customFormat="false" ht="15" hidden="false" customHeight="false" outlineLevel="0" collapsed="false">
      <c r="A6835" s="5" t="s">
        <v>305</v>
      </c>
      <c r="G6835" s="25" t="n">
        <f aca="false">G6763+G6776+G6789+G6802</f>
        <v>0</v>
      </c>
      <c r="H6835" s="25" t="n">
        <f aca="false">H6763+H6776+H6789+H6802</f>
        <v>0</v>
      </c>
      <c r="I6835" s="25" t="n">
        <f aca="false">I6763+I6776+I6789+I6802</f>
        <v>0</v>
      </c>
      <c r="J6835" s="25" t="n">
        <f aca="false">J6763+J6776+J6789+J6802</f>
        <v>0</v>
      </c>
      <c r="K6835" s="25" t="n">
        <f aca="false">K6763+K6776+K6789+K6802</f>
        <v>0</v>
      </c>
    </row>
    <row r="6836" customFormat="false" ht="15" hidden="false" customHeight="false" outlineLevel="0" collapsed="false">
      <c r="A6836" s="2" t="s">
        <v>306</v>
      </c>
      <c r="G6836" s="16" t="n">
        <f aca="false">G6834+G6835</f>
        <v>39.56</v>
      </c>
      <c r="H6836" s="16" t="n">
        <f aca="false">H6834+H6835</f>
        <v>-2.75085999999999</v>
      </c>
      <c r="I6836" s="16" t="n">
        <f aca="false">I6834+I6835</f>
        <v>-6.32201359999999</v>
      </c>
      <c r="J6836" s="16" t="n">
        <f aca="false">J6834+J6835</f>
        <v>-12.412689376</v>
      </c>
      <c r="K6836" s="16" t="n">
        <f aca="false">K6834+K6835</f>
        <v>-21.06599569792</v>
      </c>
    </row>
    <row r="6837" customFormat="false" ht="15" hidden="false" customHeight="false" outlineLevel="0" collapsed="false">
      <c r="A6837" s="5" t="s">
        <v>307</v>
      </c>
      <c r="G6837" s="25" t="n">
        <f aca="false">G6764+G6777+G6790+G6803</f>
        <v>0</v>
      </c>
      <c r="H6837" s="25" t="n">
        <f aca="false">H6764+H6777+H6790+H6803</f>
        <v>0</v>
      </c>
      <c r="I6837" s="25" t="n">
        <f aca="false">I6764+I6777+I6790+I6803</f>
        <v>0</v>
      </c>
      <c r="J6837" s="25" t="n">
        <f aca="false">J6764+J6777+J6790+J6803</f>
        <v>0</v>
      </c>
      <c r="K6837" s="25" t="n">
        <f aca="false">K6764+K6777+K6790+K6803</f>
        <v>0</v>
      </c>
    </row>
    <row r="6838" customFormat="false" ht="15" hidden="false" customHeight="false" outlineLevel="0" collapsed="false">
      <c r="A6838" s="2" t="s">
        <v>308</v>
      </c>
      <c r="G6838" s="16" t="n">
        <f aca="false">G6836-G6837</f>
        <v>39.56</v>
      </c>
      <c r="H6838" s="16" t="n">
        <f aca="false">H6836-H6837</f>
        <v>-2.75085999999999</v>
      </c>
      <c r="I6838" s="16" t="n">
        <f aca="false">I6836-I6837</f>
        <v>-6.32201359999999</v>
      </c>
      <c r="J6838" s="16" t="n">
        <f aca="false">J6836-J6837</f>
        <v>-12.412689376</v>
      </c>
      <c r="K6838" s="16" t="n">
        <f aca="false">K6836-K6837</f>
        <v>-21.06599569792</v>
      </c>
    </row>
    <row r="6839" customFormat="false" ht="15" hidden="false" customHeight="false" outlineLevel="0" collapsed="false">
      <c r="A6839" s="5" t="s">
        <v>309</v>
      </c>
      <c r="G6839" s="25" t="n">
        <f aca="false">MAX(0,-G6838)</f>
        <v>0</v>
      </c>
      <c r="H6839" s="25" t="n">
        <f aca="false">MAX(0,-H6838)</f>
        <v>2.75085999999999</v>
      </c>
      <c r="I6839" s="25" t="n">
        <f aca="false">MAX(0,-I6838)</f>
        <v>6.32201359999999</v>
      </c>
      <c r="J6839" s="25" t="n">
        <f aca="false">MAX(0,-J6838)</f>
        <v>12.412689376</v>
      </c>
      <c r="K6839" s="25" t="n">
        <f aca="false">MAX(0,-K6838)</f>
        <v>21.06599569792</v>
      </c>
    </row>
    <row r="6840" customFormat="false" ht="15" hidden="false" customHeight="false" outlineLevel="0" collapsed="false">
      <c r="A6840" s="5" t="s">
        <v>310</v>
      </c>
      <c r="G6840" s="25" t="n">
        <f aca="false">MAX(0,G6838-Assumptions!$C$12)*Assumptions!$C$13</f>
        <v>39.56</v>
      </c>
      <c r="H6840" s="25" t="n">
        <f aca="false">MAX(0,H6838-Assumptions!$C$12)*Assumptions!$C$13</f>
        <v>0</v>
      </c>
      <c r="I6840" s="25" t="n">
        <f aca="false">MAX(0,I6838-Assumptions!$C$12)*Assumptions!$C$13</f>
        <v>0</v>
      </c>
      <c r="J6840" s="25" t="n">
        <f aca="false">MAX(0,J6838-Assumptions!$C$12)*Assumptions!$C$13</f>
        <v>0</v>
      </c>
      <c r="K6840" s="25" t="n">
        <f aca="false">MAX(0,K6838-Assumptions!$C$12)*Assumptions!$C$13</f>
        <v>0</v>
      </c>
    </row>
    <row r="6841" customFormat="false" ht="15" hidden="false" customHeight="false" outlineLevel="0" collapsed="false">
      <c r="A6841" s="5" t="s">
        <v>311</v>
      </c>
      <c r="G6841" s="25" t="n">
        <f aca="false">G6765+G6778+G6791+G6804</f>
        <v>39.56</v>
      </c>
      <c r="H6841" s="25" t="n">
        <f aca="false">H6765+H6778+H6791+H6804</f>
        <v>0</v>
      </c>
      <c r="I6841" s="25" t="n">
        <f aca="false">I6765+I6778+I6791+I6804</f>
        <v>0</v>
      </c>
      <c r="J6841" s="25" t="n">
        <f aca="false">J6765+J6778+J6791+J6804</f>
        <v>0</v>
      </c>
      <c r="K6841" s="25" t="n">
        <f aca="false">K6765+K6778+K6791+K6804</f>
        <v>0</v>
      </c>
    </row>
    <row r="6842" customFormat="false" ht="15" hidden="false" customHeight="false" outlineLevel="0" collapsed="false">
      <c r="A6842" s="2" t="s">
        <v>312</v>
      </c>
      <c r="F6842" s="27" t="n">
        <f aca="false">Assumptions!$C$11</f>
        <v>45</v>
      </c>
      <c r="G6842" s="16" t="n">
        <f aca="false">G6838-G6841</f>
        <v>0</v>
      </c>
      <c r="H6842" s="16" t="n">
        <f aca="false">H6838-H6841</f>
        <v>-2.75085999999999</v>
      </c>
      <c r="I6842" s="16" t="n">
        <f aca="false">I6838-I6841</f>
        <v>-6.32201359999999</v>
      </c>
      <c r="J6842" s="16" t="n">
        <f aca="false">J6838-J6841</f>
        <v>-12.412689376</v>
      </c>
      <c r="K6842" s="16" t="n">
        <f aca="false">K6838-K6841</f>
        <v>-21.06599569792</v>
      </c>
    </row>
    <row r="6843" customFormat="false" ht="15" hidden="false" customHeight="false" outlineLevel="0" collapsed="false">
      <c r="A6843" s="5" t="s">
        <v>313</v>
      </c>
      <c r="G6843" s="25" t="n">
        <f aca="false">G6766+G6779+G6792+G6805</f>
        <v>0</v>
      </c>
      <c r="H6843" s="25" t="n">
        <f aca="false">H6766+H6779+H6792+H6805</f>
        <v>440.44</v>
      </c>
      <c r="I6843" s="25" t="n">
        <f aca="false">I6766+I6779+I6792+I6805</f>
        <v>504.4</v>
      </c>
      <c r="J6843" s="25" t="n">
        <f aca="false">J6766+J6779+J6792+J6805</f>
        <v>250</v>
      </c>
      <c r="K6843" s="25" t="n">
        <f aca="false">K6766+K6779+K6792+K6805</f>
        <v>0</v>
      </c>
    </row>
    <row r="6844" customFormat="false" ht="15" hidden="false" customHeight="false" outlineLevel="0" collapsed="false">
      <c r="A6844" s="5" t="s">
        <v>314</v>
      </c>
      <c r="G6844" s="20" t="n">
        <f aca="false">IF(OR(G6839&gt;0.001,G6843&gt;0.001),1,0)</f>
        <v>0</v>
      </c>
      <c r="H6844" s="20" t="n">
        <f aca="false">IF(OR(H6839&gt;0.001,H6843&gt;0.001),1,0)</f>
        <v>1</v>
      </c>
      <c r="I6844" s="20" t="n">
        <f aca="false">IF(OR(I6839&gt;0.001,I6843&gt;0.001),1,0)</f>
        <v>1</v>
      </c>
      <c r="J6844" s="20" t="n">
        <f aca="false">IF(OR(J6839&gt;0.001,J6843&gt;0.001),1,0)</f>
        <v>1</v>
      </c>
      <c r="K6844" s="20" t="n">
        <f aca="false">IF(OR(K6839&gt;0.001,K6843&gt;0.001),1,0)</f>
        <v>1</v>
      </c>
    </row>
    <row r="6845" customFormat="false" ht="15" hidden="false" customHeight="false" outlineLevel="0" collapsed="false">
      <c r="A6845" s="5" t="s">
        <v>315</v>
      </c>
      <c r="G6845" s="20" t="n">
        <f aca="false">IF(G6844=1,1,0)</f>
        <v>0</v>
      </c>
      <c r="H6845" s="20" t="n">
        <f aca="false">IF(AND(H6844=1,SUM($G$6844:G6844)=0),1,0)</f>
        <v>1</v>
      </c>
      <c r="I6845" s="20" t="n">
        <f aca="false">IF(AND(I6844=1,SUM($G$6844:H6844)=0),1,0)</f>
        <v>0</v>
      </c>
      <c r="J6845" s="20" t="n">
        <f aca="false">IF(AND(J6844=1,SUM($G$6844:I6844)=0),1,0)</f>
        <v>0</v>
      </c>
      <c r="K6845" s="20" t="n">
        <f aca="false">IF(AND(K6844=1,SUM($G$6844:J6844)=0),1,0)</f>
        <v>0</v>
      </c>
    </row>
    <row r="6846" customFormat="false" ht="15" hidden="false" customHeight="false" outlineLevel="0" collapsed="false">
      <c r="A6846" s="5" t="s">
        <v>316</v>
      </c>
      <c r="G6846" s="25" t="n">
        <f aca="false">(G6808-F6808)-(G6835+G6735-G6833-G6837-G6841)</f>
        <v>0</v>
      </c>
      <c r="H6846" s="25" t="n">
        <f aca="false">(H6808-G6808)-(H6835+H6735-H6833-H6837-H6841)</f>
        <v>-4.52970994047064E-014</v>
      </c>
      <c r="I6846" s="25" t="n">
        <f aca="false">(I6808-H6808)-(I6835+I6735-I6833-I6837-I6841)</f>
        <v>-4.52970994047064E-014</v>
      </c>
      <c r="J6846" s="25" t="n">
        <f aca="false">(J6808-I6808)-(J6835+J6735-J6833-J6837-J6841)</f>
        <v>-4.52970994047064E-014</v>
      </c>
      <c r="K6846" s="25" t="n">
        <f aca="false">(K6808-J6808)-(K6835+K6735-K6833-K6837-K6841)</f>
        <v>1.82076576038526E-013</v>
      </c>
    </row>
    <row r="6848" customFormat="false" ht="15" hidden="false" customHeight="false" outlineLevel="0" collapsed="false">
      <c r="A6848" s="23" t="s">
        <v>318</v>
      </c>
      <c r="B6848" s="24"/>
      <c r="C6848" s="24"/>
      <c r="D6848" s="24"/>
      <c r="E6848" s="24"/>
      <c r="F6848" s="24"/>
      <c r="G6848" s="24"/>
      <c r="H6848" s="24"/>
      <c r="I6848" s="24"/>
      <c r="J6848" s="24"/>
      <c r="K6848" s="24"/>
    </row>
    <row r="6849" customFormat="false" ht="15" hidden="false" customHeight="false" outlineLevel="0" collapsed="false">
      <c r="A6849" s="5" t="s">
        <v>319</v>
      </c>
      <c r="G6849" s="25" t="n">
        <f aca="false">G6808</f>
        <v>1205.24</v>
      </c>
      <c r="H6849" s="25" t="n">
        <f aca="false">H6808</f>
        <v>1200.04</v>
      </c>
      <c r="I6849" s="25" t="n">
        <f aca="false">I6808</f>
        <v>1194.84</v>
      </c>
      <c r="J6849" s="25" t="n">
        <f aca="false">J6808</f>
        <v>1189.64</v>
      </c>
      <c r="K6849" s="25" t="n">
        <f aca="false">K6808</f>
        <v>1184.44</v>
      </c>
    </row>
    <row r="6850" customFormat="false" ht="15" hidden="false" customHeight="false" outlineLevel="0" collapsed="false">
      <c r="A6850" s="5" t="s">
        <v>320</v>
      </c>
      <c r="G6850" s="25" t="n">
        <f aca="false">Assumptions!$O$53*G6767+Assumptions!$O$54*G6780+Assumptions!$O$55*G6793+Assumptions!$O$56*G6806</f>
        <v>905.24</v>
      </c>
      <c r="H6850" s="25" t="n">
        <f aca="false">Assumptions!$O$53*H6767+Assumptions!$O$54*H6780+Assumptions!$O$55*H6793+Assumptions!$O$56*H6806</f>
        <v>900.04</v>
      </c>
      <c r="I6850" s="25" t="n">
        <f aca="false">Assumptions!$O$53*I6767+Assumptions!$O$54*I6780+Assumptions!$O$55*I6793+Assumptions!$O$56*I6806</f>
        <v>894.84</v>
      </c>
      <c r="J6850" s="25" t="n">
        <f aca="false">Assumptions!$O$53*J6767+Assumptions!$O$54*J6780+Assumptions!$O$55*J6793+Assumptions!$O$56*J6806</f>
        <v>889.64</v>
      </c>
      <c r="K6850" s="25" t="n">
        <f aca="false">Assumptions!$O$53*K6767+Assumptions!$O$54*K6780+Assumptions!$O$55*K6793+Assumptions!$O$56*K6806</f>
        <v>884.44</v>
      </c>
    </row>
    <row r="6851" customFormat="false" ht="15" hidden="false" customHeight="false" outlineLevel="0" collapsed="false">
      <c r="A6851" s="5" t="s">
        <v>321</v>
      </c>
      <c r="G6851" s="25" t="n">
        <f aca="false">G6849-G6842</f>
        <v>1205.24</v>
      </c>
      <c r="H6851" s="25" t="n">
        <f aca="false">H6849-H6842</f>
        <v>1202.79086</v>
      </c>
      <c r="I6851" s="25" t="n">
        <f aca="false">I6849-I6842</f>
        <v>1201.1620136</v>
      </c>
      <c r="J6851" s="25" t="n">
        <f aca="false">J6849-J6842</f>
        <v>1202.052689376</v>
      </c>
      <c r="K6851" s="25" t="n">
        <f aca="false">K6849-K6842</f>
        <v>1205.50599569792</v>
      </c>
    </row>
    <row r="6852" customFormat="false" ht="15" hidden="false" customHeight="false" outlineLevel="0" collapsed="false">
      <c r="A6852" s="5" t="s">
        <v>322</v>
      </c>
      <c r="G6852" s="31" t="n">
        <f aca="false">IF(G6730&gt;0,G6849/G6730,0)</f>
        <v>8.2190398254228</v>
      </c>
      <c r="H6852" s="31" t="n">
        <f aca="false">IF(H6730&gt;0,H6849/H6730,0)</f>
        <v>8.44605627363409</v>
      </c>
      <c r="I6852" s="31" t="n">
        <f aca="false">IF(I6730&gt;0,I6849/I6730,0)</f>
        <v>8.68692075853177</v>
      </c>
      <c r="J6852" s="31" t="n">
        <f aca="false">IF(J6730&gt;0,J6849/J6730,0)</f>
        <v>8.94199769290891</v>
      </c>
      <c r="K6852" s="31" t="n">
        <f aca="false">IF(K6730&gt;0,K6849/K6730,0)</f>
        <v>9.21169809234312</v>
      </c>
    </row>
    <row r="6853" customFormat="false" ht="15" hidden="false" customHeight="false" outlineLevel="0" collapsed="false">
      <c r="A6853" s="5" t="s">
        <v>323</v>
      </c>
      <c r="G6853" s="31" t="n">
        <f aca="false">IF(G6730&gt;0,G6851/G6730,0)</f>
        <v>8.2190398254228</v>
      </c>
      <c r="H6853" s="31" t="n">
        <f aca="false">IF(H6730&gt;0,H6851/H6730,0)</f>
        <v>8.46541722690306</v>
      </c>
      <c r="I6853" s="31" t="n">
        <f aca="false">IF(I6730&gt;0,I6851/I6730,0)</f>
        <v>8.73288409352018</v>
      </c>
      <c r="J6853" s="31" t="n">
        <f aca="false">IF(J6730&gt;0,J6851/J6730,0)</f>
        <v>9.03529838871856</v>
      </c>
      <c r="K6853" s="31" t="n">
        <f aca="false">IF(K6730&gt;0,K6851/K6730,0)</f>
        <v>9.3755338226324</v>
      </c>
    </row>
    <row r="6854" customFormat="false" ht="15" hidden="false" customHeight="false" outlineLevel="0" collapsed="false">
      <c r="A6854" s="5" t="s">
        <v>324</v>
      </c>
      <c r="G6854" s="31" t="n">
        <f aca="false">IF(G6734&gt;0,G6730/G6734,0)</f>
        <v>1.23185483870968</v>
      </c>
      <c r="H6854" s="31" t="n">
        <f aca="false">IF(H6734&gt;0,H6730/H6734,0)</f>
        <v>1.25222717944189</v>
      </c>
      <c r="I6854" s="31" t="n">
        <f aca="false">IF(I6734&gt;0,I6730/I6734,0)</f>
        <v>1.23561901907751</v>
      </c>
      <c r="J6854" s="31" t="n">
        <f aca="false">IF(J6734&gt;0,J6730/J6734,0)</f>
        <v>1.20064449797503</v>
      </c>
      <c r="K6854" s="31" t="n">
        <f aca="false">IF(K6734&gt;0,K6730/K6734,0)</f>
        <v>1.16575885964581</v>
      </c>
    </row>
    <row r="6855" customFormat="false" ht="15" hidden="false" customHeight="false" outlineLevel="0" collapsed="false">
      <c r="A6855" s="5" t="s">
        <v>325</v>
      </c>
      <c r="G6855" s="31" t="n">
        <f aca="false">IF(G6734&gt;0,G6733/G6734,0)</f>
        <v>0.81491935483871</v>
      </c>
      <c r="H6855" s="31" t="n">
        <f aca="false">IF(H6734&gt;0,H6733/H6734,0)</f>
        <v>0.841048105595301</v>
      </c>
      <c r="I6855" s="31" t="n">
        <f aca="false">IF(I6734&gt;0,I6733/I6734,0)</f>
        <v>0.841653534733953</v>
      </c>
      <c r="J6855" s="31" t="n">
        <f aca="false">IF(J6734&gt;0,J6733/J6734,0)</f>
        <v>0.828613808461644</v>
      </c>
      <c r="K6855" s="31" t="n">
        <f aca="false">IF(K6734&gt;0,K6733/K6734,0)</f>
        <v>0.814434271807346</v>
      </c>
    </row>
    <row r="6856" customFormat="false" ht="15" hidden="false" customHeight="false" outlineLevel="0" collapsed="false">
      <c r="A6856" s="5" t="s">
        <v>182</v>
      </c>
      <c r="G6856" s="21" t="n">
        <f aca="false">IF(G6849&gt;0,G6743/G6849,0)</f>
        <v>-0.000199130463642092</v>
      </c>
      <c r="H6856" s="21" t="n">
        <f aca="false">IF(H6849&gt;0,H6743/H6849,0)</f>
        <v>0.00204088197060099</v>
      </c>
      <c r="I6856" s="21" t="n">
        <f aca="false">IF(I6849&gt;0,I6743/I6849,0)</f>
        <v>0.00136323390579492</v>
      </c>
      <c r="J6856" s="21" t="n">
        <f aca="false">IF(J6849&gt;0,J6743/J6849,0)</f>
        <v>-0.000748693534178407</v>
      </c>
      <c r="K6856" s="21" t="n">
        <f aca="false">IF(K6849&gt;0,K6743/K6849,0)</f>
        <v>-0.00291556036770117</v>
      </c>
    </row>
    <row r="6857" customFormat="false" ht="15" hidden="false" customHeight="false" outlineLevel="0" collapsed="false">
      <c r="A6857" s="5" t="s">
        <v>326</v>
      </c>
      <c r="G6857" s="31" t="n">
        <f aca="false">IF(G6734+G6833&gt;0,(G6730-G6741-G6738)/(G6734+G6833),0)</f>
        <v>0.817128139085641</v>
      </c>
      <c r="H6857" s="31" t="n">
        <f aca="false">IF(H6734+H6833&gt;0,(H6730-H6741-H6738)/(H6734+H6833),0)</f>
        <v>0.839934288488502</v>
      </c>
      <c r="I6857" s="31" t="n">
        <f aca="false">IF(I6734+I6833&gt;0,(I6730-I6741-I6738)/(I6734+I6833),0)</f>
        <v>0.838308125445645</v>
      </c>
      <c r="J6857" s="31" t="n">
        <f aca="false">IF(J6734+J6833&gt;0,(J6730-J6741-J6738)/(J6734+J6833),0)</f>
        <v>0.823776190300503</v>
      </c>
      <c r="K6857" s="31" t="n">
        <f aca="false">IF(K6734+K6833&gt;0,(K6730-K6741-K6738)/(K6734+K6833),0)</f>
        <v>0.808266861175904</v>
      </c>
    </row>
    <row r="6858" customFormat="false" ht="15" hidden="false" customHeight="false" outlineLevel="0" collapsed="false">
      <c r="A6858" s="5" t="s">
        <v>327</v>
      </c>
      <c r="G6858" s="25" t="n">
        <f aca="false">MAX(0,G6842)+Assumptions!$P$53*MAX(0,Assumptions!$D$53-G6767)+Assumptions!$P$54*MAX(0,Assumptions!$D$54-G6780)+Assumptions!$P$55*MAX(0,Assumptions!$D$55-G6793)+Assumptions!$P$56*MAX(0,Assumptions!$D$56-G6806)</f>
        <v>159.56</v>
      </c>
      <c r="H6858" s="25" t="n">
        <f aca="false">MAX(0,H6842)+Assumptions!$P$53*MAX(0,Assumptions!$D$53-H6767)+Assumptions!$P$54*MAX(0,Assumptions!$D$54-H6780)+Assumptions!$P$55*MAX(0,Assumptions!$D$55-H6793)+Assumptions!$P$56*MAX(0,Assumptions!$D$56-H6806)</f>
        <v>159.56</v>
      </c>
      <c r="I6858" s="25" t="n">
        <f aca="false">MAX(0,I6842)+Assumptions!$P$53*MAX(0,Assumptions!$D$53-I6767)+Assumptions!$P$54*MAX(0,Assumptions!$D$54-I6780)+Assumptions!$P$55*MAX(0,Assumptions!$D$55-I6793)+Assumptions!$P$56*MAX(0,Assumptions!$D$56-I6806)</f>
        <v>159.56</v>
      </c>
      <c r="J6858" s="25" t="n">
        <f aca="false">MAX(0,J6842)+Assumptions!$P$53*MAX(0,Assumptions!$D$53-J6767)+Assumptions!$P$54*MAX(0,Assumptions!$D$54-J6780)+Assumptions!$P$55*MAX(0,Assumptions!$D$55-J6793)+Assumptions!$P$56*MAX(0,Assumptions!$D$56-J6806)</f>
        <v>159.56</v>
      </c>
      <c r="K6858" s="25" t="n">
        <f aca="false">MAX(0,K6842)+Assumptions!$P$53*MAX(0,Assumptions!$D$53-K6767)+Assumptions!$P$54*MAX(0,Assumptions!$D$54-K6780)+Assumptions!$P$55*MAX(0,Assumptions!$D$55-K6793)+Assumptions!$P$56*MAX(0,Assumptions!$D$56-K6806)</f>
        <v>159.56</v>
      </c>
    </row>
    <row r="6859" customFormat="false" ht="15" hidden="false" customHeight="false" outlineLevel="0" collapsed="false">
      <c r="A6859" s="5" t="s">
        <v>328</v>
      </c>
      <c r="G6859" s="21" t="n">
        <f aca="false">IF(G6849&gt;0,G6849/(G6849+MAX(0,G6730*CHOOSE($C$6713,Assumptions!$C$76,Assumptions!$C$95,Assumptions!$C$114)-G6851)),0)</f>
        <v>1</v>
      </c>
      <c r="H6859" s="21" t="n">
        <f aca="false">IF(H6849&gt;0,H6849/(H6849+MAX(0,H6730*CHOOSE($C$6713,Assumptions!$C$76,Assumptions!$C$95,Assumptions!$C$114)-H6851)),0)</f>
        <v>1</v>
      </c>
      <c r="I6859" s="21" t="n">
        <f aca="false">IF(I6849&gt;0,I6849/(I6849+MAX(0,I6730*CHOOSE($C$6713,Assumptions!$C$76,Assumptions!$C$95,Assumptions!$C$114)-I6851)),0)</f>
        <v>1</v>
      </c>
      <c r="J6859" s="21" t="n">
        <f aca="false">IF(J6849&gt;0,J6849/(J6849+MAX(0,J6730*CHOOSE($C$6713,Assumptions!$C$76,Assumptions!$C$95,Assumptions!$C$114)-J6851)),0)</f>
        <v>1</v>
      </c>
      <c r="K6859" s="21" t="n">
        <f aca="false">IF(K6849&gt;0,K6849/(K6849+MAX(0,K6730*CHOOSE($C$6713,Assumptions!$C$76,Assumptions!$C$95,Assumptions!$C$114)-K6851)),0)</f>
        <v>1</v>
      </c>
    </row>
    <row r="6860" customFormat="false" ht="15" hidden="false" customHeight="false" outlineLevel="0" collapsed="false">
      <c r="A6860" s="5" t="s">
        <v>329</v>
      </c>
      <c r="G6860" s="21" t="n">
        <f aca="false">IF(G6849&gt;0,MAX(0,G6842)/G6849,0)</f>
        <v>0</v>
      </c>
      <c r="H6860" s="21" t="n">
        <f aca="false">IF(H6849&gt;0,MAX(0,H6842)/H6849,0)</f>
        <v>0</v>
      </c>
      <c r="I6860" s="21" t="n">
        <f aca="false">IF(I6849&gt;0,MAX(0,I6842)/I6849,0)</f>
        <v>0</v>
      </c>
      <c r="J6860" s="21" t="n">
        <f aca="false">IF(J6849&gt;0,MAX(0,J6842)/J6849,0)</f>
        <v>0</v>
      </c>
      <c r="K6860" s="21" t="n">
        <f aca="false">IF(K6849&gt;0,MAX(0,K6842)/K6849,0)</f>
        <v>0</v>
      </c>
    </row>
    <row r="6861" customFormat="false" ht="15" hidden="false" customHeight="false" outlineLevel="0" collapsed="false">
      <c r="A6861" s="5" t="s">
        <v>330</v>
      </c>
      <c r="G6861" s="25" t="n">
        <f aca="false">Assumptions!$C$27*(1-CHOOSE($C$6713,Assumptions!$C$79,Assumptions!$C$98,Assumptions!$C$117))</f>
        <v>1040</v>
      </c>
      <c r="H6861" s="25" t="n">
        <f aca="false">Assumptions!$C$27*(1-CHOOSE($C$6713,Assumptions!$C$79,Assumptions!$C$98,Assumptions!$C$117))</f>
        <v>1040</v>
      </c>
      <c r="I6861" s="25" t="n">
        <f aca="false">Assumptions!$C$27*(1-CHOOSE($C$6713,Assumptions!$C$79,Assumptions!$C$98,Assumptions!$C$117))</f>
        <v>1040</v>
      </c>
      <c r="J6861" s="25" t="n">
        <f aca="false">Assumptions!$C$27*(1-CHOOSE($C$6713,Assumptions!$C$79,Assumptions!$C$98,Assumptions!$C$117))</f>
        <v>1040</v>
      </c>
      <c r="K6861" s="25" t="n">
        <f aca="false">Assumptions!$C$27*(1-CHOOSE($C$6713,Assumptions!$C$79,Assumptions!$C$98,Assumptions!$C$117))</f>
        <v>1040</v>
      </c>
    </row>
    <row r="6862" customFormat="false" ht="15" hidden="false" customHeight="false" outlineLevel="0" collapsed="false">
      <c r="A6862" s="23" t="s">
        <v>331</v>
      </c>
      <c r="B6862" s="24"/>
      <c r="C6862" s="24"/>
      <c r="D6862" s="24"/>
      <c r="E6862" s="24"/>
      <c r="F6862" s="24"/>
      <c r="G6862" s="24"/>
      <c r="H6862" s="24"/>
      <c r="I6862" s="24"/>
      <c r="J6862" s="24"/>
      <c r="K6862" s="24"/>
    </row>
    <row r="6863" customFormat="false" ht="15" hidden="false" customHeight="false" outlineLevel="0" collapsed="false">
      <c r="A6863" s="23" t="s">
        <v>332</v>
      </c>
      <c r="B6863" s="24"/>
      <c r="C6863" s="24"/>
      <c r="D6863" s="24"/>
      <c r="E6863" s="24"/>
      <c r="F6863" s="24"/>
      <c r="G6863" s="24"/>
      <c r="H6863" s="24"/>
      <c r="I6863" s="24"/>
      <c r="J6863" s="24"/>
      <c r="K6863" s="24"/>
    </row>
    <row r="6864" customFormat="false" ht="15" hidden="false" customHeight="false" outlineLevel="0" collapsed="false">
      <c r="A6864" s="5" t="s">
        <v>333</v>
      </c>
      <c r="G6864" s="31" t="n">
        <f aca="false">IF(G6730&gt;0,G6851/G6730,99)</f>
        <v>8.2190398254228</v>
      </c>
      <c r="H6864" s="31" t="n">
        <f aca="false">IF(H6730&gt;0,H6851/H6730,99)</f>
        <v>8.46541722690306</v>
      </c>
      <c r="I6864" s="31" t="n">
        <f aca="false">IF(I6730&gt;0,I6851/I6730,99)</f>
        <v>8.73288409352018</v>
      </c>
      <c r="J6864" s="31" t="n">
        <f aca="false">IF(J6730&gt;0,J6851/J6730,99)</f>
        <v>9.03529838871856</v>
      </c>
      <c r="K6864" s="31" t="n">
        <f aca="false">IF(K6730&gt;0,K6851/K6730,99)</f>
        <v>9.3755338226324</v>
      </c>
    </row>
    <row r="6865" customFormat="false" ht="15" hidden="false" customHeight="false" outlineLevel="0" collapsed="false">
      <c r="A6865" s="5" t="s">
        <v>334</v>
      </c>
      <c r="G6865" s="32" t="n">
        <f aca="false">Assumptions!$G$61</f>
        <v>8.5</v>
      </c>
      <c r="H6865" s="32" t="n">
        <f aca="false">Assumptions!$H$61</f>
        <v>8.5</v>
      </c>
      <c r="I6865" s="32" t="n">
        <f aca="false">Assumptions!$I$61</f>
        <v>8.5</v>
      </c>
      <c r="J6865" s="32" t="n">
        <f aca="false">Assumptions!$J$61</f>
        <v>8.5</v>
      </c>
      <c r="K6865" s="32" t="n">
        <f aca="false">Assumptions!$K$61</f>
        <v>8.5</v>
      </c>
    </row>
    <row r="6866" customFormat="false" ht="15" hidden="false" customHeight="false" outlineLevel="0" collapsed="false">
      <c r="A6866" s="5" t="s">
        <v>335</v>
      </c>
      <c r="G6866" s="31" t="n">
        <f aca="false">G6865-G6864</f>
        <v>0.280960174577197</v>
      </c>
      <c r="H6866" s="31" t="n">
        <f aca="false">H6865-H6864</f>
        <v>0.0345827730969415</v>
      </c>
      <c r="I6866" s="31" t="n">
        <f aca="false">I6865-I6864</f>
        <v>-0.232884093520182</v>
      </c>
      <c r="J6866" s="31" t="n">
        <f aca="false">J6865-J6864</f>
        <v>-0.535298388718557</v>
      </c>
      <c r="K6866" s="31" t="n">
        <f aca="false">K6865-K6864</f>
        <v>-0.875533822632404</v>
      </c>
    </row>
    <row r="6867" customFormat="false" ht="15" hidden="false" customHeight="false" outlineLevel="0" collapsed="false">
      <c r="A6867" s="5" t="s">
        <v>336</v>
      </c>
      <c r="G6867" s="21" t="n">
        <f aca="false">IF(G6865=0,0,G6866/ABS(G6865))</f>
        <v>0.0330541381855526</v>
      </c>
      <c r="H6867" s="21" t="n">
        <f aca="false">IF(H6865=0,0,H6866/ABS(H6865))</f>
        <v>0.00406856154081664</v>
      </c>
      <c r="I6867" s="21" t="n">
        <f aca="false">IF(I6865=0,0,I6866/ABS(I6865))</f>
        <v>-0.0273981286494332</v>
      </c>
      <c r="J6867" s="21" t="n">
        <f aca="false">IF(J6865=0,0,J6866/ABS(J6865))</f>
        <v>-0.0629762810257126</v>
      </c>
      <c r="K6867" s="21" t="n">
        <f aca="false">IF(K6865=0,0,K6866/ABS(K6865))</f>
        <v>-0.103003979133224</v>
      </c>
    </row>
    <row r="6868" customFormat="false" ht="15" hidden="false" customHeight="false" outlineLevel="0" collapsed="false">
      <c r="A6868" s="5" t="s">
        <v>337</v>
      </c>
      <c r="G6868" s="20" t="n">
        <f aca="false">IF(G6866&lt;0,1,0)</f>
        <v>0</v>
      </c>
      <c r="H6868" s="20" t="n">
        <f aca="false">IF(H6866&lt;0,1,0)</f>
        <v>0</v>
      </c>
      <c r="I6868" s="20" t="n">
        <f aca="false">IF(I6866&lt;0,1,0)</f>
        <v>1</v>
      </c>
      <c r="J6868" s="20" t="n">
        <f aca="false">IF(J6866&lt;0,1,0)</f>
        <v>1</v>
      </c>
      <c r="K6868" s="20" t="n">
        <f aca="false">IF(K6866&lt;0,1,0)</f>
        <v>1</v>
      </c>
    </row>
    <row r="6869" customFormat="false" ht="15" hidden="false" customHeight="false" outlineLevel="0" collapsed="false">
      <c r="A6869" s="5" t="s">
        <v>338</v>
      </c>
      <c r="C6869" s="20" t="n">
        <f aca="false">IFERROR(INDEX($G$6720:$K$6720,MATCH(1,$G$6868:$K$6868,0)),0)</f>
        <v>2028</v>
      </c>
    </row>
    <row r="6870" customFormat="false" ht="15" hidden="false" customHeight="false" outlineLevel="0" collapsed="false">
      <c r="A6870" s="5" t="s">
        <v>339</v>
      </c>
      <c r="C6870" s="21" t="n">
        <f aca="false">MIN($G$6867:$K$6867)</f>
        <v>-0.103003979133224</v>
      </c>
    </row>
    <row r="6871" customFormat="false" ht="15" hidden="false" customHeight="false" outlineLevel="0" collapsed="false">
      <c r="A6871" s="5" t="s">
        <v>340</v>
      </c>
      <c r="G6871" s="20" t="n">
        <f aca="false">G6868</f>
        <v>0</v>
      </c>
      <c r="H6871" s="20" t="n">
        <f aca="false">H6868</f>
        <v>0</v>
      </c>
      <c r="I6871" s="20" t="n">
        <f aca="false">I6868</f>
        <v>1</v>
      </c>
      <c r="J6871" s="20" t="n">
        <f aca="false">J6868</f>
        <v>1</v>
      </c>
      <c r="K6871" s="20" t="n">
        <f aca="false">K6868</f>
        <v>1</v>
      </c>
    </row>
    <row r="6872" customFormat="false" ht="15" hidden="false" customHeight="false" outlineLevel="0" collapsed="false">
      <c r="A6872" s="5" t="s">
        <v>341</v>
      </c>
      <c r="C6872" s="20" t="n">
        <f aca="false">SUM($G$6871:$K$6871)</f>
        <v>3</v>
      </c>
    </row>
    <row r="6873" customFormat="false" ht="15" hidden="false" customHeight="false" outlineLevel="0" collapsed="false">
      <c r="A6873" s="5" t="s">
        <v>342</v>
      </c>
      <c r="C6873" s="21" t="n">
        <f aca="false">MIN(C6870)</f>
        <v>-0.103003979133224</v>
      </c>
    </row>
    <row r="6875" customFormat="false" ht="15" hidden="false" customHeight="false" outlineLevel="0" collapsed="false">
      <c r="A6875" s="23" t="s">
        <v>444</v>
      </c>
      <c r="B6875" s="24"/>
      <c r="C6875" s="24"/>
      <c r="D6875" s="24"/>
      <c r="E6875" s="24"/>
      <c r="F6875" s="24"/>
      <c r="G6875" s="24"/>
      <c r="H6875" s="24"/>
      <c r="I6875" s="24"/>
      <c r="J6875" s="24"/>
      <c r="K6875" s="24"/>
    </row>
    <row r="6876" customFormat="false" ht="15" hidden="false" customHeight="false" outlineLevel="0" collapsed="false">
      <c r="A6876" s="5" t="s">
        <v>445</v>
      </c>
      <c r="G6876" s="20" t="n">
        <f aca="false">IF($C$6877=1,G6845,IF(G6730=MIN($G$6730:$K$6730),1,0))</f>
        <v>0</v>
      </c>
      <c r="H6876" s="20" t="n">
        <f aca="false">IF($C$6877=1,H6845,IF(AND(H6730=MIN($G$6730:$K$6730),SUM($G$6876:G6876)=0),1,0))</f>
        <v>1</v>
      </c>
      <c r="I6876" s="20" t="n">
        <f aca="false">IF($C$6877=1,I6845,IF(AND(I6730=MIN($G$6730:$K$6730),SUM($G$6876:H6876)=0),1,0))</f>
        <v>0</v>
      </c>
      <c r="J6876" s="20" t="n">
        <f aca="false">IF($C$6877=1,J6845,IF(AND(J6730=MIN($G$6730:$K$6730),SUM($G$6876:I6876)=0),1,0))</f>
        <v>0</v>
      </c>
      <c r="K6876" s="20" t="n">
        <f aca="false">IF($C$6877=1,K6845,IF(AND(K6730=MIN($G$6730:$K$6730),SUM($G$6876:J6876)=0),1,0))</f>
        <v>0</v>
      </c>
    </row>
    <row r="6877" customFormat="false" ht="15" hidden="false" customHeight="false" outlineLevel="0" collapsed="false">
      <c r="A6877" s="5" t="s">
        <v>446</v>
      </c>
      <c r="C6877" s="20" t="n">
        <f aca="false">IF(SUM($G$6845:$K$6845)&gt;0,1,0)</f>
        <v>1</v>
      </c>
    </row>
    <row r="6878" customFormat="false" ht="15" hidden="false" customHeight="false" outlineLevel="0" collapsed="false">
      <c r="A6878" s="5" t="s">
        <v>447</v>
      </c>
      <c r="C6878" s="20" t="n">
        <f aca="false">SUMPRODUCT($G$6876:$K$6876,$G$6720:$K$6720)</f>
        <v>2027</v>
      </c>
    </row>
    <row r="6879" customFormat="false" ht="15" hidden="false" customHeight="false" outlineLevel="0" collapsed="false">
      <c r="A6879" s="5" t="s">
        <v>448</v>
      </c>
      <c r="C6879" s="25" t="n">
        <f aca="false">SUMPRODUCT($G$6876:$K$6876,$G$6730:$K$6730)</f>
        <v>142.08288</v>
      </c>
    </row>
    <row r="6880" customFormat="false" ht="15" hidden="false" customHeight="false" outlineLevel="0" collapsed="false">
      <c r="A6880" s="5" t="s">
        <v>449</v>
      </c>
      <c r="C6880" s="25" t="n">
        <f aca="false">MAX(0,SUMPRODUCT($G$6876:$K$6876,$G$6842:$K$6842))</f>
        <v>0</v>
      </c>
    </row>
    <row r="6881" customFormat="false" ht="15" hidden="false" customHeight="false" outlineLevel="0" collapsed="false">
      <c r="A6881" s="5" t="s">
        <v>450</v>
      </c>
      <c r="C6881" s="25" t="n">
        <f aca="false">(CHOOSE($C$6713,Assumptions!$C$78,Assumptions!$C$97,Assumptions!$C$116)+$C$6717)*C6879</f>
        <v>568.33152</v>
      </c>
    </row>
    <row r="6882" customFormat="false" ht="15" hidden="false" customHeight="false" outlineLevel="0" collapsed="false">
      <c r="A6882" s="5" t="s">
        <v>451</v>
      </c>
      <c r="C6882" s="25" t="n">
        <f aca="false">Assumptions!$C$27*(1-CHOOSE($C$6713,Assumptions!$C$79,Assumptions!$C$98,Assumptions!$C$117))*CHOOSE($C$6713,Assumptions!$C$80,Assumptions!$C$99,Assumptions!$C$118)</f>
        <v>624</v>
      </c>
    </row>
    <row r="6883" customFormat="false" ht="15" hidden="false" customHeight="false" outlineLevel="0" collapsed="false">
      <c r="A6883" s="5" t="s">
        <v>452</v>
      </c>
      <c r="C6883" s="25" t="n">
        <f aca="false">MAX(C6881,C6882)+C6880</f>
        <v>624</v>
      </c>
    </row>
    <row r="6884" customFormat="false" ht="15" hidden="false" customHeight="false" outlineLevel="0" collapsed="false">
      <c r="A6884" s="2" t="s">
        <v>453</v>
      </c>
      <c r="C6884" s="16" t="n">
        <f aca="false">IF(ISNUMBER(Assumptions!$C$14),Assumptions!$C$14,C6883)</f>
        <v>624</v>
      </c>
    </row>
    <row r="6885" customFormat="false" ht="15" hidden="false" customHeight="false" outlineLevel="0" collapsed="false">
      <c r="A6885" s="5" t="s">
        <v>454</v>
      </c>
      <c r="C6885" s="25" t="n">
        <f aca="false">C6884*Assumptions!$C$15</f>
        <v>24.96</v>
      </c>
    </row>
    <row r="6886" customFormat="false" ht="15" hidden="false" customHeight="false" outlineLevel="0" collapsed="false">
      <c r="A6886" s="2" t="s">
        <v>455</v>
      </c>
      <c r="C6886" s="16" t="n">
        <f aca="false">C6884-C6885</f>
        <v>599.04</v>
      </c>
    </row>
    <row r="6887" customFormat="false" ht="15" hidden="false" customHeight="false" outlineLevel="0" collapsed="false">
      <c r="A6887" s="23" t="s">
        <v>456</v>
      </c>
      <c r="B6887" s="24"/>
      <c r="C6887" s="24"/>
      <c r="D6887" s="24"/>
      <c r="E6887" s="24"/>
      <c r="F6887" s="24"/>
      <c r="G6887" s="24"/>
      <c r="H6887" s="24"/>
      <c r="I6887" s="24"/>
      <c r="J6887" s="24"/>
      <c r="K6887" s="24"/>
    </row>
    <row r="6888" customFormat="false" ht="15" hidden="false" customHeight="false" outlineLevel="0" collapsed="false">
      <c r="A6888" s="5" t="s">
        <v>457</v>
      </c>
      <c r="C6888" s="25" t="n">
        <f aca="false">SUMPRODUCT($G$6876:$K$6876,$G$6767:$K$6767)*(1+SUMPRODUCT($G$6876:$K$6876,$G$6759:$K$6759)*Assumptions!$C$16/12)</f>
        <v>143.371685</v>
      </c>
    </row>
    <row r="6889" customFormat="false" ht="15" hidden="false" customHeight="false" outlineLevel="0" collapsed="false">
      <c r="A6889" s="5" t="s">
        <v>458</v>
      </c>
      <c r="C6889" s="25" t="n">
        <f aca="false">SUMPRODUCT($G$6876:$K$6876,$G$6780:$K$6780)*(1+SUMPRODUCT($G$6876:$K$6876,$G$6772:$K$6772)*Assumptions!$C$16/12)</f>
        <v>522.4037</v>
      </c>
    </row>
    <row r="6890" customFormat="false" ht="15" hidden="false" customHeight="false" outlineLevel="0" collapsed="false">
      <c r="A6890" s="5" t="s">
        <v>459</v>
      </c>
      <c r="C6890" s="25" t="n">
        <f aca="false">SUMPRODUCT($G$6876:$K$6876,$G$6793:$K$6793)*(1+SUMPRODUCT($G$6876:$K$6876,$G$6785:$K$6785)*Assumptions!$C$16/12)</f>
        <v>256.875</v>
      </c>
    </row>
    <row r="6891" customFormat="false" ht="15" hidden="false" customHeight="false" outlineLevel="0" collapsed="false">
      <c r="A6891" s="5" t="s">
        <v>460</v>
      </c>
      <c r="C6891" s="25" t="n">
        <f aca="false">SUMPRODUCT($G$6876:$K$6876,$G$6806:$K$6806)*(1+SUMPRODUCT($G$6876:$K$6876,$G$6798:$K$6798)*Assumptions!$C$16/12)</f>
        <v>305.625</v>
      </c>
    </row>
    <row r="6892" customFormat="false" ht="15" hidden="false" customHeight="false" outlineLevel="0" collapsed="false">
      <c r="A6892" s="23" t="s">
        <v>461</v>
      </c>
      <c r="B6892" s="24"/>
      <c r="C6892" s="24"/>
      <c r="D6892" s="24"/>
      <c r="E6892" s="24"/>
      <c r="F6892" s="24"/>
      <c r="G6892" s="24"/>
      <c r="H6892" s="24"/>
      <c r="I6892" s="24"/>
      <c r="J6892" s="24"/>
      <c r="K6892" s="24"/>
    </row>
    <row r="6893" customFormat="false" ht="15" hidden="false" customHeight="false" outlineLevel="0" collapsed="false">
      <c r="A6893" s="5" t="s">
        <v>457</v>
      </c>
      <c r="C6893" s="26" t="n">
        <f aca="false">Assumptions!$M$53</f>
        <v>1</v>
      </c>
    </row>
    <row r="6894" customFormat="false" ht="15" hidden="false" customHeight="false" outlineLevel="0" collapsed="false">
      <c r="A6894" s="5" t="s">
        <v>458</v>
      </c>
      <c r="C6894" s="26" t="n">
        <f aca="false">Assumptions!$M$54</f>
        <v>2</v>
      </c>
    </row>
    <row r="6895" customFormat="false" ht="15" hidden="false" customHeight="false" outlineLevel="0" collapsed="false">
      <c r="A6895" s="5" t="s">
        <v>459</v>
      </c>
      <c r="C6895" s="26" t="n">
        <f aca="false">Assumptions!$M$55</f>
        <v>3</v>
      </c>
    </row>
    <row r="6896" customFormat="false" ht="15" hidden="false" customHeight="false" outlineLevel="0" collapsed="false">
      <c r="A6896" s="5" t="s">
        <v>460</v>
      </c>
      <c r="C6896" s="26" t="n">
        <f aca="false">Assumptions!$M$56</f>
        <v>4</v>
      </c>
    </row>
    <row r="6897" customFormat="false" ht="15" hidden="false" customHeight="false" outlineLevel="0" collapsed="false">
      <c r="A6897" s="23" t="s">
        <v>462</v>
      </c>
      <c r="B6897" s="24"/>
      <c r="C6897" s="24"/>
      <c r="D6897" s="24"/>
      <c r="E6897" s="24"/>
      <c r="F6897" s="24"/>
      <c r="G6897" s="24"/>
      <c r="H6897" s="24"/>
      <c r="I6897" s="24"/>
      <c r="J6897" s="24"/>
      <c r="K6897" s="24"/>
    </row>
    <row r="6898" customFormat="false" ht="15" hidden="false" customHeight="false" outlineLevel="0" collapsed="false">
      <c r="A6898" s="5" t="s">
        <v>457</v>
      </c>
      <c r="C6898" s="34" t="n">
        <f aca="false">Assumptions!$Q$53</f>
        <v>0</v>
      </c>
    </row>
    <row r="6899" customFormat="false" ht="15" hidden="false" customHeight="false" outlineLevel="0" collapsed="false">
      <c r="A6899" s="5" t="s">
        <v>458</v>
      </c>
      <c r="C6899" s="34" t="n">
        <f aca="false">Assumptions!$Q$54</f>
        <v>0</v>
      </c>
    </row>
    <row r="6900" customFormat="false" ht="15" hidden="false" customHeight="false" outlineLevel="0" collapsed="false">
      <c r="A6900" s="5" t="s">
        <v>459</v>
      </c>
      <c r="C6900" s="34" t="n">
        <f aca="false">Assumptions!$Q$55</f>
        <v>0</v>
      </c>
    </row>
    <row r="6901" customFormat="false" ht="15" hidden="false" customHeight="false" outlineLevel="0" collapsed="false">
      <c r="A6901" s="5" t="s">
        <v>460</v>
      </c>
      <c r="C6901" s="34" t="n">
        <f aca="false">Assumptions!$Q$56</f>
        <v>0</v>
      </c>
    </row>
    <row r="6902" customFormat="false" ht="15" hidden="false" customHeight="false" outlineLevel="0" collapsed="false">
      <c r="A6902" s="23" t="s">
        <v>463</v>
      </c>
      <c r="B6902" s="24"/>
      <c r="C6902" s="24"/>
      <c r="D6902" s="24"/>
      <c r="E6902" s="24"/>
      <c r="F6902" s="24"/>
      <c r="G6902" s="24"/>
      <c r="H6902" s="24"/>
      <c r="I6902" s="24"/>
      <c r="J6902" s="24"/>
      <c r="K6902" s="24"/>
    </row>
    <row r="6903" customFormat="false" ht="15" hidden="false" customHeight="false" outlineLevel="0" collapsed="false">
      <c r="A6903" s="5" t="s">
        <v>457</v>
      </c>
      <c r="C6903" s="25" t="n">
        <f aca="false">IF(C6898&gt;0,MIN(C6888,C6898*$C$6886),0)</f>
        <v>0</v>
      </c>
    </row>
    <row r="6904" customFormat="false" ht="15" hidden="false" customHeight="false" outlineLevel="0" collapsed="false">
      <c r="A6904" s="5" t="s">
        <v>458</v>
      </c>
      <c r="C6904" s="25" t="n">
        <f aca="false">IF(C6899&gt;0,MIN(C6889,C6899*$C$6886),0)</f>
        <v>0</v>
      </c>
    </row>
    <row r="6905" customFormat="false" ht="15" hidden="false" customHeight="false" outlineLevel="0" collapsed="false">
      <c r="A6905" s="5" t="s">
        <v>459</v>
      </c>
      <c r="C6905" s="25" t="n">
        <f aca="false">IF(C6900&gt;0,MIN(C6890,C6900*$C$6886),0)</f>
        <v>0</v>
      </c>
    </row>
    <row r="6906" customFormat="false" ht="15" hidden="false" customHeight="false" outlineLevel="0" collapsed="false">
      <c r="A6906" s="5" t="s">
        <v>460</v>
      </c>
      <c r="C6906" s="25" t="n">
        <f aca="false">IF(C6901&gt;0,MIN(C6891,C6901*$C$6886),0)</f>
        <v>0</v>
      </c>
    </row>
    <row r="6907" customFormat="false" ht="15" hidden="false" customHeight="false" outlineLevel="0" collapsed="false">
      <c r="A6907" s="23" t="s">
        <v>464</v>
      </c>
      <c r="B6907" s="24"/>
      <c r="C6907" s="24"/>
      <c r="D6907" s="24"/>
      <c r="E6907" s="24"/>
      <c r="F6907" s="24"/>
      <c r="G6907" s="24"/>
      <c r="H6907" s="24"/>
      <c r="I6907" s="24"/>
      <c r="J6907" s="24"/>
      <c r="K6907" s="24"/>
    </row>
    <row r="6908" customFormat="false" ht="15" hidden="false" customHeight="false" outlineLevel="0" collapsed="false">
      <c r="A6908" s="5" t="s">
        <v>457</v>
      </c>
      <c r="C6908" s="25" t="n">
        <f aca="false">IF(C6898&gt;0,C6888-C6903,0)</f>
        <v>0</v>
      </c>
      <c r="G6908" s="20" t="n">
        <f aca="false">IF(AND(G6757=1,G6754=1),1,0)</f>
        <v>0</v>
      </c>
      <c r="H6908" s="20" t="n">
        <f aca="false">IF(G6908=1,1,IF(AND(H6757=1,H6754=1),1,0))</f>
        <v>0</v>
      </c>
      <c r="I6908" s="20" t="n">
        <f aca="false">IF(H6908=1,1,IF(AND(I6757=1,I6754=1),1,0))</f>
        <v>0</v>
      </c>
      <c r="J6908" s="20" t="n">
        <f aca="false">IF(I6908=1,1,IF(AND(J6757=1,J6754=1),1,0))</f>
        <v>0</v>
      </c>
      <c r="K6908" s="20" t="n">
        <f aca="false">IF(J6908=1,1,IF(AND(K6757=1,K6754=1),1,0))</f>
        <v>0</v>
      </c>
    </row>
    <row r="6909" customFormat="false" ht="15" hidden="false" customHeight="false" outlineLevel="0" collapsed="false">
      <c r="A6909" s="5" t="s">
        <v>458</v>
      </c>
      <c r="C6909" s="25" t="n">
        <f aca="false">IF(C6899&gt;0,C6889-C6904,0)</f>
        <v>0</v>
      </c>
      <c r="G6909" s="20" t="n">
        <f aca="false">IF(AND(G6770=1,G6754=1),1,0)</f>
        <v>0</v>
      </c>
      <c r="H6909" s="20" t="n">
        <f aca="false">IF(G6909=1,1,IF(AND(H6770=1,H6754=1),1,0))</f>
        <v>0</v>
      </c>
      <c r="I6909" s="20" t="n">
        <f aca="false">IF(H6909=1,1,IF(AND(I6770=1,I6754=1),1,0))</f>
        <v>0</v>
      </c>
      <c r="J6909" s="20" t="n">
        <f aca="false">IF(I6909=1,1,IF(AND(J6770=1,J6754=1),1,0))</f>
        <v>0</v>
      </c>
      <c r="K6909" s="20" t="n">
        <f aca="false">IF(J6909=1,1,IF(AND(K6770=1,K6754=1),1,0))</f>
        <v>0</v>
      </c>
    </row>
    <row r="6910" customFormat="false" ht="15" hidden="false" customHeight="false" outlineLevel="0" collapsed="false">
      <c r="A6910" s="5" t="s">
        <v>459</v>
      </c>
      <c r="C6910" s="25" t="n">
        <f aca="false">IF(C6900&gt;0,C6890-C6905,0)</f>
        <v>0</v>
      </c>
      <c r="G6910" s="20" t="n">
        <f aca="false">IF(AND(G6783=1,G6754=1),1,0)</f>
        <v>0</v>
      </c>
      <c r="H6910" s="20" t="n">
        <f aca="false">IF(G6910=1,1,IF(AND(H6783=1,H6754=1),1,0))</f>
        <v>0</v>
      </c>
      <c r="I6910" s="20" t="n">
        <f aca="false">IF(H6910=1,1,IF(AND(I6783=1,I6754=1),1,0))</f>
        <v>0</v>
      </c>
      <c r="J6910" s="20" t="n">
        <f aca="false">IF(I6910=1,1,IF(AND(J6783=1,J6754=1),1,0))</f>
        <v>0</v>
      </c>
      <c r="K6910" s="20" t="n">
        <f aca="false">IF(J6910=1,1,IF(AND(K6783=1,K6754=1),1,0))</f>
        <v>0</v>
      </c>
    </row>
    <row r="6911" customFormat="false" ht="15" hidden="false" customHeight="false" outlineLevel="0" collapsed="false">
      <c r="A6911" s="5" t="s">
        <v>460</v>
      </c>
      <c r="C6911" s="25" t="n">
        <f aca="false">IF(C6901&gt;0,C6891-C6906,0)</f>
        <v>0</v>
      </c>
      <c r="G6911" s="20" t="n">
        <f aca="false">IF(AND(G6796=1,G6754=1),1,0)</f>
        <v>0</v>
      </c>
      <c r="H6911" s="20" t="n">
        <f aca="false">IF(G6911=1,1,IF(AND(H6796=1,H6754=1),1,0))</f>
        <v>0</v>
      </c>
      <c r="I6911" s="20" t="n">
        <f aca="false">IF(H6911=1,1,IF(AND(I6796=1,I6754=1),1,0))</f>
        <v>0</v>
      </c>
      <c r="J6911" s="20" t="n">
        <f aca="false">IF(I6911=1,1,IF(AND(J6796=1,J6754=1),1,0))</f>
        <v>0</v>
      </c>
      <c r="K6911" s="20" t="n">
        <f aca="false">IF(J6911=1,1,IF(AND(K6796=1,K6754=1),1,0))</f>
        <v>0</v>
      </c>
    </row>
    <row r="6912" customFormat="false" ht="15" hidden="false" customHeight="false" outlineLevel="0" collapsed="false">
      <c r="A6912" s="23" t="s">
        <v>465</v>
      </c>
      <c r="B6912" s="24"/>
      <c r="C6912" s="24"/>
      <c r="D6912" s="24"/>
      <c r="E6912" s="24"/>
      <c r="F6912" s="24"/>
      <c r="G6912" s="24"/>
      <c r="H6912" s="24"/>
      <c r="I6912" s="24"/>
      <c r="J6912" s="24"/>
      <c r="K6912" s="24"/>
    </row>
    <row r="6913" customFormat="false" ht="15" hidden="false" customHeight="false" outlineLevel="0" collapsed="false">
      <c r="A6913" s="5" t="s">
        <v>457</v>
      </c>
      <c r="C6913" s="25" t="n">
        <f aca="false">IF(C6898&gt;0,C6908,C6888)</f>
        <v>143.371685</v>
      </c>
    </row>
    <row r="6914" customFormat="false" ht="15" hidden="false" customHeight="false" outlineLevel="0" collapsed="false">
      <c r="A6914" s="5" t="s">
        <v>458</v>
      </c>
      <c r="C6914" s="25" t="n">
        <f aca="false">IF(C6899&gt;0,C6909,C6889)</f>
        <v>522.4037</v>
      </c>
    </row>
    <row r="6915" customFormat="false" ht="15" hidden="false" customHeight="false" outlineLevel="0" collapsed="false">
      <c r="A6915" s="5" t="s">
        <v>459</v>
      </c>
      <c r="C6915" s="25" t="n">
        <f aca="false">IF(C6900&gt;0,C6910,C6890)</f>
        <v>256.875</v>
      </c>
    </row>
    <row r="6916" customFormat="false" ht="15" hidden="false" customHeight="false" outlineLevel="0" collapsed="false">
      <c r="A6916" s="5" t="s">
        <v>460</v>
      </c>
      <c r="C6916" s="25" t="n">
        <f aca="false">IF(C6901&gt;0,C6911,C6891)</f>
        <v>305.625</v>
      </c>
    </row>
    <row r="6917" customFormat="false" ht="15" hidden="false" customHeight="false" outlineLevel="0" collapsed="false">
      <c r="A6917" s="23" t="s">
        <v>466</v>
      </c>
      <c r="B6917" s="24"/>
      <c r="C6917" s="24"/>
      <c r="D6917" s="24"/>
      <c r="E6917" s="24"/>
      <c r="F6917" s="24"/>
      <c r="G6917" s="24"/>
      <c r="H6917" s="24"/>
      <c r="I6917" s="24"/>
      <c r="J6917" s="24"/>
      <c r="K6917" s="24"/>
    </row>
    <row r="6918" customFormat="false" ht="15" hidden="false" customHeight="false" outlineLevel="0" collapsed="false">
      <c r="A6918" s="5" t="s">
        <v>457</v>
      </c>
      <c r="C6918" s="20" t="n">
        <f aca="false">IF(C6898&gt;0,Assumptions!$C$17,C6893)</f>
        <v>1</v>
      </c>
    </row>
    <row r="6919" customFormat="false" ht="15" hidden="false" customHeight="false" outlineLevel="0" collapsed="false">
      <c r="A6919" s="5" t="s">
        <v>458</v>
      </c>
      <c r="C6919" s="20" t="n">
        <f aca="false">IF(C6899&gt;0,Assumptions!$C$17,C6894)</f>
        <v>2</v>
      </c>
    </row>
    <row r="6920" customFormat="false" ht="15" hidden="false" customHeight="false" outlineLevel="0" collapsed="false">
      <c r="A6920" s="5" t="s">
        <v>459</v>
      </c>
      <c r="C6920" s="20" t="n">
        <f aca="false">IF(C6900&gt;0,Assumptions!$C$17,C6895)</f>
        <v>3</v>
      </c>
    </row>
    <row r="6921" customFormat="false" ht="15" hidden="false" customHeight="false" outlineLevel="0" collapsed="false">
      <c r="A6921" s="5" t="s">
        <v>460</v>
      </c>
      <c r="C6921" s="20" t="n">
        <f aca="false">IF(C6901&gt;0,Assumptions!$C$17,C6896)</f>
        <v>4</v>
      </c>
    </row>
    <row r="6922" customFormat="false" ht="15" hidden="false" customHeight="false" outlineLevel="0" collapsed="false">
      <c r="A6922" s="23" t="s">
        <v>467</v>
      </c>
      <c r="B6922" s="24"/>
      <c r="C6922" s="24"/>
      <c r="D6922" s="24"/>
      <c r="E6922" s="24"/>
      <c r="F6922" s="24"/>
      <c r="G6922" s="24"/>
      <c r="H6922" s="24"/>
      <c r="I6922" s="24"/>
      <c r="J6922" s="24"/>
      <c r="K6922" s="24"/>
    </row>
    <row r="6923" customFormat="false" ht="15" hidden="false" customHeight="false" outlineLevel="0" collapsed="false">
      <c r="A6923" s="5" t="s">
        <v>457</v>
      </c>
      <c r="C6923" s="25" t="n">
        <f aca="false">SUMPRODUCT(($C$6918:$C$6921&lt;C6918)*$C$6913:$C$6916)</f>
        <v>0</v>
      </c>
    </row>
    <row r="6924" customFormat="false" ht="15" hidden="false" customHeight="false" outlineLevel="0" collapsed="false">
      <c r="A6924" s="5" t="s">
        <v>458</v>
      </c>
      <c r="C6924" s="25" t="n">
        <f aca="false">SUMPRODUCT(($C$6918:$C$6921&lt;C6919)*$C$6913:$C$6916)</f>
        <v>143.371685</v>
      </c>
    </row>
    <row r="6925" customFormat="false" ht="15" hidden="false" customHeight="false" outlineLevel="0" collapsed="false">
      <c r="A6925" s="5" t="s">
        <v>459</v>
      </c>
      <c r="C6925" s="25" t="n">
        <f aca="false">SUMPRODUCT(($C$6918:$C$6921&lt;C6920)*$C$6913:$C$6916)</f>
        <v>665.775385</v>
      </c>
    </row>
    <row r="6926" customFormat="false" ht="15" hidden="false" customHeight="false" outlineLevel="0" collapsed="false">
      <c r="A6926" s="5" t="s">
        <v>460</v>
      </c>
      <c r="C6926" s="25" t="n">
        <f aca="false">SUMPRODUCT(($C$6918:$C$6921&lt;C6921)*$C$6913:$C$6916)</f>
        <v>922.650385</v>
      </c>
    </row>
    <row r="6927" customFormat="false" ht="15" hidden="false" customHeight="false" outlineLevel="0" collapsed="false">
      <c r="A6927" s="23" t="s">
        <v>468</v>
      </c>
      <c r="B6927" s="24"/>
      <c r="C6927" s="24"/>
      <c r="D6927" s="24"/>
      <c r="E6927" s="24"/>
      <c r="F6927" s="24"/>
      <c r="G6927" s="24"/>
      <c r="H6927" s="24"/>
      <c r="I6927" s="24"/>
      <c r="J6927" s="24"/>
      <c r="K6927" s="24"/>
    </row>
    <row r="6928" customFormat="false" ht="15" hidden="false" customHeight="false" outlineLevel="0" collapsed="false">
      <c r="A6928" s="5" t="s">
        <v>457</v>
      </c>
      <c r="C6928" s="25" t="n">
        <f aca="false">SUMPRODUCT(($C$6918:$C$6921=C6918)*$C$6913:$C$6916)</f>
        <v>143.371685</v>
      </c>
    </row>
    <row r="6929" customFormat="false" ht="15" hidden="false" customHeight="false" outlineLevel="0" collapsed="false">
      <c r="A6929" s="5" t="s">
        <v>458</v>
      </c>
      <c r="C6929" s="25" t="n">
        <f aca="false">SUMPRODUCT(($C$6918:$C$6921=C6919)*$C$6913:$C$6916)</f>
        <v>522.4037</v>
      </c>
    </row>
    <row r="6930" customFormat="false" ht="15" hidden="false" customHeight="false" outlineLevel="0" collapsed="false">
      <c r="A6930" s="5" t="s">
        <v>459</v>
      </c>
      <c r="C6930" s="25" t="n">
        <f aca="false">SUMPRODUCT(($C$6918:$C$6921=C6920)*$C$6913:$C$6916)</f>
        <v>256.875</v>
      </c>
    </row>
    <row r="6931" customFormat="false" ht="15" hidden="false" customHeight="false" outlineLevel="0" collapsed="false">
      <c r="A6931" s="5" t="s">
        <v>460</v>
      </c>
      <c r="C6931" s="25" t="n">
        <f aca="false">SUMPRODUCT(($C$6918:$C$6921=C6921)*$C$6913:$C$6916)</f>
        <v>305.625</v>
      </c>
    </row>
    <row r="6932" customFormat="false" ht="15" hidden="false" customHeight="false" outlineLevel="0" collapsed="false">
      <c r="A6932" s="23" t="s">
        <v>469</v>
      </c>
      <c r="B6932" s="24"/>
      <c r="C6932" s="24"/>
      <c r="D6932" s="24"/>
      <c r="E6932" s="24"/>
      <c r="F6932" s="24"/>
      <c r="G6932" s="24"/>
      <c r="H6932" s="24"/>
      <c r="I6932" s="24"/>
      <c r="J6932" s="24"/>
      <c r="K6932" s="24"/>
    </row>
    <row r="6933" customFormat="false" ht="15" hidden="false" customHeight="false" outlineLevel="0" collapsed="false">
      <c r="A6933" s="5" t="s">
        <v>457</v>
      </c>
      <c r="C6933" s="25" t="n">
        <f aca="false">IF(C6928=0,0,C6913/C6928*MAX(0,MIN(C6928,$C$6886-SUM($C$6903:$C$6906)-C6923)))</f>
        <v>143.371685</v>
      </c>
    </row>
    <row r="6934" customFormat="false" ht="15" hidden="false" customHeight="false" outlineLevel="0" collapsed="false">
      <c r="A6934" s="5" t="s">
        <v>458</v>
      </c>
      <c r="C6934" s="25" t="n">
        <f aca="false">IF(C6929=0,0,C6914/C6929*MAX(0,MIN(C6929,$C$6886-SUM($C$6903:$C$6906)-C6924)))</f>
        <v>455.668315</v>
      </c>
    </row>
    <row r="6935" customFormat="false" ht="15" hidden="false" customHeight="false" outlineLevel="0" collapsed="false">
      <c r="A6935" s="5" t="s">
        <v>459</v>
      </c>
      <c r="C6935" s="25" t="n">
        <f aca="false">IF(C6930=0,0,C6915/C6930*MAX(0,MIN(C6930,$C$6886-SUM($C$6903:$C$6906)-C6925)))</f>
        <v>0</v>
      </c>
    </row>
    <row r="6936" customFormat="false" ht="15" hidden="false" customHeight="false" outlineLevel="0" collapsed="false">
      <c r="A6936" s="5" t="s">
        <v>460</v>
      </c>
      <c r="C6936" s="25" t="n">
        <f aca="false">IF(C6931=0,0,C6916/C6931*MAX(0,MIN(C6931,$C$6886-SUM($C$6903:$C$6906)-C6926)))</f>
        <v>0</v>
      </c>
    </row>
    <row r="6937" customFormat="false" ht="15" hidden="false" customHeight="false" outlineLevel="0" collapsed="false">
      <c r="A6937" s="23" t="s">
        <v>470</v>
      </c>
      <c r="B6937" s="24"/>
      <c r="C6937" s="24"/>
      <c r="D6937" s="24"/>
      <c r="E6937" s="24"/>
      <c r="F6937" s="24"/>
      <c r="G6937" s="24"/>
      <c r="H6937" s="24"/>
      <c r="I6937" s="24"/>
      <c r="J6937" s="24"/>
      <c r="K6937" s="24"/>
    </row>
    <row r="6938" customFormat="false" ht="15" hidden="false" customHeight="false" outlineLevel="0" collapsed="false">
      <c r="A6938" s="2" t="s">
        <v>457</v>
      </c>
      <c r="C6938" s="16" t="n">
        <f aca="false">C6903+C6933</f>
        <v>143.371685</v>
      </c>
    </row>
    <row r="6939" customFormat="false" ht="15" hidden="false" customHeight="false" outlineLevel="0" collapsed="false">
      <c r="A6939" s="2" t="s">
        <v>458</v>
      </c>
      <c r="C6939" s="16" t="n">
        <f aca="false">C6904+C6934</f>
        <v>455.668315</v>
      </c>
    </row>
    <row r="6940" customFormat="false" ht="15" hidden="false" customHeight="false" outlineLevel="0" collapsed="false">
      <c r="A6940" s="2" t="s">
        <v>459</v>
      </c>
      <c r="C6940" s="16" t="n">
        <f aca="false">C6905+C6935</f>
        <v>0</v>
      </c>
    </row>
    <row r="6941" customFormat="false" ht="15" hidden="false" customHeight="false" outlineLevel="0" collapsed="false">
      <c r="A6941" s="2" t="s">
        <v>460</v>
      </c>
      <c r="C6941" s="16" t="n">
        <f aca="false">C6906+C6936</f>
        <v>0</v>
      </c>
    </row>
    <row r="6942" customFormat="false" ht="15" hidden="false" customHeight="false" outlineLevel="0" collapsed="false">
      <c r="A6942" s="23" t="s">
        <v>471</v>
      </c>
      <c r="B6942" s="24"/>
      <c r="C6942" s="24"/>
      <c r="D6942" s="24"/>
      <c r="E6942" s="24"/>
      <c r="F6942" s="24"/>
      <c r="G6942" s="24"/>
      <c r="H6942" s="24"/>
      <c r="I6942" s="24"/>
      <c r="J6942" s="24"/>
      <c r="K6942" s="24"/>
    </row>
    <row r="6943" customFormat="false" ht="15" hidden="false" customHeight="false" outlineLevel="0" collapsed="false">
      <c r="A6943" s="5" t="s">
        <v>457</v>
      </c>
      <c r="C6943" s="21" t="n">
        <f aca="false">IF(C6888=0,1,C6938/C6888)</f>
        <v>1</v>
      </c>
    </row>
    <row r="6944" customFormat="false" ht="15" hidden="false" customHeight="false" outlineLevel="0" collapsed="false">
      <c r="A6944" s="5" t="s">
        <v>458</v>
      </c>
      <c r="C6944" s="21" t="n">
        <f aca="false">IF(C6889=0,1,C6939/C6889)</f>
        <v>0.872253230595419</v>
      </c>
    </row>
    <row r="6945" customFormat="false" ht="15" hidden="false" customHeight="false" outlineLevel="0" collapsed="false">
      <c r="A6945" s="5" t="s">
        <v>459</v>
      </c>
      <c r="C6945" s="21" t="n">
        <f aca="false">IF(C6890=0,1,C6940/C6890)</f>
        <v>0</v>
      </c>
    </row>
    <row r="6946" customFormat="false" ht="15" hidden="false" customHeight="false" outlineLevel="0" collapsed="false">
      <c r="A6946" s="5" t="s">
        <v>460</v>
      </c>
      <c r="C6946" s="21" t="n">
        <f aca="false">IF(C6891=0,1,C6941/C6891)</f>
        <v>0</v>
      </c>
    </row>
    <row r="6947" customFormat="false" ht="15" hidden="false" customHeight="false" outlineLevel="0" collapsed="false">
      <c r="A6947" s="23" t="s">
        <v>472</v>
      </c>
      <c r="B6947" s="24"/>
      <c r="C6947" s="24"/>
      <c r="D6947" s="24"/>
      <c r="E6947" s="24"/>
      <c r="F6947" s="24"/>
      <c r="G6947" s="24"/>
      <c r="H6947" s="24"/>
      <c r="I6947" s="24"/>
      <c r="J6947" s="24"/>
      <c r="K6947" s="24"/>
    </row>
    <row r="6948" customFormat="false" ht="15" hidden="false" customHeight="false" outlineLevel="0" collapsed="false">
      <c r="A6948" s="5" t="s">
        <v>457</v>
      </c>
      <c r="C6948" s="25" t="n">
        <f aca="false">C6888-C6938</f>
        <v>0</v>
      </c>
    </row>
    <row r="6949" customFormat="false" ht="15" hidden="false" customHeight="false" outlineLevel="0" collapsed="false">
      <c r="A6949" s="5" t="s">
        <v>458</v>
      </c>
      <c r="C6949" s="25" t="n">
        <f aca="false">C6889-C6939</f>
        <v>66.735385</v>
      </c>
    </row>
    <row r="6950" customFormat="false" ht="15" hidden="false" customHeight="false" outlineLevel="0" collapsed="false">
      <c r="A6950" s="5" t="s">
        <v>459</v>
      </c>
      <c r="C6950" s="25" t="n">
        <f aca="false">C6890-C6940</f>
        <v>256.875</v>
      </c>
    </row>
    <row r="6951" customFormat="false" ht="15" hidden="false" customHeight="false" outlineLevel="0" collapsed="false">
      <c r="A6951" s="5" t="s">
        <v>460</v>
      </c>
      <c r="C6951" s="25" t="n">
        <f aca="false">C6891-C6941</f>
        <v>305.625</v>
      </c>
    </row>
    <row r="6952" customFormat="false" ht="15" hidden="false" customHeight="false" outlineLevel="0" collapsed="false">
      <c r="A6952" s="23" t="s">
        <v>473</v>
      </c>
      <c r="B6952" s="24"/>
      <c r="C6952" s="24"/>
      <c r="D6952" s="24"/>
      <c r="E6952" s="24"/>
      <c r="F6952" s="24"/>
      <c r="G6952" s="24"/>
      <c r="H6952" s="24"/>
      <c r="I6952" s="24"/>
      <c r="J6952" s="24"/>
      <c r="K6952" s="24"/>
    </row>
    <row r="6953" customFormat="false" ht="15" hidden="false" customHeight="false" outlineLevel="0" collapsed="false">
      <c r="A6953" s="5" t="s">
        <v>457</v>
      </c>
      <c r="C6953" s="21" t="n">
        <f aca="false">IF(C6888=0,0,C6948/C6888)</f>
        <v>0</v>
      </c>
    </row>
    <row r="6954" customFormat="false" ht="15" hidden="false" customHeight="false" outlineLevel="0" collapsed="false">
      <c r="A6954" s="5" t="s">
        <v>458</v>
      </c>
      <c r="C6954" s="21" t="n">
        <f aca="false">IF(C6889=0,0,C6949/C6889)</f>
        <v>0.127746769404581</v>
      </c>
    </row>
    <row r="6955" customFormat="false" ht="15" hidden="false" customHeight="false" outlineLevel="0" collapsed="false">
      <c r="A6955" s="5" t="s">
        <v>459</v>
      </c>
      <c r="C6955" s="21" t="n">
        <f aca="false">IF(C6890=0,0,C6950/C6890)</f>
        <v>1</v>
      </c>
    </row>
    <row r="6956" customFormat="false" ht="15" hidden="false" customHeight="false" outlineLevel="0" collapsed="false">
      <c r="A6956" s="5" t="s">
        <v>460</v>
      </c>
      <c r="C6956" s="21" t="n">
        <f aca="false">IF(C6891=0,0,C6951/C6891)</f>
        <v>1</v>
      </c>
    </row>
    <row r="6957" customFormat="false" ht="15" hidden="false" customHeight="false" outlineLevel="0" collapsed="false">
      <c r="A6957" s="2" t="s">
        <v>474</v>
      </c>
      <c r="C6957" s="16" t="n">
        <f aca="false">MAX(0,$C$6886-SUM($C$6903:$C$6906)-SUM($C$6913:$C$6916))</f>
        <v>0</v>
      </c>
    </row>
    <row r="6958" customFormat="false" ht="15" hidden="false" customHeight="false" outlineLevel="0" collapsed="false">
      <c r="A6958" s="5" t="s">
        <v>475</v>
      </c>
      <c r="C6958" s="25" t="n">
        <f aca="false">SUM($C$6938:$C$6941)+C6957+C6885-C6884</f>
        <v>0</v>
      </c>
    </row>
    <row r="6960" customFormat="false" ht="15" hidden="false" customHeight="false" outlineLevel="0" collapsed="false">
      <c r="A6960" s="23" t="s">
        <v>478</v>
      </c>
      <c r="B6960" s="24"/>
      <c r="C6960" s="24"/>
      <c r="D6960" s="24"/>
      <c r="E6960" s="24"/>
      <c r="F6960" s="24"/>
      <c r="G6960" s="24"/>
      <c r="H6960" s="24"/>
      <c r="I6960" s="24"/>
      <c r="J6960" s="24"/>
      <c r="K6960" s="24"/>
    </row>
    <row r="6961" customFormat="false" ht="15" hidden="false" customHeight="false" outlineLevel="0" collapsed="false">
      <c r="A6961" s="5" t="s">
        <v>479</v>
      </c>
      <c r="C6961" s="26" t="n">
        <f aca="false">Assumptions!$C$30</f>
        <v>2</v>
      </c>
    </row>
    <row r="6962" customFormat="false" ht="15" hidden="false" customHeight="false" outlineLevel="0" collapsed="false">
      <c r="A6962" s="5" t="s">
        <v>480</v>
      </c>
      <c r="C6962" s="28" t="n">
        <f aca="false">Assumptions!$C$31</f>
        <v>100</v>
      </c>
    </row>
    <row r="6963" customFormat="false" ht="15" hidden="false" customHeight="false" outlineLevel="0" collapsed="false">
      <c r="A6963" s="5" t="s">
        <v>481</v>
      </c>
      <c r="C6963" s="39" t="n">
        <f aca="false">Assumptions!$C$32</f>
        <v>78</v>
      </c>
    </row>
    <row r="6964" customFormat="false" ht="15" hidden="false" customHeight="false" outlineLevel="0" collapsed="false">
      <c r="A6964" s="5" t="s">
        <v>482</v>
      </c>
      <c r="C6964" s="25" t="n">
        <f aca="false">C6962*C6963/100*(1+Assumptions!$C$33)</f>
        <v>78.39</v>
      </c>
    </row>
    <row r="6965" customFormat="false" ht="15" hidden="false" customHeight="false" outlineLevel="0" collapsed="false">
      <c r="A6965" s="5" t="s">
        <v>483</v>
      </c>
      <c r="C6965" s="26" t="n">
        <f aca="false">Assumptions!$C$34</f>
        <v>2</v>
      </c>
    </row>
    <row r="6966" customFormat="false" ht="15" hidden="false" customHeight="false" outlineLevel="0" collapsed="false">
      <c r="A6966" s="5" t="s">
        <v>484</v>
      </c>
      <c r="C6966" s="20" t="n">
        <f aca="false">IF(C6877=1,SUMPRODUCT($G$6845:$K$6845,$G$6721:$K$6721),0)</f>
        <v>2</v>
      </c>
    </row>
    <row r="6967" customFormat="false" ht="15" hidden="false" customHeight="false" outlineLevel="0" collapsed="false">
      <c r="A6967" s="5" t="s">
        <v>485</v>
      </c>
      <c r="C6967" s="21" t="n">
        <f aca="false">IFERROR(C6962/CHOOSE(C6961,SUMPRODUCT($G$6876:$K$6876,$G$6767:$K$6767),SUMPRODUCT($G$6876:$K$6876,$G$6780:$K$6780),SUMPRODUCT($G$6876:$K$6876,$G$6793:$K$6793),SUMPRODUCT($G$6876:$K$6876,$G$6806:$K$6806)),0)</f>
        <v>0.196232339089482</v>
      </c>
    </row>
    <row r="6968" customFormat="false" ht="15" hidden="false" customHeight="false" outlineLevel="0" collapsed="false">
      <c r="A6968" s="5" t="s">
        <v>486</v>
      </c>
      <c r="C6968" s="25" t="n">
        <f aca="false">CHOOSE(C6961,C6938,C6939,C6940,C6941)*C6967</f>
        <v>89.4168593014129</v>
      </c>
    </row>
    <row r="6969" customFormat="false" ht="15" hidden="false" customHeight="false" outlineLevel="0" collapsed="false">
      <c r="A6969" s="5" t="s">
        <v>487</v>
      </c>
      <c r="C6969" s="21" t="n">
        <f aca="false">CHOOSE(C6961,C6943,C6944,C6945,C6946)</f>
        <v>0.872253230595419</v>
      </c>
    </row>
    <row r="6970" customFormat="false" ht="15" hidden="false" customHeight="false" outlineLevel="0" collapsed="false">
      <c r="A6970" s="5" t="s">
        <v>488</v>
      </c>
      <c r="C6970" s="20" t="n">
        <f aca="false">IF(C6877=1,C6966,C6965)</f>
        <v>2</v>
      </c>
    </row>
    <row r="6971" customFormat="false" ht="15" hidden="false" customHeight="false" outlineLevel="0" collapsed="false">
      <c r="A6971" s="5" t="s">
        <v>489</v>
      </c>
      <c r="C6971" s="33" t="n">
        <f aca="false">CHOOSE($C$6713,Assumptions!$C$77,Assumptions!$C$96,Assumptions!$C$115)</f>
        <v>100</v>
      </c>
    </row>
    <row r="6972" customFormat="false" ht="15" hidden="false" customHeight="false" outlineLevel="0" collapsed="false">
      <c r="A6972" s="5" t="s">
        <v>490</v>
      </c>
      <c r="C6972" s="25" t="n">
        <f aca="false">INDEX($G$6730:$K$6730,C6965)*CHOOSE($C$6713,Assumptions!$C$76,Assumptions!$C$95,Assumptions!$C$114)+MAX(0,INDEX($G$6842:$K$6842,C6965))</f>
        <v>923.53872</v>
      </c>
    </row>
    <row r="6973" customFormat="false" ht="15" hidden="false" customHeight="false" outlineLevel="0" collapsed="false">
      <c r="A6973" s="23" t="s">
        <v>491</v>
      </c>
      <c r="B6973" s="24"/>
      <c r="C6973" s="24"/>
      <c r="D6973" s="24"/>
      <c r="E6973" s="24"/>
      <c r="F6973" s="24"/>
      <c r="G6973" s="24"/>
      <c r="H6973" s="24"/>
      <c r="I6973" s="24"/>
      <c r="J6973" s="24"/>
      <c r="K6973" s="24"/>
    </row>
    <row r="6974" customFormat="false" ht="15" hidden="false" customHeight="false" outlineLevel="0" collapsed="false">
      <c r="A6974" s="5" t="s">
        <v>457</v>
      </c>
      <c r="C6974" s="25" t="n">
        <f aca="false">INDEX($G$6767:$K$6767,C6965)</f>
        <v>140.44</v>
      </c>
    </row>
    <row r="6975" customFormat="false" ht="15" hidden="false" customHeight="false" outlineLevel="0" collapsed="false">
      <c r="A6975" s="5" t="s">
        <v>458</v>
      </c>
      <c r="C6975" s="25" t="n">
        <f aca="false">INDEX($G$6780:$K$6780,C6965)</f>
        <v>509.6</v>
      </c>
    </row>
    <row r="6976" customFormat="false" ht="15" hidden="false" customHeight="false" outlineLevel="0" collapsed="false">
      <c r="A6976" s="5" t="s">
        <v>459</v>
      </c>
      <c r="C6976" s="25" t="n">
        <f aca="false">INDEX($G$6793:$K$6793,C6965)</f>
        <v>250</v>
      </c>
    </row>
    <row r="6977" customFormat="false" ht="15" hidden="false" customHeight="false" outlineLevel="0" collapsed="false">
      <c r="A6977" s="5" t="s">
        <v>460</v>
      </c>
      <c r="C6977" s="25" t="n">
        <f aca="false">INDEX($G$6806:$K$6806,C6965)</f>
        <v>300</v>
      </c>
    </row>
    <row r="6978" customFormat="false" ht="15" hidden="false" customHeight="false" outlineLevel="0" collapsed="false">
      <c r="A6978" s="23" t="s">
        <v>461</v>
      </c>
      <c r="B6978" s="24"/>
      <c r="C6978" s="24"/>
      <c r="D6978" s="24"/>
      <c r="E6978" s="24"/>
      <c r="F6978" s="24"/>
      <c r="G6978" s="24"/>
      <c r="H6978" s="24"/>
      <c r="I6978" s="24"/>
      <c r="J6978" s="24"/>
      <c r="K6978" s="24"/>
    </row>
    <row r="6979" customFormat="false" ht="15" hidden="false" customHeight="false" outlineLevel="0" collapsed="false">
      <c r="A6979" s="5" t="s">
        <v>457</v>
      </c>
      <c r="C6979" s="26" t="n">
        <f aca="false">Assumptions!$M$53</f>
        <v>1</v>
      </c>
    </row>
    <row r="6980" customFormat="false" ht="15" hidden="false" customHeight="false" outlineLevel="0" collapsed="false">
      <c r="A6980" s="5" t="s">
        <v>458</v>
      </c>
      <c r="C6980" s="26" t="n">
        <f aca="false">Assumptions!$M$54</f>
        <v>2</v>
      </c>
    </row>
    <row r="6981" customFormat="false" ht="15" hidden="false" customHeight="false" outlineLevel="0" collapsed="false">
      <c r="A6981" s="5" t="s">
        <v>459</v>
      </c>
      <c r="C6981" s="26" t="n">
        <f aca="false">Assumptions!$M$55</f>
        <v>3</v>
      </c>
    </row>
    <row r="6982" customFormat="false" ht="15" hidden="false" customHeight="false" outlineLevel="0" collapsed="false">
      <c r="A6982" s="5" t="s">
        <v>460</v>
      </c>
      <c r="C6982" s="26" t="n">
        <f aca="false">Assumptions!$M$56</f>
        <v>4</v>
      </c>
    </row>
    <row r="6983" customFormat="false" ht="15" hidden="false" customHeight="false" outlineLevel="0" collapsed="false">
      <c r="A6983" s="23" t="s">
        <v>462</v>
      </c>
      <c r="B6983" s="24"/>
      <c r="C6983" s="24"/>
      <c r="D6983" s="24"/>
      <c r="E6983" s="24"/>
      <c r="F6983" s="24"/>
      <c r="G6983" s="24"/>
      <c r="H6983" s="24"/>
      <c r="I6983" s="24"/>
      <c r="J6983" s="24"/>
      <c r="K6983" s="24"/>
    </row>
    <row r="6984" customFormat="false" ht="15" hidden="false" customHeight="false" outlineLevel="0" collapsed="false">
      <c r="A6984" s="5" t="s">
        <v>457</v>
      </c>
      <c r="C6984" s="34" t="n">
        <f aca="false">Assumptions!$Q$53</f>
        <v>0</v>
      </c>
    </row>
    <row r="6985" customFormat="false" ht="15" hidden="false" customHeight="false" outlineLevel="0" collapsed="false">
      <c r="A6985" s="5" t="s">
        <v>458</v>
      </c>
      <c r="C6985" s="34" t="n">
        <f aca="false">Assumptions!$Q$54</f>
        <v>0</v>
      </c>
    </row>
    <row r="6986" customFormat="false" ht="15" hidden="false" customHeight="false" outlineLevel="0" collapsed="false">
      <c r="A6986" s="5" t="s">
        <v>459</v>
      </c>
      <c r="C6986" s="34" t="n">
        <f aca="false">Assumptions!$Q$55</f>
        <v>0</v>
      </c>
    </row>
    <row r="6987" customFormat="false" ht="15" hidden="false" customHeight="false" outlineLevel="0" collapsed="false">
      <c r="A6987" s="5" t="s">
        <v>460</v>
      </c>
      <c r="C6987" s="34" t="n">
        <f aca="false">Assumptions!$Q$56</f>
        <v>0</v>
      </c>
    </row>
    <row r="6988" customFormat="false" ht="15" hidden="false" customHeight="false" outlineLevel="0" collapsed="false">
      <c r="A6988" s="23" t="s">
        <v>463</v>
      </c>
      <c r="B6988" s="24"/>
      <c r="C6988" s="24"/>
      <c r="D6988" s="24"/>
      <c r="E6988" s="24"/>
      <c r="F6988" s="24"/>
      <c r="G6988" s="24"/>
      <c r="H6988" s="24"/>
      <c r="I6988" s="24"/>
      <c r="J6988" s="24"/>
      <c r="K6988" s="24"/>
    </row>
    <row r="6989" customFormat="false" ht="15" hidden="false" customHeight="false" outlineLevel="0" collapsed="false">
      <c r="A6989" s="5" t="s">
        <v>457</v>
      </c>
      <c r="C6989" s="25" t="n">
        <f aca="false">IF(C6984&gt;0,MIN(C6974,C6984*$C$6972),0)</f>
        <v>0</v>
      </c>
    </row>
    <row r="6990" customFormat="false" ht="15" hidden="false" customHeight="false" outlineLevel="0" collapsed="false">
      <c r="A6990" s="5" t="s">
        <v>458</v>
      </c>
      <c r="C6990" s="25" t="n">
        <f aca="false">IF(C6985&gt;0,MIN(C6975,C6985*$C$6972),0)</f>
        <v>0</v>
      </c>
    </row>
    <row r="6991" customFormat="false" ht="15" hidden="false" customHeight="false" outlineLevel="0" collapsed="false">
      <c r="A6991" s="5" t="s">
        <v>459</v>
      </c>
      <c r="C6991" s="25" t="n">
        <f aca="false">IF(C6986&gt;0,MIN(C6976,C6986*$C$6972),0)</f>
        <v>0</v>
      </c>
    </row>
    <row r="6992" customFormat="false" ht="15" hidden="false" customHeight="false" outlineLevel="0" collapsed="false">
      <c r="A6992" s="5" t="s">
        <v>460</v>
      </c>
      <c r="C6992" s="25" t="n">
        <f aca="false">IF(C6987&gt;0,MIN(C6977,C6987*$C$6972),0)</f>
        <v>0</v>
      </c>
    </row>
    <row r="6993" customFormat="false" ht="15" hidden="false" customHeight="false" outlineLevel="0" collapsed="false">
      <c r="A6993" s="23" t="s">
        <v>464</v>
      </c>
      <c r="B6993" s="24"/>
      <c r="C6993" s="24"/>
      <c r="D6993" s="24"/>
      <c r="E6993" s="24"/>
      <c r="F6993" s="24"/>
      <c r="G6993" s="24"/>
      <c r="H6993" s="24"/>
      <c r="I6993" s="24"/>
      <c r="J6993" s="24"/>
      <c r="K6993" s="24"/>
    </row>
    <row r="6994" customFormat="false" ht="15" hidden="false" customHeight="false" outlineLevel="0" collapsed="false">
      <c r="A6994" s="5" t="s">
        <v>457</v>
      </c>
      <c r="C6994" s="25" t="n">
        <f aca="false">IF(C6984&gt;0,C6974-C6989,0)</f>
        <v>0</v>
      </c>
    </row>
    <row r="6995" customFormat="false" ht="15" hidden="false" customHeight="false" outlineLevel="0" collapsed="false">
      <c r="A6995" s="5" t="s">
        <v>458</v>
      </c>
      <c r="C6995" s="25" t="n">
        <f aca="false">IF(C6985&gt;0,C6975-C6990,0)</f>
        <v>0</v>
      </c>
    </row>
    <row r="6996" customFormat="false" ht="15" hidden="false" customHeight="false" outlineLevel="0" collapsed="false">
      <c r="A6996" s="5" t="s">
        <v>459</v>
      </c>
      <c r="C6996" s="25" t="n">
        <f aca="false">IF(C6986&gt;0,C6976-C6991,0)</f>
        <v>0</v>
      </c>
    </row>
    <row r="6997" customFormat="false" ht="15" hidden="false" customHeight="false" outlineLevel="0" collapsed="false">
      <c r="A6997" s="5" t="s">
        <v>460</v>
      </c>
      <c r="C6997" s="25" t="n">
        <f aca="false">IF(C6987&gt;0,C6977-C6992,0)</f>
        <v>0</v>
      </c>
    </row>
    <row r="6998" customFormat="false" ht="15" hidden="false" customHeight="false" outlineLevel="0" collapsed="false">
      <c r="A6998" s="23" t="s">
        <v>465</v>
      </c>
      <c r="B6998" s="24"/>
      <c r="C6998" s="24"/>
      <c r="D6998" s="24"/>
      <c r="E6998" s="24"/>
      <c r="F6998" s="24"/>
      <c r="G6998" s="24"/>
      <c r="H6998" s="24"/>
      <c r="I6998" s="24"/>
      <c r="J6998" s="24"/>
      <c r="K6998" s="24"/>
    </row>
    <row r="6999" customFormat="false" ht="15" hidden="false" customHeight="false" outlineLevel="0" collapsed="false">
      <c r="A6999" s="5" t="s">
        <v>457</v>
      </c>
      <c r="C6999" s="25" t="n">
        <f aca="false">IF(C6984&gt;0,C6994,C6974)</f>
        <v>140.44</v>
      </c>
    </row>
    <row r="7000" customFormat="false" ht="15" hidden="false" customHeight="false" outlineLevel="0" collapsed="false">
      <c r="A7000" s="5" t="s">
        <v>458</v>
      </c>
      <c r="C7000" s="25" t="n">
        <f aca="false">IF(C6985&gt;0,C6995,C6975)</f>
        <v>509.6</v>
      </c>
    </row>
    <row r="7001" customFormat="false" ht="15" hidden="false" customHeight="false" outlineLevel="0" collapsed="false">
      <c r="A7001" s="5" t="s">
        <v>459</v>
      </c>
      <c r="C7001" s="25" t="n">
        <f aca="false">IF(C6986&gt;0,C6996,C6976)</f>
        <v>250</v>
      </c>
    </row>
    <row r="7002" customFormat="false" ht="15" hidden="false" customHeight="false" outlineLevel="0" collapsed="false">
      <c r="A7002" s="5" t="s">
        <v>460</v>
      </c>
      <c r="C7002" s="25" t="n">
        <f aca="false">IF(C6987&gt;0,C6997,C6977)</f>
        <v>300</v>
      </c>
    </row>
    <row r="7003" customFormat="false" ht="15" hidden="false" customHeight="false" outlineLevel="0" collapsed="false">
      <c r="A7003" s="23" t="s">
        <v>466</v>
      </c>
      <c r="B7003" s="24"/>
      <c r="C7003" s="24"/>
      <c r="D7003" s="24"/>
      <c r="E7003" s="24"/>
      <c r="F7003" s="24"/>
      <c r="G7003" s="24"/>
      <c r="H7003" s="24"/>
      <c r="I7003" s="24"/>
      <c r="J7003" s="24"/>
      <c r="K7003" s="24"/>
    </row>
    <row r="7004" customFormat="false" ht="15" hidden="false" customHeight="false" outlineLevel="0" collapsed="false">
      <c r="A7004" s="5" t="s">
        <v>457</v>
      </c>
      <c r="C7004" s="20" t="n">
        <f aca="false">IF(C6984&gt;0,Assumptions!$C$17,C6979)</f>
        <v>1</v>
      </c>
    </row>
    <row r="7005" customFormat="false" ht="15" hidden="false" customHeight="false" outlineLevel="0" collapsed="false">
      <c r="A7005" s="5" t="s">
        <v>458</v>
      </c>
      <c r="C7005" s="20" t="n">
        <f aca="false">IF(C6985&gt;0,Assumptions!$C$17,C6980)</f>
        <v>2</v>
      </c>
    </row>
    <row r="7006" customFormat="false" ht="15" hidden="false" customHeight="false" outlineLevel="0" collapsed="false">
      <c r="A7006" s="5" t="s">
        <v>459</v>
      </c>
      <c r="C7006" s="20" t="n">
        <f aca="false">IF(C6986&gt;0,Assumptions!$C$17,C6981)</f>
        <v>3</v>
      </c>
    </row>
    <row r="7007" customFormat="false" ht="15" hidden="false" customHeight="false" outlineLevel="0" collapsed="false">
      <c r="A7007" s="5" t="s">
        <v>460</v>
      </c>
      <c r="C7007" s="20" t="n">
        <f aca="false">IF(C6987&gt;0,Assumptions!$C$17,C6982)</f>
        <v>4</v>
      </c>
    </row>
    <row r="7008" customFormat="false" ht="15" hidden="false" customHeight="false" outlineLevel="0" collapsed="false">
      <c r="A7008" s="23" t="s">
        <v>467</v>
      </c>
      <c r="B7008" s="24"/>
      <c r="C7008" s="24"/>
      <c r="D7008" s="24"/>
      <c r="E7008" s="24"/>
      <c r="F7008" s="24"/>
      <c r="G7008" s="24"/>
      <c r="H7008" s="24"/>
      <c r="I7008" s="24"/>
      <c r="J7008" s="24"/>
      <c r="K7008" s="24"/>
    </row>
    <row r="7009" customFormat="false" ht="15" hidden="false" customHeight="false" outlineLevel="0" collapsed="false">
      <c r="A7009" s="5" t="s">
        <v>457</v>
      </c>
      <c r="C7009" s="25" t="n">
        <f aca="false">SUMPRODUCT(($C$7004:$C$7007&lt;C7004)*$C$6999:$C$7002)</f>
        <v>0</v>
      </c>
    </row>
    <row r="7010" customFormat="false" ht="15" hidden="false" customHeight="false" outlineLevel="0" collapsed="false">
      <c r="A7010" s="5" t="s">
        <v>458</v>
      </c>
      <c r="C7010" s="25" t="n">
        <f aca="false">SUMPRODUCT(($C$7004:$C$7007&lt;C7005)*$C$6999:$C$7002)</f>
        <v>140.44</v>
      </c>
    </row>
    <row r="7011" customFormat="false" ht="15" hidden="false" customHeight="false" outlineLevel="0" collapsed="false">
      <c r="A7011" s="5" t="s">
        <v>459</v>
      </c>
      <c r="C7011" s="25" t="n">
        <f aca="false">SUMPRODUCT(($C$7004:$C$7007&lt;C7006)*$C$6999:$C$7002)</f>
        <v>650.04</v>
      </c>
    </row>
    <row r="7012" customFormat="false" ht="15" hidden="false" customHeight="false" outlineLevel="0" collapsed="false">
      <c r="A7012" s="5" t="s">
        <v>460</v>
      </c>
      <c r="C7012" s="25" t="n">
        <f aca="false">SUMPRODUCT(($C$7004:$C$7007&lt;C7007)*$C$6999:$C$7002)</f>
        <v>900.04</v>
      </c>
    </row>
    <row r="7013" customFormat="false" ht="15" hidden="false" customHeight="false" outlineLevel="0" collapsed="false">
      <c r="A7013" s="23" t="s">
        <v>468</v>
      </c>
      <c r="B7013" s="24"/>
      <c r="C7013" s="24"/>
      <c r="D7013" s="24"/>
      <c r="E7013" s="24"/>
      <c r="F7013" s="24"/>
      <c r="G7013" s="24"/>
      <c r="H7013" s="24"/>
      <c r="I7013" s="24"/>
      <c r="J7013" s="24"/>
      <c r="K7013" s="24"/>
    </row>
    <row r="7014" customFormat="false" ht="15" hidden="false" customHeight="false" outlineLevel="0" collapsed="false">
      <c r="A7014" s="5" t="s">
        <v>457</v>
      </c>
      <c r="C7014" s="25" t="n">
        <f aca="false">SUMPRODUCT(($C$7004:$C$7007=C7004)*$C$6999:$C$7002)</f>
        <v>140.44</v>
      </c>
    </row>
    <row r="7015" customFormat="false" ht="15" hidden="false" customHeight="false" outlineLevel="0" collapsed="false">
      <c r="A7015" s="5" t="s">
        <v>458</v>
      </c>
      <c r="C7015" s="25" t="n">
        <f aca="false">SUMPRODUCT(($C$7004:$C$7007=C7005)*$C$6999:$C$7002)</f>
        <v>509.6</v>
      </c>
    </row>
    <row r="7016" customFormat="false" ht="15" hidden="false" customHeight="false" outlineLevel="0" collapsed="false">
      <c r="A7016" s="5" t="s">
        <v>459</v>
      </c>
      <c r="C7016" s="25" t="n">
        <f aca="false">SUMPRODUCT(($C$7004:$C$7007=C7006)*$C$6999:$C$7002)</f>
        <v>250</v>
      </c>
    </row>
    <row r="7017" customFormat="false" ht="15" hidden="false" customHeight="false" outlineLevel="0" collapsed="false">
      <c r="A7017" s="5" t="s">
        <v>460</v>
      </c>
      <c r="C7017" s="25" t="n">
        <f aca="false">SUMPRODUCT(($C$7004:$C$7007=C7007)*$C$6999:$C$7002)</f>
        <v>300</v>
      </c>
    </row>
    <row r="7018" customFormat="false" ht="15" hidden="false" customHeight="false" outlineLevel="0" collapsed="false">
      <c r="A7018" s="23" t="s">
        <v>469</v>
      </c>
      <c r="B7018" s="24"/>
      <c r="C7018" s="24"/>
      <c r="D7018" s="24"/>
      <c r="E7018" s="24"/>
      <c r="F7018" s="24"/>
      <c r="G7018" s="24"/>
      <c r="H7018" s="24"/>
      <c r="I7018" s="24"/>
      <c r="J7018" s="24"/>
      <c r="K7018" s="24"/>
    </row>
    <row r="7019" customFormat="false" ht="15" hidden="false" customHeight="false" outlineLevel="0" collapsed="false">
      <c r="A7019" s="5" t="s">
        <v>457</v>
      </c>
      <c r="C7019" s="25" t="n">
        <f aca="false">IF(C7014=0,0,C6999/C7014*MAX(0,MIN(C7014,$C$6972-SUM($C$6989:$C$6992)-C7009)))</f>
        <v>140.44</v>
      </c>
    </row>
    <row r="7020" customFormat="false" ht="15" hidden="false" customHeight="false" outlineLevel="0" collapsed="false">
      <c r="A7020" s="5" t="s">
        <v>458</v>
      </c>
      <c r="C7020" s="25" t="n">
        <f aca="false">IF(C7015=0,0,C7000/C7015*MAX(0,MIN(C7015,$C$6972-SUM($C$6989:$C$6992)-C7010)))</f>
        <v>509.6</v>
      </c>
    </row>
    <row r="7021" customFormat="false" ht="15" hidden="false" customHeight="false" outlineLevel="0" collapsed="false">
      <c r="A7021" s="5" t="s">
        <v>459</v>
      </c>
      <c r="C7021" s="25" t="n">
        <f aca="false">IF(C7016=0,0,C7001/C7016*MAX(0,MIN(C7016,$C$6972-SUM($C$6989:$C$6992)-C7011)))</f>
        <v>250</v>
      </c>
    </row>
    <row r="7022" customFormat="false" ht="15" hidden="false" customHeight="false" outlineLevel="0" collapsed="false">
      <c r="A7022" s="5" t="s">
        <v>460</v>
      </c>
      <c r="C7022" s="25" t="n">
        <f aca="false">IF(C7017=0,0,C7002/C7017*MAX(0,MIN(C7017,$C$6972-SUM($C$6989:$C$6992)-C7012)))</f>
        <v>23.4987199999999</v>
      </c>
    </row>
    <row r="7023" customFormat="false" ht="15" hidden="false" customHeight="false" outlineLevel="0" collapsed="false">
      <c r="A7023" s="23" t="s">
        <v>470</v>
      </c>
      <c r="B7023" s="24"/>
      <c r="C7023" s="24"/>
      <c r="D7023" s="24"/>
      <c r="E7023" s="24"/>
      <c r="F7023" s="24"/>
      <c r="G7023" s="24"/>
      <c r="H7023" s="24"/>
      <c r="I7023" s="24"/>
      <c r="J7023" s="24"/>
      <c r="K7023" s="24"/>
    </row>
    <row r="7024" customFormat="false" ht="15" hidden="false" customHeight="false" outlineLevel="0" collapsed="false">
      <c r="A7024" s="2" t="s">
        <v>457</v>
      </c>
      <c r="C7024" s="16" t="n">
        <f aca="false">C6989+C7019</f>
        <v>140.44</v>
      </c>
    </row>
    <row r="7025" customFormat="false" ht="15" hidden="false" customHeight="false" outlineLevel="0" collapsed="false">
      <c r="A7025" s="2" t="s">
        <v>458</v>
      </c>
      <c r="C7025" s="16" t="n">
        <f aca="false">C6990+C7020</f>
        <v>509.6</v>
      </c>
    </row>
    <row r="7026" customFormat="false" ht="15" hidden="false" customHeight="false" outlineLevel="0" collapsed="false">
      <c r="A7026" s="2" t="s">
        <v>459</v>
      </c>
      <c r="C7026" s="16" t="n">
        <f aca="false">C6991+C7021</f>
        <v>250</v>
      </c>
    </row>
    <row r="7027" customFormat="false" ht="15" hidden="false" customHeight="false" outlineLevel="0" collapsed="false">
      <c r="A7027" s="2" t="s">
        <v>460</v>
      </c>
      <c r="C7027" s="16" t="n">
        <f aca="false">C6992+C7022</f>
        <v>23.4987199999999</v>
      </c>
    </row>
    <row r="7028" customFormat="false" ht="15" hidden="false" customHeight="false" outlineLevel="0" collapsed="false">
      <c r="A7028" s="23" t="s">
        <v>471</v>
      </c>
      <c r="B7028" s="24"/>
      <c r="C7028" s="24"/>
      <c r="D7028" s="24"/>
      <c r="E7028" s="24"/>
      <c r="F7028" s="24"/>
      <c r="G7028" s="24"/>
      <c r="H7028" s="24"/>
      <c r="I7028" s="24"/>
      <c r="J7028" s="24"/>
      <c r="K7028" s="24"/>
    </row>
    <row r="7029" customFormat="false" ht="15" hidden="false" customHeight="false" outlineLevel="0" collapsed="false">
      <c r="A7029" s="5" t="s">
        <v>457</v>
      </c>
      <c r="C7029" s="21" t="n">
        <f aca="false">IF(C6974=0,1,C7024/C6974)</f>
        <v>1</v>
      </c>
    </row>
    <row r="7030" customFormat="false" ht="15" hidden="false" customHeight="false" outlineLevel="0" collapsed="false">
      <c r="A7030" s="5" t="s">
        <v>458</v>
      </c>
      <c r="C7030" s="21" t="n">
        <f aca="false">IF(C6975=0,1,C7025/C6975)</f>
        <v>1</v>
      </c>
    </row>
    <row r="7031" customFormat="false" ht="15" hidden="false" customHeight="false" outlineLevel="0" collapsed="false">
      <c r="A7031" s="5" t="s">
        <v>459</v>
      </c>
      <c r="C7031" s="21" t="n">
        <f aca="false">IF(C6976=0,1,C7026/C6976)</f>
        <v>1</v>
      </c>
    </row>
    <row r="7032" customFormat="false" ht="15" hidden="false" customHeight="false" outlineLevel="0" collapsed="false">
      <c r="A7032" s="5" t="s">
        <v>460</v>
      </c>
      <c r="C7032" s="21" t="n">
        <f aca="false">IF(C6977=0,1,C7027/C6977)</f>
        <v>0.0783290666666665</v>
      </c>
    </row>
    <row r="7033" customFormat="false" ht="15" hidden="false" customHeight="false" outlineLevel="0" collapsed="false">
      <c r="A7033" s="23" t="s">
        <v>472</v>
      </c>
      <c r="B7033" s="24"/>
      <c r="C7033" s="24"/>
      <c r="D7033" s="24"/>
      <c r="E7033" s="24"/>
      <c r="F7033" s="24"/>
      <c r="G7033" s="24"/>
      <c r="H7033" s="24"/>
      <c r="I7033" s="24"/>
      <c r="J7033" s="24"/>
      <c r="K7033" s="24"/>
    </row>
    <row r="7034" customFormat="false" ht="15" hidden="false" customHeight="false" outlineLevel="0" collapsed="false">
      <c r="A7034" s="5" t="s">
        <v>457</v>
      </c>
      <c r="C7034" s="25" t="n">
        <f aca="false">C6974-C7024</f>
        <v>0</v>
      </c>
    </row>
    <row r="7035" customFormat="false" ht="15" hidden="false" customHeight="false" outlineLevel="0" collapsed="false">
      <c r="A7035" s="5" t="s">
        <v>458</v>
      </c>
      <c r="C7035" s="25" t="n">
        <f aca="false">C6975-C7025</f>
        <v>0</v>
      </c>
    </row>
    <row r="7036" customFormat="false" ht="15" hidden="false" customHeight="false" outlineLevel="0" collapsed="false">
      <c r="A7036" s="5" t="s">
        <v>459</v>
      </c>
      <c r="C7036" s="25" t="n">
        <f aca="false">C6976-C7026</f>
        <v>0</v>
      </c>
    </row>
    <row r="7037" customFormat="false" ht="15" hidden="false" customHeight="false" outlineLevel="0" collapsed="false">
      <c r="A7037" s="5" t="s">
        <v>460</v>
      </c>
      <c r="C7037" s="25" t="n">
        <f aca="false">C6977-C7027</f>
        <v>276.50128</v>
      </c>
    </row>
    <row r="7038" customFormat="false" ht="15" hidden="false" customHeight="false" outlineLevel="0" collapsed="false">
      <c r="A7038" s="23" t="s">
        <v>473</v>
      </c>
      <c r="B7038" s="24"/>
      <c r="C7038" s="24"/>
      <c r="D7038" s="24"/>
      <c r="E7038" s="24"/>
      <c r="F7038" s="24"/>
      <c r="G7038" s="24"/>
      <c r="H7038" s="24"/>
      <c r="I7038" s="24"/>
      <c r="J7038" s="24"/>
      <c r="K7038" s="24"/>
    </row>
    <row r="7039" customFormat="false" ht="15" hidden="false" customHeight="false" outlineLevel="0" collapsed="false">
      <c r="A7039" s="5" t="s">
        <v>457</v>
      </c>
      <c r="C7039" s="21" t="n">
        <f aca="false">IF(C6974=0,0,C7034/C6974)</f>
        <v>0</v>
      </c>
    </row>
    <row r="7040" customFormat="false" ht="15" hidden="false" customHeight="false" outlineLevel="0" collapsed="false">
      <c r="A7040" s="5" t="s">
        <v>458</v>
      </c>
      <c r="C7040" s="21" t="n">
        <f aca="false">IF(C6975=0,0,C7035/C6975)</f>
        <v>0</v>
      </c>
    </row>
    <row r="7041" customFormat="false" ht="15" hidden="false" customHeight="false" outlineLevel="0" collapsed="false">
      <c r="A7041" s="5" t="s">
        <v>459</v>
      </c>
      <c r="C7041" s="21" t="n">
        <f aca="false">IF(C6976=0,0,C7036/C6976)</f>
        <v>0</v>
      </c>
    </row>
    <row r="7042" customFormat="false" ht="15" hidden="false" customHeight="false" outlineLevel="0" collapsed="false">
      <c r="A7042" s="5" t="s">
        <v>460</v>
      </c>
      <c r="C7042" s="21" t="n">
        <f aca="false">IF(C6977=0,0,C7037/C6977)</f>
        <v>0.921670933333334</v>
      </c>
    </row>
    <row r="7043" customFormat="false" ht="15" hidden="false" customHeight="false" outlineLevel="0" collapsed="false">
      <c r="A7043" s="2" t="s">
        <v>474</v>
      </c>
      <c r="C7043" s="16" t="n">
        <f aca="false">MAX(0,$C$6972-SUM($C$6989:$C$6992)-SUM($C$6999:$C$7002))</f>
        <v>0</v>
      </c>
    </row>
    <row r="7044" customFormat="false" ht="15" hidden="false" customHeight="false" outlineLevel="0" collapsed="false">
      <c r="A7044" s="5" t="s">
        <v>492</v>
      </c>
      <c r="C7044" s="33" t="n">
        <f aca="false">MIN(C6971,100*CHOOSE(C6961,C7029,C7030,C7031,C7032))</f>
        <v>100</v>
      </c>
    </row>
    <row r="7045" customFormat="false" ht="15" hidden="false" customHeight="false" outlineLevel="0" collapsed="false">
      <c r="A7045" s="5" t="s">
        <v>493</v>
      </c>
      <c r="C7045" s="20" t="n">
        <f aca="false">IF(C6877=1,C6966+Assumptions!$C$36,C6965)</f>
        <v>3</v>
      </c>
    </row>
    <row r="7046" customFormat="false" ht="15" hidden="false" customHeight="false" outlineLevel="0" collapsed="false">
      <c r="A7046" s="23" t="s">
        <v>494</v>
      </c>
      <c r="B7046" s="24"/>
      <c r="C7046" s="24"/>
      <c r="D7046" s="24"/>
      <c r="E7046" s="24"/>
      <c r="F7046" s="24"/>
      <c r="G7046" s="24"/>
      <c r="H7046" s="24"/>
      <c r="I7046" s="24"/>
      <c r="J7046" s="24"/>
      <c r="K7046" s="24"/>
    </row>
    <row r="7047" customFormat="false" ht="15" hidden="false" customHeight="false" outlineLevel="0" collapsed="false">
      <c r="A7047" s="5" t="s">
        <v>495</v>
      </c>
      <c r="C7047" s="20" t="n">
        <f aca="false">COLUMN()-COLUMN($C$1)</f>
        <v>0</v>
      </c>
      <c r="D7047" s="20" t="n">
        <f aca="false">COLUMN()-COLUMN($C$1)</f>
        <v>1</v>
      </c>
      <c r="E7047" s="20" t="n">
        <f aca="false">COLUMN()-COLUMN($C$1)</f>
        <v>2</v>
      </c>
      <c r="F7047" s="20" t="n">
        <f aca="false">COLUMN()-COLUMN($C$1)</f>
        <v>3</v>
      </c>
      <c r="G7047" s="20" t="n">
        <f aca="false">COLUMN()-COLUMN($C$1)</f>
        <v>4</v>
      </c>
      <c r="H7047" s="20" t="n">
        <f aca="false">COLUMN()-COLUMN($C$1)</f>
        <v>5</v>
      </c>
      <c r="I7047" s="20" t="n">
        <f aca="false">COLUMN()-COLUMN($C$1)</f>
        <v>6</v>
      </c>
    </row>
    <row r="7048" customFormat="false" ht="15" hidden="false" customHeight="false" outlineLevel="0" collapsed="false">
      <c r="A7048" s="5" t="s">
        <v>496</v>
      </c>
      <c r="D7048" s="30" t="n">
        <f aca="false">CHOOSE($C$6961,G6759,G6772,G6785,G6798)</f>
        <v>0.103</v>
      </c>
      <c r="E7048" s="30" t="n">
        <f aca="false">CHOOSE($C$6961,H6759,H6772,H6785,H6798)</f>
        <v>0.1005</v>
      </c>
      <c r="F7048" s="30" t="n">
        <f aca="false">CHOOSE($C$6961,I6759,I6772,I6785,I6798)</f>
        <v>0.098</v>
      </c>
      <c r="G7048" s="30" t="n">
        <f aca="false">CHOOSE($C$6961,J6759,J6772,J6785,J6798)</f>
        <v>0.098</v>
      </c>
      <c r="H7048" s="30" t="n">
        <f aca="false">CHOOSE($C$6961,K6759,K6772,K6785,K6798)</f>
        <v>0.098</v>
      </c>
    </row>
    <row r="7049" customFormat="false" ht="15" hidden="false" customHeight="false" outlineLevel="0" collapsed="false">
      <c r="A7049" s="5" t="s">
        <v>497</v>
      </c>
      <c r="D7049" s="25" t="n">
        <f aca="false">IF(D7047&lt;=$C$6970,$C$6962*D7048,0)</f>
        <v>10.3</v>
      </c>
      <c r="E7049" s="25" t="n">
        <f aca="false">IF(E7047&lt;=$C$6970,$C$6962*E7048,0)</f>
        <v>10.05</v>
      </c>
      <c r="F7049" s="25" t="n">
        <f aca="false">IF(F7047&lt;=$C$6970,$C$6962*F7048,0)</f>
        <v>0</v>
      </c>
      <c r="G7049" s="25" t="n">
        <f aca="false">IF(G7047&lt;=$C$6970,$C$6962*G7048,0)</f>
        <v>0</v>
      </c>
      <c r="H7049" s="25" t="n">
        <f aca="false">IF(H7047&lt;=$C$6970,$C$6962*H7048,0)</f>
        <v>0</v>
      </c>
    </row>
    <row r="7050" customFormat="false" ht="15" hidden="false" customHeight="false" outlineLevel="0" collapsed="false">
      <c r="A7050" s="5" t="s">
        <v>498</v>
      </c>
      <c r="D7050" s="25" t="n">
        <f aca="false">IF(AND($C$6877=0,D7047=$C$6965),$C$6962*$C$7044/100,0)+IF(AND($C$6877=1,D7047=$C$7045),$C$6968,0)</f>
        <v>0</v>
      </c>
      <c r="E7050" s="25" t="n">
        <f aca="false">IF(AND($C$6877=0,E7047=$C$6965),$C$6962*$C$7044/100,0)+IF(AND($C$6877=1,E7047=$C$7045),$C$6968,0)</f>
        <v>0</v>
      </c>
      <c r="F7050" s="25" t="n">
        <f aca="false">IF(AND($C$6877=0,F7047=$C$6965),$C$6962*$C$7044/100,0)+IF(AND($C$6877=1,F7047=$C$7045),$C$6968,0)</f>
        <v>89.4168593014129</v>
      </c>
      <c r="G7050" s="25" t="n">
        <f aca="false">IF(AND($C$6877=0,G7047=$C$6965),$C$6962*$C$7044/100,0)+IF(AND($C$6877=1,G7047=$C$7045),$C$6968,0)</f>
        <v>0</v>
      </c>
      <c r="H7050" s="25" t="n">
        <f aca="false">IF(AND($C$6877=0,H7047=$C$6965),$C$6962*$C$7044/100,0)+IF(AND($C$6877=1,H7047=$C$7045),$C$6968,0)</f>
        <v>0</v>
      </c>
      <c r="I7050" s="25" t="n">
        <f aca="false">IF(AND($C$6877=0,I7047=$C$6965),$C$6962*$C$7044/100,0)+IF(AND($C$6877=1,I7047=$C$7045),$C$6968,0)</f>
        <v>0</v>
      </c>
    </row>
    <row r="7051" customFormat="false" ht="15" hidden="false" customHeight="false" outlineLevel="0" collapsed="false">
      <c r="A7051" s="2" t="s">
        <v>499</v>
      </c>
      <c r="C7051" s="16" t="n">
        <f aca="false">-$C$6964</f>
        <v>-78.39</v>
      </c>
      <c r="D7051" s="16" t="n">
        <f aca="false">D7049+D7050</f>
        <v>10.3</v>
      </c>
      <c r="E7051" s="16" t="n">
        <f aca="false">E7049+E7050</f>
        <v>10.05</v>
      </c>
      <c r="F7051" s="16" t="n">
        <f aca="false">F7049+F7050</f>
        <v>89.4168593014129</v>
      </c>
      <c r="G7051" s="16" t="n">
        <f aca="false">G7049+G7050</f>
        <v>0</v>
      </c>
      <c r="H7051" s="16" t="n">
        <f aca="false">H7049+H7050</f>
        <v>0</v>
      </c>
      <c r="I7051" s="16" t="n">
        <f aca="false">I7049+I7050</f>
        <v>0</v>
      </c>
    </row>
    <row r="7052" customFormat="false" ht="15" hidden="false" customHeight="false" outlineLevel="0" collapsed="false">
      <c r="A7052" s="5" t="s">
        <v>500</v>
      </c>
      <c r="C7052" s="25" t="n">
        <f aca="false">SUM($C$7049:$I$7049)</f>
        <v>20.35</v>
      </c>
    </row>
    <row r="7053" customFormat="false" ht="15" hidden="false" customHeight="false" outlineLevel="0" collapsed="false">
      <c r="A7053" s="5" t="s">
        <v>501</v>
      </c>
      <c r="C7053" s="25" t="n">
        <f aca="false">SUM($C$7050:$I$7050)</f>
        <v>89.4168593014129</v>
      </c>
    </row>
    <row r="7054" customFormat="false" ht="15" hidden="false" customHeight="false" outlineLevel="0" collapsed="false">
      <c r="A7054" s="5" t="s">
        <v>502</v>
      </c>
      <c r="C7054" s="25" t="n">
        <f aca="false">C7052+C7053</f>
        <v>109.766859301413</v>
      </c>
    </row>
    <row r="7055" customFormat="false" ht="15" hidden="false" customHeight="false" outlineLevel="0" collapsed="false">
      <c r="A7055" s="5" t="s">
        <v>503</v>
      </c>
      <c r="C7055" s="25" t="n">
        <f aca="false">C7053-C6962*C6963/100</f>
        <v>11.4168593014129</v>
      </c>
    </row>
    <row r="7056" customFormat="false" ht="15" hidden="false" customHeight="false" outlineLevel="0" collapsed="false">
      <c r="A7056" s="5" t="s">
        <v>504</v>
      </c>
      <c r="C7056" s="25" t="n">
        <f aca="false">C7054-C6964</f>
        <v>31.3768593014129</v>
      </c>
    </row>
    <row r="7057" customFormat="false" ht="15" hidden="false" customHeight="false" outlineLevel="0" collapsed="false">
      <c r="A7057" s="2" t="s">
        <v>385</v>
      </c>
      <c r="C7057" s="43" t="n">
        <f aca="false">C7054/C6964</f>
        <v>1.4002660964589</v>
      </c>
    </row>
    <row r="7058" customFormat="false" ht="15" hidden="false" customHeight="false" outlineLevel="0" collapsed="false">
      <c r="A7058" s="2" t="s">
        <v>384</v>
      </c>
      <c r="C7058" s="41" t="n">
        <f aca="false">IF(C7054&lt;=0,-1,IFERROR(IRR($C$7051:$I$7051,MAX(-0.9,C7057^(1/C7045)-1)),IRR($C$7051:$I$7051,0.1)))</f>
        <v>0.13305046644196</v>
      </c>
    </row>
    <row r="7059" customFormat="false" ht="15" hidden="false" customHeight="false" outlineLevel="0" collapsed="false">
      <c r="A7059" s="5" t="s">
        <v>505</v>
      </c>
      <c r="C7059" s="31" t="n">
        <f aca="false">MAX($G$6853:$K$6853)</f>
        <v>9.3755338226324</v>
      </c>
    </row>
    <row r="7060" customFormat="false" ht="15" hidden="false" customHeight="false" outlineLevel="0" collapsed="false">
      <c r="A7060" s="5" t="s">
        <v>506</v>
      </c>
      <c r="C7060" s="31" t="n">
        <f aca="false">MIN($G$6854:$K$6854)</f>
        <v>1.16575885964581</v>
      </c>
    </row>
    <row r="7061" customFormat="false" ht="15" hidden="false" customHeight="false" outlineLevel="0" collapsed="false">
      <c r="A7061" s="5" t="s">
        <v>507</v>
      </c>
      <c r="C7061" s="25" t="n">
        <f aca="false">SUM($G$6743:$K$6743)</f>
        <v>-0.505995697919953</v>
      </c>
    </row>
    <row r="7065" customFormat="false" ht="15" hidden="false" customHeight="false" outlineLevel="0" collapsed="false">
      <c r="A7065" s="9" t="s">
        <v>646</v>
      </c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</row>
    <row r="7066" customFormat="false" ht="15" hidden="false" customHeight="false" outlineLevel="0" collapsed="false">
      <c r="A7066" s="5" t="s">
        <v>622</v>
      </c>
      <c r="C7066" s="11" t="n">
        <v>1</v>
      </c>
    </row>
    <row r="7067" customFormat="false" ht="15" hidden="false" customHeight="false" outlineLevel="0" collapsed="false">
      <c r="A7067" s="5" t="s">
        <v>623</v>
      </c>
      <c r="C7067" s="29" t="n">
        <f aca="false">Sensitivities!$A$42</f>
        <v>0</v>
      </c>
    </row>
    <row r="7068" customFormat="false" ht="15" hidden="false" customHeight="false" outlineLevel="0" collapsed="false">
      <c r="A7068" s="5" t="s">
        <v>624</v>
      </c>
      <c r="C7068" s="18" t="n">
        <v>0</v>
      </c>
    </row>
    <row r="7069" customFormat="false" ht="15" hidden="false" customHeight="false" outlineLevel="0" collapsed="false">
      <c r="A7069" s="5" t="s">
        <v>625</v>
      </c>
      <c r="C7069" s="18" t="n">
        <v>0</v>
      </c>
    </row>
    <row r="7070" customFormat="false" ht="15" hidden="false" customHeight="false" outlineLevel="0" collapsed="false">
      <c r="A7070" s="5" t="s">
        <v>626</v>
      </c>
      <c r="C7070" s="15" t="n">
        <v>0</v>
      </c>
    </row>
    <row r="7072" customFormat="false" ht="15" hidden="false" customHeight="false" outlineLevel="0" collapsed="false">
      <c r="A7072" s="23" t="s">
        <v>237</v>
      </c>
      <c r="B7072" s="24"/>
      <c r="C7072" s="24"/>
      <c r="D7072" s="24"/>
      <c r="E7072" s="24"/>
      <c r="F7072" s="24"/>
      <c r="G7072" s="24"/>
      <c r="H7072" s="24"/>
      <c r="I7072" s="24"/>
      <c r="J7072" s="24"/>
      <c r="K7072" s="24"/>
    </row>
    <row r="7073" customFormat="false" ht="15" hidden="false" customHeight="false" outlineLevel="0" collapsed="false">
      <c r="A7073" s="5" t="s">
        <v>238</v>
      </c>
      <c r="F7073" s="26" t="n">
        <f aca="false">Assumptions!$C$6</f>
        <v>2025</v>
      </c>
      <c r="G7073" s="20" t="n">
        <f aca="false">F7073+1</f>
        <v>2026</v>
      </c>
      <c r="H7073" s="20" t="n">
        <f aca="false">G7073+1</f>
        <v>2027</v>
      </c>
      <c r="I7073" s="20" t="n">
        <f aca="false">H7073+1</f>
        <v>2028</v>
      </c>
      <c r="J7073" s="20" t="n">
        <f aca="false">I7073+1</f>
        <v>2029</v>
      </c>
      <c r="K7073" s="20" t="n">
        <f aca="false">J7073+1</f>
        <v>2030</v>
      </c>
    </row>
    <row r="7074" customFormat="false" ht="15" hidden="false" customHeight="false" outlineLevel="0" collapsed="false">
      <c r="A7074" s="5" t="s">
        <v>239</v>
      </c>
      <c r="G7074" s="20" t="n">
        <f aca="false">G7073-Assumptions!$C$6</f>
        <v>1</v>
      </c>
      <c r="H7074" s="20" t="n">
        <f aca="false">H7073-Assumptions!$C$6</f>
        <v>2</v>
      </c>
      <c r="I7074" s="20" t="n">
        <f aca="false">I7073-Assumptions!$C$6</f>
        <v>3</v>
      </c>
      <c r="J7074" s="20" t="n">
        <f aca="false">J7073-Assumptions!$C$6</f>
        <v>4</v>
      </c>
      <c r="K7074" s="20" t="n">
        <f aca="false">K7073-Assumptions!$C$6</f>
        <v>5</v>
      </c>
    </row>
    <row r="7075" customFormat="false" ht="15" hidden="false" customHeight="false" outlineLevel="0" collapsed="false">
      <c r="A7075" s="5" t="s">
        <v>149</v>
      </c>
      <c r="G7075" s="21" t="n">
        <f aca="false">CHOOSE($C$7066,Assumptions!$G$65,Assumptions!$G$84,Assumptions!$G$103)+$C$7067</f>
        <v>-0.01</v>
      </c>
      <c r="H7075" s="21" t="n">
        <f aca="false">CHOOSE($C$7066,Assumptions!$H$65,Assumptions!$H$84,Assumptions!$H$103)+$C$7067</f>
        <v>-0.01</v>
      </c>
      <c r="I7075" s="21" t="n">
        <f aca="false">CHOOSE($C$7066,Assumptions!$I$65,Assumptions!$I$84,Assumptions!$I$103)+$C$7067</f>
        <v>-0.01</v>
      </c>
      <c r="J7075" s="21" t="n">
        <f aca="false">CHOOSE($C$7066,Assumptions!$J$65,Assumptions!$J$84,Assumptions!$J$103)+$C$7067</f>
        <v>-0.01</v>
      </c>
      <c r="K7075" s="21" t="n">
        <f aca="false">CHOOSE($C$7066,Assumptions!$K$65,Assumptions!$K$84,Assumptions!$K$103)+$C$7067</f>
        <v>-0.01</v>
      </c>
    </row>
    <row r="7076" customFormat="false" ht="15" hidden="false" customHeight="false" outlineLevel="0" collapsed="false">
      <c r="A7076" s="5" t="s">
        <v>150</v>
      </c>
      <c r="G7076" s="21" t="n">
        <f aca="false">CHOOSE($C$7066,Assumptions!$G$66,Assumptions!$G$85,Assumptions!$G$104)</f>
        <v>0.36</v>
      </c>
      <c r="H7076" s="21" t="n">
        <f aca="false">CHOOSE($C$7066,Assumptions!$H$66,Assumptions!$H$85,Assumptions!$H$104)</f>
        <v>0.362</v>
      </c>
      <c r="I7076" s="21" t="n">
        <f aca="false">CHOOSE($C$7066,Assumptions!$I$66,Assumptions!$I$85,Assumptions!$I$104)</f>
        <v>0.364</v>
      </c>
      <c r="J7076" s="21" t="n">
        <f aca="false">CHOOSE($C$7066,Assumptions!$J$66,Assumptions!$J$85,Assumptions!$J$104)</f>
        <v>0.366</v>
      </c>
      <c r="K7076" s="21" t="n">
        <f aca="false">CHOOSE($C$7066,Assumptions!$K$66,Assumptions!$K$85,Assumptions!$K$104)</f>
        <v>0.368</v>
      </c>
    </row>
    <row r="7077" customFormat="false" ht="15" hidden="false" customHeight="false" outlineLevel="0" collapsed="false">
      <c r="A7077" s="5" t="s">
        <v>151</v>
      </c>
      <c r="G7077" s="21" t="n">
        <f aca="false">CHOOSE($C$7066,Assumptions!$G$67,Assumptions!$G$86,Assumptions!$G$105)+$C$7068</f>
        <v>0.065</v>
      </c>
      <c r="H7077" s="21" t="n">
        <f aca="false">CHOOSE($C$7066,Assumptions!$H$67,Assumptions!$H$86,Assumptions!$H$105)+$C$7068</f>
        <v>0.067</v>
      </c>
      <c r="I7077" s="21" t="n">
        <f aca="false">CHOOSE($C$7066,Assumptions!$I$67,Assumptions!$I$86,Assumptions!$I$105)+$C$7068</f>
        <v>0.069</v>
      </c>
      <c r="J7077" s="21" t="n">
        <f aca="false">CHOOSE($C$7066,Assumptions!$J$67,Assumptions!$J$86,Assumptions!$J$105)+$C$7068</f>
        <v>0.071</v>
      </c>
      <c r="K7077" s="21" t="n">
        <f aca="false">CHOOSE($C$7066,Assumptions!$K$67,Assumptions!$K$86,Assumptions!$K$105)+$C$7068</f>
        <v>0.073</v>
      </c>
    </row>
    <row r="7078" customFormat="false" ht="15" hidden="false" customHeight="false" outlineLevel="0" collapsed="false">
      <c r="A7078" s="23" t="s">
        <v>240</v>
      </c>
      <c r="B7078" s="24"/>
      <c r="C7078" s="24"/>
      <c r="D7078" s="24"/>
      <c r="E7078" s="24"/>
      <c r="F7078" s="24"/>
      <c r="G7078" s="24"/>
      <c r="H7078" s="24"/>
      <c r="I7078" s="24"/>
      <c r="J7078" s="24"/>
      <c r="K7078" s="24"/>
    </row>
    <row r="7079" customFormat="false" ht="15" hidden="false" customHeight="false" outlineLevel="0" collapsed="false">
      <c r="A7079" s="2" t="s">
        <v>207</v>
      </c>
      <c r="F7079" s="27" t="n">
        <f aca="false">'Historical Financials'!E17</f>
        <v>2400</v>
      </c>
      <c r="G7079" s="16" t="n">
        <f aca="false">F7079*(1+G7075)</f>
        <v>2376</v>
      </c>
      <c r="H7079" s="16" t="n">
        <f aca="false">G7079*(1+H7075)</f>
        <v>2352.24</v>
      </c>
      <c r="I7079" s="16" t="n">
        <f aca="false">H7079*(1+I7075)</f>
        <v>2328.7176</v>
      </c>
      <c r="J7079" s="16" t="n">
        <f aca="false">I7079*(1+J7075)</f>
        <v>2305.430424</v>
      </c>
      <c r="K7079" s="16" t="n">
        <f aca="false">J7079*(1+K7075)</f>
        <v>2282.37611976</v>
      </c>
    </row>
    <row r="7080" customFormat="false" ht="15" hidden="false" customHeight="false" outlineLevel="0" collapsed="false">
      <c r="A7080" s="5" t="s">
        <v>217</v>
      </c>
      <c r="G7080" s="25" t="n">
        <f aca="false">G7079*(1-G7076)</f>
        <v>1520.64</v>
      </c>
      <c r="H7080" s="25" t="n">
        <f aca="false">H7079*(1-H7076)</f>
        <v>1500.72912</v>
      </c>
      <c r="I7080" s="25" t="n">
        <f aca="false">I7079*(1-I7076)</f>
        <v>1481.0643936</v>
      </c>
      <c r="J7080" s="25" t="n">
        <f aca="false">J7079*(1-J7076)</f>
        <v>1461.642888816</v>
      </c>
      <c r="K7080" s="25" t="n">
        <f aca="false">K7079*(1-K7076)</f>
        <v>1442.46170768832</v>
      </c>
    </row>
    <row r="7081" customFormat="false" ht="15" hidden="false" customHeight="false" outlineLevel="0" collapsed="false">
      <c r="A7081" s="2" t="s">
        <v>218</v>
      </c>
      <c r="G7081" s="16" t="n">
        <f aca="false">G7079-G7080</f>
        <v>855.36</v>
      </c>
      <c r="H7081" s="16" t="n">
        <f aca="false">H7079-H7080</f>
        <v>851.51088</v>
      </c>
      <c r="I7081" s="16" t="n">
        <f aca="false">I7079-I7080</f>
        <v>847.6532064</v>
      </c>
      <c r="J7081" s="16" t="n">
        <f aca="false">J7079-J7080</f>
        <v>843.787535184</v>
      </c>
      <c r="K7081" s="16" t="n">
        <f aca="false">K7079-K7080</f>
        <v>839.91441207168</v>
      </c>
    </row>
    <row r="7082" customFormat="false" ht="15" hidden="false" customHeight="false" outlineLevel="0" collapsed="false">
      <c r="A7082" s="5" t="s">
        <v>241</v>
      </c>
      <c r="G7082" s="25" t="n">
        <f aca="false">G7081-G7083</f>
        <v>700.92</v>
      </c>
      <c r="H7082" s="25" t="n">
        <f aca="false">H7081-H7083</f>
        <v>693.9108</v>
      </c>
      <c r="I7082" s="25" t="n">
        <f aca="false">I7081-I7083</f>
        <v>686.971692</v>
      </c>
      <c r="J7082" s="25" t="n">
        <f aca="false">J7081-J7083</f>
        <v>680.10197508</v>
      </c>
      <c r="K7082" s="25" t="n">
        <f aca="false">K7081-K7083</f>
        <v>673.3009553292</v>
      </c>
    </row>
    <row r="7083" customFormat="false" ht="15" hidden="false" customHeight="false" outlineLevel="0" collapsed="false">
      <c r="A7083" s="2" t="s">
        <v>242</v>
      </c>
      <c r="G7083" s="16" t="n">
        <f aca="false">G7079*G7077</f>
        <v>154.44</v>
      </c>
      <c r="H7083" s="16" t="n">
        <f aca="false">H7079*H7077</f>
        <v>157.60008</v>
      </c>
      <c r="I7083" s="16" t="n">
        <f aca="false">I7079*I7077</f>
        <v>160.6815144</v>
      </c>
      <c r="J7083" s="16" t="n">
        <f aca="false">J7079*J7077</f>
        <v>163.685560104</v>
      </c>
      <c r="K7083" s="16" t="n">
        <f aca="false">K7079*K7077</f>
        <v>166.61345674248</v>
      </c>
    </row>
    <row r="7084" customFormat="false" ht="15" hidden="false" customHeight="false" outlineLevel="0" collapsed="false">
      <c r="A7084" s="5" t="s">
        <v>243</v>
      </c>
      <c r="G7084" s="25" t="n">
        <f aca="false">G7079*'Historical Financials'!E22/'Historical Financials'!E17</f>
        <v>52.272</v>
      </c>
      <c r="H7084" s="25" t="n">
        <f aca="false">H7079*'Historical Financials'!E22/'Historical Financials'!E17</f>
        <v>51.74928</v>
      </c>
      <c r="I7084" s="25" t="n">
        <f aca="false">I7079*'Historical Financials'!E22/'Historical Financials'!E17</f>
        <v>51.2317872</v>
      </c>
      <c r="J7084" s="25" t="n">
        <f aca="false">J7079*'Historical Financials'!E22/'Historical Financials'!E17</f>
        <v>50.719469328</v>
      </c>
      <c r="K7084" s="25" t="n">
        <f aca="false">K7079*'Historical Financials'!E22/'Historical Financials'!E17</f>
        <v>50.21227463472</v>
      </c>
    </row>
    <row r="7085" customFormat="false" ht="15" hidden="false" customHeight="false" outlineLevel="0" collapsed="false">
      <c r="A7085" s="5" t="s">
        <v>244</v>
      </c>
      <c r="G7085" s="25" t="n">
        <f aca="false">G7079*'Historical Financials'!E23/'Historical Financials'!E17</f>
        <v>0</v>
      </c>
      <c r="H7085" s="25" t="n">
        <f aca="false">H7079*'Historical Financials'!E23/'Historical Financials'!E17</f>
        <v>0</v>
      </c>
      <c r="I7085" s="25" t="n">
        <f aca="false">I7079*'Historical Financials'!E23/'Historical Financials'!E17</f>
        <v>0</v>
      </c>
      <c r="J7085" s="25" t="n">
        <f aca="false">J7079*'Historical Financials'!E23/'Historical Financials'!E17</f>
        <v>0</v>
      </c>
      <c r="K7085" s="25" t="n">
        <f aca="false">K7079*'Historical Financials'!E23/'Historical Financials'!E17</f>
        <v>0</v>
      </c>
    </row>
    <row r="7086" customFormat="false" ht="15" hidden="false" customHeight="false" outlineLevel="0" collapsed="false">
      <c r="A7086" s="2" t="s">
        <v>245</v>
      </c>
      <c r="G7086" s="16" t="n">
        <f aca="false">G7083-G7084-G7085</f>
        <v>102.168</v>
      </c>
      <c r="H7086" s="16" t="n">
        <f aca="false">H7083-H7084-H7085</f>
        <v>105.8508</v>
      </c>
      <c r="I7086" s="16" t="n">
        <f aca="false">I7083-I7084-I7085</f>
        <v>109.4497272</v>
      </c>
      <c r="J7086" s="16" t="n">
        <f aca="false">J7083-J7084-J7085</f>
        <v>112.966090776</v>
      </c>
      <c r="K7086" s="16" t="n">
        <f aca="false">K7083-K7084-K7085</f>
        <v>116.40118210776</v>
      </c>
    </row>
    <row r="7087" customFormat="false" ht="15" hidden="false" customHeight="false" outlineLevel="0" collapsed="false">
      <c r="A7087" s="5" t="s">
        <v>246</v>
      </c>
      <c r="G7087" s="25" t="n">
        <f aca="false">G7113+G7126+G7139+G7152</f>
        <v>119.04</v>
      </c>
      <c r="H7087" s="25" t="n">
        <f aca="false">H7113+H7126+H7139+H7152</f>
        <v>114.21564</v>
      </c>
      <c r="I7087" s="25" t="n">
        <f aca="false">I7113+I7126+I7139+I7152</f>
        <v>126.8792</v>
      </c>
      <c r="J7087" s="25" t="n">
        <f aca="false">J7113+J7126+J7139+J7152</f>
        <v>134.749836056</v>
      </c>
      <c r="K7087" s="25" t="n">
        <f aca="false">K7113+K7126+K7139+K7152</f>
        <v>136.33146262032</v>
      </c>
    </row>
    <row r="7088" customFormat="false" ht="15" hidden="false" customHeight="false" outlineLevel="0" collapsed="false">
      <c r="A7088" s="5" t="s">
        <v>247</v>
      </c>
      <c r="G7088" s="25" t="n">
        <f aca="false">G7114+G7127+G7140+G7153</f>
        <v>0</v>
      </c>
      <c r="H7088" s="25" t="n">
        <f aca="false">H7114+H7127+H7140+H7153</f>
        <v>0</v>
      </c>
      <c r="I7088" s="25" t="n">
        <f aca="false">I7114+I7127+I7140+I7153</f>
        <v>0</v>
      </c>
      <c r="J7088" s="25" t="n">
        <f aca="false">J7114+J7127+J7140+J7153</f>
        <v>0</v>
      </c>
      <c r="K7088" s="25" t="n">
        <f aca="false">K7114+K7127+K7140+K7153</f>
        <v>0</v>
      </c>
    </row>
    <row r="7089" customFormat="false" ht="15" hidden="false" customHeight="false" outlineLevel="0" collapsed="false">
      <c r="A7089" s="5" t="s">
        <v>212</v>
      </c>
      <c r="G7089" s="25" t="n">
        <f aca="false">G7087+G7088</f>
        <v>119.04</v>
      </c>
      <c r="H7089" s="25" t="n">
        <f aca="false">H7087+H7088</f>
        <v>114.21564</v>
      </c>
      <c r="I7089" s="25" t="n">
        <f aca="false">I7087+I7088</f>
        <v>126.8792</v>
      </c>
      <c r="J7089" s="25" t="n">
        <f aca="false">J7087+J7088</f>
        <v>134.749836056</v>
      </c>
      <c r="K7089" s="25" t="n">
        <f aca="false">K7087+K7088</f>
        <v>136.33146262032</v>
      </c>
    </row>
    <row r="7090" customFormat="false" ht="15" hidden="false" customHeight="false" outlineLevel="0" collapsed="false">
      <c r="A7090" s="2" t="s">
        <v>223</v>
      </c>
      <c r="G7090" s="16" t="n">
        <f aca="false">G7086-G7089</f>
        <v>-16.872</v>
      </c>
      <c r="H7090" s="16" t="n">
        <f aca="false">H7086-H7089</f>
        <v>-8.36484</v>
      </c>
      <c r="I7090" s="16" t="n">
        <f aca="false">I7086-I7089</f>
        <v>-17.4294728</v>
      </c>
      <c r="J7090" s="16" t="n">
        <f aca="false">J7086-J7089</f>
        <v>-21.78374528</v>
      </c>
      <c r="K7090" s="16" t="n">
        <f aca="false">K7086-K7089</f>
        <v>-19.93028051256</v>
      </c>
    </row>
    <row r="7091" customFormat="false" ht="15" hidden="false" customHeight="false" outlineLevel="0" collapsed="false">
      <c r="A7091" s="5" t="s">
        <v>213</v>
      </c>
      <c r="G7091" s="25" t="n">
        <f aca="false">MAX(0,G7090)*Assumptions!$C$9</f>
        <v>0</v>
      </c>
      <c r="H7091" s="25" t="n">
        <f aca="false">MAX(0,H7090)*Assumptions!$C$9</f>
        <v>0</v>
      </c>
      <c r="I7091" s="25" t="n">
        <f aca="false">MAX(0,I7090)*Assumptions!$C$9</f>
        <v>0</v>
      </c>
      <c r="J7091" s="25" t="n">
        <f aca="false">MAX(0,J7090)*Assumptions!$C$9</f>
        <v>0</v>
      </c>
      <c r="K7091" s="25" t="n">
        <f aca="false">MAX(0,K7090)*Assumptions!$C$9</f>
        <v>0</v>
      </c>
    </row>
    <row r="7092" customFormat="false" ht="15" hidden="false" customHeight="false" outlineLevel="0" collapsed="false">
      <c r="A7092" s="2" t="s">
        <v>248</v>
      </c>
      <c r="G7092" s="16" t="n">
        <f aca="false">G7090-G7091</f>
        <v>-16.872</v>
      </c>
      <c r="H7092" s="16" t="n">
        <f aca="false">H7090-H7091</f>
        <v>-8.36484</v>
      </c>
      <c r="I7092" s="16" t="n">
        <f aca="false">I7090-I7091</f>
        <v>-17.4294728</v>
      </c>
      <c r="J7092" s="16" t="n">
        <f aca="false">J7090-J7091</f>
        <v>-21.78374528</v>
      </c>
      <c r="K7092" s="16" t="n">
        <f aca="false">K7090-K7091</f>
        <v>-19.93028051256</v>
      </c>
    </row>
    <row r="7093" customFormat="false" ht="15" hidden="false" customHeight="false" outlineLevel="0" collapsed="false">
      <c r="A7093" s="23" t="s">
        <v>249</v>
      </c>
      <c r="B7093" s="24"/>
      <c r="C7093" s="24"/>
      <c r="D7093" s="24"/>
      <c r="E7093" s="24"/>
      <c r="F7093" s="24"/>
      <c r="G7093" s="24"/>
      <c r="H7093" s="24"/>
      <c r="I7093" s="24"/>
      <c r="J7093" s="24"/>
      <c r="K7093" s="24"/>
    </row>
    <row r="7094" customFormat="false" ht="15" hidden="false" customHeight="false" outlineLevel="0" collapsed="false">
      <c r="A7094" s="5" t="s">
        <v>153</v>
      </c>
      <c r="G7094" s="25" t="n">
        <f aca="false">G7079*CHOOSE($C$7066,Assumptions!$C$69,Assumptions!$C$88,Assumptions!$C$107)</f>
        <v>47.52</v>
      </c>
      <c r="H7094" s="25" t="n">
        <f aca="false">H7079*CHOOSE($C$7066,Assumptions!$C$69,Assumptions!$C$88,Assumptions!$C$107)</f>
        <v>47.0448</v>
      </c>
      <c r="I7094" s="25" t="n">
        <f aca="false">I7079*CHOOSE($C$7066,Assumptions!$C$69,Assumptions!$C$88,Assumptions!$C$107)</f>
        <v>46.574352</v>
      </c>
      <c r="J7094" s="25" t="n">
        <f aca="false">J7079*CHOOSE($C$7066,Assumptions!$C$69,Assumptions!$C$88,Assumptions!$C$107)</f>
        <v>46.10860848</v>
      </c>
      <c r="K7094" s="25" t="n">
        <f aca="false">K7079*CHOOSE($C$7066,Assumptions!$C$69,Assumptions!$C$88,Assumptions!$C$107)</f>
        <v>45.6475223952</v>
      </c>
    </row>
    <row r="7095" customFormat="false" ht="15" hidden="false" customHeight="false" outlineLevel="0" collapsed="false">
      <c r="A7095" s="5" t="s">
        <v>250</v>
      </c>
      <c r="G7095" s="25" t="n">
        <f aca="false">CHOOSE($C$7066,Assumptions!$C$70,Assumptions!$C$89,Assumptions!$C$108)*(G7079-F7079)+CHOOSE($C$7066,Assumptions!$C$71,Assumptions!$C$90,Assumptions!$C$109)*G7079</f>
        <v>-2.88</v>
      </c>
      <c r="H7095" s="25" t="n">
        <f aca="false">CHOOSE($C$7066,Assumptions!$C$70,Assumptions!$C$89,Assumptions!$C$108)*(H7079-G7079)+CHOOSE($C$7066,Assumptions!$C$71,Assumptions!$C$90,Assumptions!$C$109)*H7079</f>
        <v>-2.85120000000003</v>
      </c>
      <c r="I7095" s="25" t="n">
        <f aca="false">CHOOSE($C$7066,Assumptions!$C$70,Assumptions!$C$89,Assumptions!$C$108)*(I7079-H7079)+CHOOSE($C$7066,Assumptions!$C$71,Assumptions!$C$90,Assumptions!$C$109)*I7079</f>
        <v>-2.82268799999998</v>
      </c>
      <c r="J7095" s="25" t="n">
        <f aca="false">CHOOSE($C$7066,Assumptions!$C$70,Assumptions!$C$89,Assumptions!$C$108)*(J7079-I7079)+CHOOSE($C$7066,Assumptions!$C$71,Assumptions!$C$90,Assumptions!$C$109)*J7079</f>
        <v>-2.79446111999998</v>
      </c>
      <c r="K7095" s="25" t="n">
        <f aca="false">CHOOSE($C$7066,Assumptions!$C$70,Assumptions!$C$89,Assumptions!$C$108)*(K7079-J7079)+CHOOSE($C$7066,Assumptions!$C$71,Assumptions!$C$90,Assumptions!$C$109)*K7079</f>
        <v>-2.7665165088</v>
      </c>
    </row>
    <row r="7096" customFormat="false" ht="15" hidden="false" customHeight="false" outlineLevel="0" collapsed="false">
      <c r="A7096" s="2" t="s">
        <v>251</v>
      </c>
      <c r="G7096" s="16" t="n">
        <f aca="false">G7092+G7084+G7085+G7088-G7094-G7095</f>
        <v>-9.24000000000001</v>
      </c>
      <c r="H7096" s="16" t="n">
        <f aca="false">H7092+H7084+H7085+H7088-H7094-H7095</f>
        <v>-0.809159999999978</v>
      </c>
      <c r="I7096" s="16" t="n">
        <f aca="false">I7092+I7084+I7085+I7088-I7094-I7095</f>
        <v>-9.94934960000002</v>
      </c>
      <c r="J7096" s="16" t="n">
        <f aca="false">J7092+J7084+J7085+J7088-J7094-J7095</f>
        <v>-14.378423312</v>
      </c>
      <c r="K7096" s="16" t="n">
        <f aca="false">K7092+K7084+K7085+K7088-K7094-K7095</f>
        <v>-12.59901176424</v>
      </c>
    </row>
    <row r="7098" customFormat="false" ht="15" hidden="false" customHeight="false" outlineLevel="0" collapsed="false">
      <c r="A7098" s="23" t="s">
        <v>253</v>
      </c>
      <c r="B7098" s="24"/>
      <c r="C7098" s="24"/>
      <c r="D7098" s="24"/>
      <c r="E7098" s="24"/>
      <c r="F7098" s="24"/>
      <c r="G7098" s="24"/>
      <c r="H7098" s="24"/>
      <c r="I7098" s="24"/>
      <c r="J7098" s="24"/>
      <c r="K7098" s="24"/>
    </row>
    <row r="7099" customFormat="false" ht="15" hidden="false" customHeight="false" outlineLevel="0" collapsed="false">
      <c r="A7099" s="5" t="s">
        <v>254</v>
      </c>
      <c r="G7099" s="29" t="n">
        <f aca="false">Assumptions!$G$49</f>
        <v>0.0425</v>
      </c>
      <c r="H7099" s="29" t="n">
        <f aca="false">Assumptions!$H$49</f>
        <v>0.04</v>
      </c>
      <c r="I7099" s="29" t="n">
        <f aca="false">Assumptions!$I$49</f>
        <v>0.0375</v>
      </c>
      <c r="J7099" s="29" t="n">
        <f aca="false">Assumptions!$J$49</f>
        <v>0.0375</v>
      </c>
      <c r="K7099" s="29" t="n">
        <f aca="false">Assumptions!$K$49</f>
        <v>0.0375</v>
      </c>
    </row>
    <row r="7100" customFormat="false" ht="15" hidden="false" customHeight="false" outlineLevel="0" collapsed="false">
      <c r="A7100" s="5" t="s">
        <v>255</v>
      </c>
      <c r="C7100" s="30" t="n">
        <f aca="false">CHOOSE($C$7066,Assumptions!$C$72,Assumptions!$C$91,Assumptions!$C$110)+$C$7069</f>
        <v>0</v>
      </c>
    </row>
    <row r="7101" customFormat="false" ht="15" hidden="false" customHeight="false" outlineLevel="0" collapsed="false">
      <c r="A7101" s="5" t="s">
        <v>256</v>
      </c>
      <c r="C7101" s="30" t="n">
        <f aca="false">CHOOSE($C$7066,Assumptions!$C$73,Assumptions!$C$92,Assumptions!$C$111)</f>
        <v>0.11</v>
      </c>
    </row>
    <row r="7102" customFormat="false" ht="15" hidden="false" customHeight="false" outlineLevel="0" collapsed="false">
      <c r="A7102" s="5" t="s">
        <v>257</v>
      </c>
      <c r="C7102" s="31" t="n">
        <f aca="false">CHOOSE($C$7066,Assumptions!$C$74,Assumptions!$C$93,Assumptions!$C$112)</f>
        <v>8.5</v>
      </c>
    </row>
    <row r="7103" customFormat="false" ht="15" hidden="false" customHeight="false" outlineLevel="0" collapsed="false">
      <c r="A7103" s="5" t="s">
        <v>258</v>
      </c>
      <c r="C7103" s="31" t="n">
        <f aca="false">CHOOSE($C$7066,Assumptions!$C$75,Assumptions!$C$94,Assumptions!$C$113)</f>
        <v>1.2</v>
      </c>
    </row>
    <row r="7104" customFormat="false" ht="15" hidden="false" customHeight="false" outlineLevel="0" collapsed="false">
      <c r="A7104" s="5" t="s">
        <v>259</v>
      </c>
      <c r="G7104" s="25" t="n">
        <f aca="false">G7109+G7122+G7135+G7148</f>
        <v>1250</v>
      </c>
      <c r="H7104" s="25" t="n">
        <f aca="false">H7109+H7122+H7135+H7148</f>
        <v>1214.24</v>
      </c>
      <c r="I7104" s="25" t="n">
        <f aca="false">I7109+I7122+I7135+I7148</f>
        <v>1209.04</v>
      </c>
      <c r="J7104" s="25" t="n">
        <f aca="false">J7109+J7122+J7135+J7148</f>
        <v>1224.9985096</v>
      </c>
      <c r="K7104" s="25" t="n">
        <f aca="false">K7109+K7122+K7135+K7148</f>
        <v>1239.376932912</v>
      </c>
    </row>
    <row r="7105" customFormat="false" ht="15" hidden="false" customHeight="false" outlineLevel="0" collapsed="false">
      <c r="A7105" s="5" t="s">
        <v>260</v>
      </c>
      <c r="G7105" s="25" t="n">
        <f aca="false">F7195</f>
        <v>45</v>
      </c>
      <c r="H7105" s="25" t="n">
        <f aca="false">G7195</f>
        <v>0</v>
      </c>
      <c r="I7105" s="25" t="n">
        <f aca="false">H7195</f>
        <v>-6.00915999999998</v>
      </c>
      <c r="J7105" s="25" t="n">
        <f aca="false">I7195</f>
        <v>0</v>
      </c>
      <c r="K7105" s="25" t="n">
        <f aca="false">J7195</f>
        <v>0</v>
      </c>
    </row>
    <row r="7106" customFormat="false" ht="15" hidden="false" customHeight="false" outlineLevel="0" collapsed="false">
      <c r="A7106" s="5" t="s">
        <v>261</v>
      </c>
      <c r="G7106" s="25" t="n">
        <f aca="false">G7109*IF(G7110=1,$C$7101,IF(Assumptions!$I$53=1,MAX(G7099,Assumptions!$G$53)+Assumptions!$F$53+$C$7100,Assumptions!$E$53))+G7122*IF(G7123=1,$C$7101,IF(Assumptions!$I$54=1,MAX(G7099,Assumptions!$G$54)+Assumptions!$F$54+$C$7100,Assumptions!$E$54))+G7135*IF(G7136=1,$C$7101,IF(Assumptions!$I$55=1,MAX(G7099,Assumptions!$G$55)+Assumptions!$F$55+$C$7100,Assumptions!$E$55))+G7148*IF(G7149=1,$C$7101,IF(Assumptions!$I$56=1,MAX(G7099,Assumptions!$G$56)+Assumptions!$F$56+$C$7100,Assumptions!$E$56))</f>
        <v>119.04</v>
      </c>
      <c r="H7106" s="25" t="n">
        <f aca="false">H7109*IF(OR(H7110=1,G7261=1),$C$7101,IF(Assumptions!$I$53=1,MAX(H7099,Assumptions!$G$53)+Assumptions!$F$53+$C$7100,Assumptions!$E$53))+H7122*IF(OR(H7123=1,G7262=1),$C$7101,IF(Assumptions!$I$54=1,MAX(H7099,Assumptions!$G$54)+Assumptions!$F$54+$C$7100,Assumptions!$E$54))+H7135*IF(OR(H7136=1,G7263=1),$C$7101,IF(Assumptions!$I$55=1,MAX(H7099,Assumptions!$G$55)+Assumptions!$F$55+$C$7100,Assumptions!$E$55))+H7148*IF(OR(H7149=1,G7264=1),$C$7101,IF(Assumptions!$I$56=1,MAX(H7099,Assumptions!$G$56)+Assumptions!$F$56+$C$7100,Assumptions!$E$56))</f>
        <v>128.6758</v>
      </c>
      <c r="I7106" s="25" t="n">
        <f aca="false">I7109*IF(OR(I7110=1,H7261=1),$C$7101,IF(Assumptions!$I$53=1,MAX(I7099,Assumptions!$G$53)+Assumptions!$F$53+$C$7100,Assumptions!$E$53))+I7122*IF(OR(I7123=1,H7262=1),$C$7101,IF(Assumptions!$I$54=1,MAX(I7099,Assumptions!$G$54)+Assumptions!$F$54+$C$7100,Assumptions!$E$54))+I7135*IF(OR(I7136=1,H7263=1),$C$7101,IF(Assumptions!$I$55=1,MAX(I7099,Assumptions!$G$55)+Assumptions!$F$55+$C$7100,Assumptions!$E$55))+I7148*IF(OR(I7149=1,H7264=1),$C$7101,IF(Assumptions!$I$56=1,MAX(I7099,Assumptions!$G$56)+Assumptions!$F$56+$C$7100,Assumptions!$E$56))</f>
        <v>132.9944</v>
      </c>
      <c r="J7106" s="25" t="n">
        <f aca="false">J7109*IF(OR(J7110=1,I7261=1),$C$7101,IF(Assumptions!$I$53=1,MAX(J7099,Assumptions!$G$53)+Assumptions!$F$53+$C$7100,Assumptions!$E$53))+J7122*IF(OR(J7123=1,I7262=1),$C$7101,IF(Assumptions!$I$54=1,MAX(J7099,Assumptions!$G$54)+Assumptions!$F$54+$C$7100,Assumptions!$E$54))+J7135*IF(OR(J7136=1,I7263=1),$C$7101,IF(Assumptions!$I$55=1,MAX(J7099,Assumptions!$G$55)+Assumptions!$F$55+$C$7100,Assumptions!$E$55))+J7148*IF(OR(J7149=1,I7264=1),$C$7101,IF(Assumptions!$I$56=1,MAX(J7099,Assumptions!$G$56)+Assumptions!$F$56+$C$7100,Assumptions!$E$56))</f>
        <v>134.749836056</v>
      </c>
      <c r="K7106" s="25" t="n">
        <f aca="false">K7109*IF(OR(K7110=1,J7261=1),$C$7101,IF(Assumptions!$I$53=1,MAX(K7099,Assumptions!$G$53)+Assumptions!$F$53+$C$7100,Assumptions!$E$53))+K7122*IF(OR(K7123=1,J7262=1),$C$7101,IF(Assumptions!$I$54=1,MAX(K7099,Assumptions!$G$54)+Assumptions!$F$54+$C$7100,Assumptions!$E$54))+K7135*IF(OR(K7136=1,J7263=1),$C$7101,IF(Assumptions!$I$55=1,MAX(K7099,Assumptions!$G$55)+Assumptions!$F$55+$C$7100,Assumptions!$E$55))+K7148*IF(OR(K7149=1,J7264=1),$C$7101,IF(Assumptions!$I$56=1,MAX(K7099,Assumptions!$G$56)+Assumptions!$F$56+$C$7100,Assumptions!$E$56))</f>
        <v>136.33146262032</v>
      </c>
    </row>
    <row r="7107" customFormat="false" ht="15" hidden="false" customHeight="false" outlineLevel="0" collapsed="false">
      <c r="A7107" s="5" t="s">
        <v>262</v>
      </c>
      <c r="G7107" s="20" t="n">
        <f aca="false">IF(G7083&lt;=0,0,IF(AND((G7104-G7105)/G7083&lt;=$C$7102,G7083/G7106&gt;=$C$7103),1,0))</f>
        <v>1</v>
      </c>
      <c r="H7107" s="20" t="n">
        <f aca="false">IF(H7083&lt;=0,0,IF(AND((H7104-H7105)/H7083&lt;=$C$7102,H7083/H7106&gt;=$C$7103),1,0))</f>
        <v>1</v>
      </c>
      <c r="I7107" s="20" t="n">
        <f aca="false">IF(I7083&lt;=0,0,IF(AND((I7104-I7105)/I7083&lt;=$C$7102,I7083/I7106&gt;=$C$7103),1,0))</f>
        <v>1</v>
      </c>
      <c r="J7107" s="20" t="n">
        <f aca="false">IF(J7083&lt;=0,0,IF(AND((J7104-J7105)/J7083&lt;=$C$7102,J7083/J7106&gt;=$C$7103),1,0))</f>
        <v>1</v>
      </c>
      <c r="K7107" s="20" t="n">
        <f aca="false">IF(K7083&lt;=0,0,IF(AND((K7104-K7105)/K7083&lt;=$C$7102,K7083/K7106&gt;=$C$7103),1,0))</f>
        <v>1</v>
      </c>
    </row>
    <row r="7108" customFormat="false" ht="15" hidden="false" customHeight="false" outlineLevel="0" collapsed="false">
      <c r="A7108" s="23" t="s">
        <v>263</v>
      </c>
      <c r="B7108" s="24"/>
      <c r="C7108" s="24"/>
      <c r="D7108" s="24"/>
      <c r="E7108" s="24"/>
      <c r="F7108" s="24"/>
      <c r="G7108" s="24"/>
      <c r="H7108" s="24"/>
      <c r="I7108" s="24"/>
      <c r="J7108" s="24"/>
      <c r="K7108" s="24"/>
    </row>
    <row r="7109" customFormat="false" ht="15" hidden="false" customHeight="false" outlineLevel="0" collapsed="false">
      <c r="A7109" s="5" t="s">
        <v>264</v>
      </c>
      <c r="G7109" s="25" t="n">
        <f aca="false">F7120</f>
        <v>180</v>
      </c>
      <c r="H7109" s="25" t="n">
        <f aca="false">G7120</f>
        <v>149.44</v>
      </c>
      <c r="I7109" s="25" t="n">
        <f aca="false">H7120</f>
        <v>149.44</v>
      </c>
      <c r="J7109" s="25" t="n">
        <f aca="false">I7120</f>
        <v>170.5985096</v>
      </c>
      <c r="K7109" s="25" t="n">
        <f aca="false">J7120</f>
        <v>190.176932912</v>
      </c>
    </row>
    <row r="7110" customFormat="false" ht="15" hidden="false" customHeight="false" outlineLevel="0" collapsed="false">
      <c r="A7110" s="5" t="s">
        <v>265</v>
      </c>
      <c r="G7110" s="20" t="n">
        <f aca="false">IF(G7073=Assumptions!$K$53,1,0)</f>
        <v>0</v>
      </c>
      <c r="H7110" s="20" t="n">
        <f aca="false">IF(H7073=Assumptions!$K$53,1,0)</f>
        <v>1</v>
      </c>
      <c r="I7110" s="20" t="n">
        <f aca="false">IF(I7073=Assumptions!$K$53,1,0)</f>
        <v>0</v>
      </c>
      <c r="J7110" s="20" t="n">
        <f aca="false">IF(J7073=Assumptions!$K$53,1,0)</f>
        <v>0</v>
      </c>
      <c r="K7110" s="20" t="n">
        <f aca="false">IF(K7073=Assumptions!$K$53,1,0)</f>
        <v>0</v>
      </c>
    </row>
    <row r="7112" customFormat="false" ht="15" hidden="false" customHeight="false" outlineLevel="0" collapsed="false">
      <c r="A7112" s="5" t="s">
        <v>266</v>
      </c>
      <c r="G7112" s="30" t="n">
        <f aca="false">IF(Assumptions!$I$53=1,MAX(G7099,Assumptions!$G$53)+Assumptions!$F$53+$C$7100,Assumptions!$E$53)</f>
        <v>0.086</v>
      </c>
      <c r="H7112" s="30" t="n">
        <f aca="false">IF(G7261=1,$C$7101,IF(Assumptions!$I$53=1,MAX(H7099,Assumptions!$G$53)+Assumptions!$F$53+$C$7100,Assumptions!$E$53))</f>
        <v>0.0835</v>
      </c>
      <c r="I7112" s="30" t="n">
        <f aca="false">IF(H7261=1,$C$7101,IF(Assumptions!$I$53=1,MAX(I7099,Assumptions!$G$53)+Assumptions!$F$53+$C$7100,Assumptions!$E$53))</f>
        <v>0.11</v>
      </c>
      <c r="J7112" s="30" t="n">
        <f aca="false">IF(I7261=1,$C$7101,IF(Assumptions!$I$53=1,MAX(J7099,Assumptions!$G$53)+Assumptions!$F$53+$C$7100,Assumptions!$E$53))</f>
        <v>0.11</v>
      </c>
      <c r="K7112" s="30" t="n">
        <f aca="false">IF(J7261=1,$C$7101,IF(Assumptions!$I$53=1,MAX(K7099,Assumptions!$G$53)+Assumptions!$F$53+$C$7100,Assumptions!$E$53))</f>
        <v>0.11</v>
      </c>
    </row>
    <row r="7113" customFormat="false" ht="15" hidden="false" customHeight="false" outlineLevel="0" collapsed="false">
      <c r="A7113" s="5" t="s">
        <v>267</v>
      </c>
      <c r="G7113" s="25" t="n">
        <f aca="false">G7109*G7112</f>
        <v>15.48</v>
      </c>
      <c r="H7113" s="25" t="n">
        <f aca="false">H7109*H7112</f>
        <v>12.47824</v>
      </c>
      <c r="I7113" s="25" t="n">
        <f aca="false">I7109*I7112</f>
        <v>16.4384</v>
      </c>
      <c r="J7113" s="25" t="n">
        <f aca="false">J7109*J7112</f>
        <v>18.765836056</v>
      </c>
      <c r="K7113" s="25" t="n">
        <f aca="false">K7109*K7112</f>
        <v>20.91946262032</v>
      </c>
    </row>
    <row r="7114" customFormat="false" ht="15" hidden="false" customHeight="false" outlineLevel="0" collapsed="false">
      <c r="A7114" s="5" t="s">
        <v>268</v>
      </c>
      <c r="G7114" s="25" t="n">
        <f aca="false">G7109*Assumptions!$H$53</f>
        <v>0</v>
      </c>
      <c r="H7114" s="25" t="n">
        <f aca="false">H7109*Assumptions!$H$53</f>
        <v>0</v>
      </c>
      <c r="I7114" s="25" t="n">
        <f aca="false">I7109*Assumptions!$H$53</f>
        <v>0</v>
      </c>
      <c r="J7114" s="25" t="n">
        <f aca="false">J7109*Assumptions!$H$53</f>
        <v>0</v>
      </c>
      <c r="K7114" s="25" t="n">
        <f aca="false">K7109*Assumptions!$H$53</f>
        <v>0</v>
      </c>
    </row>
    <row r="7115" customFormat="false" ht="15" hidden="false" customHeight="false" outlineLevel="0" collapsed="false">
      <c r="A7115" s="5" t="s">
        <v>269</v>
      </c>
      <c r="G7115" s="25" t="n">
        <f aca="false">MIN(G7109,Assumptions!$L$53*Assumptions!$C$53)</f>
        <v>0</v>
      </c>
      <c r="H7115" s="25" t="n">
        <f aca="false">MIN(H7109,Assumptions!$L$53*Assumptions!$C$53)</f>
        <v>0</v>
      </c>
      <c r="I7115" s="25" t="n">
        <f aca="false">MIN(I7109,Assumptions!$L$53*Assumptions!$C$53)</f>
        <v>0</v>
      </c>
      <c r="J7115" s="25" t="n">
        <f aca="false">MIN(J7109,Assumptions!$L$53*Assumptions!$C$53)</f>
        <v>0</v>
      </c>
      <c r="K7115" s="25" t="n">
        <f aca="false">MIN(K7109,Assumptions!$L$53*Assumptions!$C$53)</f>
        <v>0</v>
      </c>
    </row>
    <row r="7116" customFormat="false" ht="15" hidden="false" customHeight="false" outlineLevel="0" collapsed="false">
      <c r="A7116" s="5" t="s">
        <v>270</v>
      </c>
      <c r="G7116" s="25" t="n">
        <f aca="false">IF(AND(Assumptions!$P$53=1,G7073&lt;Assumptions!$K$53),MIN(MAX(0,-G7187),MAX(0,Assumptions!$D$53-G7109)),0)</f>
        <v>0</v>
      </c>
      <c r="H7116" s="25" t="n">
        <f aca="false">IF(AND(Assumptions!$P$53=1,OR(H7073&lt;Assumptions!$K$53,G7261=1)),MIN(MAX(0,-H7187),MAX(0,Assumptions!$D$53-H7109)),0)</f>
        <v>0</v>
      </c>
      <c r="I7116" s="25" t="n">
        <f aca="false">IF(AND(Assumptions!$P$53=1,OR(I7073&lt;Assumptions!$K$53,H7261=1)),MIN(MAX(0,-I7187),MAX(0,Assumptions!$D$53-I7109)),0)</f>
        <v>21.1585096</v>
      </c>
      <c r="J7116" s="25" t="n">
        <f aca="false">IF(AND(Assumptions!$P$53=1,OR(J7073&lt;Assumptions!$K$53,I7261=1)),MIN(MAX(0,-J7187),MAX(0,Assumptions!$D$53-J7109)),0)</f>
        <v>19.578423312</v>
      </c>
      <c r="K7116" s="25" t="n">
        <f aca="false">IF(AND(Assumptions!$P$53=1,OR(K7073&lt;Assumptions!$K$53,J7261=1)),MIN(MAX(0,-K7187),MAX(0,Assumptions!$D$53-K7109)),0)</f>
        <v>17.79901176424</v>
      </c>
    </row>
    <row r="7117" customFormat="false" ht="15" hidden="false" customHeight="false" outlineLevel="0" collapsed="false">
      <c r="A7117" s="5" t="s">
        <v>271</v>
      </c>
      <c r="G7117" s="25" t="n">
        <f aca="false">G7110*MIN(G7109-G7115+G7114,MAX(0,G7189-Assumptions!$C$12*G7107))</f>
        <v>0</v>
      </c>
      <c r="H7117" s="25" t="n">
        <f aca="false">H7110*MIN(H7109-H7115+H7114,MAX(0,H7189-Assumptions!$C$12*H7107))</f>
        <v>0</v>
      </c>
      <c r="I7117" s="25" t="n">
        <f aca="false">I7110*MIN(I7109-I7115+I7114,MAX(0,I7189-Assumptions!$C$12*I7107))</f>
        <v>0</v>
      </c>
      <c r="J7117" s="25" t="n">
        <f aca="false">J7110*MIN(J7109-J7115+J7114,MAX(0,J7189-Assumptions!$C$12*J7107))</f>
        <v>0</v>
      </c>
      <c r="K7117" s="25" t="n">
        <f aca="false">K7110*MIN(K7109-K7115+K7114,MAX(0,K7189-Assumptions!$C$12*K7107))</f>
        <v>0</v>
      </c>
    </row>
    <row r="7118" customFormat="false" ht="15" hidden="false" customHeight="false" outlineLevel="0" collapsed="false">
      <c r="A7118" s="5" t="s">
        <v>272</v>
      </c>
      <c r="G7118" s="25" t="n">
        <f aca="false">Assumptions!$N$53*MIN(G7109+G7116+G7114-G7115-G7117,MAX(0,G7193))</f>
        <v>30.56</v>
      </c>
      <c r="H7118" s="25" t="n">
        <f aca="false">Assumptions!$N$53*MIN(H7109+H7116+H7114-H7115-H7117,MAX(0,H7193))</f>
        <v>0</v>
      </c>
      <c r="I7118" s="25" t="n">
        <f aca="false">Assumptions!$N$53*MIN(I7109+I7116+I7114-I7115-I7117,MAX(0,I7193))</f>
        <v>0</v>
      </c>
      <c r="J7118" s="25" t="n">
        <f aca="false">Assumptions!$N$53*MIN(J7109+J7116+J7114-J7115-J7117,MAX(0,J7193))</f>
        <v>0</v>
      </c>
      <c r="K7118" s="25" t="n">
        <f aca="false">Assumptions!$N$53*MIN(K7109+K7116+K7114-K7115-K7117,MAX(0,K7193))</f>
        <v>0</v>
      </c>
    </row>
    <row r="7119" customFormat="false" ht="15" hidden="false" customHeight="false" outlineLevel="0" collapsed="false">
      <c r="A7119" s="5" t="s">
        <v>273</v>
      </c>
      <c r="G7119" s="25" t="n">
        <f aca="false">G7110*(1-G7107)*(G7109-G7115+G7114-G7117)</f>
        <v>0</v>
      </c>
      <c r="H7119" s="25" t="n">
        <f aca="false">H7110*(1-H7107)*(H7109-H7115+H7114-H7117)</f>
        <v>0</v>
      </c>
      <c r="I7119" s="25" t="n">
        <f aca="false">I7110*(1-I7107)*(I7109-I7115+I7114-I7117)</f>
        <v>0</v>
      </c>
      <c r="J7119" s="25" t="n">
        <f aca="false">J7110*(1-J7107)*(J7109-J7115+J7114-J7117)</f>
        <v>0</v>
      </c>
      <c r="K7119" s="25" t="n">
        <f aca="false">K7110*(1-K7107)*(K7109-K7115+K7114-K7117)</f>
        <v>0</v>
      </c>
    </row>
    <row r="7120" customFormat="false" ht="15" hidden="false" customHeight="false" outlineLevel="0" collapsed="false">
      <c r="A7120" s="2" t="s">
        <v>274</v>
      </c>
      <c r="F7120" s="27" t="n">
        <f aca="false">Assumptions!$C$53</f>
        <v>180</v>
      </c>
      <c r="G7120" s="16" t="n">
        <f aca="false">G7109+G7116+G7114-G7115-G7117-G7118</f>
        <v>149.44</v>
      </c>
      <c r="H7120" s="16" t="n">
        <f aca="false">H7109+H7116+H7114-H7115-H7117-H7118</f>
        <v>149.44</v>
      </c>
      <c r="I7120" s="16" t="n">
        <f aca="false">I7109+I7116+I7114-I7115-I7117-I7118</f>
        <v>170.5985096</v>
      </c>
      <c r="J7120" s="16" t="n">
        <f aca="false">J7109+J7116+J7114-J7115-J7117-J7118</f>
        <v>190.176932912</v>
      </c>
      <c r="K7120" s="16" t="n">
        <f aca="false">K7109+K7116+K7114-K7115-K7117-K7118</f>
        <v>207.97594467624</v>
      </c>
    </row>
    <row r="7121" customFormat="false" ht="15" hidden="false" customHeight="false" outlineLevel="0" collapsed="false">
      <c r="A7121" s="23" t="s">
        <v>275</v>
      </c>
      <c r="B7121" s="24"/>
      <c r="C7121" s="24"/>
      <c r="D7121" s="24"/>
      <c r="E7121" s="24"/>
      <c r="F7121" s="24"/>
      <c r="G7121" s="24"/>
      <c r="H7121" s="24"/>
      <c r="I7121" s="24"/>
      <c r="J7121" s="24"/>
      <c r="K7121" s="24"/>
    </row>
    <row r="7122" customFormat="false" ht="15" hidden="false" customHeight="false" outlineLevel="0" collapsed="false">
      <c r="A7122" s="5" t="s">
        <v>264</v>
      </c>
      <c r="G7122" s="25" t="n">
        <f aca="false">F7133</f>
        <v>520</v>
      </c>
      <c r="H7122" s="25" t="n">
        <f aca="false">G7133</f>
        <v>514.8</v>
      </c>
      <c r="I7122" s="25" t="n">
        <f aca="false">H7133</f>
        <v>509.6</v>
      </c>
      <c r="J7122" s="25" t="n">
        <f aca="false">I7133</f>
        <v>504.4</v>
      </c>
      <c r="K7122" s="25" t="n">
        <f aca="false">J7133</f>
        <v>499.2</v>
      </c>
    </row>
    <row r="7123" customFormat="false" ht="15" hidden="false" customHeight="false" outlineLevel="0" collapsed="false">
      <c r="A7123" s="5" t="s">
        <v>265</v>
      </c>
      <c r="G7123" s="20" t="n">
        <f aca="false">IF(G7073=Assumptions!$K$54,1,0)</f>
        <v>0</v>
      </c>
      <c r="H7123" s="20" t="n">
        <f aca="false">IF(H7073=Assumptions!$K$54,1,0)</f>
        <v>0</v>
      </c>
      <c r="I7123" s="20" t="n">
        <f aca="false">IF(I7073=Assumptions!$K$54,1,0)</f>
        <v>1</v>
      </c>
      <c r="J7123" s="20" t="n">
        <f aca="false">IF(J7073=Assumptions!$K$54,1,0)</f>
        <v>0</v>
      </c>
      <c r="K7123" s="20" t="n">
        <f aca="false">IF(K7073=Assumptions!$K$54,1,0)</f>
        <v>0</v>
      </c>
    </row>
    <row r="7125" customFormat="false" ht="15" hidden="false" customHeight="false" outlineLevel="0" collapsed="false">
      <c r="A7125" s="5" t="s">
        <v>266</v>
      </c>
      <c r="G7125" s="30" t="n">
        <f aca="false">IF(Assumptions!$I$54=1,MAX(G7099,Assumptions!$G$54)+Assumptions!$F$54+$C$7100,Assumptions!$E$54)</f>
        <v>0.103</v>
      </c>
      <c r="H7125" s="30" t="n">
        <f aca="false">IF(G7262=1,$C$7101,IF(Assumptions!$I$54=1,MAX(H7099,Assumptions!$G$54)+Assumptions!$F$54+$C$7100,Assumptions!$E$54))</f>
        <v>0.1005</v>
      </c>
      <c r="I7125" s="30" t="n">
        <f aca="false">IF(H7262=1,$C$7101,IF(Assumptions!$I$54=1,MAX(I7099,Assumptions!$G$54)+Assumptions!$F$54+$C$7100,Assumptions!$E$54))</f>
        <v>0.098</v>
      </c>
      <c r="J7125" s="30" t="n">
        <f aca="false">IF(I7262=1,$C$7101,IF(Assumptions!$I$54=1,MAX(J7099,Assumptions!$G$54)+Assumptions!$F$54+$C$7100,Assumptions!$E$54))</f>
        <v>0.11</v>
      </c>
      <c r="K7125" s="30" t="n">
        <f aca="false">IF(J7262=1,$C$7101,IF(Assumptions!$I$54=1,MAX(K7099,Assumptions!$G$54)+Assumptions!$F$54+$C$7100,Assumptions!$E$54))</f>
        <v>0.11</v>
      </c>
    </row>
    <row r="7126" customFormat="false" ht="15" hidden="false" customHeight="false" outlineLevel="0" collapsed="false">
      <c r="A7126" s="5" t="s">
        <v>267</v>
      </c>
      <c r="G7126" s="25" t="n">
        <f aca="false">G7122*G7125</f>
        <v>53.56</v>
      </c>
      <c r="H7126" s="25" t="n">
        <f aca="false">H7122*H7125</f>
        <v>51.7374</v>
      </c>
      <c r="I7126" s="25" t="n">
        <f aca="false">I7122*I7125</f>
        <v>49.9408</v>
      </c>
      <c r="J7126" s="25" t="n">
        <f aca="false">J7122*J7125</f>
        <v>55.484</v>
      </c>
      <c r="K7126" s="25" t="n">
        <f aca="false">K7122*K7125</f>
        <v>54.912</v>
      </c>
    </row>
    <row r="7127" customFormat="false" ht="15" hidden="false" customHeight="false" outlineLevel="0" collapsed="false">
      <c r="A7127" s="5" t="s">
        <v>268</v>
      </c>
      <c r="G7127" s="25" t="n">
        <f aca="false">G7122*Assumptions!$H$54</f>
        <v>0</v>
      </c>
      <c r="H7127" s="25" t="n">
        <f aca="false">H7122*Assumptions!$H$54</f>
        <v>0</v>
      </c>
      <c r="I7127" s="25" t="n">
        <f aca="false">I7122*Assumptions!$H$54</f>
        <v>0</v>
      </c>
      <c r="J7127" s="25" t="n">
        <f aca="false">J7122*Assumptions!$H$54</f>
        <v>0</v>
      </c>
      <c r="K7127" s="25" t="n">
        <f aca="false">K7122*Assumptions!$H$54</f>
        <v>0</v>
      </c>
    </row>
    <row r="7128" customFormat="false" ht="15" hidden="false" customHeight="false" outlineLevel="0" collapsed="false">
      <c r="A7128" s="5" t="s">
        <v>269</v>
      </c>
      <c r="G7128" s="25" t="n">
        <f aca="false">MIN(G7122,Assumptions!$L$54*Assumptions!$C$54)</f>
        <v>5.2</v>
      </c>
      <c r="H7128" s="25" t="n">
        <f aca="false">MIN(H7122,Assumptions!$L$54*Assumptions!$C$54)</f>
        <v>5.2</v>
      </c>
      <c r="I7128" s="25" t="n">
        <f aca="false">MIN(I7122,Assumptions!$L$54*Assumptions!$C$54)</f>
        <v>5.2</v>
      </c>
      <c r="J7128" s="25" t="n">
        <f aca="false">MIN(J7122,Assumptions!$L$54*Assumptions!$C$54)</f>
        <v>5.2</v>
      </c>
      <c r="K7128" s="25" t="n">
        <f aca="false">MIN(K7122,Assumptions!$L$54*Assumptions!$C$54)</f>
        <v>5.2</v>
      </c>
    </row>
    <row r="7129" customFormat="false" ht="15" hidden="false" customHeight="false" outlineLevel="0" collapsed="false">
      <c r="A7129" s="5" t="s">
        <v>270</v>
      </c>
      <c r="G7129" s="25" t="n">
        <f aca="false">IF(AND(Assumptions!$P$54=1,G7073&lt;Assumptions!$K$54),MIN(MAX(0,-G7187),MAX(0,Assumptions!$D$54-G7122)),0)</f>
        <v>0</v>
      </c>
      <c r="H7129" s="25" t="n">
        <f aca="false">IF(AND(Assumptions!$P$54=1,OR(H7073&lt;Assumptions!$K$54,G7262=1)),MIN(MAX(0,-H7187),MAX(0,Assumptions!$D$54-H7122)),0)</f>
        <v>0</v>
      </c>
      <c r="I7129" s="25" t="n">
        <f aca="false">IF(AND(Assumptions!$P$54=1,OR(I7073&lt;Assumptions!$K$54,H7262=1)),MIN(MAX(0,-I7187),MAX(0,Assumptions!$D$54-I7122)),0)</f>
        <v>0</v>
      </c>
      <c r="J7129" s="25" t="n">
        <f aca="false">IF(AND(Assumptions!$P$54=1,OR(J7073&lt;Assumptions!$K$54,I7262=1)),MIN(MAX(0,-J7187),MAX(0,Assumptions!$D$54-J7122)),0)</f>
        <v>0</v>
      </c>
      <c r="K7129" s="25" t="n">
        <f aca="false">IF(AND(Assumptions!$P$54=1,OR(K7073&lt;Assumptions!$K$54,J7262=1)),MIN(MAX(0,-K7187),MAX(0,Assumptions!$D$54-K7122)),0)</f>
        <v>0</v>
      </c>
    </row>
    <row r="7130" customFormat="false" ht="15" hidden="false" customHeight="false" outlineLevel="0" collapsed="false">
      <c r="A7130" s="5" t="s">
        <v>271</v>
      </c>
      <c r="G7130" s="25" t="n">
        <f aca="false">G7123*MIN(G7122-G7128+G7127,MAX(0,G7189-Assumptions!$C$12*G7107-G7117))</f>
        <v>0</v>
      </c>
      <c r="H7130" s="25" t="n">
        <f aca="false">H7123*MIN(H7122-H7128+H7127,MAX(0,H7189-Assumptions!$C$12*H7107-H7117))</f>
        <v>0</v>
      </c>
      <c r="I7130" s="25" t="n">
        <f aca="false">I7123*MIN(I7122-I7128+I7127,MAX(0,I7189-Assumptions!$C$12*I7107-I7117))</f>
        <v>0</v>
      </c>
      <c r="J7130" s="25" t="n">
        <f aca="false">J7123*MIN(J7122-J7128+J7127,MAX(0,J7189-Assumptions!$C$12*J7107-J7117))</f>
        <v>0</v>
      </c>
      <c r="K7130" s="25" t="n">
        <f aca="false">K7123*MIN(K7122-K7128+K7127,MAX(0,K7189-Assumptions!$C$12*K7107-K7117))</f>
        <v>0</v>
      </c>
    </row>
    <row r="7131" customFormat="false" ht="15" hidden="false" customHeight="false" outlineLevel="0" collapsed="false">
      <c r="A7131" s="5" t="s">
        <v>272</v>
      </c>
      <c r="G7131" s="25" t="n">
        <f aca="false">Assumptions!$N$54*MIN(G7122+G7129+G7127-G7128-G7130,MAX(0,G7193-G7118))</f>
        <v>0</v>
      </c>
      <c r="H7131" s="25" t="n">
        <f aca="false">Assumptions!$N$54*MIN(H7122+H7129+H7127-H7128-H7130,MAX(0,H7193-H7118))</f>
        <v>0</v>
      </c>
      <c r="I7131" s="25" t="n">
        <f aca="false">Assumptions!$N$54*MIN(I7122+I7129+I7127-I7128-I7130,MAX(0,I7193-I7118))</f>
        <v>0</v>
      </c>
      <c r="J7131" s="25" t="n">
        <f aca="false">Assumptions!$N$54*MIN(J7122+J7129+J7127-J7128-J7130,MAX(0,J7193-J7118))</f>
        <v>0</v>
      </c>
      <c r="K7131" s="25" t="n">
        <f aca="false">Assumptions!$N$54*MIN(K7122+K7129+K7127-K7128-K7130,MAX(0,K7193-K7118))</f>
        <v>0</v>
      </c>
    </row>
    <row r="7132" customFormat="false" ht="15" hidden="false" customHeight="false" outlineLevel="0" collapsed="false">
      <c r="A7132" s="5" t="s">
        <v>273</v>
      </c>
      <c r="G7132" s="25" t="n">
        <f aca="false">G7123*(1-G7107)*(G7122-G7128+G7127-G7130)</f>
        <v>0</v>
      </c>
      <c r="H7132" s="25" t="n">
        <f aca="false">H7123*(1-H7107)*(H7122-H7128+H7127-H7130)</f>
        <v>0</v>
      </c>
      <c r="I7132" s="25" t="n">
        <f aca="false">I7123*(1-I7107)*(I7122-I7128+I7127-I7130)</f>
        <v>0</v>
      </c>
      <c r="J7132" s="25" t="n">
        <f aca="false">J7123*(1-J7107)*(J7122-J7128+J7127-J7130)</f>
        <v>0</v>
      </c>
      <c r="K7132" s="25" t="n">
        <f aca="false">K7123*(1-K7107)*(K7122-K7128+K7127-K7130)</f>
        <v>0</v>
      </c>
    </row>
    <row r="7133" customFormat="false" ht="15" hidden="false" customHeight="false" outlineLevel="0" collapsed="false">
      <c r="A7133" s="2" t="s">
        <v>274</v>
      </c>
      <c r="F7133" s="27" t="n">
        <f aca="false">Assumptions!$C$54</f>
        <v>520</v>
      </c>
      <c r="G7133" s="16" t="n">
        <f aca="false">G7122+G7129+G7127-G7128-G7130-G7131</f>
        <v>514.8</v>
      </c>
      <c r="H7133" s="16" t="n">
        <f aca="false">H7122+H7129+H7127-H7128-H7130-H7131</f>
        <v>509.6</v>
      </c>
      <c r="I7133" s="16" t="n">
        <f aca="false">I7122+I7129+I7127-I7128-I7130-I7131</f>
        <v>504.4</v>
      </c>
      <c r="J7133" s="16" t="n">
        <f aca="false">J7122+J7129+J7127-J7128-J7130-J7131</f>
        <v>499.2</v>
      </c>
      <c r="K7133" s="16" t="n">
        <f aca="false">K7122+K7129+K7127-K7128-K7130-K7131</f>
        <v>494</v>
      </c>
    </row>
    <row r="7134" customFormat="false" ht="15" hidden="false" customHeight="false" outlineLevel="0" collapsed="false">
      <c r="A7134" s="23" t="s">
        <v>276</v>
      </c>
      <c r="B7134" s="24"/>
      <c r="C7134" s="24"/>
      <c r="D7134" s="24"/>
      <c r="E7134" s="24"/>
      <c r="F7134" s="24"/>
      <c r="G7134" s="24"/>
      <c r="H7134" s="24"/>
      <c r="I7134" s="24"/>
      <c r="J7134" s="24"/>
      <c r="K7134" s="24"/>
    </row>
    <row r="7135" customFormat="false" ht="15" hidden="false" customHeight="false" outlineLevel="0" collapsed="false">
      <c r="A7135" s="5" t="s">
        <v>264</v>
      </c>
      <c r="G7135" s="25" t="n">
        <f aca="false">F7146</f>
        <v>250</v>
      </c>
      <c r="H7135" s="25" t="n">
        <f aca="false">G7146</f>
        <v>250</v>
      </c>
      <c r="I7135" s="25" t="n">
        <f aca="false">H7146</f>
        <v>250</v>
      </c>
      <c r="J7135" s="25" t="n">
        <f aca="false">I7146</f>
        <v>250</v>
      </c>
      <c r="K7135" s="25" t="n">
        <f aca="false">J7146</f>
        <v>250</v>
      </c>
    </row>
    <row r="7136" customFormat="false" ht="15" hidden="false" customHeight="false" outlineLevel="0" collapsed="false">
      <c r="A7136" s="5" t="s">
        <v>265</v>
      </c>
      <c r="G7136" s="20" t="n">
        <f aca="false">IF(G7073=Assumptions!$K$55,1,0)</f>
        <v>0</v>
      </c>
      <c r="H7136" s="20" t="n">
        <f aca="false">IF(H7073=Assumptions!$K$55,1,0)</f>
        <v>0</v>
      </c>
      <c r="I7136" s="20" t="n">
        <f aca="false">IF(I7073=Assumptions!$K$55,1,0)</f>
        <v>0</v>
      </c>
      <c r="J7136" s="20" t="n">
        <f aca="false">IF(J7073=Assumptions!$K$55,1,0)</f>
        <v>1</v>
      </c>
      <c r="K7136" s="20" t="n">
        <f aca="false">IF(K7073=Assumptions!$K$55,1,0)</f>
        <v>0</v>
      </c>
    </row>
    <row r="7138" customFormat="false" ht="15" hidden="false" customHeight="false" outlineLevel="0" collapsed="false">
      <c r="A7138" s="5" t="s">
        <v>266</v>
      </c>
      <c r="G7138" s="30" t="n">
        <f aca="false">IF(Assumptions!$I$55=1,MAX(G7099,Assumptions!$G$55)+Assumptions!$F$55+$C$7100,Assumptions!$E$55)</f>
        <v>0.11</v>
      </c>
      <c r="H7138" s="30" t="n">
        <f aca="false">IF(G7263=1,$C$7101,IF(Assumptions!$I$55=1,MAX(H7099,Assumptions!$G$55)+Assumptions!$F$55+$C$7100,Assumptions!$E$55))</f>
        <v>0.11</v>
      </c>
      <c r="I7138" s="30" t="n">
        <f aca="false">IF(H7263=1,$C$7101,IF(Assumptions!$I$55=1,MAX(I7099,Assumptions!$G$55)+Assumptions!$F$55+$C$7100,Assumptions!$E$55))</f>
        <v>0.11</v>
      </c>
      <c r="J7138" s="30" t="n">
        <f aca="false">IF(I7263=1,$C$7101,IF(Assumptions!$I$55=1,MAX(J7099,Assumptions!$G$55)+Assumptions!$F$55+$C$7100,Assumptions!$E$55))</f>
        <v>0.11</v>
      </c>
      <c r="K7138" s="30" t="n">
        <f aca="false">IF(J7263=1,$C$7101,IF(Assumptions!$I$55=1,MAX(K7099,Assumptions!$G$55)+Assumptions!$F$55+$C$7100,Assumptions!$E$55))</f>
        <v>0.11</v>
      </c>
    </row>
    <row r="7139" customFormat="false" ht="15" hidden="false" customHeight="false" outlineLevel="0" collapsed="false">
      <c r="A7139" s="5" t="s">
        <v>267</v>
      </c>
      <c r="G7139" s="25" t="n">
        <f aca="false">G7135*G7138</f>
        <v>27.5</v>
      </c>
      <c r="H7139" s="25" t="n">
        <f aca="false">H7135*H7138</f>
        <v>27.5</v>
      </c>
      <c r="I7139" s="25" t="n">
        <f aca="false">I7135*I7138</f>
        <v>27.5</v>
      </c>
      <c r="J7139" s="25" t="n">
        <f aca="false">J7135*J7138</f>
        <v>27.5</v>
      </c>
      <c r="K7139" s="25" t="n">
        <f aca="false">K7135*K7138</f>
        <v>27.5</v>
      </c>
    </row>
    <row r="7140" customFormat="false" ht="15" hidden="false" customHeight="false" outlineLevel="0" collapsed="false">
      <c r="A7140" s="5" t="s">
        <v>268</v>
      </c>
      <c r="G7140" s="25" t="n">
        <f aca="false">G7135*Assumptions!$H$55</f>
        <v>0</v>
      </c>
      <c r="H7140" s="25" t="n">
        <f aca="false">H7135*Assumptions!$H$55</f>
        <v>0</v>
      </c>
      <c r="I7140" s="25" t="n">
        <f aca="false">I7135*Assumptions!$H$55</f>
        <v>0</v>
      </c>
      <c r="J7140" s="25" t="n">
        <f aca="false">J7135*Assumptions!$H$55</f>
        <v>0</v>
      </c>
      <c r="K7140" s="25" t="n">
        <f aca="false">K7135*Assumptions!$H$55</f>
        <v>0</v>
      </c>
    </row>
    <row r="7141" customFormat="false" ht="15" hidden="false" customHeight="false" outlineLevel="0" collapsed="false">
      <c r="A7141" s="5" t="s">
        <v>269</v>
      </c>
      <c r="G7141" s="25" t="n">
        <f aca="false">MIN(G7135,Assumptions!$L$55*Assumptions!$C$55)</f>
        <v>0</v>
      </c>
      <c r="H7141" s="25" t="n">
        <f aca="false">MIN(H7135,Assumptions!$L$55*Assumptions!$C$55)</f>
        <v>0</v>
      </c>
      <c r="I7141" s="25" t="n">
        <f aca="false">MIN(I7135,Assumptions!$L$55*Assumptions!$C$55)</f>
        <v>0</v>
      </c>
      <c r="J7141" s="25" t="n">
        <f aca="false">MIN(J7135,Assumptions!$L$55*Assumptions!$C$55)</f>
        <v>0</v>
      </c>
      <c r="K7141" s="25" t="n">
        <f aca="false">MIN(K7135,Assumptions!$L$55*Assumptions!$C$55)</f>
        <v>0</v>
      </c>
    </row>
    <row r="7142" customFormat="false" ht="15" hidden="false" customHeight="false" outlineLevel="0" collapsed="false">
      <c r="A7142" s="5" t="s">
        <v>270</v>
      </c>
      <c r="G7142" s="25" t="n">
        <f aca="false">IF(AND(Assumptions!$P$55=1,G7073&lt;Assumptions!$K$55),MIN(MAX(0,-G7187),MAX(0,Assumptions!$D$55-G7135)),0)</f>
        <v>0</v>
      </c>
      <c r="H7142" s="25" t="n">
        <f aca="false">IF(AND(Assumptions!$P$55=1,OR(H7073&lt;Assumptions!$K$55,G7263=1)),MIN(MAX(0,-H7187),MAX(0,Assumptions!$D$55-H7135)),0)</f>
        <v>0</v>
      </c>
      <c r="I7142" s="25" t="n">
        <f aca="false">IF(AND(Assumptions!$P$55=1,OR(I7073&lt;Assumptions!$K$55,H7263=1)),MIN(MAX(0,-I7187),MAX(0,Assumptions!$D$55-I7135)),0)</f>
        <v>0</v>
      </c>
      <c r="J7142" s="25" t="n">
        <f aca="false">IF(AND(Assumptions!$P$55=1,OR(J7073&lt;Assumptions!$K$55,I7263=1)),MIN(MAX(0,-J7187),MAX(0,Assumptions!$D$55-J7135)),0)</f>
        <v>0</v>
      </c>
      <c r="K7142" s="25" t="n">
        <f aca="false">IF(AND(Assumptions!$P$55=1,OR(K7073&lt;Assumptions!$K$55,J7263=1)),MIN(MAX(0,-K7187),MAX(0,Assumptions!$D$55-K7135)),0)</f>
        <v>0</v>
      </c>
    </row>
    <row r="7143" customFormat="false" ht="15" hidden="false" customHeight="false" outlineLevel="0" collapsed="false">
      <c r="A7143" s="5" t="s">
        <v>271</v>
      </c>
      <c r="G7143" s="25" t="n">
        <f aca="false">G7136*MIN(G7135-G7141+G7140,MAX(0,G7189-Assumptions!$C$12*G7107-G7117-G7130))</f>
        <v>0</v>
      </c>
      <c r="H7143" s="25" t="n">
        <f aca="false">H7136*MIN(H7135-H7141+H7140,MAX(0,H7189-Assumptions!$C$12*H7107-H7117-H7130))</f>
        <v>0</v>
      </c>
      <c r="I7143" s="25" t="n">
        <f aca="false">I7136*MIN(I7135-I7141+I7140,MAX(0,I7189-Assumptions!$C$12*I7107-I7117-I7130))</f>
        <v>0</v>
      </c>
      <c r="J7143" s="25" t="n">
        <f aca="false">J7136*MIN(J7135-J7141+J7140,MAX(0,J7189-Assumptions!$C$12*J7107-J7117-J7130))</f>
        <v>0</v>
      </c>
      <c r="K7143" s="25" t="n">
        <f aca="false">K7136*MIN(K7135-K7141+K7140,MAX(0,K7189-Assumptions!$C$12*K7107-K7117-K7130))</f>
        <v>0</v>
      </c>
    </row>
    <row r="7144" customFormat="false" ht="15" hidden="false" customHeight="false" outlineLevel="0" collapsed="false">
      <c r="A7144" s="5" t="s">
        <v>272</v>
      </c>
      <c r="G7144" s="25" t="n">
        <f aca="false">Assumptions!$N$55*MIN(G7135+G7142+G7140-G7141-G7143,MAX(0,G7193-G7118-G7131))</f>
        <v>0</v>
      </c>
      <c r="H7144" s="25" t="n">
        <f aca="false">Assumptions!$N$55*MIN(H7135+H7142+H7140-H7141-H7143,MAX(0,H7193-H7118-H7131))</f>
        <v>0</v>
      </c>
      <c r="I7144" s="25" t="n">
        <f aca="false">Assumptions!$N$55*MIN(I7135+I7142+I7140-I7141-I7143,MAX(0,I7193-I7118-I7131))</f>
        <v>0</v>
      </c>
      <c r="J7144" s="25" t="n">
        <f aca="false">Assumptions!$N$55*MIN(J7135+J7142+J7140-J7141-J7143,MAX(0,J7193-J7118-J7131))</f>
        <v>0</v>
      </c>
      <c r="K7144" s="25" t="n">
        <f aca="false">Assumptions!$N$55*MIN(K7135+K7142+K7140-K7141-K7143,MAX(0,K7193-K7118-K7131))</f>
        <v>0</v>
      </c>
    </row>
    <row r="7145" customFormat="false" ht="15" hidden="false" customHeight="false" outlineLevel="0" collapsed="false">
      <c r="A7145" s="5" t="s">
        <v>273</v>
      </c>
      <c r="G7145" s="25" t="n">
        <f aca="false">G7136*(1-G7107)*(G7135-G7141+G7140-G7143)</f>
        <v>0</v>
      </c>
      <c r="H7145" s="25" t="n">
        <f aca="false">H7136*(1-H7107)*(H7135-H7141+H7140-H7143)</f>
        <v>0</v>
      </c>
      <c r="I7145" s="25" t="n">
        <f aca="false">I7136*(1-I7107)*(I7135-I7141+I7140-I7143)</f>
        <v>0</v>
      </c>
      <c r="J7145" s="25" t="n">
        <f aca="false">J7136*(1-J7107)*(J7135-J7141+J7140-J7143)</f>
        <v>0</v>
      </c>
      <c r="K7145" s="25" t="n">
        <f aca="false">K7136*(1-K7107)*(K7135-K7141+K7140-K7143)</f>
        <v>0</v>
      </c>
    </row>
    <row r="7146" customFormat="false" ht="15" hidden="false" customHeight="false" outlineLevel="0" collapsed="false">
      <c r="A7146" s="2" t="s">
        <v>274</v>
      </c>
      <c r="F7146" s="27" t="n">
        <f aca="false">Assumptions!$C$55</f>
        <v>250</v>
      </c>
      <c r="G7146" s="16" t="n">
        <f aca="false">G7135+G7142+G7140-G7141-G7143-G7144</f>
        <v>250</v>
      </c>
      <c r="H7146" s="16" t="n">
        <f aca="false">H7135+H7142+H7140-H7141-H7143-H7144</f>
        <v>250</v>
      </c>
      <c r="I7146" s="16" t="n">
        <f aca="false">I7135+I7142+I7140-I7141-I7143-I7144</f>
        <v>250</v>
      </c>
      <c r="J7146" s="16" t="n">
        <f aca="false">J7135+J7142+J7140-J7141-J7143-J7144</f>
        <v>250</v>
      </c>
      <c r="K7146" s="16" t="n">
        <f aca="false">K7135+K7142+K7140-K7141-K7143-K7144</f>
        <v>250</v>
      </c>
    </row>
    <row r="7147" customFormat="false" ht="15" hidden="false" customHeight="false" outlineLevel="0" collapsed="false">
      <c r="A7147" s="23" t="s">
        <v>277</v>
      </c>
      <c r="B7147" s="24"/>
      <c r="C7147" s="24"/>
      <c r="D7147" s="24"/>
      <c r="E7147" s="24"/>
      <c r="F7147" s="24"/>
      <c r="G7147" s="24"/>
      <c r="H7147" s="24"/>
      <c r="I7147" s="24"/>
      <c r="J7147" s="24"/>
      <c r="K7147" s="24"/>
    </row>
    <row r="7148" customFormat="false" ht="15" hidden="false" customHeight="false" outlineLevel="0" collapsed="false">
      <c r="A7148" s="5" t="s">
        <v>264</v>
      </c>
      <c r="G7148" s="25" t="n">
        <f aca="false">F7159</f>
        <v>300</v>
      </c>
      <c r="H7148" s="25" t="n">
        <f aca="false">G7159</f>
        <v>300</v>
      </c>
      <c r="I7148" s="25" t="n">
        <f aca="false">H7159</f>
        <v>300</v>
      </c>
      <c r="J7148" s="25" t="n">
        <f aca="false">I7159</f>
        <v>300</v>
      </c>
      <c r="K7148" s="25" t="n">
        <f aca="false">J7159</f>
        <v>300</v>
      </c>
    </row>
    <row r="7149" customFormat="false" ht="15" hidden="false" customHeight="false" outlineLevel="0" collapsed="false">
      <c r="A7149" s="5" t="s">
        <v>265</v>
      </c>
      <c r="G7149" s="20" t="n">
        <f aca="false">IF(G7073=Assumptions!$K$56,1,0)</f>
        <v>0</v>
      </c>
      <c r="H7149" s="20" t="n">
        <f aca="false">IF(H7073=Assumptions!$K$56,1,0)</f>
        <v>1</v>
      </c>
      <c r="I7149" s="20" t="n">
        <f aca="false">IF(I7073=Assumptions!$K$56,1,0)</f>
        <v>0</v>
      </c>
      <c r="J7149" s="20" t="n">
        <f aca="false">IF(J7073=Assumptions!$K$56,1,0)</f>
        <v>0</v>
      </c>
      <c r="K7149" s="20" t="n">
        <f aca="false">IF(K7073=Assumptions!$K$56,1,0)</f>
        <v>0</v>
      </c>
    </row>
    <row r="7151" customFormat="false" ht="15" hidden="false" customHeight="false" outlineLevel="0" collapsed="false">
      <c r="A7151" s="5" t="s">
        <v>266</v>
      </c>
      <c r="G7151" s="30" t="n">
        <f aca="false">IF(Assumptions!$I$56=1,MAX(G7099,Assumptions!$G$56)+Assumptions!$F$56+$C$7100,Assumptions!$E$56)</f>
        <v>0.075</v>
      </c>
      <c r="H7151" s="30" t="n">
        <f aca="false">IF(G7264=1,$C$7101,IF(Assumptions!$I$56=1,MAX(H7099,Assumptions!$G$56)+Assumptions!$F$56+$C$7100,Assumptions!$E$56))</f>
        <v>0.075</v>
      </c>
      <c r="I7151" s="30" t="n">
        <f aca="false">IF(H7264=1,$C$7101,IF(Assumptions!$I$56=1,MAX(I7099,Assumptions!$G$56)+Assumptions!$F$56+$C$7100,Assumptions!$E$56))</f>
        <v>0.11</v>
      </c>
      <c r="J7151" s="30" t="n">
        <f aca="false">IF(I7264=1,$C$7101,IF(Assumptions!$I$56=1,MAX(J7099,Assumptions!$G$56)+Assumptions!$F$56+$C$7100,Assumptions!$E$56))</f>
        <v>0.11</v>
      </c>
      <c r="K7151" s="30" t="n">
        <f aca="false">IF(J7264=1,$C$7101,IF(Assumptions!$I$56=1,MAX(K7099,Assumptions!$G$56)+Assumptions!$F$56+$C$7100,Assumptions!$E$56))</f>
        <v>0.11</v>
      </c>
    </row>
    <row r="7152" customFormat="false" ht="15" hidden="false" customHeight="false" outlineLevel="0" collapsed="false">
      <c r="A7152" s="5" t="s">
        <v>267</v>
      </c>
      <c r="G7152" s="25" t="n">
        <f aca="false">G7148*G7151</f>
        <v>22.5</v>
      </c>
      <c r="H7152" s="25" t="n">
        <f aca="false">H7148*H7151</f>
        <v>22.5</v>
      </c>
      <c r="I7152" s="25" t="n">
        <f aca="false">I7148*I7151</f>
        <v>33</v>
      </c>
      <c r="J7152" s="25" t="n">
        <f aca="false">J7148*J7151</f>
        <v>33</v>
      </c>
      <c r="K7152" s="25" t="n">
        <f aca="false">K7148*K7151</f>
        <v>33</v>
      </c>
    </row>
    <row r="7153" customFormat="false" ht="15" hidden="false" customHeight="false" outlineLevel="0" collapsed="false">
      <c r="A7153" s="5" t="s">
        <v>268</v>
      </c>
      <c r="G7153" s="25" t="n">
        <f aca="false">G7148*Assumptions!$H$56</f>
        <v>0</v>
      </c>
      <c r="H7153" s="25" t="n">
        <f aca="false">H7148*Assumptions!$H$56</f>
        <v>0</v>
      </c>
      <c r="I7153" s="25" t="n">
        <f aca="false">I7148*Assumptions!$H$56</f>
        <v>0</v>
      </c>
      <c r="J7153" s="25" t="n">
        <f aca="false">J7148*Assumptions!$H$56</f>
        <v>0</v>
      </c>
      <c r="K7153" s="25" t="n">
        <f aca="false">K7148*Assumptions!$H$56</f>
        <v>0</v>
      </c>
    </row>
    <row r="7154" customFormat="false" ht="15" hidden="false" customHeight="false" outlineLevel="0" collapsed="false">
      <c r="A7154" s="5" t="s">
        <v>269</v>
      </c>
      <c r="G7154" s="25" t="n">
        <f aca="false">MIN(G7148,Assumptions!$L$56*Assumptions!$C$56)</f>
        <v>0</v>
      </c>
      <c r="H7154" s="25" t="n">
        <f aca="false">MIN(H7148,Assumptions!$L$56*Assumptions!$C$56)</f>
        <v>0</v>
      </c>
      <c r="I7154" s="25" t="n">
        <f aca="false">MIN(I7148,Assumptions!$L$56*Assumptions!$C$56)</f>
        <v>0</v>
      </c>
      <c r="J7154" s="25" t="n">
        <f aca="false">MIN(J7148,Assumptions!$L$56*Assumptions!$C$56)</f>
        <v>0</v>
      </c>
      <c r="K7154" s="25" t="n">
        <f aca="false">MIN(K7148,Assumptions!$L$56*Assumptions!$C$56)</f>
        <v>0</v>
      </c>
    </row>
    <row r="7155" customFormat="false" ht="15" hidden="false" customHeight="false" outlineLevel="0" collapsed="false">
      <c r="A7155" s="5" t="s">
        <v>270</v>
      </c>
      <c r="G7155" s="25" t="n">
        <f aca="false">IF(AND(Assumptions!$P$56=1,G7073&lt;Assumptions!$K$56),MIN(MAX(0,-G7187),MAX(0,Assumptions!$D$56-G7148)),0)</f>
        <v>0</v>
      </c>
      <c r="H7155" s="25" t="n">
        <f aca="false">IF(AND(Assumptions!$P$56=1,OR(H7073&lt;Assumptions!$K$56,G7264=1)),MIN(MAX(0,-H7187),MAX(0,Assumptions!$D$56-H7148)),0)</f>
        <v>0</v>
      </c>
      <c r="I7155" s="25" t="n">
        <f aca="false">IF(AND(Assumptions!$P$56=1,OR(I7073&lt;Assumptions!$K$56,H7264=1)),MIN(MAX(0,-I7187),MAX(0,Assumptions!$D$56-I7148)),0)</f>
        <v>0</v>
      </c>
      <c r="J7155" s="25" t="n">
        <f aca="false">IF(AND(Assumptions!$P$56=1,OR(J7073&lt;Assumptions!$K$56,I7264=1)),MIN(MAX(0,-J7187),MAX(0,Assumptions!$D$56-J7148)),0)</f>
        <v>0</v>
      </c>
      <c r="K7155" s="25" t="n">
        <f aca="false">IF(AND(Assumptions!$P$56=1,OR(K7073&lt;Assumptions!$K$56,J7264=1)),MIN(MAX(0,-K7187),MAX(0,Assumptions!$D$56-K7148)),0)</f>
        <v>0</v>
      </c>
    </row>
    <row r="7156" customFormat="false" ht="15" hidden="false" customHeight="false" outlineLevel="0" collapsed="false">
      <c r="A7156" s="5" t="s">
        <v>271</v>
      </c>
      <c r="G7156" s="25" t="n">
        <f aca="false">G7149*MIN(G7148-G7154+G7153,MAX(0,G7189-Assumptions!$C$12*G7107-G7117-G7130-G7143))</f>
        <v>0</v>
      </c>
      <c r="H7156" s="25" t="n">
        <f aca="false">H7149*MIN(H7148-H7154+H7153,MAX(0,H7189-Assumptions!$C$12*H7107-H7117-H7130-H7143))</f>
        <v>0</v>
      </c>
      <c r="I7156" s="25" t="n">
        <f aca="false">I7149*MIN(I7148-I7154+I7153,MAX(0,I7189-Assumptions!$C$12*I7107-I7117-I7130-I7143))</f>
        <v>0</v>
      </c>
      <c r="J7156" s="25" t="n">
        <f aca="false">J7149*MIN(J7148-J7154+J7153,MAX(0,J7189-Assumptions!$C$12*J7107-J7117-J7130-J7143))</f>
        <v>0</v>
      </c>
      <c r="K7156" s="25" t="n">
        <f aca="false">K7149*MIN(K7148-K7154+K7153,MAX(0,K7189-Assumptions!$C$12*K7107-K7117-K7130-K7143))</f>
        <v>0</v>
      </c>
    </row>
    <row r="7157" customFormat="false" ht="15" hidden="false" customHeight="false" outlineLevel="0" collapsed="false">
      <c r="A7157" s="5" t="s">
        <v>272</v>
      </c>
      <c r="G7157" s="25" t="n">
        <f aca="false">Assumptions!$N$56*MIN(G7148+G7155+G7153-G7154-G7156,MAX(0,G7193-G7118-G7131-G7144))</f>
        <v>0</v>
      </c>
      <c r="H7157" s="25" t="n">
        <f aca="false">Assumptions!$N$56*MIN(H7148+H7155+H7153-H7154-H7156,MAX(0,H7193-H7118-H7131-H7144))</f>
        <v>0</v>
      </c>
      <c r="I7157" s="25" t="n">
        <f aca="false">Assumptions!$N$56*MIN(I7148+I7155+I7153-I7154-I7156,MAX(0,I7193-I7118-I7131-I7144))</f>
        <v>0</v>
      </c>
      <c r="J7157" s="25" t="n">
        <f aca="false">Assumptions!$N$56*MIN(J7148+J7155+J7153-J7154-J7156,MAX(0,J7193-J7118-J7131-J7144))</f>
        <v>0</v>
      </c>
      <c r="K7157" s="25" t="n">
        <f aca="false">Assumptions!$N$56*MIN(K7148+K7155+K7153-K7154-K7156,MAX(0,K7193-K7118-K7131-K7144))</f>
        <v>0</v>
      </c>
    </row>
    <row r="7158" customFormat="false" ht="15" hidden="false" customHeight="false" outlineLevel="0" collapsed="false">
      <c r="A7158" s="5" t="s">
        <v>273</v>
      </c>
      <c r="G7158" s="25" t="n">
        <f aca="false">G7149*(1-G7107)*(G7148-G7154+G7153-G7156)</f>
        <v>0</v>
      </c>
      <c r="H7158" s="25" t="n">
        <f aca="false">H7149*(1-H7107)*(H7148-H7154+H7153-H7156)</f>
        <v>0</v>
      </c>
      <c r="I7158" s="25" t="n">
        <f aca="false">I7149*(1-I7107)*(I7148-I7154+I7153-I7156)</f>
        <v>0</v>
      </c>
      <c r="J7158" s="25" t="n">
        <f aca="false">J7149*(1-J7107)*(J7148-J7154+J7153-J7156)</f>
        <v>0</v>
      </c>
      <c r="K7158" s="25" t="n">
        <f aca="false">K7149*(1-K7107)*(K7148-K7154+K7153-K7156)</f>
        <v>0</v>
      </c>
    </row>
    <row r="7159" customFormat="false" ht="15" hidden="false" customHeight="false" outlineLevel="0" collapsed="false">
      <c r="A7159" s="2" t="s">
        <v>274</v>
      </c>
      <c r="F7159" s="27" t="n">
        <f aca="false">Assumptions!$C$56</f>
        <v>300</v>
      </c>
      <c r="G7159" s="16" t="n">
        <f aca="false">G7148+G7155+G7153-G7154-G7156-G7157</f>
        <v>300</v>
      </c>
      <c r="H7159" s="16" t="n">
        <f aca="false">H7148+H7155+H7153-H7154-H7156-H7157</f>
        <v>300</v>
      </c>
      <c r="I7159" s="16" t="n">
        <f aca="false">I7148+I7155+I7153-I7154-I7156-I7157</f>
        <v>300</v>
      </c>
      <c r="J7159" s="16" t="n">
        <f aca="false">J7148+J7155+J7153-J7154-J7156-J7157</f>
        <v>300</v>
      </c>
      <c r="K7159" s="16" t="n">
        <f aca="false">K7148+K7155+K7153-K7154-K7156-K7157</f>
        <v>300</v>
      </c>
    </row>
    <row r="7160" customFormat="false" ht="15" hidden="false" customHeight="false" outlineLevel="0" collapsed="false">
      <c r="A7160" s="23" t="s">
        <v>278</v>
      </c>
      <c r="B7160" s="24"/>
      <c r="C7160" s="24"/>
      <c r="D7160" s="24"/>
      <c r="E7160" s="24"/>
      <c r="F7160" s="24"/>
      <c r="G7160" s="24"/>
      <c r="H7160" s="24"/>
      <c r="I7160" s="24"/>
      <c r="J7160" s="24"/>
      <c r="K7160" s="24"/>
    </row>
    <row r="7161" customFormat="false" ht="15" hidden="false" customHeight="false" outlineLevel="0" collapsed="false">
      <c r="A7161" s="2" t="s">
        <v>279</v>
      </c>
      <c r="F7161" s="16" t="n">
        <f aca="false">F7120+F7133+F7146+F7159</f>
        <v>1250</v>
      </c>
      <c r="G7161" s="16" t="n">
        <f aca="false">G7120+G7133+G7146+G7159</f>
        <v>1214.24</v>
      </c>
      <c r="H7161" s="16" t="n">
        <f aca="false">H7120+H7133+H7146+H7159</f>
        <v>1209.04</v>
      </c>
      <c r="I7161" s="16" t="n">
        <f aca="false">I7120+I7133+I7146+I7159</f>
        <v>1224.9985096</v>
      </c>
      <c r="J7161" s="16" t="n">
        <f aca="false">J7120+J7133+J7146+J7159</f>
        <v>1239.376932912</v>
      </c>
      <c r="K7161" s="16" t="n">
        <f aca="false">K7120+K7133+K7146+K7159</f>
        <v>1251.97594467624</v>
      </c>
    </row>
    <row r="7162" customFormat="false" ht="15" hidden="false" customHeight="false" outlineLevel="0" collapsed="false">
      <c r="A7162" s="5" t="s">
        <v>280</v>
      </c>
      <c r="G7162" s="25" t="n">
        <f aca="false">G7110*Assumptions!$C$53+G7123*Assumptions!$C$54+G7136*Assumptions!$C$55+G7149*Assumptions!$C$56</f>
        <v>0</v>
      </c>
      <c r="H7162" s="25" t="n">
        <f aca="false">H7110*Assumptions!$C$53+H7123*Assumptions!$C$54+H7136*Assumptions!$C$55+H7149*Assumptions!$C$56</f>
        <v>480</v>
      </c>
      <c r="I7162" s="25" t="n">
        <f aca="false">I7110*Assumptions!$C$53+I7123*Assumptions!$C$54+I7136*Assumptions!$C$55+I7149*Assumptions!$C$56</f>
        <v>520</v>
      </c>
      <c r="J7162" s="25" t="n">
        <f aca="false">J7110*Assumptions!$C$53+J7123*Assumptions!$C$54+J7136*Assumptions!$C$55+J7149*Assumptions!$C$56</f>
        <v>250</v>
      </c>
      <c r="K7162" s="25" t="n">
        <f aca="false">K7110*Assumptions!$C$53+K7123*Assumptions!$C$54+K7136*Assumptions!$C$55+K7149*Assumptions!$C$56</f>
        <v>0</v>
      </c>
    </row>
    <row r="7163" customFormat="false" ht="15" hidden="false" customHeight="false" outlineLevel="0" collapsed="false">
      <c r="A7163" s="23" t="s">
        <v>281</v>
      </c>
      <c r="B7163" s="24"/>
      <c r="C7163" s="24"/>
      <c r="D7163" s="24"/>
      <c r="E7163" s="24"/>
      <c r="F7163" s="24"/>
      <c r="G7163" s="24"/>
      <c r="H7163" s="24"/>
      <c r="I7163" s="24"/>
      <c r="J7163" s="24"/>
      <c r="K7163" s="24"/>
    </row>
    <row r="7164" customFormat="false" ht="15" hidden="false" customHeight="false" outlineLevel="0" collapsed="false">
      <c r="A7164" s="5" t="s">
        <v>282</v>
      </c>
      <c r="C7164" s="25" t="n">
        <f aca="false">SUMPRODUCT($G$7110:$K$7110,$G$7109:$K$7109-$G$7115:$K$7115+$G$7114:$K$7114)</f>
        <v>149.44</v>
      </c>
    </row>
    <row r="7165" customFormat="false" ht="15" hidden="false" customHeight="false" outlineLevel="0" collapsed="false">
      <c r="A7165" s="5" t="s">
        <v>283</v>
      </c>
      <c r="C7165" s="25" t="n">
        <f aca="false">SUMPRODUCT($G$7110:$K$7110,$G$7117:$K$7117)</f>
        <v>0</v>
      </c>
    </row>
    <row r="7166" customFormat="false" ht="15" hidden="false" customHeight="false" outlineLevel="0" collapsed="false">
      <c r="A7166" s="5" t="s">
        <v>284</v>
      </c>
      <c r="C7166" s="5" t="str">
        <f aca="false">IF(SUM($G$7110:$K$7110)=0,"n/a (beyond horizon)",IF(SUMPRODUCT($G$7110:$K$7110,$G$7107:$K$7107)&gt;0,"REFINANCING PASS","REFINANCING FAILURE"))</f>
        <v>REFINANCING PASS</v>
      </c>
    </row>
    <row r="7167" customFormat="false" ht="15" hidden="false" customHeight="false" outlineLevel="0" collapsed="false">
      <c r="A7167" s="5" t="s">
        <v>285</v>
      </c>
      <c r="C7167" s="5" t="str">
        <f aca="false">IF(SUM($G$7110:$K$7110)=0,"n/a",IF(C7165&gt;=C7164-0.001,"Repaid from cash",IF(SUMPRODUCT($G$7110:$K$7110,$G$7107:$K$7107)&gt;0,IF(C7165&gt;0,"Partly repaid; remainder refinanced","Refinanced"),IF(SUM($G$7119:$K$7119)&gt;0.001,IF(C7165&gt;0,"Partial repayment; PAYMENT DEFAULT","PAYMENT DEFAULT"),"Repaid from cash"))))</f>
        <v>Refinanced</v>
      </c>
    </row>
    <row r="7168" customFormat="false" ht="15" hidden="false" customHeight="false" outlineLevel="0" collapsed="false">
      <c r="A7168" s="5" t="s">
        <v>286</v>
      </c>
      <c r="C7168" s="25" t="n">
        <f aca="false">SUMPRODUCT($G$7123:$K$7123,$G$7122:$K$7122-$G$7128:$K$7128+$G$7127:$K$7127)</f>
        <v>504.4</v>
      </c>
    </row>
    <row r="7169" customFormat="false" ht="15" hidden="false" customHeight="false" outlineLevel="0" collapsed="false">
      <c r="A7169" s="5" t="s">
        <v>287</v>
      </c>
      <c r="C7169" s="25" t="n">
        <f aca="false">SUMPRODUCT($G$7123:$K$7123,$G$7130:$K$7130)</f>
        <v>0</v>
      </c>
    </row>
    <row r="7170" customFormat="false" ht="15" hidden="false" customHeight="false" outlineLevel="0" collapsed="false">
      <c r="A7170" s="5" t="s">
        <v>288</v>
      </c>
      <c r="C7170" s="5" t="str">
        <f aca="false">IF(SUM($G$7123:$K$7123)=0,"n/a (beyond horizon)",IF(SUMPRODUCT($G$7123:$K$7123,$G$7107:$K$7107)&gt;0,"REFINANCING PASS","REFINANCING FAILURE"))</f>
        <v>REFINANCING PASS</v>
      </c>
    </row>
    <row r="7171" customFormat="false" ht="15" hidden="false" customHeight="false" outlineLevel="0" collapsed="false">
      <c r="A7171" s="5" t="s">
        <v>289</v>
      </c>
      <c r="C7171" s="5" t="str">
        <f aca="false">IF(SUM($G$7123:$K$7123)=0,"n/a",IF(C7169&gt;=C7168-0.001,"Repaid from cash",IF(SUMPRODUCT($G$7123:$K$7123,$G$7107:$K$7107)&gt;0,IF(C7169&gt;0,"Partly repaid; remainder refinanced","Refinanced"),IF(SUM($G$7132:$K$7132)&gt;0.001,IF(C7169&gt;0,"Partial repayment; PAYMENT DEFAULT","PAYMENT DEFAULT"),"Repaid from cash"))))</f>
        <v>Refinanced</v>
      </c>
    </row>
    <row r="7172" customFormat="false" ht="15" hidden="false" customHeight="false" outlineLevel="0" collapsed="false">
      <c r="A7172" s="5" t="s">
        <v>290</v>
      </c>
      <c r="C7172" s="25" t="n">
        <f aca="false">SUMPRODUCT($G$7136:$K$7136,$G$7135:$K$7135-$G$7141:$K$7141+$G$7140:$K$7140)</f>
        <v>250</v>
      </c>
    </row>
    <row r="7173" customFormat="false" ht="15" hidden="false" customHeight="false" outlineLevel="0" collapsed="false">
      <c r="A7173" s="5" t="s">
        <v>291</v>
      </c>
      <c r="C7173" s="25" t="n">
        <f aca="false">SUMPRODUCT($G$7136:$K$7136,$G$7143:$K$7143)</f>
        <v>0</v>
      </c>
    </row>
    <row r="7174" customFormat="false" ht="15" hidden="false" customHeight="false" outlineLevel="0" collapsed="false">
      <c r="A7174" s="5" t="s">
        <v>292</v>
      </c>
      <c r="C7174" s="5" t="str">
        <f aca="false">IF(SUM($G$7136:$K$7136)=0,"n/a (beyond horizon)",IF(SUMPRODUCT($G$7136:$K$7136,$G$7107:$K$7107)&gt;0,"REFINANCING PASS","REFINANCING FAILURE"))</f>
        <v>REFINANCING PASS</v>
      </c>
    </row>
    <row r="7175" customFormat="false" ht="15" hidden="false" customHeight="false" outlineLevel="0" collapsed="false">
      <c r="A7175" s="5" t="s">
        <v>293</v>
      </c>
      <c r="C7175" s="5" t="str">
        <f aca="false">IF(SUM($G$7136:$K$7136)=0,"n/a",IF(C7173&gt;=C7172-0.001,"Repaid from cash",IF(SUMPRODUCT($G$7136:$K$7136,$G$7107:$K$7107)&gt;0,IF(C7173&gt;0,"Partly repaid; remainder refinanced","Refinanced"),IF(SUM($G$7145:$K$7145)&gt;0.001,IF(C7173&gt;0,"Partial repayment; PAYMENT DEFAULT","PAYMENT DEFAULT"),"Repaid from cash"))))</f>
        <v>Refinanced</v>
      </c>
    </row>
    <row r="7176" customFormat="false" ht="15" hidden="false" customHeight="false" outlineLevel="0" collapsed="false">
      <c r="A7176" s="5" t="s">
        <v>294</v>
      </c>
      <c r="C7176" s="25" t="n">
        <f aca="false">SUMPRODUCT($G$7149:$K$7149,$G$7148:$K$7148-$G$7154:$K$7154+$G$7153:$K$7153)</f>
        <v>300</v>
      </c>
    </row>
    <row r="7177" customFormat="false" ht="15" hidden="false" customHeight="false" outlineLevel="0" collapsed="false">
      <c r="A7177" s="5" t="s">
        <v>295</v>
      </c>
      <c r="C7177" s="25" t="n">
        <f aca="false">SUMPRODUCT($G$7149:$K$7149,$G$7156:$K$7156)</f>
        <v>0</v>
      </c>
    </row>
    <row r="7178" customFormat="false" ht="15" hidden="false" customHeight="false" outlineLevel="0" collapsed="false">
      <c r="A7178" s="5" t="s">
        <v>296</v>
      </c>
      <c r="C7178" s="5" t="str">
        <f aca="false">IF(SUM($G$7149:$K$7149)=0,"n/a (beyond horizon)",IF(SUMPRODUCT($G$7149:$K$7149,$G$7107:$K$7107)&gt;0,"REFINANCING PASS","REFINANCING FAILURE"))</f>
        <v>REFINANCING PASS</v>
      </c>
    </row>
    <row r="7179" customFormat="false" ht="15" hidden="false" customHeight="false" outlineLevel="0" collapsed="false">
      <c r="A7179" s="5" t="s">
        <v>297</v>
      </c>
      <c r="C7179" s="5" t="str">
        <f aca="false">IF(SUM($G$7149:$K$7149)=0,"n/a",IF(C7177&gt;=C7176-0.001,"Repaid from cash",IF(SUMPRODUCT($G$7149:$K$7149,$G$7107:$K$7107)&gt;0,IF(C7177&gt;0,"Partly repaid; remainder refinanced","Refinanced"),IF(SUM($G$7158:$K$7158)&gt;0.001,IF(C7177&gt;0,"Partial repayment; PAYMENT DEFAULT","PAYMENT DEFAULT"),"Repaid from cash"))))</f>
        <v>Refinanced</v>
      </c>
    </row>
    <row r="7180" customFormat="false" ht="15" hidden="false" customHeight="false" outlineLevel="0" collapsed="false">
      <c r="A7180" s="5" t="s">
        <v>298</v>
      </c>
      <c r="C7180" s="20" t="n">
        <f aca="false">IF(C7166="REFINANCING FAILURE",1,0)+IF(C7170="REFINANCING FAILURE",1,0)+IF(C7174="REFINANCING FAILURE",1,0)+IF(C7178="REFINANCING FAILURE",1,0)</f>
        <v>0</v>
      </c>
    </row>
    <row r="7182" customFormat="false" ht="15" hidden="false" customHeight="false" outlineLevel="0" collapsed="false">
      <c r="A7182" s="23" t="s">
        <v>300</v>
      </c>
      <c r="B7182" s="24"/>
      <c r="C7182" s="24"/>
      <c r="D7182" s="24"/>
      <c r="E7182" s="24"/>
      <c r="F7182" s="24"/>
      <c r="G7182" s="24"/>
      <c r="H7182" s="24"/>
      <c r="I7182" s="24"/>
      <c r="J7182" s="24"/>
      <c r="K7182" s="24"/>
    </row>
    <row r="7183" customFormat="false" ht="15" hidden="false" customHeight="false" outlineLevel="0" collapsed="false">
      <c r="A7183" s="5" t="s">
        <v>260</v>
      </c>
      <c r="G7183" s="25" t="n">
        <f aca="false">F7195</f>
        <v>45</v>
      </c>
      <c r="H7183" s="25" t="n">
        <f aca="false">G7195</f>
        <v>0</v>
      </c>
      <c r="I7183" s="25" t="n">
        <f aca="false">H7195</f>
        <v>-6.00915999999998</v>
      </c>
      <c r="J7183" s="25" t="n">
        <f aca="false">I7195</f>
        <v>0</v>
      </c>
      <c r="K7183" s="25" t="n">
        <f aca="false">J7195</f>
        <v>0</v>
      </c>
    </row>
    <row r="7184" customFormat="false" ht="15" hidden="false" customHeight="false" outlineLevel="0" collapsed="false">
      <c r="A7184" s="5" t="s">
        <v>301</v>
      </c>
      <c r="G7184" s="25" t="n">
        <f aca="false">G7096</f>
        <v>-9.24000000000001</v>
      </c>
      <c r="H7184" s="25" t="n">
        <f aca="false">H7096</f>
        <v>-0.809159999999978</v>
      </c>
      <c r="I7184" s="25" t="n">
        <f aca="false">I7096</f>
        <v>-9.94934960000002</v>
      </c>
      <c r="J7184" s="25" t="n">
        <f aca="false">J7096</f>
        <v>-14.378423312</v>
      </c>
      <c r="K7184" s="25" t="n">
        <f aca="false">K7096</f>
        <v>-12.59901176424</v>
      </c>
    </row>
    <row r="7185" customFormat="false" ht="15" hidden="false" customHeight="false" outlineLevel="0" collapsed="false">
      <c r="A7185" s="5" t="s">
        <v>302</v>
      </c>
      <c r="G7185" s="25" t="n">
        <f aca="false">CHOOSE($C$7066,Assumptions!$G$68,Assumptions!$G$87,Assumptions!$G$106)</f>
        <v>0</v>
      </c>
      <c r="H7185" s="25" t="n">
        <f aca="false">CHOOSE($C$7066,Assumptions!$H$68,Assumptions!$H$87,Assumptions!$H$106)</f>
        <v>0</v>
      </c>
      <c r="I7185" s="25" t="n">
        <f aca="false">CHOOSE($C$7066,Assumptions!$I$68,Assumptions!$I$87,Assumptions!$I$106)</f>
        <v>0</v>
      </c>
      <c r="J7185" s="25" t="n">
        <f aca="false">CHOOSE($C$7066,Assumptions!$J$68,Assumptions!$J$87,Assumptions!$J$106)</f>
        <v>0</v>
      </c>
      <c r="K7185" s="25" t="n">
        <f aca="false">CHOOSE($C$7066,Assumptions!$K$68,Assumptions!$K$87,Assumptions!$K$106)</f>
        <v>0</v>
      </c>
    </row>
    <row r="7186" customFormat="false" ht="15" hidden="false" customHeight="false" outlineLevel="0" collapsed="false">
      <c r="A7186" s="5" t="s">
        <v>303</v>
      </c>
      <c r="G7186" s="25" t="n">
        <f aca="false">G7115+G7128+G7141+G7154</f>
        <v>5.2</v>
      </c>
      <c r="H7186" s="25" t="n">
        <f aca="false">H7115+H7128+H7141+H7154</f>
        <v>5.2</v>
      </c>
      <c r="I7186" s="25" t="n">
        <f aca="false">I7115+I7128+I7141+I7154</f>
        <v>5.2</v>
      </c>
      <c r="J7186" s="25" t="n">
        <f aca="false">J7115+J7128+J7141+J7154</f>
        <v>5.2</v>
      </c>
      <c r="K7186" s="25" t="n">
        <f aca="false">K7115+K7128+K7141+K7154</f>
        <v>5.2</v>
      </c>
    </row>
    <row r="7187" customFormat="false" ht="15" hidden="false" customHeight="false" outlineLevel="0" collapsed="false">
      <c r="A7187" s="2" t="s">
        <v>304</v>
      </c>
      <c r="G7187" s="16" t="n">
        <f aca="false">G7183+G7184+G7185-G7186</f>
        <v>30.56</v>
      </c>
      <c r="H7187" s="16" t="n">
        <f aca="false">H7183+H7184+H7185-H7186</f>
        <v>-6.00915999999998</v>
      </c>
      <c r="I7187" s="16" t="n">
        <f aca="false">I7183+I7184+I7185-I7186</f>
        <v>-21.1585096</v>
      </c>
      <c r="J7187" s="16" t="n">
        <f aca="false">J7183+J7184+J7185-J7186</f>
        <v>-19.578423312</v>
      </c>
      <c r="K7187" s="16" t="n">
        <f aca="false">K7183+K7184+K7185-K7186</f>
        <v>-17.79901176424</v>
      </c>
    </row>
    <row r="7188" customFormat="false" ht="15" hidden="false" customHeight="false" outlineLevel="0" collapsed="false">
      <c r="A7188" s="5" t="s">
        <v>305</v>
      </c>
      <c r="G7188" s="25" t="n">
        <f aca="false">G7116+G7129+G7142+G7155</f>
        <v>0</v>
      </c>
      <c r="H7188" s="25" t="n">
        <f aca="false">H7116+H7129+H7142+H7155</f>
        <v>0</v>
      </c>
      <c r="I7188" s="25" t="n">
        <f aca="false">I7116+I7129+I7142+I7155</f>
        <v>21.1585096</v>
      </c>
      <c r="J7188" s="25" t="n">
        <f aca="false">J7116+J7129+J7142+J7155</f>
        <v>19.578423312</v>
      </c>
      <c r="K7188" s="25" t="n">
        <f aca="false">K7116+K7129+K7142+K7155</f>
        <v>17.79901176424</v>
      </c>
    </row>
    <row r="7189" customFormat="false" ht="15" hidden="false" customHeight="false" outlineLevel="0" collapsed="false">
      <c r="A7189" s="2" t="s">
        <v>306</v>
      </c>
      <c r="G7189" s="16" t="n">
        <f aca="false">G7187+G7188</f>
        <v>30.56</v>
      </c>
      <c r="H7189" s="16" t="n">
        <f aca="false">H7187+H7188</f>
        <v>-6.00915999999998</v>
      </c>
      <c r="I7189" s="16" t="n">
        <f aca="false">I7187+I7188</f>
        <v>0</v>
      </c>
      <c r="J7189" s="16" t="n">
        <f aca="false">J7187+J7188</f>
        <v>0</v>
      </c>
      <c r="K7189" s="16" t="n">
        <f aca="false">K7187+K7188</f>
        <v>0</v>
      </c>
    </row>
    <row r="7190" customFormat="false" ht="15" hidden="false" customHeight="false" outlineLevel="0" collapsed="false">
      <c r="A7190" s="5" t="s">
        <v>307</v>
      </c>
      <c r="G7190" s="25" t="n">
        <f aca="false">G7117+G7130+G7143+G7156</f>
        <v>0</v>
      </c>
      <c r="H7190" s="25" t="n">
        <f aca="false">H7117+H7130+H7143+H7156</f>
        <v>0</v>
      </c>
      <c r="I7190" s="25" t="n">
        <f aca="false">I7117+I7130+I7143+I7156</f>
        <v>0</v>
      </c>
      <c r="J7190" s="25" t="n">
        <f aca="false">J7117+J7130+J7143+J7156</f>
        <v>0</v>
      </c>
      <c r="K7190" s="25" t="n">
        <f aca="false">K7117+K7130+K7143+K7156</f>
        <v>0</v>
      </c>
    </row>
    <row r="7191" customFormat="false" ht="15" hidden="false" customHeight="false" outlineLevel="0" collapsed="false">
      <c r="A7191" s="2" t="s">
        <v>308</v>
      </c>
      <c r="G7191" s="16" t="n">
        <f aca="false">G7189-G7190</f>
        <v>30.56</v>
      </c>
      <c r="H7191" s="16" t="n">
        <f aca="false">H7189-H7190</f>
        <v>-6.00915999999998</v>
      </c>
      <c r="I7191" s="16" t="n">
        <f aca="false">I7189-I7190</f>
        <v>0</v>
      </c>
      <c r="J7191" s="16" t="n">
        <f aca="false">J7189-J7190</f>
        <v>0</v>
      </c>
      <c r="K7191" s="16" t="n">
        <f aca="false">K7189-K7190</f>
        <v>0</v>
      </c>
    </row>
    <row r="7192" customFormat="false" ht="15" hidden="false" customHeight="false" outlineLevel="0" collapsed="false">
      <c r="A7192" s="5" t="s">
        <v>309</v>
      </c>
      <c r="G7192" s="25" t="n">
        <f aca="false">MAX(0,-G7191)</f>
        <v>0</v>
      </c>
      <c r="H7192" s="25" t="n">
        <f aca="false">MAX(0,-H7191)</f>
        <v>6.00915999999998</v>
      </c>
      <c r="I7192" s="25" t="n">
        <f aca="false">MAX(0,-I7191)</f>
        <v>-0</v>
      </c>
      <c r="J7192" s="25" t="n">
        <f aca="false">MAX(0,-J7191)</f>
        <v>-0</v>
      </c>
      <c r="K7192" s="25" t="n">
        <f aca="false">MAX(0,-K7191)</f>
        <v>-0</v>
      </c>
    </row>
    <row r="7193" customFormat="false" ht="15" hidden="false" customHeight="false" outlineLevel="0" collapsed="false">
      <c r="A7193" s="5" t="s">
        <v>310</v>
      </c>
      <c r="G7193" s="25" t="n">
        <f aca="false">MAX(0,G7191-Assumptions!$C$12)*Assumptions!$C$13</f>
        <v>30.56</v>
      </c>
      <c r="H7193" s="25" t="n">
        <f aca="false">MAX(0,H7191-Assumptions!$C$12)*Assumptions!$C$13</f>
        <v>0</v>
      </c>
      <c r="I7193" s="25" t="n">
        <f aca="false">MAX(0,I7191-Assumptions!$C$12)*Assumptions!$C$13</f>
        <v>0</v>
      </c>
      <c r="J7193" s="25" t="n">
        <f aca="false">MAX(0,J7191-Assumptions!$C$12)*Assumptions!$C$13</f>
        <v>0</v>
      </c>
      <c r="K7193" s="25" t="n">
        <f aca="false">MAX(0,K7191-Assumptions!$C$12)*Assumptions!$C$13</f>
        <v>0</v>
      </c>
    </row>
    <row r="7194" customFormat="false" ht="15" hidden="false" customHeight="false" outlineLevel="0" collapsed="false">
      <c r="A7194" s="5" t="s">
        <v>311</v>
      </c>
      <c r="G7194" s="25" t="n">
        <f aca="false">G7118+G7131+G7144+G7157</f>
        <v>30.56</v>
      </c>
      <c r="H7194" s="25" t="n">
        <f aca="false">H7118+H7131+H7144+H7157</f>
        <v>0</v>
      </c>
      <c r="I7194" s="25" t="n">
        <f aca="false">I7118+I7131+I7144+I7157</f>
        <v>0</v>
      </c>
      <c r="J7194" s="25" t="n">
        <f aca="false">J7118+J7131+J7144+J7157</f>
        <v>0</v>
      </c>
      <c r="K7194" s="25" t="n">
        <f aca="false">K7118+K7131+K7144+K7157</f>
        <v>0</v>
      </c>
    </row>
    <row r="7195" customFormat="false" ht="15" hidden="false" customHeight="false" outlineLevel="0" collapsed="false">
      <c r="A7195" s="2" t="s">
        <v>312</v>
      </c>
      <c r="F7195" s="27" t="n">
        <f aca="false">Assumptions!$C$11</f>
        <v>45</v>
      </c>
      <c r="G7195" s="16" t="n">
        <f aca="false">G7191-G7194</f>
        <v>0</v>
      </c>
      <c r="H7195" s="16" t="n">
        <f aca="false">H7191-H7194</f>
        <v>-6.00915999999998</v>
      </c>
      <c r="I7195" s="16" t="n">
        <f aca="false">I7191-I7194</f>
        <v>0</v>
      </c>
      <c r="J7195" s="16" t="n">
        <f aca="false">J7191-J7194</f>
        <v>0</v>
      </c>
      <c r="K7195" s="16" t="n">
        <f aca="false">K7191-K7194</f>
        <v>0</v>
      </c>
    </row>
    <row r="7196" customFormat="false" ht="15" hidden="false" customHeight="false" outlineLevel="0" collapsed="false">
      <c r="A7196" s="5" t="s">
        <v>313</v>
      </c>
      <c r="G7196" s="25" t="n">
        <f aca="false">G7119+G7132+G7145+G7158</f>
        <v>0</v>
      </c>
      <c r="H7196" s="25" t="n">
        <f aca="false">H7119+H7132+H7145+H7158</f>
        <v>0</v>
      </c>
      <c r="I7196" s="25" t="n">
        <f aca="false">I7119+I7132+I7145+I7158</f>
        <v>0</v>
      </c>
      <c r="J7196" s="25" t="n">
        <f aca="false">J7119+J7132+J7145+J7158</f>
        <v>0</v>
      </c>
      <c r="K7196" s="25" t="n">
        <f aca="false">K7119+K7132+K7145+K7158</f>
        <v>0</v>
      </c>
    </row>
    <row r="7197" customFormat="false" ht="15" hidden="false" customHeight="false" outlineLevel="0" collapsed="false">
      <c r="A7197" s="5" t="s">
        <v>314</v>
      </c>
      <c r="G7197" s="20" t="n">
        <f aca="false">IF(OR(G7192&gt;0.001,G7196&gt;0.001),1,0)</f>
        <v>0</v>
      </c>
      <c r="H7197" s="20" t="n">
        <f aca="false">IF(OR(H7192&gt;0.001,H7196&gt;0.001),1,0)</f>
        <v>1</v>
      </c>
      <c r="I7197" s="20" t="n">
        <f aca="false">IF(OR(I7192&gt;0.001,I7196&gt;0.001),1,0)</f>
        <v>0</v>
      </c>
      <c r="J7197" s="20" t="n">
        <f aca="false">IF(OR(J7192&gt;0.001,J7196&gt;0.001),1,0)</f>
        <v>0</v>
      </c>
      <c r="K7197" s="20" t="n">
        <f aca="false">IF(OR(K7192&gt;0.001,K7196&gt;0.001),1,0)</f>
        <v>0</v>
      </c>
    </row>
    <row r="7198" customFormat="false" ht="15" hidden="false" customHeight="false" outlineLevel="0" collapsed="false">
      <c r="A7198" s="5" t="s">
        <v>315</v>
      </c>
      <c r="G7198" s="20" t="n">
        <f aca="false">IF(G7197=1,1,0)</f>
        <v>0</v>
      </c>
      <c r="H7198" s="20" t="n">
        <f aca="false">IF(AND(H7197=1,SUM($G$7197:G7197)=0),1,0)</f>
        <v>1</v>
      </c>
      <c r="I7198" s="20" t="n">
        <f aca="false">IF(AND(I7197=1,SUM($G$7197:H7197)=0),1,0)</f>
        <v>0</v>
      </c>
      <c r="J7198" s="20" t="n">
        <f aca="false">IF(AND(J7197=1,SUM($G$7197:I7197)=0),1,0)</f>
        <v>0</v>
      </c>
      <c r="K7198" s="20" t="n">
        <f aca="false">IF(AND(K7197=1,SUM($G$7197:J7197)=0),1,0)</f>
        <v>0</v>
      </c>
    </row>
    <row r="7199" customFormat="false" ht="15" hidden="false" customHeight="false" outlineLevel="0" collapsed="false">
      <c r="A7199" s="5" t="s">
        <v>316</v>
      </c>
      <c r="G7199" s="25" t="n">
        <f aca="false">(G7161-F7161)-(G7188+G7088-G7186-G7190-G7194)</f>
        <v>0</v>
      </c>
      <c r="H7199" s="25" t="n">
        <f aca="false">(H7161-G7161)-(H7188+H7088-H7186-H7190-H7194)</f>
        <v>-4.52970994047064E-014</v>
      </c>
      <c r="I7199" s="25" t="n">
        <f aca="false">(I7161-H7161)-(I7188+I7088-I7186-I7190-I7194)</f>
        <v>7.46069872548105E-014</v>
      </c>
      <c r="J7199" s="25" t="n">
        <f aca="false">(J7161-I7161)-(J7188+J7088-J7186-J7190-J7194)</f>
        <v>0</v>
      </c>
      <c r="K7199" s="25" t="n">
        <f aca="false">(K7161-J7161)-(K7188+K7088-K7186-K7190-K7194)</f>
        <v>0</v>
      </c>
    </row>
    <row r="7201" customFormat="false" ht="15" hidden="false" customHeight="false" outlineLevel="0" collapsed="false">
      <c r="A7201" s="23" t="s">
        <v>318</v>
      </c>
      <c r="B7201" s="24"/>
      <c r="C7201" s="24"/>
      <c r="D7201" s="24"/>
      <c r="E7201" s="24"/>
      <c r="F7201" s="24"/>
      <c r="G7201" s="24"/>
      <c r="H7201" s="24"/>
      <c r="I7201" s="24"/>
      <c r="J7201" s="24"/>
      <c r="K7201" s="24"/>
    </row>
    <row r="7202" customFormat="false" ht="15" hidden="false" customHeight="false" outlineLevel="0" collapsed="false">
      <c r="A7202" s="5" t="s">
        <v>319</v>
      </c>
      <c r="G7202" s="25" t="n">
        <f aca="false">G7161</f>
        <v>1214.24</v>
      </c>
      <c r="H7202" s="25" t="n">
        <f aca="false">H7161</f>
        <v>1209.04</v>
      </c>
      <c r="I7202" s="25" t="n">
        <f aca="false">I7161</f>
        <v>1224.9985096</v>
      </c>
      <c r="J7202" s="25" t="n">
        <f aca="false">J7161</f>
        <v>1239.376932912</v>
      </c>
      <c r="K7202" s="25" t="n">
        <f aca="false">K7161</f>
        <v>1251.97594467624</v>
      </c>
    </row>
    <row r="7203" customFormat="false" ht="15" hidden="false" customHeight="false" outlineLevel="0" collapsed="false">
      <c r="A7203" s="5" t="s">
        <v>320</v>
      </c>
      <c r="G7203" s="25" t="n">
        <f aca="false">Assumptions!$O$53*G7120+Assumptions!$O$54*G7133+Assumptions!$O$55*G7146+Assumptions!$O$56*G7159</f>
        <v>914.24</v>
      </c>
      <c r="H7203" s="25" t="n">
        <f aca="false">Assumptions!$O$53*H7120+Assumptions!$O$54*H7133+Assumptions!$O$55*H7146+Assumptions!$O$56*H7159</f>
        <v>909.04</v>
      </c>
      <c r="I7203" s="25" t="n">
        <f aca="false">Assumptions!$O$53*I7120+Assumptions!$O$54*I7133+Assumptions!$O$55*I7146+Assumptions!$O$56*I7159</f>
        <v>924.9985096</v>
      </c>
      <c r="J7203" s="25" t="n">
        <f aca="false">Assumptions!$O$53*J7120+Assumptions!$O$54*J7133+Assumptions!$O$55*J7146+Assumptions!$O$56*J7159</f>
        <v>939.376932912</v>
      </c>
      <c r="K7203" s="25" t="n">
        <f aca="false">Assumptions!$O$53*K7120+Assumptions!$O$54*K7133+Assumptions!$O$55*K7146+Assumptions!$O$56*K7159</f>
        <v>951.97594467624</v>
      </c>
    </row>
    <row r="7204" customFormat="false" ht="15" hidden="false" customHeight="false" outlineLevel="0" collapsed="false">
      <c r="A7204" s="5" t="s">
        <v>321</v>
      </c>
      <c r="G7204" s="25" t="n">
        <f aca="false">G7202-G7195</f>
        <v>1214.24</v>
      </c>
      <c r="H7204" s="25" t="n">
        <f aca="false">H7202-H7195</f>
        <v>1215.04916</v>
      </c>
      <c r="I7204" s="25" t="n">
        <f aca="false">I7202-I7195</f>
        <v>1224.9985096</v>
      </c>
      <c r="J7204" s="25" t="n">
        <f aca="false">J7202-J7195</f>
        <v>1239.376932912</v>
      </c>
      <c r="K7204" s="25" t="n">
        <f aca="false">K7202-K7195</f>
        <v>1251.97594467624</v>
      </c>
    </row>
    <row r="7205" customFormat="false" ht="15" hidden="false" customHeight="false" outlineLevel="0" collapsed="false">
      <c r="A7205" s="5" t="s">
        <v>322</v>
      </c>
      <c r="G7205" s="31" t="n">
        <f aca="false">IF(G7083&gt;0,G7202/G7083,0)</f>
        <v>7.86221186221186</v>
      </c>
      <c r="H7205" s="31" t="n">
        <f aca="false">IF(H7083&gt;0,H7202/H7083,0)</f>
        <v>7.67156970986309</v>
      </c>
      <c r="I7205" s="31" t="n">
        <f aca="false">IF(I7083&gt;0,I7202/I7083,0)</f>
        <v>7.62376751410553</v>
      </c>
      <c r="J7205" s="31" t="n">
        <f aca="false">IF(J7083&gt;0,J7202/J7083,0)</f>
        <v>7.5716937530992</v>
      </c>
      <c r="K7205" s="31" t="n">
        <f aca="false">IF(K7083&gt;0,K7202/K7083,0)</f>
        <v>7.51425466558389</v>
      </c>
    </row>
    <row r="7206" customFormat="false" ht="15" hidden="false" customHeight="false" outlineLevel="0" collapsed="false">
      <c r="A7206" s="5" t="s">
        <v>323</v>
      </c>
      <c r="G7206" s="31" t="n">
        <f aca="false">IF(G7083&gt;0,G7204/G7083,0)</f>
        <v>7.86221186221186</v>
      </c>
      <c r="H7206" s="31" t="n">
        <f aca="false">IF(H7083&gt;0,H7204/H7083,0)</f>
        <v>7.70969887832544</v>
      </c>
      <c r="I7206" s="31" t="n">
        <f aca="false">IF(I7083&gt;0,I7204/I7083,0)</f>
        <v>7.62376751410553</v>
      </c>
      <c r="J7206" s="31" t="n">
        <f aca="false">IF(J7083&gt;0,J7204/J7083,0)</f>
        <v>7.5716937530992</v>
      </c>
      <c r="K7206" s="31" t="n">
        <f aca="false">IF(K7083&gt;0,K7204/K7083,0)</f>
        <v>7.51425466558389</v>
      </c>
    </row>
    <row r="7207" customFormat="false" ht="15" hidden="false" customHeight="false" outlineLevel="0" collapsed="false">
      <c r="A7207" s="5" t="s">
        <v>324</v>
      </c>
      <c r="G7207" s="31" t="n">
        <f aca="false">IF(G7087&gt;0,G7083/G7087,0)</f>
        <v>1.29737903225806</v>
      </c>
      <c r="H7207" s="31" t="n">
        <f aca="false">IF(H7087&gt;0,H7083/H7087,0)</f>
        <v>1.37984675303662</v>
      </c>
      <c r="I7207" s="31" t="n">
        <f aca="false">IF(I7087&gt;0,I7083/I7087,0)</f>
        <v>1.26641336326206</v>
      </c>
      <c r="J7207" s="31" t="n">
        <f aca="false">IF(J7087&gt;0,J7083/J7087,0)</f>
        <v>1.21473661783139</v>
      </c>
      <c r="K7207" s="31" t="n">
        <f aca="false">IF(K7087&gt;0,K7083/K7087,0)</f>
        <v>1.22212036414877</v>
      </c>
    </row>
    <row r="7208" customFormat="false" ht="15" hidden="false" customHeight="false" outlineLevel="0" collapsed="false">
      <c r="A7208" s="5" t="s">
        <v>325</v>
      </c>
      <c r="G7208" s="31" t="n">
        <f aca="false">IF(G7087&gt;0,G7086/G7087,0)</f>
        <v>0.858266129032258</v>
      </c>
      <c r="H7208" s="31" t="n">
        <f aca="false">IF(H7087&gt;0,H7086/H7087,0)</f>
        <v>0.926762744576837</v>
      </c>
      <c r="I7208" s="31" t="n">
        <f aca="false">IF(I7087&gt;0,I7086/I7087,0)</f>
        <v>0.862629392366913</v>
      </c>
      <c r="J7208" s="31" t="n">
        <f aca="false">IF(J7087&gt;0,J7086/J7087,0)</f>
        <v>0.838339355968144</v>
      </c>
      <c r="K7208" s="31" t="n">
        <f aca="false">IF(K7087&gt;0,K7086/K7087,0)</f>
        <v>0.853810117419004</v>
      </c>
    </row>
    <row r="7209" customFormat="false" ht="15" hidden="false" customHeight="false" outlineLevel="0" collapsed="false">
      <c r="A7209" s="5" t="s">
        <v>182</v>
      </c>
      <c r="G7209" s="21" t="n">
        <f aca="false">IF(G7202&gt;0,G7096/G7202,0)</f>
        <v>-0.00760969824746344</v>
      </c>
      <c r="H7209" s="21" t="n">
        <f aca="false">IF(H7202&gt;0,H7096/H7202,0)</f>
        <v>-0.000669258254482877</v>
      </c>
      <c r="I7209" s="21" t="n">
        <f aca="false">IF(I7202&gt;0,I7096/I7202,0)</f>
        <v>-0.00812192792238481</v>
      </c>
      <c r="J7209" s="21" t="n">
        <f aca="false">IF(J7202&gt;0,J7096/J7202,0)</f>
        <v>-0.0116013320323922</v>
      </c>
      <c r="K7209" s="21" t="n">
        <f aca="false">IF(K7202&gt;0,K7096/K7202,0)</f>
        <v>-0.0100633017893152</v>
      </c>
    </row>
    <row r="7210" customFormat="false" ht="15" hidden="false" customHeight="false" outlineLevel="0" collapsed="false">
      <c r="A7210" s="5" t="s">
        <v>326</v>
      </c>
      <c r="G7210" s="31" t="n">
        <f aca="false">IF(G7087+G7186&gt;0,(G7083-G7094-G7091)/(G7087+G7186),0)</f>
        <v>0.860592401802962</v>
      </c>
      <c r="H7210" s="31" t="n">
        <f aca="false">IF(H7087+H7186&gt;0,(H7083-H7094-H7091)/(H7087+H7186),0)</f>
        <v>0.925802348838058</v>
      </c>
      <c r="I7210" s="31" t="n">
        <f aca="false">IF(I7087+I7186&gt;0,(I7083-I7094-I7091)/(I7087+I7186),0)</f>
        <v>0.863929842094743</v>
      </c>
      <c r="J7210" s="31" t="n">
        <f aca="false">IF(J7087+J7186&gt;0,(J7083-J7094-J7091)/(J7087+J7186),0)</f>
        <v>0.840136401281331</v>
      </c>
      <c r="K7210" s="31" t="n">
        <f aca="false">IF(K7087+K7186&gt;0,(K7083-K7094-K7091)/(K7087+K7186),0)</f>
        <v>0.854692886710214</v>
      </c>
    </row>
    <row r="7211" customFormat="false" ht="15" hidden="false" customHeight="false" outlineLevel="0" collapsed="false">
      <c r="A7211" s="5" t="s">
        <v>327</v>
      </c>
      <c r="G7211" s="25" t="n">
        <f aca="false">MAX(0,G7195)+Assumptions!$P$53*MAX(0,Assumptions!$D$53-G7120)+Assumptions!$P$54*MAX(0,Assumptions!$D$54-G7133)+Assumptions!$P$55*MAX(0,Assumptions!$D$55-G7146)+Assumptions!$P$56*MAX(0,Assumptions!$D$56-G7159)</f>
        <v>150.56</v>
      </c>
      <c r="H7211" s="25" t="n">
        <f aca="false">MAX(0,H7195)+Assumptions!$P$53*MAX(0,Assumptions!$D$53-H7120)+Assumptions!$P$54*MAX(0,Assumptions!$D$54-H7133)+Assumptions!$P$55*MAX(0,Assumptions!$D$55-H7146)+Assumptions!$P$56*MAX(0,Assumptions!$D$56-H7159)</f>
        <v>150.56</v>
      </c>
      <c r="I7211" s="25" t="n">
        <f aca="false">MAX(0,I7195)+Assumptions!$P$53*MAX(0,Assumptions!$D$53-I7120)+Assumptions!$P$54*MAX(0,Assumptions!$D$54-I7133)+Assumptions!$P$55*MAX(0,Assumptions!$D$55-I7146)+Assumptions!$P$56*MAX(0,Assumptions!$D$56-I7159)</f>
        <v>129.4014904</v>
      </c>
      <c r="J7211" s="25" t="n">
        <f aca="false">MAX(0,J7195)+Assumptions!$P$53*MAX(0,Assumptions!$D$53-J7120)+Assumptions!$P$54*MAX(0,Assumptions!$D$54-J7133)+Assumptions!$P$55*MAX(0,Assumptions!$D$55-J7146)+Assumptions!$P$56*MAX(0,Assumptions!$D$56-J7159)</f>
        <v>109.823067088</v>
      </c>
      <c r="K7211" s="25" t="n">
        <f aca="false">MAX(0,K7195)+Assumptions!$P$53*MAX(0,Assumptions!$D$53-K7120)+Assumptions!$P$54*MAX(0,Assumptions!$D$54-K7133)+Assumptions!$P$55*MAX(0,Assumptions!$D$55-K7146)+Assumptions!$P$56*MAX(0,Assumptions!$D$56-K7159)</f>
        <v>92.02405532376</v>
      </c>
    </row>
    <row r="7212" customFormat="false" ht="15" hidden="false" customHeight="false" outlineLevel="0" collapsed="false">
      <c r="A7212" s="5" t="s">
        <v>328</v>
      </c>
      <c r="G7212" s="21" t="n">
        <f aca="false">IF(G7202&gt;0,G7202/(G7202+MAX(0,G7083*CHOOSE($C$7066,Assumptions!$C$76,Assumptions!$C$95,Assumptions!$C$114)-G7204)),0)</f>
        <v>1</v>
      </c>
      <c r="H7212" s="21" t="n">
        <f aca="false">IF(H7202&gt;0,H7202/(H7202+MAX(0,H7083*CHOOSE($C$7066,Assumptions!$C$76,Assumptions!$C$95,Assumptions!$C$114)-H7204)),0)</f>
        <v>1</v>
      </c>
      <c r="I7212" s="21" t="n">
        <f aca="false">IF(I7202&gt;0,I7202/(I7202+MAX(0,I7083*CHOOSE($C$7066,Assumptions!$C$76,Assumptions!$C$95,Assumptions!$C$114)-I7204)),0)</f>
        <v>1</v>
      </c>
      <c r="J7212" s="21" t="n">
        <f aca="false">IF(J7202&gt;0,J7202/(J7202+MAX(0,J7083*CHOOSE($C$7066,Assumptions!$C$76,Assumptions!$C$95,Assumptions!$C$114)-J7204)),0)</f>
        <v>1</v>
      </c>
      <c r="K7212" s="21" t="n">
        <f aca="false">IF(K7202&gt;0,K7202/(K7202+MAX(0,K7083*CHOOSE($C$7066,Assumptions!$C$76,Assumptions!$C$95,Assumptions!$C$114)-K7204)),0)</f>
        <v>1</v>
      </c>
    </row>
    <row r="7213" customFormat="false" ht="15" hidden="false" customHeight="false" outlineLevel="0" collapsed="false">
      <c r="A7213" s="5" t="s">
        <v>329</v>
      </c>
      <c r="G7213" s="21" t="n">
        <f aca="false">IF(G7202&gt;0,MAX(0,G7195)/G7202,0)</f>
        <v>0</v>
      </c>
      <c r="H7213" s="21" t="n">
        <f aca="false">IF(H7202&gt;0,MAX(0,H7195)/H7202,0)</f>
        <v>0</v>
      </c>
      <c r="I7213" s="21" t="n">
        <f aca="false">IF(I7202&gt;0,MAX(0,I7195)/I7202,0)</f>
        <v>0</v>
      </c>
      <c r="J7213" s="21" t="n">
        <f aca="false">IF(J7202&gt;0,MAX(0,J7195)/J7202,0)</f>
        <v>0</v>
      </c>
      <c r="K7213" s="21" t="n">
        <f aca="false">IF(K7202&gt;0,MAX(0,K7195)/K7202,0)</f>
        <v>0</v>
      </c>
    </row>
    <row r="7214" customFormat="false" ht="15" hidden="false" customHeight="false" outlineLevel="0" collapsed="false">
      <c r="A7214" s="5" t="s">
        <v>330</v>
      </c>
      <c r="G7214" s="25" t="n">
        <f aca="false">Assumptions!$C$27*(1-CHOOSE($C$7066,Assumptions!$C$79,Assumptions!$C$98,Assumptions!$C$117))</f>
        <v>1040</v>
      </c>
      <c r="H7214" s="25" t="n">
        <f aca="false">Assumptions!$C$27*(1-CHOOSE($C$7066,Assumptions!$C$79,Assumptions!$C$98,Assumptions!$C$117))</f>
        <v>1040</v>
      </c>
      <c r="I7214" s="25" t="n">
        <f aca="false">Assumptions!$C$27*(1-CHOOSE($C$7066,Assumptions!$C$79,Assumptions!$C$98,Assumptions!$C$117))</f>
        <v>1040</v>
      </c>
      <c r="J7214" s="25" t="n">
        <f aca="false">Assumptions!$C$27*(1-CHOOSE($C$7066,Assumptions!$C$79,Assumptions!$C$98,Assumptions!$C$117))</f>
        <v>1040</v>
      </c>
      <c r="K7214" s="25" t="n">
        <f aca="false">Assumptions!$C$27*(1-CHOOSE($C$7066,Assumptions!$C$79,Assumptions!$C$98,Assumptions!$C$117))</f>
        <v>1040</v>
      </c>
    </row>
    <row r="7215" customFormat="false" ht="15" hidden="false" customHeight="false" outlineLevel="0" collapsed="false">
      <c r="A7215" s="23" t="s">
        <v>331</v>
      </c>
      <c r="B7215" s="24"/>
      <c r="C7215" s="24"/>
      <c r="D7215" s="24"/>
      <c r="E7215" s="24"/>
      <c r="F7215" s="24"/>
      <c r="G7215" s="24"/>
      <c r="H7215" s="24"/>
      <c r="I7215" s="24"/>
      <c r="J7215" s="24"/>
      <c r="K7215" s="24"/>
    </row>
    <row r="7216" customFormat="false" ht="15" hidden="false" customHeight="false" outlineLevel="0" collapsed="false">
      <c r="A7216" s="23" t="s">
        <v>332</v>
      </c>
      <c r="B7216" s="24"/>
      <c r="C7216" s="24"/>
      <c r="D7216" s="24"/>
      <c r="E7216" s="24"/>
      <c r="F7216" s="24"/>
      <c r="G7216" s="24"/>
      <c r="H7216" s="24"/>
      <c r="I7216" s="24"/>
      <c r="J7216" s="24"/>
      <c r="K7216" s="24"/>
    </row>
    <row r="7217" customFormat="false" ht="15" hidden="false" customHeight="false" outlineLevel="0" collapsed="false">
      <c r="A7217" s="5" t="s">
        <v>333</v>
      </c>
      <c r="G7217" s="31" t="n">
        <f aca="false">IF(G7083&gt;0,G7204/G7083,99)</f>
        <v>7.86221186221186</v>
      </c>
      <c r="H7217" s="31" t="n">
        <f aca="false">IF(H7083&gt;0,H7204/H7083,99)</f>
        <v>7.70969887832544</v>
      </c>
      <c r="I7217" s="31" t="n">
        <f aca="false">IF(I7083&gt;0,I7204/I7083,99)</f>
        <v>7.62376751410553</v>
      </c>
      <c r="J7217" s="31" t="n">
        <f aca="false">IF(J7083&gt;0,J7204/J7083,99)</f>
        <v>7.5716937530992</v>
      </c>
      <c r="K7217" s="31" t="n">
        <f aca="false">IF(K7083&gt;0,K7204/K7083,99)</f>
        <v>7.51425466558389</v>
      </c>
    </row>
    <row r="7218" customFormat="false" ht="15" hidden="false" customHeight="false" outlineLevel="0" collapsed="false">
      <c r="A7218" s="5" t="s">
        <v>334</v>
      </c>
      <c r="G7218" s="32" t="n">
        <f aca="false">Assumptions!$G$61</f>
        <v>8.5</v>
      </c>
      <c r="H7218" s="32" t="n">
        <f aca="false">Assumptions!$H$61</f>
        <v>8.5</v>
      </c>
      <c r="I7218" s="32" t="n">
        <f aca="false">Assumptions!$I$61</f>
        <v>8.5</v>
      </c>
      <c r="J7218" s="32" t="n">
        <f aca="false">Assumptions!$J$61</f>
        <v>8.5</v>
      </c>
      <c r="K7218" s="32" t="n">
        <f aca="false">Assumptions!$K$61</f>
        <v>8.5</v>
      </c>
    </row>
    <row r="7219" customFormat="false" ht="15" hidden="false" customHeight="false" outlineLevel="0" collapsed="false">
      <c r="A7219" s="5" t="s">
        <v>335</v>
      </c>
      <c r="G7219" s="31" t="n">
        <f aca="false">G7218-G7217</f>
        <v>0.637788137788138</v>
      </c>
      <c r="H7219" s="31" t="n">
        <f aca="false">H7218-H7217</f>
        <v>0.790301121674557</v>
      </c>
      <c r="I7219" s="31" t="n">
        <f aca="false">I7218-I7217</f>
        <v>0.876232485894469</v>
      </c>
      <c r="J7219" s="31" t="n">
        <f aca="false">J7218-J7217</f>
        <v>0.928306246900803</v>
      </c>
      <c r="K7219" s="31" t="n">
        <f aca="false">K7218-K7217</f>
        <v>0.985745334416111</v>
      </c>
    </row>
    <row r="7220" customFormat="false" ht="15" hidden="false" customHeight="false" outlineLevel="0" collapsed="false">
      <c r="A7220" s="5" t="s">
        <v>336</v>
      </c>
      <c r="G7220" s="21" t="n">
        <f aca="false">IF(G7218=0,0,G7219/ABS(G7218))</f>
        <v>0.0750338985633103</v>
      </c>
      <c r="H7220" s="21" t="n">
        <f aca="false">IF(H7218=0,0,H7219/ABS(H7218))</f>
        <v>0.0929766025499479</v>
      </c>
      <c r="I7220" s="21" t="n">
        <f aca="false">IF(I7218=0,0,I7219/ABS(I7218))</f>
        <v>0.103086174811114</v>
      </c>
      <c r="J7220" s="21" t="n">
        <f aca="false">IF(J7218=0,0,J7219/ABS(J7218))</f>
        <v>0.109212499635389</v>
      </c>
      <c r="K7220" s="21" t="n">
        <f aca="false">IF(K7218=0,0,K7219/ABS(K7218))</f>
        <v>0.115970039343072</v>
      </c>
    </row>
    <row r="7221" customFormat="false" ht="15" hidden="false" customHeight="false" outlineLevel="0" collapsed="false">
      <c r="A7221" s="5" t="s">
        <v>337</v>
      </c>
      <c r="G7221" s="20" t="n">
        <f aca="false">IF(G7219&lt;0,1,0)</f>
        <v>0</v>
      </c>
      <c r="H7221" s="20" t="n">
        <f aca="false">IF(H7219&lt;0,1,0)</f>
        <v>0</v>
      </c>
      <c r="I7221" s="20" t="n">
        <f aca="false">IF(I7219&lt;0,1,0)</f>
        <v>0</v>
      </c>
      <c r="J7221" s="20" t="n">
        <f aca="false">IF(J7219&lt;0,1,0)</f>
        <v>0</v>
      </c>
      <c r="K7221" s="20" t="n">
        <f aca="false">IF(K7219&lt;0,1,0)</f>
        <v>0</v>
      </c>
    </row>
    <row r="7222" customFormat="false" ht="15" hidden="false" customHeight="false" outlineLevel="0" collapsed="false">
      <c r="A7222" s="5" t="s">
        <v>338</v>
      </c>
      <c r="C7222" s="20" t="n">
        <f aca="false">IFERROR(INDEX($G$7073:$K$7073,MATCH(1,$G$7221:$K$7221,0)),0)</f>
        <v>0</v>
      </c>
    </row>
    <row r="7223" customFormat="false" ht="15" hidden="false" customHeight="false" outlineLevel="0" collapsed="false">
      <c r="A7223" s="5" t="s">
        <v>339</v>
      </c>
      <c r="C7223" s="21" t="n">
        <f aca="false">MIN($G$7220:$K$7220)</f>
        <v>0.0750338985633103</v>
      </c>
    </row>
    <row r="7224" customFormat="false" ht="15" hidden="false" customHeight="false" outlineLevel="0" collapsed="false">
      <c r="A7224" s="5" t="s">
        <v>340</v>
      </c>
      <c r="G7224" s="20" t="n">
        <f aca="false">G7221</f>
        <v>0</v>
      </c>
      <c r="H7224" s="20" t="n">
        <f aca="false">H7221</f>
        <v>0</v>
      </c>
      <c r="I7224" s="20" t="n">
        <f aca="false">I7221</f>
        <v>0</v>
      </c>
      <c r="J7224" s="20" t="n">
        <f aca="false">J7221</f>
        <v>0</v>
      </c>
      <c r="K7224" s="20" t="n">
        <f aca="false">K7221</f>
        <v>0</v>
      </c>
    </row>
    <row r="7225" customFormat="false" ht="15" hidden="false" customHeight="false" outlineLevel="0" collapsed="false">
      <c r="A7225" s="5" t="s">
        <v>341</v>
      </c>
      <c r="C7225" s="20" t="n">
        <f aca="false">SUM($G$7224:$K$7224)</f>
        <v>0</v>
      </c>
    </row>
    <row r="7226" customFormat="false" ht="15" hidden="false" customHeight="false" outlineLevel="0" collapsed="false">
      <c r="A7226" s="5" t="s">
        <v>342</v>
      </c>
      <c r="C7226" s="21" t="n">
        <f aca="false">MIN(C7223)</f>
        <v>0.0750338985633103</v>
      </c>
    </row>
    <row r="7228" customFormat="false" ht="15" hidden="false" customHeight="false" outlineLevel="0" collapsed="false">
      <c r="A7228" s="23" t="s">
        <v>444</v>
      </c>
      <c r="B7228" s="24"/>
      <c r="C7228" s="24"/>
      <c r="D7228" s="24"/>
      <c r="E7228" s="24"/>
      <c r="F7228" s="24"/>
      <c r="G7228" s="24"/>
      <c r="H7228" s="24"/>
      <c r="I7228" s="24"/>
      <c r="J7228" s="24"/>
      <c r="K7228" s="24"/>
    </row>
    <row r="7229" customFormat="false" ht="15" hidden="false" customHeight="false" outlineLevel="0" collapsed="false">
      <c r="A7229" s="5" t="s">
        <v>445</v>
      </c>
      <c r="G7229" s="20" t="n">
        <f aca="false">IF($C$7230=1,G7198,IF(G7083=MIN($G$7083:$K$7083),1,0))</f>
        <v>0</v>
      </c>
      <c r="H7229" s="20" t="n">
        <f aca="false">IF($C$7230=1,H7198,IF(AND(H7083=MIN($G$7083:$K$7083),SUM($G$7229:G7229)=0),1,0))</f>
        <v>1</v>
      </c>
      <c r="I7229" s="20" t="n">
        <f aca="false">IF($C$7230=1,I7198,IF(AND(I7083=MIN($G$7083:$K$7083),SUM($G$7229:H7229)=0),1,0))</f>
        <v>0</v>
      </c>
      <c r="J7229" s="20" t="n">
        <f aca="false">IF($C$7230=1,J7198,IF(AND(J7083=MIN($G$7083:$K$7083),SUM($G$7229:I7229)=0),1,0))</f>
        <v>0</v>
      </c>
      <c r="K7229" s="20" t="n">
        <f aca="false">IF($C$7230=1,K7198,IF(AND(K7083=MIN($G$7083:$K$7083),SUM($G$7229:J7229)=0),1,0))</f>
        <v>0</v>
      </c>
    </row>
    <row r="7230" customFormat="false" ht="15" hidden="false" customHeight="false" outlineLevel="0" collapsed="false">
      <c r="A7230" s="5" t="s">
        <v>446</v>
      </c>
      <c r="C7230" s="20" t="n">
        <f aca="false">IF(SUM($G$7198:$K$7198)&gt;0,1,0)</f>
        <v>1</v>
      </c>
    </row>
    <row r="7231" customFormat="false" ht="15" hidden="false" customHeight="false" outlineLevel="0" collapsed="false">
      <c r="A7231" s="5" t="s">
        <v>447</v>
      </c>
      <c r="C7231" s="20" t="n">
        <f aca="false">SUMPRODUCT($G$7229:$K$7229,$G$7073:$K$7073)</f>
        <v>2027</v>
      </c>
    </row>
    <row r="7232" customFormat="false" ht="15" hidden="false" customHeight="false" outlineLevel="0" collapsed="false">
      <c r="A7232" s="5" t="s">
        <v>448</v>
      </c>
      <c r="C7232" s="25" t="n">
        <f aca="false">SUMPRODUCT($G$7229:$K$7229,$G$7083:$K$7083)</f>
        <v>157.60008</v>
      </c>
    </row>
    <row r="7233" customFormat="false" ht="15" hidden="false" customHeight="false" outlineLevel="0" collapsed="false">
      <c r="A7233" s="5" t="s">
        <v>449</v>
      </c>
      <c r="C7233" s="25" t="n">
        <f aca="false">MAX(0,SUMPRODUCT($G$7229:$K$7229,$G$7195:$K$7195))</f>
        <v>0</v>
      </c>
    </row>
    <row r="7234" customFormat="false" ht="15" hidden="false" customHeight="false" outlineLevel="0" collapsed="false">
      <c r="A7234" s="5" t="s">
        <v>450</v>
      </c>
      <c r="C7234" s="25" t="n">
        <f aca="false">(CHOOSE($C$7066,Assumptions!$C$78,Assumptions!$C$97,Assumptions!$C$116)+$C$7070)*C7232</f>
        <v>630.40032</v>
      </c>
    </row>
    <row r="7235" customFormat="false" ht="15" hidden="false" customHeight="false" outlineLevel="0" collapsed="false">
      <c r="A7235" s="5" t="s">
        <v>451</v>
      </c>
      <c r="C7235" s="25" t="n">
        <f aca="false">Assumptions!$C$27*(1-CHOOSE($C$7066,Assumptions!$C$79,Assumptions!$C$98,Assumptions!$C$117))*CHOOSE($C$7066,Assumptions!$C$80,Assumptions!$C$99,Assumptions!$C$118)</f>
        <v>624</v>
      </c>
    </row>
    <row r="7236" customFormat="false" ht="15" hidden="false" customHeight="false" outlineLevel="0" collapsed="false">
      <c r="A7236" s="5" t="s">
        <v>452</v>
      </c>
      <c r="C7236" s="25" t="n">
        <f aca="false">MAX(C7234,C7235)+C7233</f>
        <v>630.40032</v>
      </c>
    </row>
    <row r="7237" customFormat="false" ht="15" hidden="false" customHeight="false" outlineLevel="0" collapsed="false">
      <c r="A7237" s="2" t="s">
        <v>453</v>
      </c>
      <c r="C7237" s="16" t="n">
        <f aca="false">IF(ISNUMBER(Assumptions!$C$14),Assumptions!$C$14,C7236)</f>
        <v>630.40032</v>
      </c>
    </row>
    <row r="7238" customFormat="false" ht="15" hidden="false" customHeight="false" outlineLevel="0" collapsed="false">
      <c r="A7238" s="5" t="s">
        <v>454</v>
      </c>
      <c r="C7238" s="25" t="n">
        <f aca="false">C7237*Assumptions!$C$15</f>
        <v>25.2160128</v>
      </c>
    </row>
    <row r="7239" customFormat="false" ht="15" hidden="false" customHeight="false" outlineLevel="0" collapsed="false">
      <c r="A7239" s="2" t="s">
        <v>455</v>
      </c>
      <c r="C7239" s="16" t="n">
        <f aca="false">C7237-C7238</f>
        <v>605.1843072</v>
      </c>
    </row>
    <row r="7240" customFormat="false" ht="15" hidden="false" customHeight="false" outlineLevel="0" collapsed="false">
      <c r="A7240" s="23" t="s">
        <v>456</v>
      </c>
      <c r="B7240" s="24"/>
      <c r="C7240" s="24"/>
      <c r="D7240" s="24"/>
      <c r="E7240" s="24"/>
      <c r="F7240" s="24"/>
      <c r="G7240" s="24"/>
      <c r="H7240" s="24"/>
      <c r="I7240" s="24"/>
      <c r="J7240" s="24"/>
      <c r="K7240" s="24"/>
    </row>
    <row r="7241" customFormat="false" ht="15" hidden="false" customHeight="false" outlineLevel="0" collapsed="false">
      <c r="A7241" s="5" t="s">
        <v>457</v>
      </c>
      <c r="C7241" s="25" t="n">
        <f aca="false">SUMPRODUCT($G$7229:$K$7229,$G$7120:$K$7120)*(1+SUMPRODUCT($G$7229:$K$7229,$G$7112:$K$7112)*Assumptions!$C$16/12)</f>
        <v>152.55956</v>
      </c>
    </row>
    <row r="7242" customFormat="false" ht="15" hidden="false" customHeight="false" outlineLevel="0" collapsed="false">
      <c r="A7242" s="5" t="s">
        <v>458</v>
      </c>
      <c r="C7242" s="25" t="n">
        <f aca="false">SUMPRODUCT($G$7229:$K$7229,$G$7133:$K$7133)*(1+SUMPRODUCT($G$7229:$K$7229,$G$7125:$K$7125)*Assumptions!$C$16/12)</f>
        <v>522.4037</v>
      </c>
    </row>
    <row r="7243" customFormat="false" ht="15" hidden="false" customHeight="false" outlineLevel="0" collapsed="false">
      <c r="A7243" s="5" t="s">
        <v>459</v>
      </c>
      <c r="C7243" s="25" t="n">
        <f aca="false">SUMPRODUCT($G$7229:$K$7229,$G$7146:$K$7146)*(1+SUMPRODUCT($G$7229:$K$7229,$G$7138:$K$7138)*Assumptions!$C$16/12)</f>
        <v>256.875</v>
      </c>
    </row>
    <row r="7244" customFormat="false" ht="15" hidden="false" customHeight="false" outlineLevel="0" collapsed="false">
      <c r="A7244" s="5" t="s">
        <v>460</v>
      </c>
      <c r="C7244" s="25" t="n">
        <f aca="false">SUMPRODUCT($G$7229:$K$7229,$G$7159:$K$7159)*(1+SUMPRODUCT($G$7229:$K$7229,$G$7151:$K$7151)*Assumptions!$C$16/12)</f>
        <v>305.625</v>
      </c>
    </row>
    <row r="7245" customFormat="false" ht="15" hidden="false" customHeight="false" outlineLevel="0" collapsed="false">
      <c r="A7245" s="23" t="s">
        <v>461</v>
      </c>
      <c r="B7245" s="24"/>
      <c r="C7245" s="24"/>
      <c r="D7245" s="24"/>
      <c r="E7245" s="24"/>
      <c r="F7245" s="24"/>
      <c r="G7245" s="24"/>
      <c r="H7245" s="24"/>
      <c r="I7245" s="24"/>
      <c r="J7245" s="24"/>
      <c r="K7245" s="24"/>
    </row>
    <row r="7246" customFormat="false" ht="15" hidden="false" customHeight="false" outlineLevel="0" collapsed="false">
      <c r="A7246" s="5" t="s">
        <v>457</v>
      </c>
      <c r="C7246" s="26" t="n">
        <f aca="false">Assumptions!$M$53</f>
        <v>1</v>
      </c>
    </row>
    <row r="7247" customFormat="false" ht="15" hidden="false" customHeight="false" outlineLevel="0" collapsed="false">
      <c r="A7247" s="5" t="s">
        <v>458</v>
      </c>
      <c r="C7247" s="26" t="n">
        <f aca="false">Assumptions!$M$54</f>
        <v>2</v>
      </c>
    </row>
    <row r="7248" customFormat="false" ht="15" hidden="false" customHeight="false" outlineLevel="0" collapsed="false">
      <c r="A7248" s="5" t="s">
        <v>459</v>
      </c>
      <c r="C7248" s="26" t="n">
        <f aca="false">Assumptions!$M$55</f>
        <v>3</v>
      </c>
    </row>
    <row r="7249" customFormat="false" ht="15" hidden="false" customHeight="false" outlineLevel="0" collapsed="false">
      <c r="A7249" s="5" t="s">
        <v>460</v>
      </c>
      <c r="C7249" s="26" t="n">
        <f aca="false">Assumptions!$M$56</f>
        <v>4</v>
      </c>
    </row>
    <row r="7250" customFormat="false" ht="15" hidden="false" customHeight="false" outlineLevel="0" collapsed="false">
      <c r="A7250" s="23" t="s">
        <v>462</v>
      </c>
      <c r="B7250" s="24"/>
      <c r="C7250" s="24"/>
      <c r="D7250" s="24"/>
      <c r="E7250" s="24"/>
      <c r="F7250" s="24"/>
      <c r="G7250" s="24"/>
      <c r="H7250" s="24"/>
      <c r="I7250" s="24"/>
      <c r="J7250" s="24"/>
      <c r="K7250" s="24"/>
    </row>
    <row r="7251" customFormat="false" ht="15" hidden="false" customHeight="false" outlineLevel="0" collapsed="false">
      <c r="A7251" s="5" t="s">
        <v>457</v>
      </c>
      <c r="C7251" s="34" t="n">
        <f aca="false">Assumptions!$Q$53</f>
        <v>0</v>
      </c>
    </row>
    <row r="7252" customFormat="false" ht="15" hidden="false" customHeight="false" outlineLevel="0" collapsed="false">
      <c r="A7252" s="5" t="s">
        <v>458</v>
      </c>
      <c r="C7252" s="34" t="n">
        <f aca="false">Assumptions!$Q$54</f>
        <v>0</v>
      </c>
    </row>
    <row r="7253" customFormat="false" ht="15" hidden="false" customHeight="false" outlineLevel="0" collapsed="false">
      <c r="A7253" s="5" t="s">
        <v>459</v>
      </c>
      <c r="C7253" s="34" t="n">
        <f aca="false">Assumptions!$Q$55</f>
        <v>0</v>
      </c>
    </row>
    <row r="7254" customFormat="false" ht="15" hidden="false" customHeight="false" outlineLevel="0" collapsed="false">
      <c r="A7254" s="5" t="s">
        <v>460</v>
      </c>
      <c r="C7254" s="34" t="n">
        <f aca="false">Assumptions!$Q$56</f>
        <v>0</v>
      </c>
    </row>
    <row r="7255" customFormat="false" ht="15" hidden="false" customHeight="false" outlineLevel="0" collapsed="false">
      <c r="A7255" s="23" t="s">
        <v>463</v>
      </c>
      <c r="B7255" s="24"/>
      <c r="C7255" s="24"/>
      <c r="D7255" s="24"/>
      <c r="E7255" s="24"/>
      <c r="F7255" s="24"/>
      <c r="G7255" s="24"/>
      <c r="H7255" s="24"/>
      <c r="I7255" s="24"/>
      <c r="J7255" s="24"/>
      <c r="K7255" s="24"/>
    </row>
    <row r="7256" customFormat="false" ht="15" hidden="false" customHeight="false" outlineLevel="0" collapsed="false">
      <c r="A7256" s="5" t="s">
        <v>457</v>
      </c>
      <c r="C7256" s="25" t="n">
        <f aca="false">IF(C7251&gt;0,MIN(C7241,C7251*$C$7239),0)</f>
        <v>0</v>
      </c>
    </row>
    <row r="7257" customFormat="false" ht="15" hidden="false" customHeight="false" outlineLevel="0" collapsed="false">
      <c r="A7257" s="5" t="s">
        <v>458</v>
      </c>
      <c r="C7257" s="25" t="n">
        <f aca="false">IF(C7252&gt;0,MIN(C7242,C7252*$C$7239),0)</f>
        <v>0</v>
      </c>
    </row>
    <row r="7258" customFormat="false" ht="15" hidden="false" customHeight="false" outlineLevel="0" collapsed="false">
      <c r="A7258" s="5" t="s">
        <v>459</v>
      </c>
      <c r="C7258" s="25" t="n">
        <f aca="false">IF(C7253&gt;0,MIN(C7243,C7253*$C$7239),0)</f>
        <v>0</v>
      </c>
    </row>
    <row r="7259" customFormat="false" ht="15" hidden="false" customHeight="false" outlineLevel="0" collapsed="false">
      <c r="A7259" s="5" t="s">
        <v>460</v>
      </c>
      <c r="C7259" s="25" t="n">
        <f aca="false">IF(C7254&gt;0,MIN(C7244,C7254*$C$7239),0)</f>
        <v>0</v>
      </c>
    </row>
    <row r="7260" customFormat="false" ht="15" hidden="false" customHeight="false" outlineLevel="0" collapsed="false">
      <c r="A7260" s="23" t="s">
        <v>464</v>
      </c>
      <c r="B7260" s="24"/>
      <c r="C7260" s="24"/>
      <c r="D7260" s="24"/>
      <c r="E7260" s="24"/>
      <c r="F7260" s="24"/>
      <c r="G7260" s="24"/>
      <c r="H7260" s="24"/>
      <c r="I7260" s="24"/>
      <c r="J7260" s="24"/>
      <c r="K7260" s="24"/>
    </row>
    <row r="7261" customFormat="false" ht="15" hidden="false" customHeight="false" outlineLevel="0" collapsed="false">
      <c r="A7261" s="5" t="s">
        <v>457</v>
      </c>
      <c r="C7261" s="25" t="n">
        <f aca="false">IF(C7251&gt;0,C7241-C7256,0)</f>
        <v>0</v>
      </c>
      <c r="G7261" s="20" t="n">
        <f aca="false">IF(AND(G7110=1,G7107=1),1,0)</f>
        <v>0</v>
      </c>
      <c r="H7261" s="20" t="n">
        <f aca="false">IF(G7261=1,1,IF(AND(H7110=1,H7107=1),1,0))</f>
        <v>1</v>
      </c>
      <c r="I7261" s="20" t="n">
        <f aca="false">IF(H7261=1,1,IF(AND(I7110=1,I7107=1),1,0))</f>
        <v>1</v>
      </c>
      <c r="J7261" s="20" t="n">
        <f aca="false">IF(I7261=1,1,IF(AND(J7110=1,J7107=1),1,0))</f>
        <v>1</v>
      </c>
      <c r="K7261" s="20" t="n">
        <f aca="false">IF(J7261=1,1,IF(AND(K7110=1,K7107=1),1,0))</f>
        <v>1</v>
      </c>
    </row>
    <row r="7262" customFormat="false" ht="15" hidden="false" customHeight="false" outlineLevel="0" collapsed="false">
      <c r="A7262" s="5" t="s">
        <v>458</v>
      </c>
      <c r="C7262" s="25" t="n">
        <f aca="false">IF(C7252&gt;0,C7242-C7257,0)</f>
        <v>0</v>
      </c>
      <c r="G7262" s="20" t="n">
        <f aca="false">IF(AND(G7123=1,G7107=1),1,0)</f>
        <v>0</v>
      </c>
      <c r="H7262" s="20" t="n">
        <f aca="false">IF(G7262=1,1,IF(AND(H7123=1,H7107=1),1,0))</f>
        <v>0</v>
      </c>
      <c r="I7262" s="20" t="n">
        <f aca="false">IF(H7262=1,1,IF(AND(I7123=1,I7107=1),1,0))</f>
        <v>1</v>
      </c>
      <c r="J7262" s="20" t="n">
        <f aca="false">IF(I7262=1,1,IF(AND(J7123=1,J7107=1),1,0))</f>
        <v>1</v>
      </c>
      <c r="K7262" s="20" t="n">
        <f aca="false">IF(J7262=1,1,IF(AND(K7123=1,K7107=1),1,0))</f>
        <v>1</v>
      </c>
    </row>
    <row r="7263" customFormat="false" ht="15" hidden="false" customHeight="false" outlineLevel="0" collapsed="false">
      <c r="A7263" s="5" t="s">
        <v>459</v>
      </c>
      <c r="C7263" s="25" t="n">
        <f aca="false">IF(C7253&gt;0,C7243-C7258,0)</f>
        <v>0</v>
      </c>
      <c r="G7263" s="20" t="n">
        <f aca="false">IF(AND(G7136=1,G7107=1),1,0)</f>
        <v>0</v>
      </c>
      <c r="H7263" s="20" t="n">
        <f aca="false">IF(G7263=1,1,IF(AND(H7136=1,H7107=1),1,0))</f>
        <v>0</v>
      </c>
      <c r="I7263" s="20" t="n">
        <f aca="false">IF(H7263=1,1,IF(AND(I7136=1,I7107=1),1,0))</f>
        <v>0</v>
      </c>
      <c r="J7263" s="20" t="n">
        <f aca="false">IF(I7263=1,1,IF(AND(J7136=1,J7107=1),1,0))</f>
        <v>1</v>
      </c>
      <c r="K7263" s="20" t="n">
        <f aca="false">IF(J7263=1,1,IF(AND(K7136=1,K7107=1),1,0))</f>
        <v>1</v>
      </c>
    </row>
    <row r="7264" customFormat="false" ht="15" hidden="false" customHeight="false" outlineLevel="0" collapsed="false">
      <c r="A7264" s="5" t="s">
        <v>460</v>
      </c>
      <c r="C7264" s="25" t="n">
        <f aca="false">IF(C7254&gt;0,C7244-C7259,0)</f>
        <v>0</v>
      </c>
      <c r="G7264" s="20" t="n">
        <f aca="false">IF(AND(G7149=1,G7107=1),1,0)</f>
        <v>0</v>
      </c>
      <c r="H7264" s="20" t="n">
        <f aca="false">IF(G7264=1,1,IF(AND(H7149=1,H7107=1),1,0))</f>
        <v>1</v>
      </c>
      <c r="I7264" s="20" t="n">
        <f aca="false">IF(H7264=1,1,IF(AND(I7149=1,I7107=1),1,0))</f>
        <v>1</v>
      </c>
      <c r="J7264" s="20" t="n">
        <f aca="false">IF(I7264=1,1,IF(AND(J7149=1,J7107=1),1,0))</f>
        <v>1</v>
      </c>
      <c r="K7264" s="20" t="n">
        <f aca="false">IF(J7264=1,1,IF(AND(K7149=1,K7107=1),1,0))</f>
        <v>1</v>
      </c>
    </row>
    <row r="7265" customFormat="false" ht="15" hidden="false" customHeight="false" outlineLevel="0" collapsed="false">
      <c r="A7265" s="23" t="s">
        <v>465</v>
      </c>
      <c r="B7265" s="24"/>
      <c r="C7265" s="24"/>
      <c r="D7265" s="24"/>
      <c r="E7265" s="24"/>
      <c r="F7265" s="24"/>
      <c r="G7265" s="24"/>
      <c r="H7265" s="24"/>
      <c r="I7265" s="24"/>
      <c r="J7265" s="24"/>
      <c r="K7265" s="24"/>
    </row>
    <row r="7266" customFormat="false" ht="15" hidden="false" customHeight="false" outlineLevel="0" collapsed="false">
      <c r="A7266" s="5" t="s">
        <v>457</v>
      </c>
      <c r="C7266" s="25" t="n">
        <f aca="false">IF(C7251&gt;0,C7261,C7241)</f>
        <v>152.55956</v>
      </c>
    </row>
    <row r="7267" customFormat="false" ht="15" hidden="false" customHeight="false" outlineLevel="0" collapsed="false">
      <c r="A7267" s="5" t="s">
        <v>458</v>
      </c>
      <c r="C7267" s="25" t="n">
        <f aca="false">IF(C7252&gt;0,C7262,C7242)</f>
        <v>522.4037</v>
      </c>
    </row>
    <row r="7268" customFormat="false" ht="15" hidden="false" customHeight="false" outlineLevel="0" collapsed="false">
      <c r="A7268" s="5" t="s">
        <v>459</v>
      </c>
      <c r="C7268" s="25" t="n">
        <f aca="false">IF(C7253&gt;0,C7263,C7243)</f>
        <v>256.875</v>
      </c>
    </row>
    <row r="7269" customFormat="false" ht="15" hidden="false" customHeight="false" outlineLevel="0" collapsed="false">
      <c r="A7269" s="5" t="s">
        <v>460</v>
      </c>
      <c r="C7269" s="25" t="n">
        <f aca="false">IF(C7254&gt;0,C7264,C7244)</f>
        <v>305.625</v>
      </c>
    </row>
    <row r="7270" customFormat="false" ht="15" hidden="false" customHeight="false" outlineLevel="0" collapsed="false">
      <c r="A7270" s="23" t="s">
        <v>466</v>
      </c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</row>
    <row r="7271" customFormat="false" ht="15" hidden="false" customHeight="false" outlineLevel="0" collapsed="false">
      <c r="A7271" s="5" t="s">
        <v>457</v>
      </c>
      <c r="C7271" s="20" t="n">
        <f aca="false">IF(C7251&gt;0,Assumptions!$C$17,C7246)</f>
        <v>1</v>
      </c>
    </row>
    <row r="7272" customFormat="false" ht="15" hidden="false" customHeight="false" outlineLevel="0" collapsed="false">
      <c r="A7272" s="5" t="s">
        <v>458</v>
      </c>
      <c r="C7272" s="20" t="n">
        <f aca="false">IF(C7252&gt;0,Assumptions!$C$17,C7247)</f>
        <v>2</v>
      </c>
    </row>
    <row r="7273" customFormat="false" ht="15" hidden="false" customHeight="false" outlineLevel="0" collapsed="false">
      <c r="A7273" s="5" t="s">
        <v>459</v>
      </c>
      <c r="C7273" s="20" t="n">
        <f aca="false">IF(C7253&gt;0,Assumptions!$C$17,C7248)</f>
        <v>3</v>
      </c>
    </row>
    <row r="7274" customFormat="false" ht="15" hidden="false" customHeight="false" outlineLevel="0" collapsed="false">
      <c r="A7274" s="5" t="s">
        <v>460</v>
      </c>
      <c r="C7274" s="20" t="n">
        <f aca="false">IF(C7254&gt;0,Assumptions!$C$17,C7249)</f>
        <v>4</v>
      </c>
    </row>
    <row r="7275" customFormat="false" ht="15" hidden="false" customHeight="false" outlineLevel="0" collapsed="false">
      <c r="A7275" s="23" t="s">
        <v>467</v>
      </c>
      <c r="B7275" s="24"/>
      <c r="C7275" s="24"/>
      <c r="D7275" s="24"/>
      <c r="E7275" s="24"/>
      <c r="F7275" s="24"/>
      <c r="G7275" s="24"/>
      <c r="H7275" s="24"/>
      <c r="I7275" s="24"/>
      <c r="J7275" s="24"/>
      <c r="K7275" s="24"/>
    </row>
    <row r="7276" customFormat="false" ht="15" hidden="false" customHeight="false" outlineLevel="0" collapsed="false">
      <c r="A7276" s="5" t="s">
        <v>457</v>
      </c>
      <c r="C7276" s="25" t="n">
        <f aca="false">SUMPRODUCT(($C$7271:$C$7274&lt;C7271)*$C$7266:$C$7269)</f>
        <v>0</v>
      </c>
    </row>
    <row r="7277" customFormat="false" ht="15" hidden="false" customHeight="false" outlineLevel="0" collapsed="false">
      <c r="A7277" s="5" t="s">
        <v>458</v>
      </c>
      <c r="C7277" s="25" t="n">
        <f aca="false">SUMPRODUCT(($C$7271:$C$7274&lt;C7272)*$C$7266:$C$7269)</f>
        <v>152.55956</v>
      </c>
    </row>
    <row r="7278" customFormat="false" ht="15" hidden="false" customHeight="false" outlineLevel="0" collapsed="false">
      <c r="A7278" s="5" t="s">
        <v>459</v>
      </c>
      <c r="C7278" s="25" t="n">
        <f aca="false">SUMPRODUCT(($C$7271:$C$7274&lt;C7273)*$C$7266:$C$7269)</f>
        <v>674.96326</v>
      </c>
    </row>
    <row r="7279" customFormat="false" ht="15" hidden="false" customHeight="false" outlineLevel="0" collapsed="false">
      <c r="A7279" s="5" t="s">
        <v>460</v>
      </c>
      <c r="C7279" s="25" t="n">
        <f aca="false">SUMPRODUCT(($C$7271:$C$7274&lt;C7274)*$C$7266:$C$7269)</f>
        <v>931.83826</v>
      </c>
    </row>
    <row r="7280" customFormat="false" ht="15" hidden="false" customHeight="false" outlineLevel="0" collapsed="false">
      <c r="A7280" s="23" t="s">
        <v>468</v>
      </c>
      <c r="B7280" s="24"/>
      <c r="C7280" s="24"/>
      <c r="D7280" s="24"/>
      <c r="E7280" s="24"/>
      <c r="F7280" s="24"/>
      <c r="G7280" s="24"/>
      <c r="H7280" s="24"/>
      <c r="I7280" s="24"/>
      <c r="J7280" s="24"/>
      <c r="K7280" s="24"/>
    </row>
    <row r="7281" customFormat="false" ht="15" hidden="false" customHeight="false" outlineLevel="0" collapsed="false">
      <c r="A7281" s="5" t="s">
        <v>457</v>
      </c>
      <c r="C7281" s="25" t="n">
        <f aca="false">SUMPRODUCT(($C$7271:$C$7274=C7271)*$C$7266:$C$7269)</f>
        <v>152.55956</v>
      </c>
    </row>
    <row r="7282" customFormat="false" ht="15" hidden="false" customHeight="false" outlineLevel="0" collapsed="false">
      <c r="A7282" s="5" t="s">
        <v>458</v>
      </c>
      <c r="C7282" s="25" t="n">
        <f aca="false">SUMPRODUCT(($C$7271:$C$7274=C7272)*$C$7266:$C$7269)</f>
        <v>522.4037</v>
      </c>
    </row>
    <row r="7283" customFormat="false" ht="15" hidden="false" customHeight="false" outlineLevel="0" collapsed="false">
      <c r="A7283" s="5" t="s">
        <v>459</v>
      </c>
      <c r="C7283" s="25" t="n">
        <f aca="false">SUMPRODUCT(($C$7271:$C$7274=C7273)*$C$7266:$C$7269)</f>
        <v>256.875</v>
      </c>
    </row>
    <row r="7284" customFormat="false" ht="15" hidden="false" customHeight="false" outlineLevel="0" collapsed="false">
      <c r="A7284" s="5" t="s">
        <v>460</v>
      </c>
      <c r="C7284" s="25" t="n">
        <f aca="false">SUMPRODUCT(($C$7271:$C$7274=C7274)*$C$7266:$C$7269)</f>
        <v>305.625</v>
      </c>
    </row>
    <row r="7285" customFormat="false" ht="15" hidden="false" customHeight="false" outlineLevel="0" collapsed="false">
      <c r="A7285" s="23" t="s">
        <v>469</v>
      </c>
      <c r="B7285" s="24"/>
      <c r="C7285" s="24"/>
      <c r="D7285" s="24"/>
      <c r="E7285" s="24"/>
      <c r="F7285" s="24"/>
      <c r="G7285" s="24"/>
      <c r="H7285" s="24"/>
      <c r="I7285" s="24"/>
      <c r="J7285" s="24"/>
      <c r="K7285" s="24"/>
    </row>
    <row r="7286" customFormat="false" ht="15" hidden="false" customHeight="false" outlineLevel="0" collapsed="false">
      <c r="A7286" s="5" t="s">
        <v>457</v>
      </c>
      <c r="C7286" s="25" t="n">
        <f aca="false">IF(C7281=0,0,C7266/C7281*MAX(0,MIN(C7281,$C$7239-SUM($C$7256:$C$7259)-C7276)))</f>
        <v>152.55956</v>
      </c>
    </row>
    <row r="7287" customFormat="false" ht="15" hidden="false" customHeight="false" outlineLevel="0" collapsed="false">
      <c r="A7287" s="5" t="s">
        <v>458</v>
      </c>
      <c r="C7287" s="25" t="n">
        <f aca="false">IF(C7282=0,0,C7267/C7282*MAX(0,MIN(C7282,$C$7239-SUM($C$7256:$C$7259)-C7277)))</f>
        <v>452.6247472</v>
      </c>
    </row>
    <row r="7288" customFormat="false" ht="15" hidden="false" customHeight="false" outlineLevel="0" collapsed="false">
      <c r="A7288" s="5" t="s">
        <v>459</v>
      </c>
      <c r="C7288" s="25" t="n">
        <f aca="false">IF(C7283=0,0,C7268/C7283*MAX(0,MIN(C7283,$C$7239-SUM($C$7256:$C$7259)-C7278)))</f>
        <v>0</v>
      </c>
    </row>
    <row r="7289" customFormat="false" ht="15" hidden="false" customHeight="false" outlineLevel="0" collapsed="false">
      <c r="A7289" s="5" t="s">
        <v>460</v>
      </c>
      <c r="C7289" s="25" t="n">
        <f aca="false">IF(C7284=0,0,C7269/C7284*MAX(0,MIN(C7284,$C$7239-SUM($C$7256:$C$7259)-C7279)))</f>
        <v>0</v>
      </c>
    </row>
    <row r="7290" customFormat="false" ht="15" hidden="false" customHeight="false" outlineLevel="0" collapsed="false">
      <c r="A7290" s="23" t="s">
        <v>470</v>
      </c>
      <c r="B7290" s="24"/>
      <c r="C7290" s="24"/>
      <c r="D7290" s="24"/>
      <c r="E7290" s="24"/>
      <c r="F7290" s="24"/>
      <c r="G7290" s="24"/>
      <c r="H7290" s="24"/>
      <c r="I7290" s="24"/>
      <c r="J7290" s="24"/>
      <c r="K7290" s="24"/>
    </row>
    <row r="7291" customFormat="false" ht="15" hidden="false" customHeight="false" outlineLevel="0" collapsed="false">
      <c r="A7291" s="2" t="s">
        <v>457</v>
      </c>
      <c r="C7291" s="16" t="n">
        <f aca="false">C7256+C7286</f>
        <v>152.55956</v>
      </c>
    </row>
    <row r="7292" customFormat="false" ht="15" hidden="false" customHeight="false" outlineLevel="0" collapsed="false">
      <c r="A7292" s="2" t="s">
        <v>458</v>
      </c>
      <c r="C7292" s="16" t="n">
        <f aca="false">C7257+C7287</f>
        <v>452.6247472</v>
      </c>
    </row>
    <row r="7293" customFormat="false" ht="15" hidden="false" customHeight="false" outlineLevel="0" collapsed="false">
      <c r="A7293" s="2" t="s">
        <v>459</v>
      </c>
      <c r="C7293" s="16" t="n">
        <f aca="false">C7258+C7288</f>
        <v>0</v>
      </c>
    </row>
    <row r="7294" customFormat="false" ht="15" hidden="false" customHeight="false" outlineLevel="0" collapsed="false">
      <c r="A7294" s="2" t="s">
        <v>460</v>
      </c>
      <c r="C7294" s="16" t="n">
        <f aca="false">C7259+C7289</f>
        <v>0</v>
      </c>
    </row>
    <row r="7295" customFormat="false" ht="15" hidden="false" customHeight="false" outlineLevel="0" collapsed="false">
      <c r="A7295" s="23" t="s">
        <v>471</v>
      </c>
      <c r="B7295" s="24"/>
      <c r="C7295" s="24"/>
      <c r="D7295" s="24"/>
      <c r="E7295" s="24"/>
      <c r="F7295" s="24"/>
      <c r="G7295" s="24"/>
      <c r="H7295" s="24"/>
      <c r="I7295" s="24"/>
      <c r="J7295" s="24"/>
      <c r="K7295" s="24"/>
    </row>
    <row r="7296" customFormat="false" ht="15" hidden="false" customHeight="false" outlineLevel="0" collapsed="false">
      <c r="A7296" s="5" t="s">
        <v>457</v>
      </c>
      <c r="C7296" s="21" t="n">
        <f aca="false">IF(C7241=0,1,C7291/C7241)</f>
        <v>1</v>
      </c>
    </row>
    <row r="7297" customFormat="false" ht="15" hidden="false" customHeight="false" outlineLevel="0" collapsed="false">
      <c r="A7297" s="5" t="s">
        <v>458</v>
      </c>
      <c r="C7297" s="21" t="n">
        <f aca="false">IF(C7242=0,1,C7292/C7242)</f>
        <v>0.866427146668372</v>
      </c>
    </row>
    <row r="7298" customFormat="false" ht="15" hidden="false" customHeight="false" outlineLevel="0" collapsed="false">
      <c r="A7298" s="5" t="s">
        <v>459</v>
      </c>
      <c r="C7298" s="21" t="n">
        <f aca="false">IF(C7243=0,1,C7293/C7243)</f>
        <v>0</v>
      </c>
    </row>
    <row r="7299" customFormat="false" ht="15" hidden="false" customHeight="false" outlineLevel="0" collapsed="false">
      <c r="A7299" s="5" t="s">
        <v>460</v>
      </c>
      <c r="C7299" s="21" t="n">
        <f aca="false">IF(C7244=0,1,C7294/C7244)</f>
        <v>0</v>
      </c>
    </row>
    <row r="7300" customFormat="false" ht="15" hidden="false" customHeight="false" outlineLevel="0" collapsed="false">
      <c r="A7300" s="23" t="s">
        <v>472</v>
      </c>
      <c r="B7300" s="24"/>
      <c r="C7300" s="24"/>
      <c r="D7300" s="24"/>
      <c r="E7300" s="24"/>
      <c r="F7300" s="24"/>
      <c r="G7300" s="24"/>
      <c r="H7300" s="24"/>
      <c r="I7300" s="24"/>
      <c r="J7300" s="24"/>
      <c r="K7300" s="24"/>
    </row>
    <row r="7301" customFormat="false" ht="15" hidden="false" customHeight="false" outlineLevel="0" collapsed="false">
      <c r="A7301" s="5" t="s">
        <v>457</v>
      </c>
      <c r="C7301" s="25" t="n">
        <f aca="false">C7241-C7291</f>
        <v>0</v>
      </c>
    </row>
    <row r="7302" customFormat="false" ht="15" hidden="false" customHeight="false" outlineLevel="0" collapsed="false">
      <c r="A7302" s="5" t="s">
        <v>458</v>
      </c>
      <c r="C7302" s="25" t="n">
        <f aca="false">C7242-C7292</f>
        <v>69.7789528000001</v>
      </c>
    </row>
    <row r="7303" customFormat="false" ht="15" hidden="false" customHeight="false" outlineLevel="0" collapsed="false">
      <c r="A7303" s="5" t="s">
        <v>459</v>
      </c>
      <c r="C7303" s="25" t="n">
        <f aca="false">C7243-C7293</f>
        <v>256.875</v>
      </c>
    </row>
    <row r="7304" customFormat="false" ht="15" hidden="false" customHeight="false" outlineLevel="0" collapsed="false">
      <c r="A7304" s="5" t="s">
        <v>460</v>
      </c>
      <c r="C7304" s="25" t="n">
        <f aca="false">C7244-C7294</f>
        <v>305.625</v>
      </c>
    </row>
    <row r="7305" customFormat="false" ht="15" hidden="false" customHeight="false" outlineLevel="0" collapsed="false">
      <c r="A7305" s="23" t="s">
        <v>473</v>
      </c>
      <c r="B7305" s="24"/>
      <c r="C7305" s="24"/>
      <c r="D7305" s="24"/>
      <c r="E7305" s="24"/>
      <c r="F7305" s="24"/>
      <c r="G7305" s="24"/>
      <c r="H7305" s="24"/>
      <c r="I7305" s="24"/>
      <c r="J7305" s="24"/>
      <c r="K7305" s="24"/>
    </row>
    <row r="7306" customFormat="false" ht="15" hidden="false" customHeight="false" outlineLevel="0" collapsed="false">
      <c r="A7306" s="5" t="s">
        <v>457</v>
      </c>
      <c r="C7306" s="21" t="n">
        <f aca="false">IF(C7241=0,0,C7301/C7241)</f>
        <v>0</v>
      </c>
    </row>
    <row r="7307" customFormat="false" ht="15" hidden="false" customHeight="false" outlineLevel="0" collapsed="false">
      <c r="A7307" s="5" t="s">
        <v>458</v>
      </c>
      <c r="C7307" s="21" t="n">
        <f aca="false">IF(C7242=0,0,C7302/C7242)</f>
        <v>0.133572853331629</v>
      </c>
    </row>
    <row r="7308" customFormat="false" ht="15" hidden="false" customHeight="false" outlineLevel="0" collapsed="false">
      <c r="A7308" s="5" t="s">
        <v>459</v>
      </c>
      <c r="C7308" s="21" t="n">
        <f aca="false">IF(C7243=0,0,C7303/C7243)</f>
        <v>1</v>
      </c>
    </row>
    <row r="7309" customFormat="false" ht="15" hidden="false" customHeight="false" outlineLevel="0" collapsed="false">
      <c r="A7309" s="5" t="s">
        <v>460</v>
      </c>
      <c r="C7309" s="21" t="n">
        <f aca="false">IF(C7244=0,0,C7304/C7244)</f>
        <v>1</v>
      </c>
    </row>
    <row r="7310" customFormat="false" ht="15" hidden="false" customHeight="false" outlineLevel="0" collapsed="false">
      <c r="A7310" s="2" t="s">
        <v>474</v>
      </c>
      <c r="C7310" s="16" t="n">
        <f aca="false">MAX(0,$C$7239-SUM($C$7256:$C$7259)-SUM($C$7266:$C$7269))</f>
        <v>0</v>
      </c>
    </row>
    <row r="7311" customFormat="false" ht="15" hidden="false" customHeight="false" outlineLevel="0" collapsed="false">
      <c r="A7311" s="5" t="s">
        <v>475</v>
      </c>
      <c r="C7311" s="25" t="n">
        <f aca="false">SUM($C$7291:$C$7294)+C7310+C7238-C7237</f>
        <v>0</v>
      </c>
    </row>
    <row r="7313" customFormat="false" ht="15" hidden="false" customHeight="false" outlineLevel="0" collapsed="false">
      <c r="A7313" s="23" t="s">
        <v>478</v>
      </c>
      <c r="B7313" s="24"/>
      <c r="C7313" s="24"/>
      <c r="D7313" s="24"/>
      <c r="E7313" s="24"/>
      <c r="F7313" s="24"/>
      <c r="G7313" s="24"/>
      <c r="H7313" s="24"/>
      <c r="I7313" s="24"/>
      <c r="J7313" s="24"/>
      <c r="K7313" s="24"/>
    </row>
    <row r="7314" customFormat="false" ht="15" hidden="false" customHeight="false" outlineLevel="0" collapsed="false">
      <c r="A7314" s="5" t="s">
        <v>479</v>
      </c>
      <c r="C7314" s="26" t="n">
        <f aca="false">Assumptions!$C$30</f>
        <v>2</v>
      </c>
    </row>
    <row r="7315" customFormat="false" ht="15" hidden="false" customHeight="false" outlineLevel="0" collapsed="false">
      <c r="A7315" s="5" t="s">
        <v>480</v>
      </c>
      <c r="C7315" s="28" t="n">
        <f aca="false">Assumptions!$C$31</f>
        <v>100</v>
      </c>
    </row>
    <row r="7316" customFormat="false" ht="15" hidden="false" customHeight="false" outlineLevel="0" collapsed="false">
      <c r="A7316" s="5" t="s">
        <v>481</v>
      </c>
      <c r="C7316" s="39" t="n">
        <f aca="false">Assumptions!$C$32</f>
        <v>78</v>
      </c>
    </row>
    <row r="7317" customFormat="false" ht="15" hidden="false" customHeight="false" outlineLevel="0" collapsed="false">
      <c r="A7317" s="5" t="s">
        <v>482</v>
      </c>
      <c r="C7317" s="25" t="n">
        <f aca="false">C7315*C7316/100*(1+Assumptions!$C$33)</f>
        <v>78.39</v>
      </c>
    </row>
    <row r="7318" customFormat="false" ht="15" hidden="false" customHeight="false" outlineLevel="0" collapsed="false">
      <c r="A7318" s="5" t="s">
        <v>483</v>
      </c>
      <c r="C7318" s="26" t="n">
        <f aca="false">Assumptions!$C$34</f>
        <v>2</v>
      </c>
    </row>
    <row r="7319" customFormat="false" ht="15" hidden="false" customHeight="false" outlineLevel="0" collapsed="false">
      <c r="A7319" s="5" t="s">
        <v>484</v>
      </c>
      <c r="C7319" s="20" t="n">
        <f aca="false">IF(C7230=1,SUMPRODUCT($G$7198:$K$7198,$G$7074:$K$7074),0)</f>
        <v>2</v>
      </c>
    </row>
    <row r="7320" customFormat="false" ht="15" hidden="false" customHeight="false" outlineLevel="0" collapsed="false">
      <c r="A7320" s="5" t="s">
        <v>485</v>
      </c>
      <c r="C7320" s="21" t="n">
        <f aca="false">IFERROR(C7315/CHOOSE(C7314,SUMPRODUCT($G$7229:$K$7229,$G$7120:$K$7120),SUMPRODUCT($G$7229:$K$7229,$G$7133:$K$7133),SUMPRODUCT($G$7229:$K$7229,$G$7146:$K$7146),SUMPRODUCT($G$7229:$K$7229,$G$7159:$K$7159)),0)</f>
        <v>0.196232339089482</v>
      </c>
    </row>
    <row r="7321" customFormat="false" ht="15" hidden="false" customHeight="false" outlineLevel="0" collapsed="false">
      <c r="A7321" s="5" t="s">
        <v>486</v>
      </c>
      <c r="C7321" s="25" t="n">
        <f aca="false">CHOOSE(C7314,C7291,C7292,C7293,C7294)*C7320</f>
        <v>88.8196128728414</v>
      </c>
    </row>
    <row r="7322" customFormat="false" ht="15" hidden="false" customHeight="false" outlineLevel="0" collapsed="false">
      <c r="A7322" s="5" t="s">
        <v>487</v>
      </c>
      <c r="C7322" s="21" t="n">
        <f aca="false">CHOOSE(C7314,C7296,C7297,C7298,C7299)</f>
        <v>0.866427146668372</v>
      </c>
    </row>
    <row r="7323" customFormat="false" ht="15" hidden="false" customHeight="false" outlineLevel="0" collapsed="false">
      <c r="A7323" s="5" t="s">
        <v>488</v>
      </c>
      <c r="C7323" s="20" t="n">
        <f aca="false">IF(C7230=1,C7319,C7318)</f>
        <v>2</v>
      </c>
    </row>
    <row r="7324" customFormat="false" ht="15" hidden="false" customHeight="false" outlineLevel="0" collapsed="false">
      <c r="A7324" s="5" t="s">
        <v>489</v>
      </c>
      <c r="C7324" s="33" t="n">
        <f aca="false">CHOOSE($C$7066,Assumptions!$C$77,Assumptions!$C$96,Assumptions!$C$115)</f>
        <v>100</v>
      </c>
    </row>
    <row r="7325" customFormat="false" ht="15" hidden="false" customHeight="false" outlineLevel="0" collapsed="false">
      <c r="A7325" s="5" t="s">
        <v>490</v>
      </c>
      <c r="C7325" s="25" t="n">
        <f aca="false">INDEX($G$7083:$K$7083,C7318)*CHOOSE($C$7066,Assumptions!$C$76,Assumptions!$C$95,Assumptions!$C$114)+MAX(0,INDEX($G$7195:$K$7195,C7318))</f>
        <v>1024.40052</v>
      </c>
    </row>
    <row r="7326" customFormat="false" ht="15" hidden="false" customHeight="false" outlineLevel="0" collapsed="false">
      <c r="A7326" s="23" t="s">
        <v>491</v>
      </c>
      <c r="B7326" s="24"/>
      <c r="C7326" s="24"/>
      <c r="D7326" s="24"/>
      <c r="E7326" s="24"/>
      <c r="F7326" s="24"/>
      <c r="G7326" s="24"/>
      <c r="H7326" s="24"/>
      <c r="I7326" s="24"/>
      <c r="J7326" s="24"/>
      <c r="K7326" s="24"/>
    </row>
    <row r="7327" customFormat="false" ht="15" hidden="false" customHeight="false" outlineLevel="0" collapsed="false">
      <c r="A7327" s="5" t="s">
        <v>457</v>
      </c>
      <c r="C7327" s="25" t="n">
        <f aca="false">INDEX($G$7120:$K$7120,C7318)</f>
        <v>149.44</v>
      </c>
    </row>
    <row r="7328" customFormat="false" ht="15" hidden="false" customHeight="false" outlineLevel="0" collapsed="false">
      <c r="A7328" s="5" t="s">
        <v>458</v>
      </c>
      <c r="C7328" s="25" t="n">
        <f aca="false">INDEX($G$7133:$K$7133,C7318)</f>
        <v>509.6</v>
      </c>
    </row>
    <row r="7329" customFormat="false" ht="15" hidden="false" customHeight="false" outlineLevel="0" collapsed="false">
      <c r="A7329" s="5" t="s">
        <v>459</v>
      </c>
      <c r="C7329" s="25" t="n">
        <f aca="false">INDEX($G$7146:$K$7146,C7318)</f>
        <v>250</v>
      </c>
    </row>
    <row r="7330" customFormat="false" ht="15" hidden="false" customHeight="false" outlineLevel="0" collapsed="false">
      <c r="A7330" s="5" t="s">
        <v>460</v>
      </c>
      <c r="C7330" s="25" t="n">
        <f aca="false">INDEX($G$7159:$K$7159,C7318)</f>
        <v>300</v>
      </c>
    </row>
    <row r="7331" customFormat="false" ht="15" hidden="false" customHeight="false" outlineLevel="0" collapsed="false">
      <c r="A7331" s="23" t="s">
        <v>461</v>
      </c>
      <c r="B7331" s="24"/>
      <c r="C7331" s="24"/>
      <c r="D7331" s="24"/>
      <c r="E7331" s="24"/>
      <c r="F7331" s="24"/>
      <c r="G7331" s="24"/>
      <c r="H7331" s="24"/>
      <c r="I7331" s="24"/>
      <c r="J7331" s="24"/>
      <c r="K7331" s="24"/>
    </row>
    <row r="7332" customFormat="false" ht="15" hidden="false" customHeight="false" outlineLevel="0" collapsed="false">
      <c r="A7332" s="5" t="s">
        <v>457</v>
      </c>
      <c r="C7332" s="26" t="n">
        <f aca="false">Assumptions!$M$53</f>
        <v>1</v>
      </c>
    </row>
    <row r="7333" customFormat="false" ht="15" hidden="false" customHeight="false" outlineLevel="0" collapsed="false">
      <c r="A7333" s="5" t="s">
        <v>458</v>
      </c>
      <c r="C7333" s="26" t="n">
        <f aca="false">Assumptions!$M$54</f>
        <v>2</v>
      </c>
    </row>
    <row r="7334" customFormat="false" ht="15" hidden="false" customHeight="false" outlineLevel="0" collapsed="false">
      <c r="A7334" s="5" t="s">
        <v>459</v>
      </c>
      <c r="C7334" s="26" t="n">
        <f aca="false">Assumptions!$M$55</f>
        <v>3</v>
      </c>
    </row>
    <row r="7335" customFormat="false" ht="15" hidden="false" customHeight="false" outlineLevel="0" collapsed="false">
      <c r="A7335" s="5" t="s">
        <v>460</v>
      </c>
      <c r="C7335" s="26" t="n">
        <f aca="false">Assumptions!$M$56</f>
        <v>4</v>
      </c>
    </row>
    <row r="7336" customFormat="false" ht="15" hidden="false" customHeight="false" outlineLevel="0" collapsed="false">
      <c r="A7336" s="23" t="s">
        <v>462</v>
      </c>
      <c r="B7336" s="24"/>
      <c r="C7336" s="24"/>
      <c r="D7336" s="24"/>
      <c r="E7336" s="24"/>
      <c r="F7336" s="24"/>
      <c r="G7336" s="24"/>
      <c r="H7336" s="24"/>
      <c r="I7336" s="24"/>
      <c r="J7336" s="24"/>
      <c r="K7336" s="24"/>
    </row>
    <row r="7337" customFormat="false" ht="15" hidden="false" customHeight="false" outlineLevel="0" collapsed="false">
      <c r="A7337" s="5" t="s">
        <v>457</v>
      </c>
      <c r="C7337" s="34" t="n">
        <f aca="false">Assumptions!$Q$53</f>
        <v>0</v>
      </c>
    </row>
    <row r="7338" customFormat="false" ht="15" hidden="false" customHeight="false" outlineLevel="0" collapsed="false">
      <c r="A7338" s="5" t="s">
        <v>458</v>
      </c>
      <c r="C7338" s="34" t="n">
        <f aca="false">Assumptions!$Q$54</f>
        <v>0</v>
      </c>
    </row>
    <row r="7339" customFormat="false" ht="15" hidden="false" customHeight="false" outlineLevel="0" collapsed="false">
      <c r="A7339" s="5" t="s">
        <v>459</v>
      </c>
      <c r="C7339" s="34" t="n">
        <f aca="false">Assumptions!$Q$55</f>
        <v>0</v>
      </c>
    </row>
    <row r="7340" customFormat="false" ht="15" hidden="false" customHeight="false" outlineLevel="0" collapsed="false">
      <c r="A7340" s="5" t="s">
        <v>460</v>
      </c>
      <c r="C7340" s="34" t="n">
        <f aca="false">Assumptions!$Q$56</f>
        <v>0</v>
      </c>
    </row>
    <row r="7341" customFormat="false" ht="15" hidden="false" customHeight="false" outlineLevel="0" collapsed="false">
      <c r="A7341" s="23" t="s">
        <v>463</v>
      </c>
      <c r="B7341" s="24"/>
      <c r="C7341" s="24"/>
      <c r="D7341" s="24"/>
      <c r="E7341" s="24"/>
      <c r="F7341" s="24"/>
      <c r="G7341" s="24"/>
      <c r="H7341" s="24"/>
      <c r="I7341" s="24"/>
      <c r="J7341" s="24"/>
      <c r="K7341" s="24"/>
    </row>
    <row r="7342" customFormat="false" ht="15" hidden="false" customHeight="false" outlineLevel="0" collapsed="false">
      <c r="A7342" s="5" t="s">
        <v>457</v>
      </c>
      <c r="C7342" s="25" t="n">
        <f aca="false">IF(C7337&gt;0,MIN(C7327,C7337*$C$7325),0)</f>
        <v>0</v>
      </c>
    </row>
    <row r="7343" customFormat="false" ht="15" hidden="false" customHeight="false" outlineLevel="0" collapsed="false">
      <c r="A7343" s="5" t="s">
        <v>458</v>
      </c>
      <c r="C7343" s="25" t="n">
        <f aca="false">IF(C7338&gt;0,MIN(C7328,C7338*$C$7325),0)</f>
        <v>0</v>
      </c>
    </row>
    <row r="7344" customFormat="false" ht="15" hidden="false" customHeight="false" outlineLevel="0" collapsed="false">
      <c r="A7344" s="5" t="s">
        <v>459</v>
      </c>
      <c r="C7344" s="25" t="n">
        <f aca="false">IF(C7339&gt;0,MIN(C7329,C7339*$C$7325),0)</f>
        <v>0</v>
      </c>
    </row>
    <row r="7345" customFormat="false" ht="15" hidden="false" customHeight="false" outlineLevel="0" collapsed="false">
      <c r="A7345" s="5" t="s">
        <v>460</v>
      </c>
      <c r="C7345" s="25" t="n">
        <f aca="false">IF(C7340&gt;0,MIN(C7330,C7340*$C$7325),0)</f>
        <v>0</v>
      </c>
    </row>
    <row r="7346" customFormat="false" ht="15" hidden="false" customHeight="false" outlineLevel="0" collapsed="false">
      <c r="A7346" s="23" t="s">
        <v>464</v>
      </c>
      <c r="B7346" s="24"/>
      <c r="C7346" s="24"/>
      <c r="D7346" s="24"/>
      <c r="E7346" s="24"/>
      <c r="F7346" s="24"/>
      <c r="G7346" s="24"/>
      <c r="H7346" s="24"/>
      <c r="I7346" s="24"/>
      <c r="J7346" s="24"/>
      <c r="K7346" s="24"/>
    </row>
    <row r="7347" customFormat="false" ht="15" hidden="false" customHeight="false" outlineLevel="0" collapsed="false">
      <c r="A7347" s="5" t="s">
        <v>457</v>
      </c>
      <c r="C7347" s="25" t="n">
        <f aca="false">IF(C7337&gt;0,C7327-C7342,0)</f>
        <v>0</v>
      </c>
    </row>
    <row r="7348" customFormat="false" ht="15" hidden="false" customHeight="false" outlineLevel="0" collapsed="false">
      <c r="A7348" s="5" t="s">
        <v>458</v>
      </c>
      <c r="C7348" s="25" t="n">
        <f aca="false">IF(C7338&gt;0,C7328-C7343,0)</f>
        <v>0</v>
      </c>
    </row>
    <row r="7349" customFormat="false" ht="15" hidden="false" customHeight="false" outlineLevel="0" collapsed="false">
      <c r="A7349" s="5" t="s">
        <v>459</v>
      </c>
      <c r="C7349" s="25" t="n">
        <f aca="false">IF(C7339&gt;0,C7329-C7344,0)</f>
        <v>0</v>
      </c>
    </row>
    <row r="7350" customFormat="false" ht="15" hidden="false" customHeight="false" outlineLevel="0" collapsed="false">
      <c r="A7350" s="5" t="s">
        <v>460</v>
      </c>
      <c r="C7350" s="25" t="n">
        <f aca="false">IF(C7340&gt;0,C7330-C7345,0)</f>
        <v>0</v>
      </c>
    </row>
    <row r="7351" customFormat="false" ht="15" hidden="false" customHeight="false" outlineLevel="0" collapsed="false">
      <c r="A7351" s="23" t="s">
        <v>465</v>
      </c>
      <c r="B7351" s="24"/>
      <c r="C7351" s="24"/>
      <c r="D7351" s="24"/>
      <c r="E7351" s="24"/>
      <c r="F7351" s="24"/>
      <c r="G7351" s="24"/>
      <c r="H7351" s="24"/>
      <c r="I7351" s="24"/>
      <c r="J7351" s="24"/>
      <c r="K7351" s="24"/>
    </row>
    <row r="7352" customFormat="false" ht="15" hidden="false" customHeight="false" outlineLevel="0" collapsed="false">
      <c r="A7352" s="5" t="s">
        <v>457</v>
      </c>
      <c r="C7352" s="25" t="n">
        <f aca="false">IF(C7337&gt;0,C7347,C7327)</f>
        <v>149.44</v>
      </c>
    </row>
    <row r="7353" customFormat="false" ht="15" hidden="false" customHeight="false" outlineLevel="0" collapsed="false">
      <c r="A7353" s="5" t="s">
        <v>458</v>
      </c>
      <c r="C7353" s="25" t="n">
        <f aca="false">IF(C7338&gt;0,C7348,C7328)</f>
        <v>509.6</v>
      </c>
    </row>
    <row r="7354" customFormat="false" ht="15" hidden="false" customHeight="false" outlineLevel="0" collapsed="false">
      <c r="A7354" s="5" t="s">
        <v>459</v>
      </c>
      <c r="C7354" s="25" t="n">
        <f aca="false">IF(C7339&gt;0,C7349,C7329)</f>
        <v>250</v>
      </c>
    </row>
    <row r="7355" customFormat="false" ht="15" hidden="false" customHeight="false" outlineLevel="0" collapsed="false">
      <c r="A7355" s="5" t="s">
        <v>460</v>
      </c>
      <c r="C7355" s="25" t="n">
        <f aca="false">IF(C7340&gt;0,C7350,C7330)</f>
        <v>300</v>
      </c>
    </row>
    <row r="7356" customFormat="false" ht="15" hidden="false" customHeight="false" outlineLevel="0" collapsed="false">
      <c r="A7356" s="23" t="s">
        <v>466</v>
      </c>
      <c r="B7356" s="24"/>
      <c r="C7356" s="24"/>
      <c r="D7356" s="24"/>
      <c r="E7356" s="24"/>
      <c r="F7356" s="24"/>
      <c r="G7356" s="24"/>
      <c r="H7356" s="24"/>
      <c r="I7356" s="24"/>
      <c r="J7356" s="24"/>
      <c r="K7356" s="24"/>
    </row>
    <row r="7357" customFormat="false" ht="15" hidden="false" customHeight="false" outlineLevel="0" collapsed="false">
      <c r="A7357" s="5" t="s">
        <v>457</v>
      </c>
      <c r="C7357" s="20" t="n">
        <f aca="false">IF(C7337&gt;0,Assumptions!$C$17,C7332)</f>
        <v>1</v>
      </c>
    </row>
    <row r="7358" customFormat="false" ht="15" hidden="false" customHeight="false" outlineLevel="0" collapsed="false">
      <c r="A7358" s="5" t="s">
        <v>458</v>
      </c>
      <c r="C7358" s="20" t="n">
        <f aca="false">IF(C7338&gt;0,Assumptions!$C$17,C7333)</f>
        <v>2</v>
      </c>
    </row>
    <row r="7359" customFormat="false" ht="15" hidden="false" customHeight="false" outlineLevel="0" collapsed="false">
      <c r="A7359" s="5" t="s">
        <v>459</v>
      </c>
      <c r="C7359" s="20" t="n">
        <f aca="false">IF(C7339&gt;0,Assumptions!$C$17,C7334)</f>
        <v>3</v>
      </c>
    </row>
    <row r="7360" customFormat="false" ht="15" hidden="false" customHeight="false" outlineLevel="0" collapsed="false">
      <c r="A7360" s="5" t="s">
        <v>460</v>
      </c>
      <c r="C7360" s="20" t="n">
        <f aca="false">IF(C7340&gt;0,Assumptions!$C$17,C7335)</f>
        <v>4</v>
      </c>
    </row>
    <row r="7361" customFormat="false" ht="15" hidden="false" customHeight="false" outlineLevel="0" collapsed="false">
      <c r="A7361" s="23" t="s">
        <v>467</v>
      </c>
      <c r="B7361" s="24"/>
      <c r="C7361" s="24"/>
      <c r="D7361" s="24"/>
      <c r="E7361" s="24"/>
      <c r="F7361" s="24"/>
      <c r="G7361" s="24"/>
      <c r="H7361" s="24"/>
      <c r="I7361" s="24"/>
      <c r="J7361" s="24"/>
      <c r="K7361" s="24"/>
    </row>
    <row r="7362" customFormat="false" ht="15" hidden="false" customHeight="false" outlineLevel="0" collapsed="false">
      <c r="A7362" s="5" t="s">
        <v>457</v>
      </c>
      <c r="C7362" s="25" t="n">
        <f aca="false">SUMPRODUCT(($C$7357:$C$7360&lt;C7357)*$C$7352:$C$7355)</f>
        <v>0</v>
      </c>
    </row>
    <row r="7363" customFormat="false" ht="15" hidden="false" customHeight="false" outlineLevel="0" collapsed="false">
      <c r="A7363" s="5" t="s">
        <v>458</v>
      </c>
      <c r="C7363" s="25" t="n">
        <f aca="false">SUMPRODUCT(($C$7357:$C$7360&lt;C7358)*$C$7352:$C$7355)</f>
        <v>149.44</v>
      </c>
    </row>
    <row r="7364" customFormat="false" ht="15" hidden="false" customHeight="false" outlineLevel="0" collapsed="false">
      <c r="A7364" s="5" t="s">
        <v>459</v>
      </c>
      <c r="C7364" s="25" t="n">
        <f aca="false">SUMPRODUCT(($C$7357:$C$7360&lt;C7359)*$C$7352:$C$7355)</f>
        <v>659.04</v>
      </c>
    </row>
    <row r="7365" customFormat="false" ht="15" hidden="false" customHeight="false" outlineLevel="0" collapsed="false">
      <c r="A7365" s="5" t="s">
        <v>460</v>
      </c>
      <c r="C7365" s="25" t="n">
        <f aca="false">SUMPRODUCT(($C$7357:$C$7360&lt;C7360)*$C$7352:$C$7355)</f>
        <v>909.04</v>
      </c>
    </row>
    <row r="7366" customFormat="false" ht="15" hidden="false" customHeight="false" outlineLevel="0" collapsed="false">
      <c r="A7366" s="23" t="s">
        <v>468</v>
      </c>
      <c r="B7366" s="24"/>
      <c r="C7366" s="24"/>
      <c r="D7366" s="24"/>
      <c r="E7366" s="24"/>
      <c r="F7366" s="24"/>
      <c r="G7366" s="24"/>
      <c r="H7366" s="24"/>
      <c r="I7366" s="24"/>
      <c r="J7366" s="24"/>
      <c r="K7366" s="24"/>
    </row>
    <row r="7367" customFormat="false" ht="15" hidden="false" customHeight="false" outlineLevel="0" collapsed="false">
      <c r="A7367" s="5" t="s">
        <v>457</v>
      </c>
      <c r="C7367" s="25" t="n">
        <f aca="false">SUMPRODUCT(($C$7357:$C$7360=C7357)*$C$7352:$C$7355)</f>
        <v>149.44</v>
      </c>
    </row>
    <row r="7368" customFormat="false" ht="15" hidden="false" customHeight="false" outlineLevel="0" collapsed="false">
      <c r="A7368" s="5" t="s">
        <v>458</v>
      </c>
      <c r="C7368" s="25" t="n">
        <f aca="false">SUMPRODUCT(($C$7357:$C$7360=C7358)*$C$7352:$C$7355)</f>
        <v>509.6</v>
      </c>
    </row>
    <row r="7369" customFormat="false" ht="15" hidden="false" customHeight="false" outlineLevel="0" collapsed="false">
      <c r="A7369" s="5" t="s">
        <v>459</v>
      </c>
      <c r="C7369" s="25" t="n">
        <f aca="false">SUMPRODUCT(($C$7357:$C$7360=C7359)*$C$7352:$C$7355)</f>
        <v>250</v>
      </c>
    </row>
    <row r="7370" customFormat="false" ht="15" hidden="false" customHeight="false" outlineLevel="0" collapsed="false">
      <c r="A7370" s="5" t="s">
        <v>460</v>
      </c>
      <c r="C7370" s="25" t="n">
        <f aca="false">SUMPRODUCT(($C$7357:$C$7360=C7360)*$C$7352:$C$7355)</f>
        <v>300</v>
      </c>
    </row>
    <row r="7371" customFormat="false" ht="15" hidden="false" customHeight="false" outlineLevel="0" collapsed="false">
      <c r="A7371" s="23" t="s">
        <v>469</v>
      </c>
      <c r="B7371" s="24"/>
      <c r="C7371" s="24"/>
      <c r="D7371" s="24"/>
      <c r="E7371" s="24"/>
      <c r="F7371" s="24"/>
      <c r="G7371" s="24"/>
      <c r="H7371" s="24"/>
      <c r="I7371" s="24"/>
      <c r="J7371" s="24"/>
      <c r="K7371" s="24"/>
    </row>
    <row r="7372" customFormat="false" ht="15" hidden="false" customHeight="false" outlineLevel="0" collapsed="false">
      <c r="A7372" s="5" t="s">
        <v>457</v>
      </c>
      <c r="C7372" s="25" t="n">
        <f aca="false">IF(C7367=0,0,C7352/C7367*MAX(0,MIN(C7367,$C$7325-SUM($C$7342:$C$7345)-C7362)))</f>
        <v>149.44</v>
      </c>
    </row>
    <row r="7373" customFormat="false" ht="15" hidden="false" customHeight="false" outlineLevel="0" collapsed="false">
      <c r="A7373" s="5" t="s">
        <v>458</v>
      </c>
      <c r="C7373" s="25" t="n">
        <f aca="false">IF(C7368=0,0,C7353/C7368*MAX(0,MIN(C7368,$C$7325-SUM($C$7342:$C$7345)-C7363)))</f>
        <v>509.6</v>
      </c>
    </row>
    <row r="7374" customFormat="false" ht="15" hidden="false" customHeight="false" outlineLevel="0" collapsed="false">
      <c r="A7374" s="5" t="s">
        <v>459</v>
      </c>
      <c r="C7374" s="25" t="n">
        <f aca="false">IF(C7369=0,0,C7354/C7369*MAX(0,MIN(C7369,$C$7325-SUM($C$7342:$C$7345)-C7364)))</f>
        <v>250</v>
      </c>
    </row>
    <row r="7375" customFormat="false" ht="15" hidden="false" customHeight="false" outlineLevel="0" collapsed="false">
      <c r="A7375" s="5" t="s">
        <v>460</v>
      </c>
      <c r="C7375" s="25" t="n">
        <f aca="false">IF(C7370=0,0,C7355/C7370*MAX(0,MIN(C7370,$C$7325-SUM($C$7342:$C$7345)-C7365)))</f>
        <v>115.36052</v>
      </c>
    </row>
    <row r="7376" customFormat="false" ht="15" hidden="false" customHeight="false" outlineLevel="0" collapsed="false">
      <c r="A7376" s="23" t="s">
        <v>470</v>
      </c>
      <c r="B7376" s="24"/>
      <c r="C7376" s="24"/>
      <c r="D7376" s="24"/>
      <c r="E7376" s="24"/>
      <c r="F7376" s="24"/>
      <c r="G7376" s="24"/>
      <c r="H7376" s="24"/>
      <c r="I7376" s="24"/>
      <c r="J7376" s="24"/>
      <c r="K7376" s="24"/>
    </row>
    <row r="7377" customFormat="false" ht="15" hidden="false" customHeight="false" outlineLevel="0" collapsed="false">
      <c r="A7377" s="2" t="s">
        <v>457</v>
      </c>
      <c r="C7377" s="16" t="n">
        <f aca="false">C7342+C7372</f>
        <v>149.44</v>
      </c>
    </row>
    <row r="7378" customFormat="false" ht="15" hidden="false" customHeight="false" outlineLevel="0" collapsed="false">
      <c r="A7378" s="2" t="s">
        <v>458</v>
      </c>
      <c r="C7378" s="16" t="n">
        <f aca="false">C7343+C7373</f>
        <v>509.6</v>
      </c>
    </row>
    <row r="7379" customFormat="false" ht="15" hidden="false" customHeight="false" outlineLevel="0" collapsed="false">
      <c r="A7379" s="2" t="s">
        <v>459</v>
      </c>
      <c r="C7379" s="16" t="n">
        <f aca="false">C7344+C7374</f>
        <v>250</v>
      </c>
    </row>
    <row r="7380" customFormat="false" ht="15" hidden="false" customHeight="false" outlineLevel="0" collapsed="false">
      <c r="A7380" s="2" t="s">
        <v>460</v>
      </c>
      <c r="C7380" s="16" t="n">
        <f aca="false">C7345+C7375</f>
        <v>115.36052</v>
      </c>
    </row>
    <row r="7381" customFormat="false" ht="15" hidden="false" customHeight="false" outlineLevel="0" collapsed="false">
      <c r="A7381" s="23" t="s">
        <v>471</v>
      </c>
      <c r="B7381" s="24"/>
      <c r="C7381" s="24"/>
      <c r="D7381" s="24"/>
      <c r="E7381" s="24"/>
      <c r="F7381" s="24"/>
      <c r="G7381" s="24"/>
      <c r="H7381" s="24"/>
      <c r="I7381" s="24"/>
      <c r="J7381" s="24"/>
      <c r="K7381" s="24"/>
    </row>
    <row r="7382" customFormat="false" ht="15" hidden="false" customHeight="false" outlineLevel="0" collapsed="false">
      <c r="A7382" s="5" t="s">
        <v>457</v>
      </c>
      <c r="C7382" s="21" t="n">
        <f aca="false">IF(C7327=0,1,C7377/C7327)</f>
        <v>1</v>
      </c>
    </row>
    <row r="7383" customFormat="false" ht="15" hidden="false" customHeight="false" outlineLevel="0" collapsed="false">
      <c r="A7383" s="5" t="s">
        <v>458</v>
      </c>
      <c r="C7383" s="21" t="n">
        <f aca="false">IF(C7328=0,1,C7378/C7328)</f>
        <v>1</v>
      </c>
    </row>
    <row r="7384" customFormat="false" ht="15" hidden="false" customHeight="false" outlineLevel="0" collapsed="false">
      <c r="A7384" s="5" t="s">
        <v>459</v>
      </c>
      <c r="C7384" s="21" t="n">
        <f aca="false">IF(C7329=0,1,C7379/C7329)</f>
        <v>1</v>
      </c>
    </row>
    <row r="7385" customFormat="false" ht="15" hidden="false" customHeight="false" outlineLevel="0" collapsed="false">
      <c r="A7385" s="5" t="s">
        <v>460</v>
      </c>
      <c r="C7385" s="21" t="n">
        <f aca="false">IF(C7330=0,1,C7380/C7330)</f>
        <v>0.384535066666667</v>
      </c>
    </row>
    <row r="7386" customFormat="false" ht="15" hidden="false" customHeight="false" outlineLevel="0" collapsed="false">
      <c r="A7386" s="23" t="s">
        <v>472</v>
      </c>
      <c r="B7386" s="24"/>
      <c r="C7386" s="24"/>
      <c r="D7386" s="24"/>
      <c r="E7386" s="24"/>
      <c r="F7386" s="24"/>
      <c r="G7386" s="24"/>
      <c r="H7386" s="24"/>
      <c r="I7386" s="24"/>
      <c r="J7386" s="24"/>
      <c r="K7386" s="24"/>
    </row>
    <row r="7387" customFormat="false" ht="15" hidden="false" customHeight="false" outlineLevel="0" collapsed="false">
      <c r="A7387" s="5" t="s">
        <v>457</v>
      </c>
      <c r="C7387" s="25" t="n">
        <f aca="false">C7327-C7377</f>
        <v>0</v>
      </c>
    </row>
    <row r="7388" customFormat="false" ht="15" hidden="false" customHeight="false" outlineLevel="0" collapsed="false">
      <c r="A7388" s="5" t="s">
        <v>458</v>
      </c>
      <c r="C7388" s="25" t="n">
        <f aca="false">C7328-C7378</f>
        <v>0</v>
      </c>
    </row>
    <row r="7389" customFormat="false" ht="15" hidden="false" customHeight="false" outlineLevel="0" collapsed="false">
      <c r="A7389" s="5" t="s">
        <v>459</v>
      </c>
      <c r="C7389" s="25" t="n">
        <f aca="false">C7329-C7379</f>
        <v>0</v>
      </c>
    </row>
    <row r="7390" customFormat="false" ht="15" hidden="false" customHeight="false" outlineLevel="0" collapsed="false">
      <c r="A7390" s="5" t="s">
        <v>460</v>
      </c>
      <c r="C7390" s="25" t="n">
        <f aca="false">C7330-C7380</f>
        <v>184.63948</v>
      </c>
    </row>
    <row r="7391" customFormat="false" ht="15" hidden="false" customHeight="false" outlineLevel="0" collapsed="false">
      <c r="A7391" s="23" t="s">
        <v>473</v>
      </c>
      <c r="B7391" s="24"/>
      <c r="C7391" s="24"/>
      <c r="D7391" s="24"/>
      <c r="E7391" s="24"/>
      <c r="F7391" s="24"/>
      <c r="G7391" s="24"/>
      <c r="H7391" s="24"/>
      <c r="I7391" s="24"/>
      <c r="J7391" s="24"/>
      <c r="K7391" s="24"/>
    </row>
    <row r="7392" customFormat="false" ht="15" hidden="false" customHeight="false" outlineLevel="0" collapsed="false">
      <c r="A7392" s="5" t="s">
        <v>457</v>
      </c>
      <c r="C7392" s="21" t="n">
        <f aca="false">IF(C7327=0,0,C7387/C7327)</f>
        <v>0</v>
      </c>
    </row>
    <row r="7393" customFormat="false" ht="15" hidden="false" customHeight="false" outlineLevel="0" collapsed="false">
      <c r="A7393" s="5" t="s">
        <v>458</v>
      </c>
      <c r="C7393" s="21" t="n">
        <f aca="false">IF(C7328=0,0,C7388/C7328)</f>
        <v>0</v>
      </c>
    </row>
    <row r="7394" customFormat="false" ht="15" hidden="false" customHeight="false" outlineLevel="0" collapsed="false">
      <c r="A7394" s="5" t="s">
        <v>459</v>
      </c>
      <c r="C7394" s="21" t="n">
        <f aca="false">IF(C7329=0,0,C7389/C7329)</f>
        <v>0</v>
      </c>
    </row>
    <row r="7395" customFormat="false" ht="15" hidden="false" customHeight="false" outlineLevel="0" collapsed="false">
      <c r="A7395" s="5" t="s">
        <v>460</v>
      </c>
      <c r="C7395" s="21" t="n">
        <f aca="false">IF(C7330=0,0,C7390/C7330)</f>
        <v>0.615464933333334</v>
      </c>
    </row>
    <row r="7396" customFormat="false" ht="15" hidden="false" customHeight="false" outlineLevel="0" collapsed="false">
      <c r="A7396" s="2" t="s">
        <v>474</v>
      </c>
      <c r="C7396" s="16" t="n">
        <f aca="false">MAX(0,$C$7325-SUM($C$7342:$C$7345)-SUM($C$7352:$C$7355))</f>
        <v>0</v>
      </c>
    </row>
    <row r="7397" customFormat="false" ht="15" hidden="false" customHeight="false" outlineLevel="0" collapsed="false">
      <c r="A7397" s="5" t="s">
        <v>492</v>
      </c>
      <c r="C7397" s="33" t="n">
        <f aca="false">MIN(C7324,100*CHOOSE(C7314,C7382,C7383,C7384,C7385))</f>
        <v>100</v>
      </c>
    </row>
    <row r="7398" customFormat="false" ht="15" hidden="false" customHeight="false" outlineLevel="0" collapsed="false">
      <c r="A7398" s="5" t="s">
        <v>493</v>
      </c>
      <c r="C7398" s="20" t="n">
        <f aca="false">IF(C7230=1,C7319+Assumptions!$C$36,C7318)</f>
        <v>3</v>
      </c>
    </row>
    <row r="7399" customFormat="false" ht="15" hidden="false" customHeight="false" outlineLevel="0" collapsed="false">
      <c r="A7399" s="23" t="s">
        <v>494</v>
      </c>
      <c r="B7399" s="24"/>
      <c r="C7399" s="24"/>
      <c r="D7399" s="24"/>
      <c r="E7399" s="24"/>
      <c r="F7399" s="24"/>
      <c r="G7399" s="24"/>
      <c r="H7399" s="24"/>
      <c r="I7399" s="24"/>
      <c r="J7399" s="24"/>
      <c r="K7399" s="24"/>
    </row>
    <row r="7400" customFormat="false" ht="15" hidden="false" customHeight="false" outlineLevel="0" collapsed="false">
      <c r="A7400" s="5" t="s">
        <v>495</v>
      </c>
      <c r="C7400" s="20" t="n">
        <f aca="false">COLUMN()-COLUMN($C$1)</f>
        <v>0</v>
      </c>
      <c r="D7400" s="20" t="n">
        <f aca="false">COLUMN()-COLUMN($C$1)</f>
        <v>1</v>
      </c>
      <c r="E7400" s="20" t="n">
        <f aca="false">COLUMN()-COLUMN($C$1)</f>
        <v>2</v>
      </c>
      <c r="F7400" s="20" t="n">
        <f aca="false">COLUMN()-COLUMN($C$1)</f>
        <v>3</v>
      </c>
      <c r="G7400" s="20" t="n">
        <f aca="false">COLUMN()-COLUMN($C$1)</f>
        <v>4</v>
      </c>
      <c r="H7400" s="20" t="n">
        <f aca="false">COLUMN()-COLUMN($C$1)</f>
        <v>5</v>
      </c>
      <c r="I7400" s="20" t="n">
        <f aca="false">COLUMN()-COLUMN($C$1)</f>
        <v>6</v>
      </c>
    </row>
    <row r="7401" customFormat="false" ht="15" hidden="false" customHeight="false" outlineLevel="0" collapsed="false">
      <c r="A7401" s="5" t="s">
        <v>496</v>
      </c>
      <c r="D7401" s="30" t="n">
        <f aca="false">CHOOSE($C$7314,G7112,G7125,G7138,G7151)</f>
        <v>0.103</v>
      </c>
      <c r="E7401" s="30" t="n">
        <f aca="false">CHOOSE($C$7314,H7112,H7125,H7138,H7151)</f>
        <v>0.1005</v>
      </c>
      <c r="F7401" s="30" t="n">
        <f aca="false">CHOOSE($C$7314,I7112,I7125,I7138,I7151)</f>
        <v>0.098</v>
      </c>
      <c r="G7401" s="30" t="n">
        <f aca="false">CHOOSE($C$7314,J7112,J7125,J7138,J7151)</f>
        <v>0.11</v>
      </c>
      <c r="H7401" s="30" t="n">
        <f aca="false">CHOOSE($C$7314,K7112,K7125,K7138,K7151)</f>
        <v>0.11</v>
      </c>
    </row>
    <row r="7402" customFormat="false" ht="15" hidden="false" customHeight="false" outlineLevel="0" collapsed="false">
      <c r="A7402" s="5" t="s">
        <v>497</v>
      </c>
      <c r="D7402" s="25" t="n">
        <f aca="false">IF(D7400&lt;=$C$7323,$C$7315*D7401,0)</f>
        <v>10.3</v>
      </c>
      <c r="E7402" s="25" t="n">
        <f aca="false">IF(E7400&lt;=$C$7323,$C$7315*E7401,0)</f>
        <v>10.05</v>
      </c>
      <c r="F7402" s="25" t="n">
        <f aca="false">IF(F7400&lt;=$C$7323,$C$7315*F7401,0)</f>
        <v>0</v>
      </c>
      <c r="G7402" s="25" t="n">
        <f aca="false">IF(G7400&lt;=$C$7323,$C$7315*G7401,0)</f>
        <v>0</v>
      </c>
      <c r="H7402" s="25" t="n">
        <f aca="false">IF(H7400&lt;=$C$7323,$C$7315*H7401,0)</f>
        <v>0</v>
      </c>
    </row>
    <row r="7403" customFormat="false" ht="15" hidden="false" customHeight="false" outlineLevel="0" collapsed="false">
      <c r="A7403" s="5" t="s">
        <v>498</v>
      </c>
      <c r="D7403" s="25" t="n">
        <f aca="false">IF(AND($C$7230=0,D7400=$C$7318),$C$7315*$C$7397/100,0)+IF(AND($C$7230=1,D7400=$C$7398),$C$7321,0)</f>
        <v>0</v>
      </c>
      <c r="E7403" s="25" t="n">
        <f aca="false">IF(AND($C$7230=0,E7400=$C$7318),$C$7315*$C$7397/100,0)+IF(AND($C$7230=1,E7400=$C$7398),$C$7321,0)</f>
        <v>0</v>
      </c>
      <c r="F7403" s="25" t="n">
        <f aca="false">IF(AND($C$7230=0,F7400=$C$7318),$C$7315*$C$7397/100,0)+IF(AND($C$7230=1,F7400=$C$7398),$C$7321,0)</f>
        <v>88.8196128728414</v>
      </c>
      <c r="G7403" s="25" t="n">
        <f aca="false">IF(AND($C$7230=0,G7400=$C$7318),$C$7315*$C$7397/100,0)+IF(AND($C$7230=1,G7400=$C$7398),$C$7321,0)</f>
        <v>0</v>
      </c>
      <c r="H7403" s="25" t="n">
        <f aca="false">IF(AND($C$7230=0,H7400=$C$7318),$C$7315*$C$7397/100,0)+IF(AND($C$7230=1,H7400=$C$7398),$C$7321,0)</f>
        <v>0</v>
      </c>
      <c r="I7403" s="25" t="n">
        <f aca="false">IF(AND($C$7230=0,I7400=$C$7318),$C$7315*$C$7397/100,0)+IF(AND($C$7230=1,I7400=$C$7398),$C$7321,0)</f>
        <v>0</v>
      </c>
    </row>
    <row r="7404" customFormat="false" ht="15" hidden="false" customHeight="false" outlineLevel="0" collapsed="false">
      <c r="A7404" s="2" t="s">
        <v>499</v>
      </c>
      <c r="C7404" s="16" t="n">
        <f aca="false">-$C$7317</f>
        <v>-78.39</v>
      </c>
      <c r="D7404" s="16" t="n">
        <f aca="false">D7402+D7403</f>
        <v>10.3</v>
      </c>
      <c r="E7404" s="16" t="n">
        <f aca="false">E7402+E7403</f>
        <v>10.05</v>
      </c>
      <c r="F7404" s="16" t="n">
        <f aca="false">F7402+F7403</f>
        <v>88.8196128728414</v>
      </c>
      <c r="G7404" s="16" t="n">
        <f aca="false">G7402+G7403</f>
        <v>0</v>
      </c>
      <c r="H7404" s="16" t="n">
        <f aca="false">H7402+H7403</f>
        <v>0</v>
      </c>
      <c r="I7404" s="16" t="n">
        <f aca="false">I7402+I7403</f>
        <v>0</v>
      </c>
    </row>
    <row r="7405" customFormat="false" ht="15" hidden="false" customHeight="false" outlineLevel="0" collapsed="false">
      <c r="A7405" s="5" t="s">
        <v>500</v>
      </c>
      <c r="C7405" s="25" t="n">
        <f aca="false">SUM($C$7402:$I$7402)</f>
        <v>20.35</v>
      </c>
    </row>
    <row r="7406" customFormat="false" ht="15" hidden="false" customHeight="false" outlineLevel="0" collapsed="false">
      <c r="A7406" s="5" t="s">
        <v>501</v>
      </c>
      <c r="C7406" s="25" t="n">
        <f aca="false">SUM($C$7403:$I$7403)</f>
        <v>88.8196128728414</v>
      </c>
    </row>
    <row r="7407" customFormat="false" ht="15" hidden="false" customHeight="false" outlineLevel="0" collapsed="false">
      <c r="A7407" s="5" t="s">
        <v>502</v>
      </c>
      <c r="C7407" s="25" t="n">
        <f aca="false">C7405+C7406</f>
        <v>109.169612872841</v>
      </c>
    </row>
    <row r="7408" customFormat="false" ht="15" hidden="false" customHeight="false" outlineLevel="0" collapsed="false">
      <c r="A7408" s="5" t="s">
        <v>503</v>
      </c>
      <c r="C7408" s="25" t="n">
        <f aca="false">C7406-C7315*C7316/100</f>
        <v>10.8196128728414</v>
      </c>
    </row>
    <row r="7409" customFormat="false" ht="15" hidden="false" customHeight="false" outlineLevel="0" collapsed="false">
      <c r="A7409" s="5" t="s">
        <v>504</v>
      </c>
      <c r="C7409" s="25" t="n">
        <f aca="false">C7407-C7317</f>
        <v>30.7796128728415</v>
      </c>
    </row>
    <row r="7410" customFormat="false" ht="15" hidden="false" customHeight="false" outlineLevel="0" collapsed="false">
      <c r="A7410" s="2" t="s">
        <v>385</v>
      </c>
      <c r="C7410" s="43" t="n">
        <f aca="false">C7407/C7317</f>
        <v>1.39264718551909</v>
      </c>
    </row>
    <row r="7411" customFormat="false" ht="15" hidden="false" customHeight="false" outlineLevel="0" collapsed="false">
      <c r="A7411" s="2" t="s">
        <v>384</v>
      </c>
      <c r="C7411" s="41" t="n">
        <f aca="false">IF(C7407&lt;=0,-1,IFERROR(IRR($C$7404:$I$7404,MAX(-0.9,C7410^(1/C7398)-1)),IRR($C$7404:$I$7404,0.1)))</f>
        <v>0.130821524311548</v>
      </c>
    </row>
    <row r="7412" customFormat="false" ht="15" hidden="false" customHeight="false" outlineLevel="0" collapsed="false">
      <c r="A7412" s="5" t="s">
        <v>505</v>
      </c>
      <c r="C7412" s="31" t="n">
        <f aca="false">MAX($G$7206:$K$7206)</f>
        <v>7.86221186221186</v>
      </c>
    </row>
    <row r="7413" customFormat="false" ht="15" hidden="false" customHeight="false" outlineLevel="0" collapsed="false">
      <c r="A7413" s="5" t="s">
        <v>506</v>
      </c>
      <c r="C7413" s="31" t="n">
        <f aca="false">MIN($G$7207:$K$7207)</f>
        <v>1.21473661783139</v>
      </c>
    </row>
    <row r="7414" customFormat="false" ht="15" hidden="false" customHeight="false" outlineLevel="0" collapsed="false">
      <c r="A7414" s="5" t="s">
        <v>507</v>
      </c>
      <c r="C7414" s="25" t="n">
        <f aca="false">SUM($G$7096:$K$7096)</f>
        <v>-46.97594467624</v>
      </c>
    </row>
    <row r="7418" customFormat="false" ht="15" hidden="false" customHeight="false" outlineLevel="0" collapsed="false">
      <c r="A7418" s="9" t="s">
        <v>647</v>
      </c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</row>
    <row r="7419" customFormat="false" ht="15" hidden="false" customHeight="false" outlineLevel="0" collapsed="false">
      <c r="A7419" s="5" t="s">
        <v>622</v>
      </c>
      <c r="C7419" s="11" t="n">
        <v>1</v>
      </c>
    </row>
    <row r="7420" customFormat="false" ht="15" hidden="false" customHeight="false" outlineLevel="0" collapsed="false">
      <c r="A7420" s="5" t="s">
        <v>623</v>
      </c>
      <c r="C7420" s="29" t="n">
        <f aca="false">Sensitivities!$A$43</f>
        <v>0.05</v>
      </c>
    </row>
    <row r="7421" customFormat="false" ht="15" hidden="false" customHeight="false" outlineLevel="0" collapsed="false">
      <c r="A7421" s="5" t="s">
        <v>624</v>
      </c>
      <c r="C7421" s="18" t="n">
        <v>0</v>
      </c>
    </row>
    <row r="7422" customFormat="false" ht="15" hidden="false" customHeight="false" outlineLevel="0" collapsed="false">
      <c r="A7422" s="5" t="s">
        <v>625</v>
      </c>
      <c r="C7422" s="18" t="n">
        <v>0</v>
      </c>
    </row>
    <row r="7423" customFormat="false" ht="15" hidden="false" customHeight="false" outlineLevel="0" collapsed="false">
      <c r="A7423" s="5" t="s">
        <v>626</v>
      </c>
      <c r="C7423" s="15" t="n">
        <v>0</v>
      </c>
    </row>
    <row r="7425" customFormat="false" ht="15" hidden="false" customHeight="false" outlineLevel="0" collapsed="false">
      <c r="A7425" s="23" t="s">
        <v>237</v>
      </c>
      <c r="B7425" s="24"/>
      <c r="C7425" s="24"/>
      <c r="D7425" s="24"/>
      <c r="E7425" s="24"/>
      <c r="F7425" s="24"/>
      <c r="G7425" s="24"/>
      <c r="H7425" s="24"/>
      <c r="I7425" s="24"/>
      <c r="J7425" s="24"/>
      <c r="K7425" s="24"/>
    </row>
    <row r="7426" customFormat="false" ht="15" hidden="false" customHeight="false" outlineLevel="0" collapsed="false">
      <c r="A7426" s="5" t="s">
        <v>238</v>
      </c>
      <c r="F7426" s="26" t="n">
        <f aca="false">Assumptions!$C$6</f>
        <v>2025</v>
      </c>
      <c r="G7426" s="20" t="n">
        <f aca="false">F7426+1</f>
        <v>2026</v>
      </c>
      <c r="H7426" s="20" t="n">
        <f aca="false">G7426+1</f>
        <v>2027</v>
      </c>
      <c r="I7426" s="20" t="n">
        <f aca="false">H7426+1</f>
        <v>2028</v>
      </c>
      <c r="J7426" s="20" t="n">
        <f aca="false">I7426+1</f>
        <v>2029</v>
      </c>
      <c r="K7426" s="20" t="n">
        <f aca="false">J7426+1</f>
        <v>2030</v>
      </c>
    </row>
    <row r="7427" customFormat="false" ht="15" hidden="false" customHeight="false" outlineLevel="0" collapsed="false">
      <c r="A7427" s="5" t="s">
        <v>239</v>
      </c>
      <c r="G7427" s="20" t="n">
        <f aca="false">G7426-Assumptions!$C$6</f>
        <v>1</v>
      </c>
      <c r="H7427" s="20" t="n">
        <f aca="false">H7426-Assumptions!$C$6</f>
        <v>2</v>
      </c>
      <c r="I7427" s="20" t="n">
        <f aca="false">I7426-Assumptions!$C$6</f>
        <v>3</v>
      </c>
      <c r="J7427" s="20" t="n">
        <f aca="false">J7426-Assumptions!$C$6</f>
        <v>4</v>
      </c>
      <c r="K7427" s="20" t="n">
        <f aca="false">K7426-Assumptions!$C$6</f>
        <v>5</v>
      </c>
    </row>
    <row r="7428" customFormat="false" ht="15" hidden="false" customHeight="false" outlineLevel="0" collapsed="false">
      <c r="A7428" s="5" t="s">
        <v>149</v>
      </c>
      <c r="G7428" s="21" t="n">
        <f aca="false">CHOOSE($C$7419,Assumptions!$G$65,Assumptions!$G$84,Assumptions!$G$103)+$C$7420</f>
        <v>0.04</v>
      </c>
      <c r="H7428" s="21" t="n">
        <f aca="false">CHOOSE($C$7419,Assumptions!$H$65,Assumptions!$H$84,Assumptions!$H$103)+$C$7420</f>
        <v>0.04</v>
      </c>
      <c r="I7428" s="21" t="n">
        <f aca="false">CHOOSE($C$7419,Assumptions!$I$65,Assumptions!$I$84,Assumptions!$I$103)+$C$7420</f>
        <v>0.04</v>
      </c>
      <c r="J7428" s="21" t="n">
        <f aca="false">CHOOSE($C$7419,Assumptions!$J$65,Assumptions!$J$84,Assumptions!$J$103)+$C$7420</f>
        <v>0.04</v>
      </c>
      <c r="K7428" s="21" t="n">
        <f aca="false">CHOOSE($C$7419,Assumptions!$K$65,Assumptions!$K$84,Assumptions!$K$103)+$C$7420</f>
        <v>0.04</v>
      </c>
    </row>
    <row r="7429" customFormat="false" ht="15" hidden="false" customHeight="false" outlineLevel="0" collapsed="false">
      <c r="A7429" s="5" t="s">
        <v>150</v>
      </c>
      <c r="G7429" s="21" t="n">
        <f aca="false">CHOOSE($C$7419,Assumptions!$G$66,Assumptions!$G$85,Assumptions!$G$104)</f>
        <v>0.36</v>
      </c>
      <c r="H7429" s="21" t="n">
        <f aca="false">CHOOSE($C$7419,Assumptions!$H$66,Assumptions!$H$85,Assumptions!$H$104)</f>
        <v>0.362</v>
      </c>
      <c r="I7429" s="21" t="n">
        <f aca="false">CHOOSE($C$7419,Assumptions!$I$66,Assumptions!$I$85,Assumptions!$I$104)</f>
        <v>0.364</v>
      </c>
      <c r="J7429" s="21" t="n">
        <f aca="false">CHOOSE($C$7419,Assumptions!$J$66,Assumptions!$J$85,Assumptions!$J$104)</f>
        <v>0.366</v>
      </c>
      <c r="K7429" s="21" t="n">
        <f aca="false">CHOOSE($C$7419,Assumptions!$K$66,Assumptions!$K$85,Assumptions!$K$104)</f>
        <v>0.368</v>
      </c>
    </row>
    <row r="7430" customFormat="false" ht="15" hidden="false" customHeight="false" outlineLevel="0" collapsed="false">
      <c r="A7430" s="5" t="s">
        <v>151</v>
      </c>
      <c r="G7430" s="21" t="n">
        <f aca="false">CHOOSE($C$7419,Assumptions!$G$67,Assumptions!$G$86,Assumptions!$G$105)+$C$7421</f>
        <v>0.065</v>
      </c>
      <c r="H7430" s="21" t="n">
        <f aca="false">CHOOSE($C$7419,Assumptions!$H$67,Assumptions!$H$86,Assumptions!$H$105)+$C$7421</f>
        <v>0.067</v>
      </c>
      <c r="I7430" s="21" t="n">
        <f aca="false">CHOOSE($C$7419,Assumptions!$I$67,Assumptions!$I$86,Assumptions!$I$105)+$C$7421</f>
        <v>0.069</v>
      </c>
      <c r="J7430" s="21" t="n">
        <f aca="false">CHOOSE($C$7419,Assumptions!$J$67,Assumptions!$J$86,Assumptions!$J$105)+$C$7421</f>
        <v>0.071</v>
      </c>
      <c r="K7430" s="21" t="n">
        <f aca="false">CHOOSE($C$7419,Assumptions!$K$67,Assumptions!$K$86,Assumptions!$K$105)+$C$7421</f>
        <v>0.073</v>
      </c>
    </row>
    <row r="7431" customFormat="false" ht="15" hidden="false" customHeight="false" outlineLevel="0" collapsed="false">
      <c r="A7431" s="23" t="s">
        <v>240</v>
      </c>
      <c r="B7431" s="24"/>
      <c r="C7431" s="24"/>
      <c r="D7431" s="24"/>
      <c r="E7431" s="24"/>
      <c r="F7431" s="24"/>
      <c r="G7431" s="24"/>
      <c r="H7431" s="24"/>
      <c r="I7431" s="24"/>
      <c r="J7431" s="24"/>
      <c r="K7431" s="24"/>
    </row>
    <row r="7432" customFormat="false" ht="15" hidden="false" customHeight="false" outlineLevel="0" collapsed="false">
      <c r="A7432" s="2" t="s">
        <v>207</v>
      </c>
      <c r="F7432" s="27" t="n">
        <f aca="false">'Historical Financials'!E17</f>
        <v>2400</v>
      </c>
      <c r="G7432" s="16" t="n">
        <f aca="false">F7432*(1+G7428)</f>
        <v>2496</v>
      </c>
      <c r="H7432" s="16" t="n">
        <f aca="false">G7432*(1+H7428)</f>
        <v>2595.84</v>
      </c>
      <c r="I7432" s="16" t="n">
        <f aca="false">H7432*(1+I7428)</f>
        <v>2699.6736</v>
      </c>
      <c r="J7432" s="16" t="n">
        <f aca="false">I7432*(1+J7428)</f>
        <v>2807.660544</v>
      </c>
      <c r="K7432" s="16" t="n">
        <f aca="false">J7432*(1+K7428)</f>
        <v>2919.96696576</v>
      </c>
    </row>
    <row r="7433" customFormat="false" ht="15" hidden="false" customHeight="false" outlineLevel="0" collapsed="false">
      <c r="A7433" s="5" t="s">
        <v>217</v>
      </c>
      <c r="G7433" s="25" t="n">
        <f aca="false">G7432*(1-G7429)</f>
        <v>1597.44</v>
      </c>
      <c r="H7433" s="25" t="n">
        <f aca="false">H7432*(1-H7429)</f>
        <v>1656.14592</v>
      </c>
      <c r="I7433" s="25" t="n">
        <f aca="false">I7432*(1-I7429)</f>
        <v>1716.9924096</v>
      </c>
      <c r="J7433" s="25" t="n">
        <f aca="false">J7432*(1-J7429)</f>
        <v>1780.056784896</v>
      </c>
      <c r="K7433" s="25" t="n">
        <f aca="false">K7432*(1-K7429)</f>
        <v>1845.41912236032</v>
      </c>
    </row>
    <row r="7434" customFormat="false" ht="15" hidden="false" customHeight="false" outlineLevel="0" collapsed="false">
      <c r="A7434" s="2" t="s">
        <v>218</v>
      </c>
      <c r="G7434" s="16" t="n">
        <f aca="false">G7432-G7433</f>
        <v>898.56</v>
      </c>
      <c r="H7434" s="16" t="n">
        <f aca="false">H7432-H7433</f>
        <v>939.69408</v>
      </c>
      <c r="I7434" s="16" t="n">
        <f aca="false">I7432-I7433</f>
        <v>982.6811904</v>
      </c>
      <c r="J7434" s="16" t="n">
        <f aca="false">J7432-J7433</f>
        <v>1027.603759104</v>
      </c>
      <c r="K7434" s="16" t="n">
        <f aca="false">K7432-K7433</f>
        <v>1074.54784339968</v>
      </c>
    </row>
    <row r="7435" customFormat="false" ht="15" hidden="false" customHeight="false" outlineLevel="0" collapsed="false">
      <c r="A7435" s="5" t="s">
        <v>241</v>
      </c>
      <c r="G7435" s="25" t="n">
        <f aca="false">G7434-G7436</f>
        <v>736.32</v>
      </c>
      <c r="H7435" s="25" t="n">
        <f aca="false">H7434-H7436</f>
        <v>765.7728</v>
      </c>
      <c r="I7435" s="25" t="n">
        <f aca="false">I7434-I7436</f>
        <v>796.403712</v>
      </c>
      <c r="J7435" s="25" t="n">
        <f aca="false">J7434-J7436</f>
        <v>828.25986048</v>
      </c>
      <c r="K7435" s="25" t="n">
        <f aca="false">K7434-K7436</f>
        <v>861.3902548992</v>
      </c>
    </row>
    <row r="7436" customFormat="false" ht="15" hidden="false" customHeight="false" outlineLevel="0" collapsed="false">
      <c r="A7436" s="2" t="s">
        <v>242</v>
      </c>
      <c r="G7436" s="16" t="n">
        <f aca="false">G7432*G7430</f>
        <v>162.24</v>
      </c>
      <c r="H7436" s="16" t="n">
        <f aca="false">H7432*H7430</f>
        <v>173.92128</v>
      </c>
      <c r="I7436" s="16" t="n">
        <f aca="false">I7432*I7430</f>
        <v>186.2774784</v>
      </c>
      <c r="J7436" s="16" t="n">
        <f aca="false">J7432*J7430</f>
        <v>199.343898624</v>
      </c>
      <c r="K7436" s="16" t="n">
        <f aca="false">K7432*K7430</f>
        <v>213.15758850048</v>
      </c>
    </row>
    <row r="7437" customFormat="false" ht="15" hidden="false" customHeight="false" outlineLevel="0" collapsed="false">
      <c r="A7437" s="5" t="s">
        <v>243</v>
      </c>
      <c r="G7437" s="25" t="n">
        <f aca="false">G7432*'Historical Financials'!E22/'Historical Financials'!E17</f>
        <v>54.912</v>
      </c>
      <c r="H7437" s="25" t="n">
        <f aca="false">H7432*'Historical Financials'!E22/'Historical Financials'!E17</f>
        <v>57.10848</v>
      </c>
      <c r="I7437" s="25" t="n">
        <f aca="false">I7432*'Historical Financials'!E22/'Historical Financials'!E17</f>
        <v>59.3928192</v>
      </c>
      <c r="J7437" s="25" t="n">
        <f aca="false">J7432*'Historical Financials'!E22/'Historical Financials'!E17</f>
        <v>61.768531968</v>
      </c>
      <c r="K7437" s="25" t="n">
        <f aca="false">K7432*'Historical Financials'!E22/'Historical Financials'!E17</f>
        <v>64.23927324672</v>
      </c>
    </row>
    <row r="7438" customFormat="false" ht="15" hidden="false" customHeight="false" outlineLevel="0" collapsed="false">
      <c r="A7438" s="5" t="s">
        <v>244</v>
      </c>
      <c r="G7438" s="25" t="n">
        <f aca="false">G7432*'Historical Financials'!E23/'Historical Financials'!E17</f>
        <v>0</v>
      </c>
      <c r="H7438" s="25" t="n">
        <f aca="false">H7432*'Historical Financials'!E23/'Historical Financials'!E17</f>
        <v>0</v>
      </c>
      <c r="I7438" s="25" t="n">
        <f aca="false">I7432*'Historical Financials'!E23/'Historical Financials'!E17</f>
        <v>0</v>
      </c>
      <c r="J7438" s="25" t="n">
        <f aca="false">J7432*'Historical Financials'!E23/'Historical Financials'!E17</f>
        <v>0</v>
      </c>
      <c r="K7438" s="25" t="n">
        <f aca="false">K7432*'Historical Financials'!E23/'Historical Financials'!E17</f>
        <v>0</v>
      </c>
    </row>
    <row r="7439" customFormat="false" ht="15" hidden="false" customHeight="false" outlineLevel="0" collapsed="false">
      <c r="A7439" s="2" t="s">
        <v>245</v>
      </c>
      <c r="G7439" s="16" t="n">
        <f aca="false">G7436-G7437-G7438</f>
        <v>107.328</v>
      </c>
      <c r="H7439" s="16" t="n">
        <f aca="false">H7436-H7437-H7438</f>
        <v>116.8128</v>
      </c>
      <c r="I7439" s="16" t="n">
        <f aca="false">I7436-I7437-I7438</f>
        <v>126.8846592</v>
      </c>
      <c r="J7439" s="16" t="n">
        <f aca="false">J7436-J7437-J7438</f>
        <v>137.575366656</v>
      </c>
      <c r="K7439" s="16" t="n">
        <f aca="false">K7436-K7437-K7438</f>
        <v>148.91831525376</v>
      </c>
    </row>
    <row r="7440" customFormat="false" ht="15" hidden="false" customHeight="false" outlineLevel="0" collapsed="false">
      <c r="A7440" s="5" t="s">
        <v>246</v>
      </c>
      <c r="G7440" s="25" t="n">
        <f aca="false">G7466+G7479+G7492+G7505</f>
        <v>119.04</v>
      </c>
      <c r="H7440" s="25" t="n">
        <f aca="false">H7466+H7479+H7492+H7505</f>
        <v>114.96714</v>
      </c>
      <c r="I7440" s="25" t="n">
        <f aca="false">I7466+I7479+I7492+I7505</f>
        <v>127.8692</v>
      </c>
      <c r="J7440" s="25" t="n">
        <f aca="false">J7466+J7479+J7492+J7505</f>
        <v>136.035911066</v>
      </c>
      <c r="K7440" s="25" t="n">
        <f aca="false">K7466+K7479+K7492+K7505</f>
        <v>136.716648320945</v>
      </c>
    </row>
    <row r="7441" customFormat="false" ht="15" hidden="false" customHeight="false" outlineLevel="0" collapsed="false">
      <c r="A7441" s="5" t="s">
        <v>247</v>
      </c>
      <c r="G7441" s="25" t="n">
        <f aca="false">G7467+G7480+G7493+G7506</f>
        <v>0</v>
      </c>
      <c r="H7441" s="25" t="n">
        <f aca="false">H7467+H7480+H7493+H7506</f>
        <v>0</v>
      </c>
      <c r="I7441" s="25" t="n">
        <f aca="false">I7467+I7480+I7493+I7506</f>
        <v>0</v>
      </c>
      <c r="J7441" s="25" t="n">
        <f aca="false">J7467+J7480+J7493+J7506</f>
        <v>0</v>
      </c>
      <c r="K7441" s="25" t="n">
        <f aca="false">K7467+K7480+K7493+K7506</f>
        <v>0</v>
      </c>
    </row>
    <row r="7442" customFormat="false" ht="15" hidden="false" customHeight="false" outlineLevel="0" collapsed="false">
      <c r="A7442" s="5" t="s">
        <v>212</v>
      </c>
      <c r="G7442" s="25" t="n">
        <f aca="false">G7440+G7441</f>
        <v>119.04</v>
      </c>
      <c r="H7442" s="25" t="n">
        <f aca="false">H7440+H7441</f>
        <v>114.96714</v>
      </c>
      <c r="I7442" s="25" t="n">
        <f aca="false">I7440+I7441</f>
        <v>127.8692</v>
      </c>
      <c r="J7442" s="25" t="n">
        <f aca="false">J7440+J7441</f>
        <v>136.035911066</v>
      </c>
      <c r="K7442" s="25" t="n">
        <f aca="false">K7440+K7441</f>
        <v>136.716648320945</v>
      </c>
    </row>
    <row r="7443" customFormat="false" ht="15" hidden="false" customHeight="false" outlineLevel="0" collapsed="false">
      <c r="A7443" s="2" t="s">
        <v>223</v>
      </c>
      <c r="G7443" s="16" t="n">
        <f aca="false">G7439-G7442</f>
        <v>-11.712</v>
      </c>
      <c r="H7443" s="16" t="n">
        <f aca="false">H7439-H7442</f>
        <v>1.84566000000001</v>
      </c>
      <c r="I7443" s="16" t="n">
        <f aca="false">I7439-I7442</f>
        <v>-0.984540799999948</v>
      </c>
      <c r="J7443" s="16" t="n">
        <f aca="false">J7439-J7442</f>
        <v>1.53945559000007</v>
      </c>
      <c r="K7443" s="16" t="n">
        <f aca="false">K7439-K7442</f>
        <v>12.2016669328151</v>
      </c>
    </row>
    <row r="7444" customFormat="false" ht="15" hidden="false" customHeight="false" outlineLevel="0" collapsed="false">
      <c r="A7444" s="5" t="s">
        <v>213</v>
      </c>
      <c r="G7444" s="25" t="n">
        <f aca="false">MAX(0,G7443)*Assumptions!$C$9</f>
        <v>0</v>
      </c>
      <c r="H7444" s="25" t="n">
        <f aca="false">MAX(0,H7443)*Assumptions!$C$9</f>
        <v>0.461415000000002</v>
      </c>
      <c r="I7444" s="25" t="n">
        <f aca="false">MAX(0,I7443)*Assumptions!$C$9</f>
        <v>0</v>
      </c>
      <c r="J7444" s="25" t="n">
        <f aca="false">MAX(0,J7443)*Assumptions!$C$9</f>
        <v>0.384863897500019</v>
      </c>
      <c r="K7444" s="25" t="n">
        <f aca="false">MAX(0,K7443)*Assumptions!$C$9</f>
        <v>3.05041673320377</v>
      </c>
    </row>
    <row r="7445" customFormat="false" ht="15" hidden="false" customHeight="false" outlineLevel="0" collapsed="false">
      <c r="A7445" s="2" t="s">
        <v>248</v>
      </c>
      <c r="G7445" s="16" t="n">
        <f aca="false">G7443-G7444</f>
        <v>-11.712</v>
      </c>
      <c r="H7445" s="16" t="n">
        <f aca="false">H7443-H7444</f>
        <v>1.38424500000001</v>
      </c>
      <c r="I7445" s="16" t="n">
        <f aca="false">I7443-I7444</f>
        <v>-0.984540799999948</v>
      </c>
      <c r="J7445" s="16" t="n">
        <f aca="false">J7443-J7444</f>
        <v>1.15459169250006</v>
      </c>
      <c r="K7445" s="16" t="n">
        <f aca="false">K7443-K7444</f>
        <v>9.1512501996113</v>
      </c>
    </row>
    <row r="7446" customFormat="false" ht="15" hidden="false" customHeight="false" outlineLevel="0" collapsed="false">
      <c r="A7446" s="23" t="s">
        <v>249</v>
      </c>
      <c r="B7446" s="24"/>
      <c r="C7446" s="24"/>
      <c r="D7446" s="24"/>
      <c r="E7446" s="24"/>
      <c r="F7446" s="24"/>
      <c r="G7446" s="24"/>
      <c r="H7446" s="24"/>
      <c r="I7446" s="24"/>
      <c r="J7446" s="24"/>
      <c r="K7446" s="24"/>
    </row>
    <row r="7447" customFormat="false" ht="15" hidden="false" customHeight="false" outlineLevel="0" collapsed="false">
      <c r="A7447" s="5" t="s">
        <v>153</v>
      </c>
      <c r="G7447" s="25" t="n">
        <f aca="false">G7432*CHOOSE($C$7419,Assumptions!$C$69,Assumptions!$C$88,Assumptions!$C$107)</f>
        <v>49.92</v>
      </c>
      <c r="H7447" s="25" t="n">
        <f aca="false">H7432*CHOOSE($C$7419,Assumptions!$C$69,Assumptions!$C$88,Assumptions!$C$107)</f>
        <v>51.9168</v>
      </c>
      <c r="I7447" s="25" t="n">
        <f aca="false">I7432*CHOOSE($C$7419,Assumptions!$C$69,Assumptions!$C$88,Assumptions!$C$107)</f>
        <v>53.993472</v>
      </c>
      <c r="J7447" s="25" t="n">
        <f aca="false">J7432*CHOOSE($C$7419,Assumptions!$C$69,Assumptions!$C$88,Assumptions!$C$107)</f>
        <v>56.15321088</v>
      </c>
      <c r="K7447" s="25" t="n">
        <f aca="false">K7432*CHOOSE($C$7419,Assumptions!$C$69,Assumptions!$C$88,Assumptions!$C$107)</f>
        <v>58.3993393152</v>
      </c>
    </row>
    <row r="7448" customFormat="false" ht="15" hidden="false" customHeight="false" outlineLevel="0" collapsed="false">
      <c r="A7448" s="5" t="s">
        <v>250</v>
      </c>
      <c r="G7448" s="25" t="n">
        <f aca="false">CHOOSE($C$7419,Assumptions!$C$70,Assumptions!$C$89,Assumptions!$C$108)*(G7432-F7432)+CHOOSE($C$7419,Assumptions!$C$71,Assumptions!$C$90,Assumptions!$C$109)*G7432</f>
        <v>11.52</v>
      </c>
      <c r="H7448" s="25" t="n">
        <f aca="false">CHOOSE($C$7419,Assumptions!$C$70,Assumptions!$C$89,Assumptions!$C$108)*(H7432-G7432)+CHOOSE($C$7419,Assumptions!$C$71,Assumptions!$C$90,Assumptions!$C$109)*H7432</f>
        <v>11.9808</v>
      </c>
      <c r="I7448" s="25" t="n">
        <f aca="false">CHOOSE($C$7419,Assumptions!$C$70,Assumptions!$C$89,Assumptions!$C$108)*(I7432-H7432)+CHOOSE($C$7419,Assumptions!$C$71,Assumptions!$C$90,Assumptions!$C$109)*I7432</f>
        <v>12.460032</v>
      </c>
      <c r="J7448" s="25" t="n">
        <f aca="false">CHOOSE($C$7419,Assumptions!$C$70,Assumptions!$C$89,Assumptions!$C$108)*(J7432-I7432)+CHOOSE($C$7419,Assumptions!$C$71,Assumptions!$C$90,Assumptions!$C$109)*J7432</f>
        <v>12.95843328</v>
      </c>
      <c r="K7448" s="25" t="n">
        <f aca="false">CHOOSE($C$7419,Assumptions!$C$70,Assumptions!$C$89,Assumptions!$C$108)*(K7432-J7432)+CHOOSE($C$7419,Assumptions!$C$71,Assumptions!$C$90,Assumptions!$C$109)*K7432</f>
        <v>13.4767706112</v>
      </c>
    </row>
    <row r="7449" customFormat="false" ht="15" hidden="false" customHeight="false" outlineLevel="0" collapsed="false">
      <c r="A7449" s="2" t="s">
        <v>251</v>
      </c>
      <c r="G7449" s="16" t="n">
        <f aca="false">G7445+G7437+G7438+G7441-G7447-G7448</f>
        <v>-18.24</v>
      </c>
      <c r="H7449" s="16" t="n">
        <f aca="false">H7445+H7437+H7438+H7441-H7447-H7448</f>
        <v>-5.404875</v>
      </c>
      <c r="I7449" s="16" t="n">
        <f aca="false">I7445+I7437+I7438+I7441-I7447-I7448</f>
        <v>-8.04522559999995</v>
      </c>
      <c r="J7449" s="16" t="n">
        <f aca="false">J7445+J7437+J7438+J7441-J7447-J7448</f>
        <v>-6.18852049949998</v>
      </c>
      <c r="K7449" s="16" t="n">
        <f aca="false">K7445+K7437+K7438+K7441-K7447-K7448</f>
        <v>1.51441351993132</v>
      </c>
    </row>
    <row r="7451" customFormat="false" ht="15" hidden="false" customHeight="false" outlineLevel="0" collapsed="false">
      <c r="A7451" s="23" t="s">
        <v>253</v>
      </c>
      <c r="B7451" s="24"/>
      <c r="C7451" s="24"/>
      <c r="D7451" s="24"/>
      <c r="E7451" s="24"/>
      <c r="F7451" s="24"/>
      <c r="G7451" s="24"/>
      <c r="H7451" s="24"/>
      <c r="I7451" s="24"/>
      <c r="J7451" s="24"/>
      <c r="K7451" s="24"/>
    </row>
    <row r="7452" customFormat="false" ht="15" hidden="false" customHeight="false" outlineLevel="0" collapsed="false">
      <c r="A7452" s="5" t="s">
        <v>254</v>
      </c>
      <c r="G7452" s="29" t="n">
        <f aca="false">Assumptions!$G$49</f>
        <v>0.0425</v>
      </c>
      <c r="H7452" s="29" t="n">
        <f aca="false">Assumptions!$H$49</f>
        <v>0.04</v>
      </c>
      <c r="I7452" s="29" t="n">
        <f aca="false">Assumptions!$I$49</f>
        <v>0.0375</v>
      </c>
      <c r="J7452" s="29" t="n">
        <f aca="false">Assumptions!$J$49</f>
        <v>0.0375</v>
      </c>
      <c r="K7452" s="29" t="n">
        <f aca="false">Assumptions!$K$49</f>
        <v>0.0375</v>
      </c>
    </row>
    <row r="7453" customFormat="false" ht="15" hidden="false" customHeight="false" outlineLevel="0" collapsed="false">
      <c r="A7453" s="5" t="s">
        <v>255</v>
      </c>
      <c r="C7453" s="30" t="n">
        <f aca="false">CHOOSE($C$7419,Assumptions!$C$72,Assumptions!$C$91,Assumptions!$C$110)+$C$7422</f>
        <v>0</v>
      </c>
    </row>
    <row r="7454" customFormat="false" ht="15" hidden="false" customHeight="false" outlineLevel="0" collapsed="false">
      <c r="A7454" s="5" t="s">
        <v>256</v>
      </c>
      <c r="C7454" s="30" t="n">
        <f aca="false">CHOOSE($C$7419,Assumptions!$C$73,Assumptions!$C$92,Assumptions!$C$111)</f>
        <v>0.11</v>
      </c>
    </row>
    <row r="7455" customFormat="false" ht="15" hidden="false" customHeight="false" outlineLevel="0" collapsed="false">
      <c r="A7455" s="5" t="s">
        <v>257</v>
      </c>
      <c r="C7455" s="31" t="n">
        <f aca="false">CHOOSE($C$7419,Assumptions!$C$74,Assumptions!$C$93,Assumptions!$C$112)</f>
        <v>8.5</v>
      </c>
    </row>
    <row r="7456" customFormat="false" ht="15" hidden="false" customHeight="false" outlineLevel="0" collapsed="false">
      <c r="A7456" s="5" t="s">
        <v>258</v>
      </c>
      <c r="C7456" s="31" t="n">
        <f aca="false">CHOOSE($C$7419,Assumptions!$C$75,Assumptions!$C$94,Assumptions!$C$113)</f>
        <v>1.2</v>
      </c>
    </row>
    <row r="7457" customFormat="false" ht="15" hidden="false" customHeight="false" outlineLevel="0" collapsed="false">
      <c r="A7457" s="5" t="s">
        <v>259</v>
      </c>
      <c r="G7457" s="25" t="n">
        <f aca="false">G7462+G7475+G7488+G7501</f>
        <v>1250</v>
      </c>
      <c r="H7457" s="25" t="n">
        <f aca="false">H7462+H7475+H7488+H7501</f>
        <v>1223.24</v>
      </c>
      <c r="I7457" s="25" t="n">
        <f aca="false">I7462+I7475+I7488+I7501</f>
        <v>1218.04</v>
      </c>
      <c r="J7457" s="25" t="n">
        <f aca="false">J7462+J7475+J7488+J7501</f>
        <v>1236.6901006</v>
      </c>
      <c r="K7457" s="25" t="n">
        <f aca="false">K7462+K7475+K7488+K7501</f>
        <v>1242.8786210995</v>
      </c>
    </row>
    <row r="7458" customFormat="false" ht="15" hidden="false" customHeight="false" outlineLevel="0" collapsed="false">
      <c r="A7458" s="5" t="s">
        <v>260</v>
      </c>
      <c r="G7458" s="25" t="n">
        <f aca="false">F7548</f>
        <v>45</v>
      </c>
      <c r="H7458" s="25" t="n">
        <f aca="false">G7548</f>
        <v>0</v>
      </c>
      <c r="I7458" s="25" t="n">
        <f aca="false">H7548</f>
        <v>-10.604875</v>
      </c>
      <c r="J7458" s="25" t="n">
        <f aca="false">I7548</f>
        <v>0</v>
      </c>
      <c r="K7458" s="25" t="n">
        <f aca="false">J7548</f>
        <v>0</v>
      </c>
    </row>
    <row r="7459" customFormat="false" ht="15" hidden="false" customHeight="false" outlineLevel="0" collapsed="false">
      <c r="A7459" s="5" t="s">
        <v>261</v>
      </c>
      <c r="G7459" s="25" t="n">
        <f aca="false">G7462*IF(G7463=1,$C$7454,IF(Assumptions!$I$53=1,MAX(G7452,Assumptions!$G$53)+Assumptions!$F$53+$C$7453,Assumptions!$E$53))+G7475*IF(G7476=1,$C$7454,IF(Assumptions!$I$54=1,MAX(G7452,Assumptions!$G$54)+Assumptions!$F$54+$C$7453,Assumptions!$E$54))+G7488*IF(G7489=1,$C$7454,IF(Assumptions!$I$55=1,MAX(G7452,Assumptions!$G$55)+Assumptions!$F$55+$C$7453,Assumptions!$E$55))+G7501*IF(G7502=1,$C$7454,IF(Assumptions!$I$56=1,MAX(G7452,Assumptions!$G$56)+Assumptions!$F$56+$C$7453,Assumptions!$E$56))</f>
        <v>119.04</v>
      </c>
      <c r="H7459" s="25" t="n">
        <f aca="false">H7462*IF(OR(H7463=1,G7614=1),$C$7454,IF(Assumptions!$I$53=1,MAX(H7452,Assumptions!$G$53)+Assumptions!$F$53+$C$7453,Assumptions!$E$53))+H7475*IF(OR(H7476=1,G7615=1),$C$7454,IF(Assumptions!$I$54=1,MAX(H7452,Assumptions!$G$54)+Assumptions!$F$54+$C$7453,Assumptions!$E$54))+H7488*IF(OR(H7489=1,G7616=1),$C$7454,IF(Assumptions!$I$55=1,MAX(H7452,Assumptions!$G$55)+Assumptions!$F$55+$C$7453,Assumptions!$E$55))+H7501*IF(OR(H7502=1,G7617=1),$C$7454,IF(Assumptions!$I$56=1,MAX(H7452,Assumptions!$G$56)+Assumptions!$F$56+$C$7453,Assumptions!$E$56))</f>
        <v>129.6658</v>
      </c>
      <c r="I7459" s="25" t="n">
        <f aca="false">I7462*IF(OR(I7463=1,H7614=1),$C$7454,IF(Assumptions!$I$53=1,MAX(I7452,Assumptions!$G$53)+Assumptions!$F$53+$C$7453,Assumptions!$E$53))+I7475*IF(OR(I7476=1,H7615=1),$C$7454,IF(Assumptions!$I$54=1,MAX(I7452,Assumptions!$G$54)+Assumptions!$F$54+$C$7453,Assumptions!$E$54))+I7488*IF(OR(I7489=1,H7616=1),$C$7454,IF(Assumptions!$I$55=1,MAX(I7452,Assumptions!$G$55)+Assumptions!$F$55+$C$7453,Assumptions!$E$55))+I7501*IF(OR(I7502=1,H7617=1),$C$7454,IF(Assumptions!$I$56=1,MAX(I7452,Assumptions!$G$56)+Assumptions!$F$56+$C$7453,Assumptions!$E$56))</f>
        <v>133.9844</v>
      </c>
      <c r="J7459" s="25" t="n">
        <f aca="false">J7462*IF(OR(J7463=1,I7614=1),$C$7454,IF(Assumptions!$I$53=1,MAX(J7452,Assumptions!$G$53)+Assumptions!$F$53+$C$7453,Assumptions!$E$53))+J7475*IF(OR(J7476=1,I7615=1),$C$7454,IF(Assumptions!$I$54=1,MAX(J7452,Assumptions!$G$54)+Assumptions!$F$54+$C$7453,Assumptions!$E$54))+J7488*IF(OR(J7489=1,I7616=1),$C$7454,IF(Assumptions!$I$55=1,MAX(J7452,Assumptions!$G$55)+Assumptions!$F$55+$C$7453,Assumptions!$E$55))+J7501*IF(OR(J7502=1,I7617=1),$C$7454,IF(Assumptions!$I$56=1,MAX(J7452,Assumptions!$G$56)+Assumptions!$F$56+$C$7453,Assumptions!$E$56))</f>
        <v>136.035911066</v>
      </c>
      <c r="K7459" s="25" t="n">
        <f aca="false">K7462*IF(OR(K7463=1,J7614=1),$C$7454,IF(Assumptions!$I$53=1,MAX(K7452,Assumptions!$G$53)+Assumptions!$F$53+$C$7453,Assumptions!$E$53))+K7475*IF(OR(K7476=1,J7615=1),$C$7454,IF(Assumptions!$I$54=1,MAX(K7452,Assumptions!$G$54)+Assumptions!$F$54+$C$7453,Assumptions!$E$54))+K7488*IF(OR(K7489=1,J7616=1),$C$7454,IF(Assumptions!$I$55=1,MAX(K7452,Assumptions!$G$55)+Assumptions!$F$55+$C$7453,Assumptions!$E$55))+K7501*IF(OR(K7502=1,J7617=1),$C$7454,IF(Assumptions!$I$56=1,MAX(K7452,Assumptions!$G$56)+Assumptions!$F$56+$C$7453,Assumptions!$E$56))</f>
        <v>136.716648320945</v>
      </c>
    </row>
    <row r="7460" customFormat="false" ht="15" hidden="false" customHeight="false" outlineLevel="0" collapsed="false">
      <c r="A7460" s="5" t="s">
        <v>262</v>
      </c>
      <c r="G7460" s="20" t="n">
        <f aca="false">IF(G7436&lt;=0,0,IF(AND((G7457-G7458)/G7436&lt;=$C$7455,G7436/G7459&gt;=$C$7456),1,0))</f>
        <v>1</v>
      </c>
      <c r="H7460" s="20" t="n">
        <f aca="false">IF(H7436&lt;=0,0,IF(AND((H7457-H7458)/H7436&lt;=$C$7455,H7436/H7459&gt;=$C$7456),1,0))</f>
        <v>1</v>
      </c>
      <c r="I7460" s="20" t="n">
        <f aca="false">IF(I7436&lt;=0,0,IF(AND((I7457-I7458)/I7436&lt;=$C$7455,I7436/I7459&gt;=$C$7456),1,0))</f>
        <v>1</v>
      </c>
      <c r="J7460" s="20" t="n">
        <f aca="false">IF(J7436&lt;=0,0,IF(AND((J7457-J7458)/J7436&lt;=$C$7455,J7436/J7459&gt;=$C$7456),1,0))</f>
        <v>1</v>
      </c>
      <c r="K7460" s="20" t="n">
        <f aca="false">IF(K7436&lt;=0,0,IF(AND((K7457-K7458)/K7436&lt;=$C$7455,K7436/K7459&gt;=$C$7456),1,0))</f>
        <v>1</v>
      </c>
    </row>
    <row r="7461" customFormat="false" ht="15" hidden="false" customHeight="false" outlineLevel="0" collapsed="false">
      <c r="A7461" s="23" t="s">
        <v>263</v>
      </c>
      <c r="B7461" s="24"/>
      <c r="C7461" s="24"/>
      <c r="D7461" s="24"/>
      <c r="E7461" s="24"/>
      <c r="F7461" s="24"/>
      <c r="G7461" s="24"/>
      <c r="H7461" s="24"/>
      <c r="I7461" s="24"/>
      <c r="J7461" s="24"/>
      <c r="K7461" s="24"/>
    </row>
    <row r="7462" customFormat="false" ht="15" hidden="false" customHeight="false" outlineLevel="0" collapsed="false">
      <c r="A7462" s="5" t="s">
        <v>264</v>
      </c>
      <c r="G7462" s="25" t="n">
        <f aca="false">F7473</f>
        <v>180</v>
      </c>
      <c r="H7462" s="25" t="n">
        <f aca="false">G7473</f>
        <v>158.44</v>
      </c>
      <c r="I7462" s="25" t="n">
        <f aca="false">H7473</f>
        <v>158.44</v>
      </c>
      <c r="J7462" s="25" t="n">
        <f aca="false">I7473</f>
        <v>182.2901006</v>
      </c>
      <c r="K7462" s="25" t="n">
        <f aca="false">J7473</f>
        <v>193.6786210995</v>
      </c>
    </row>
    <row r="7463" customFormat="false" ht="15" hidden="false" customHeight="false" outlineLevel="0" collapsed="false">
      <c r="A7463" s="5" t="s">
        <v>265</v>
      </c>
      <c r="G7463" s="20" t="n">
        <f aca="false">IF(G7426=Assumptions!$K$53,1,0)</f>
        <v>0</v>
      </c>
      <c r="H7463" s="20" t="n">
        <f aca="false">IF(H7426=Assumptions!$K$53,1,0)</f>
        <v>1</v>
      </c>
      <c r="I7463" s="20" t="n">
        <f aca="false">IF(I7426=Assumptions!$K$53,1,0)</f>
        <v>0</v>
      </c>
      <c r="J7463" s="20" t="n">
        <f aca="false">IF(J7426=Assumptions!$K$53,1,0)</f>
        <v>0</v>
      </c>
      <c r="K7463" s="20" t="n">
        <f aca="false">IF(K7426=Assumptions!$K$53,1,0)</f>
        <v>0</v>
      </c>
    </row>
    <row r="7465" customFormat="false" ht="15" hidden="false" customHeight="false" outlineLevel="0" collapsed="false">
      <c r="A7465" s="5" t="s">
        <v>266</v>
      </c>
      <c r="G7465" s="30" t="n">
        <f aca="false">IF(Assumptions!$I$53=1,MAX(G7452,Assumptions!$G$53)+Assumptions!$F$53+$C$7453,Assumptions!$E$53)</f>
        <v>0.086</v>
      </c>
      <c r="H7465" s="30" t="n">
        <f aca="false">IF(G7614=1,$C$7454,IF(Assumptions!$I$53=1,MAX(H7452,Assumptions!$G$53)+Assumptions!$F$53+$C$7453,Assumptions!$E$53))</f>
        <v>0.0835</v>
      </c>
      <c r="I7465" s="30" t="n">
        <f aca="false">IF(H7614=1,$C$7454,IF(Assumptions!$I$53=1,MAX(I7452,Assumptions!$G$53)+Assumptions!$F$53+$C$7453,Assumptions!$E$53))</f>
        <v>0.11</v>
      </c>
      <c r="J7465" s="30" t="n">
        <f aca="false">IF(I7614=1,$C$7454,IF(Assumptions!$I$53=1,MAX(J7452,Assumptions!$G$53)+Assumptions!$F$53+$C$7453,Assumptions!$E$53))</f>
        <v>0.11</v>
      </c>
      <c r="K7465" s="30" t="n">
        <f aca="false">IF(J7614=1,$C$7454,IF(Assumptions!$I$53=1,MAX(K7452,Assumptions!$G$53)+Assumptions!$F$53+$C$7453,Assumptions!$E$53))</f>
        <v>0.11</v>
      </c>
    </row>
    <row r="7466" customFormat="false" ht="15" hidden="false" customHeight="false" outlineLevel="0" collapsed="false">
      <c r="A7466" s="5" t="s">
        <v>267</v>
      </c>
      <c r="G7466" s="25" t="n">
        <f aca="false">G7462*G7465</f>
        <v>15.48</v>
      </c>
      <c r="H7466" s="25" t="n">
        <f aca="false">H7462*H7465</f>
        <v>13.22974</v>
      </c>
      <c r="I7466" s="25" t="n">
        <f aca="false">I7462*I7465</f>
        <v>17.4284</v>
      </c>
      <c r="J7466" s="25" t="n">
        <f aca="false">J7462*J7465</f>
        <v>20.051911066</v>
      </c>
      <c r="K7466" s="25" t="n">
        <f aca="false">K7462*K7465</f>
        <v>21.304648320945</v>
      </c>
    </row>
    <row r="7467" customFormat="false" ht="15" hidden="false" customHeight="false" outlineLevel="0" collapsed="false">
      <c r="A7467" s="5" t="s">
        <v>268</v>
      </c>
      <c r="G7467" s="25" t="n">
        <f aca="false">G7462*Assumptions!$H$53</f>
        <v>0</v>
      </c>
      <c r="H7467" s="25" t="n">
        <f aca="false">H7462*Assumptions!$H$53</f>
        <v>0</v>
      </c>
      <c r="I7467" s="25" t="n">
        <f aca="false">I7462*Assumptions!$H$53</f>
        <v>0</v>
      </c>
      <c r="J7467" s="25" t="n">
        <f aca="false">J7462*Assumptions!$H$53</f>
        <v>0</v>
      </c>
      <c r="K7467" s="25" t="n">
        <f aca="false">K7462*Assumptions!$H$53</f>
        <v>0</v>
      </c>
    </row>
    <row r="7468" customFormat="false" ht="15" hidden="false" customHeight="false" outlineLevel="0" collapsed="false">
      <c r="A7468" s="5" t="s">
        <v>269</v>
      </c>
      <c r="G7468" s="25" t="n">
        <f aca="false">MIN(G7462,Assumptions!$L$53*Assumptions!$C$53)</f>
        <v>0</v>
      </c>
      <c r="H7468" s="25" t="n">
        <f aca="false">MIN(H7462,Assumptions!$L$53*Assumptions!$C$53)</f>
        <v>0</v>
      </c>
      <c r="I7468" s="25" t="n">
        <f aca="false">MIN(I7462,Assumptions!$L$53*Assumptions!$C$53)</f>
        <v>0</v>
      </c>
      <c r="J7468" s="25" t="n">
        <f aca="false">MIN(J7462,Assumptions!$L$53*Assumptions!$C$53)</f>
        <v>0</v>
      </c>
      <c r="K7468" s="25" t="n">
        <f aca="false">MIN(K7462,Assumptions!$L$53*Assumptions!$C$53)</f>
        <v>0</v>
      </c>
    </row>
    <row r="7469" customFormat="false" ht="15" hidden="false" customHeight="false" outlineLevel="0" collapsed="false">
      <c r="A7469" s="5" t="s">
        <v>270</v>
      </c>
      <c r="G7469" s="25" t="n">
        <f aca="false">IF(AND(Assumptions!$P$53=1,G7426&lt;Assumptions!$K$53),MIN(MAX(0,-G7540),MAX(0,Assumptions!$D$53-G7462)),0)</f>
        <v>0</v>
      </c>
      <c r="H7469" s="25" t="n">
        <f aca="false">IF(AND(Assumptions!$P$53=1,OR(H7426&lt;Assumptions!$K$53,G7614=1)),MIN(MAX(0,-H7540),MAX(0,Assumptions!$D$53-H7462)),0)</f>
        <v>0</v>
      </c>
      <c r="I7469" s="25" t="n">
        <f aca="false">IF(AND(Assumptions!$P$53=1,OR(I7426&lt;Assumptions!$K$53,H7614=1)),MIN(MAX(0,-I7540),MAX(0,Assumptions!$D$53-I7462)),0)</f>
        <v>23.8501005999999</v>
      </c>
      <c r="J7469" s="25" t="n">
        <f aca="false">IF(AND(Assumptions!$P$53=1,OR(J7426&lt;Assumptions!$K$53,I7614=1)),MIN(MAX(0,-J7540),MAX(0,Assumptions!$D$53-J7462)),0)</f>
        <v>11.3885204995</v>
      </c>
      <c r="K7469" s="25" t="n">
        <f aca="false">IF(AND(Assumptions!$P$53=1,OR(K7426&lt;Assumptions!$K$53,J7614=1)),MIN(MAX(0,-K7540),MAX(0,Assumptions!$D$53-K7462)),0)</f>
        <v>3.68558648006868</v>
      </c>
    </row>
    <row r="7470" customFormat="false" ht="15" hidden="false" customHeight="false" outlineLevel="0" collapsed="false">
      <c r="A7470" s="5" t="s">
        <v>271</v>
      </c>
      <c r="G7470" s="25" t="n">
        <f aca="false">G7463*MIN(G7462-G7468+G7467,MAX(0,G7542-Assumptions!$C$12*G7460))</f>
        <v>0</v>
      </c>
      <c r="H7470" s="25" t="n">
        <f aca="false">H7463*MIN(H7462-H7468+H7467,MAX(0,H7542-Assumptions!$C$12*H7460))</f>
        <v>0</v>
      </c>
      <c r="I7470" s="25" t="n">
        <f aca="false">I7463*MIN(I7462-I7468+I7467,MAX(0,I7542-Assumptions!$C$12*I7460))</f>
        <v>0</v>
      </c>
      <c r="J7470" s="25" t="n">
        <f aca="false">J7463*MIN(J7462-J7468+J7467,MAX(0,J7542-Assumptions!$C$12*J7460))</f>
        <v>0</v>
      </c>
      <c r="K7470" s="25" t="n">
        <f aca="false">K7463*MIN(K7462-K7468+K7467,MAX(0,K7542-Assumptions!$C$12*K7460))</f>
        <v>0</v>
      </c>
    </row>
    <row r="7471" customFormat="false" ht="15" hidden="false" customHeight="false" outlineLevel="0" collapsed="false">
      <c r="A7471" s="5" t="s">
        <v>272</v>
      </c>
      <c r="G7471" s="25" t="n">
        <f aca="false">Assumptions!$N$53*MIN(G7462+G7469+G7467-G7468-G7470,MAX(0,G7546))</f>
        <v>21.56</v>
      </c>
      <c r="H7471" s="25" t="n">
        <f aca="false">Assumptions!$N$53*MIN(H7462+H7469+H7467-H7468-H7470,MAX(0,H7546))</f>
        <v>0</v>
      </c>
      <c r="I7471" s="25" t="n">
        <f aca="false">Assumptions!$N$53*MIN(I7462+I7469+I7467-I7468-I7470,MAX(0,I7546))</f>
        <v>0</v>
      </c>
      <c r="J7471" s="25" t="n">
        <f aca="false">Assumptions!$N$53*MIN(J7462+J7469+J7467-J7468-J7470,MAX(0,J7546))</f>
        <v>0</v>
      </c>
      <c r="K7471" s="25" t="n">
        <f aca="false">Assumptions!$N$53*MIN(K7462+K7469+K7467-K7468-K7470,MAX(0,K7546))</f>
        <v>0</v>
      </c>
    </row>
    <row r="7472" customFormat="false" ht="15" hidden="false" customHeight="false" outlineLevel="0" collapsed="false">
      <c r="A7472" s="5" t="s">
        <v>273</v>
      </c>
      <c r="G7472" s="25" t="n">
        <f aca="false">G7463*(1-G7460)*(G7462-G7468+G7467-G7470)</f>
        <v>0</v>
      </c>
      <c r="H7472" s="25" t="n">
        <f aca="false">H7463*(1-H7460)*(H7462-H7468+H7467-H7470)</f>
        <v>0</v>
      </c>
      <c r="I7472" s="25" t="n">
        <f aca="false">I7463*(1-I7460)*(I7462-I7468+I7467-I7470)</f>
        <v>0</v>
      </c>
      <c r="J7472" s="25" t="n">
        <f aca="false">J7463*(1-J7460)*(J7462-J7468+J7467-J7470)</f>
        <v>0</v>
      </c>
      <c r="K7472" s="25" t="n">
        <f aca="false">K7463*(1-K7460)*(K7462-K7468+K7467-K7470)</f>
        <v>0</v>
      </c>
    </row>
    <row r="7473" customFormat="false" ht="15" hidden="false" customHeight="false" outlineLevel="0" collapsed="false">
      <c r="A7473" s="2" t="s">
        <v>274</v>
      </c>
      <c r="F7473" s="27" t="n">
        <f aca="false">Assumptions!$C$53</f>
        <v>180</v>
      </c>
      <c r="G7473" s="16" t="n">
        <f aca="false">G7462+G7469+G7467-G7468-G7470-G7471</f>
        <v>158.44</v>
      </c>
      <c r="H7473" s="16" t="n">
        <f aca="false">H7462+H7469+H7467-H7468-H7470-H7471</f>
        <v>158.44</v>
      </c>
      <c r="I7473" s="16" t="n">
        <f aca="false">I7462+I7469+I7467-I7468-I7470-I7471</f>
        <v>182.2901006</v>
      </c>
      <c r="J7473" s="16" t="n">
        <f aca="false">J7462+J7469+J7467-J7468-J7470-J7471</f>
        <v>193.6786210995</v>
      </c>
      <c r="K7473" s="16" t="n">
        <f aca="false">K7462+K7469+K7467-K7468-K7470-K7471</f>
        <v>197.364207579569</v>
      </c>
    </row>
    <row r="7474" customFormat="false" ht="15" hidden="false" customHeight="false" outlineLevel="0" collapsed="false">
      <c r="A7474" s="23" t="s">
        <v>275</v>
      </c>
      <c r="B7474" s="24"/>
      <c r="C7474" s="24"/>
      <c r="D7474" s="24"/>
      <c r="E7474" s="24"/>
      <c r="F7474" s="24"/>
      <c r="G7474" s="24"/>
      <c r="H7474" s="24"/>
      <c r="I7474" s="24"/>
      <c r="J7474" s="24"/>
      <c r="K7474" s="24"/>
    </row>
    <row r="7475" customFormat="false" ht="15" hidden="false" customHeight="false" outlineLevel="0" collapsed="false">
      <c r="A7475" s="5" t="s">
        <v>264</v>
      </c>
      <c r="G7475" s="25" t="n">
        <f aca="false">F7486</f>
        <v>520</v>
      </c>
      <c r="H7475" s="25" t="n">
        <f aca="false">G7486</f>
        <v>514.8</v>
      </c>
      <c r="I7475" s="25" t="n">
        <f aca="false">H7486</f>
        <v>509.6</v>
      </c>
      <c r="J7475" s="25" t="n">
        <f aca="false">I7486</f>
        <v>504.4</v>
      </c>
      <c r="K7475" s="25" t="n">
        <f aca="false">J7486</f>
        <v>499.2</v>
      </c>
    </row>
    <row r="7476" customFormat="false" ht="15" hidden="false" customHeight="false" outlineLevel="0" collapsed="false">
      <c r="A7476" s="5" t="s">
        <v>265</v>
      </c>
      <c r="G7476" s="20" t="n">
        <f aca="false">IF(G7426=Assumptions!$K$54,1,0)</f>
        <v>0</v>
      </c>
      <c r="H7476" s="20" t="n">
        <f aca="false">IF(H7426=Assumptions!$K$54,1,0)</f>
        <v>0</v>
      </c>
      <c r="I7476" s="20" t="n">
        <f aca="false">IF(I7426=Assumptions!$K$54,1,0)</f>
        <v>1</v>
      </c>
      <c r="J7476" s="20" t="n">
        <f aca="false">IF(J7426=Assumptions!$K$54,1,0)</f>
        <v>0</v>
      </c>
      <c r="K7476" s="20" t="n">
        <f aca="false">IF(K7426=Assumptions!$K$54,1,0)</f>
        <v>0</v>
      </c>
    </row>
    <row r="7478" customFormat="false" ht="15" hidden="false" customHeight="false" outlineLevel="0" collapsed="false">
      <c r="A7478" s="5" t="s">
        <v>266</v>
      </c>
      <c r="G7478" s="30" t="n">
        <f aca="false">IF(Assumptions!$I$54=1,MAX(G7452,Assumptions!$G$54)+Assumptions!$F$54+$C$7453,Assumptions!$E$54)</f>
        <v>0.103</v>
      </c>
      <c r="H7478" s="30" t="n">
        <f aca="false">IF(G7615=1,$C$7454,IF(Assumptions!$I$54=1,MAX(H7452,Assumptions!$G$54)+Assumptions!$F$54+$C$7453,Assumptions!$E$54))</f>
        <v>0.1005</v>
      </c>
      <c r="I7478" s="30" t="n">
        <f aca="false">IF(H7615=1,$C$7454,IF(Assumptions!$I$54=1,MAX(I7452,Assumptions!$G$54)+Assumptions!$F$54+$C$7453,Assumptions!$E$54))</f>
        <v>0.098</v>
      </c>
      <c r="J7478" s="30" t="n">
        <f aca="false">IF(I7615=1,$C$7454,IF(Assumptions!$I$54=1,MAX(J7452,Assumptions!$G$54)+Assumptions!$F$54+$C$7453,Assumptions!$E$54))</f>
        <v>0.11</v>
      </c>
      <c r="K7478" s="30" t="n">
        <f aca="false">IF(J7615=1,$C$7454,IF(Assumptions!$I$54=1,MAX(K7452,Assumptions!$G$54)+Assumptions!$F$54+$C$7453,Assumptions!$E$54))</f>
        <v>0.11</v>
      </c>
    </row>
    <row r="7479" customFormat="false" ht="15" hidden="false" customHeight="false" outlineLevel="0" collapsed="false">
      <c r="A7479" s="5" t="s">
        <v>267</v>
      </c>
      <c r="G7479" s="25" t="n">
        <f aca="false">G7475*G7478</f>
        <v>53.56</v>
      </c>
      <c r="H7479" s="25" t="n">
        <f aca="false">H7475*H7478</f>
        <v>51.7374</v>
      </c>
      <c r="I7479" s="25" t="n">
        <f aca="false">I7475*I7478</f>
        <v>49.9408</v>
      </c>
      <c r="J7479" s="25" t="n">
        <f aca="false">J7475*J7478</f>
        <v>55.484</v>
      </c>
      <c r="K7479" s="25" t="n">
        <f aca="false">K7475*K7478</f>
        <v>54.912</v>
      </c>
    </row>
    <row r="7480" customFormat="false" ht="15" hidden="false" customHeight="false" outlineLevel="0" collapsed="false">
      <c r="A7480" s="5" t="s">
        <v>268</v>
      </c>
      <c r="G7480" s="25" t="n">
        <f aca="false">G7475*Assumptions!$H$54</f>
        <v>0</v>
      </c>
      <c r="H7480" s="25" t="n">
        <f aca="false">H7475*Assumptions!$H$54</f>
        <v>0</v>
      </c>
      <c r="I7480" s="25" t="n">
        <f aca="false">I7475*Assumptions!$H$54</f>
        <v>0</v>
      </c>
      <c r="J7480" s="25" t="n">
        <f aca="false">J7475*Assumptions!$H$54</f>
        <v>0</v>
      </c>
      <c r="K7480" s="25" t="n">
        <f aca="false">K7475*Assumptions!$H$54</f>
        <v>0</v>
      </c>
    </row>
    <row r="7481" customFormat="false" ht="15" hidden="false" customHeight="false" outlineLevel="0" collapsed="false">
      <c r="A7481" s="5" t="s">
        <v>269</v>
      </c>
      <c r="G7481" s="25" t="n">
        <f aca="false">MIN(G7475,Assumptions!$L$54*Assumptions!$C$54)</f>
        <v>5.2</v>
      </c>
      <c r="H7481" s="25" t="n">
        <f aca="false">MIN(H7475,Assumptions!$L$54*Assumptions!$C$54)</f>
        <v>5.2</v>
      </c>
      <c r="I7481" s="25" t="n">
        <f aca="false">MIN(I7475,Assumptions!$L$54*Assumptions!$C$54)</f>
        <v>5.2</v>
      </c>
      <c r="J7481" s="25" t="n">
        <f aca="false">MIN(J7475,Assumptions!$L$54*Assumptions!$C$54)</f>
        <v>5.2</v>
      </c>
      <c r="K7481" s="25" t="n">
        <f aca="false">MIN(K7475,Assumptions!$L$54*Assumptions!$C$54)</f>
        <v>5.2</v>
      </c>
    </row>
    <row r="7482" customFormat="false" ht="15" hidden="false" customHeight="false" outlineLevel="0" collapsed="false">
      <c r="A7482" s="5" t="s">
        <v>270</v>
      </c>
      <c r="G7482" s="25" t="n">
        <f aca="false">IF(AND(Assumptions!$P$54=1,G7426&lt;Assumptions!$K$54),MIN(MAX(0,-G7540),MAX(0,Assumptions!$D$54-G7475)),0)</f>
        <v>0</v>
      </c>
      <c r="H7482" s="25" t="n">
        <f aca="false">IF(AND(Assumptions!$P$54=1,OR(H7426&lt;Assumptions!$K$54,G7615=1)),MIN(MAX(0,-H7540),MAX(0,Assumptions!$D$54-H7475)),0)</f>
        <v>0</v>
      </c>
      <c r="I7482" s="25" t="n">
        <f aca="false">IF(AND(Assumptions!$P$54=1,OR(I7426&lt;Assumptions!$K$54,H7615=1)),MIN(MAX(0,-I7540),MAX(0,Assumptions!$D$54-I7475)),0)</f>
        <v>0</v>
      </c>
      <c r="J7482" s="25" t="n">
        <f aca="false">IF(AND(Assumptions!$P$54=1,OR(J7426&lt;Assumptions!$K$54,I7615=1)),MIN(MAX(0,-J7540),MAX(0,Assumptions!$D$54-J7475)),0)</f>
        <v>0</v>
      </c>
      <c r="K7482" s="25" t="n">
        <f aca="false">IF(AND(Assumptions!$P$54=1,OR(K7426&lt;Assumptions!$K$54,J7615=1)),MIN(MAX(0,-K7540),MAX(0,Assumptions!$D$54-K7475)),0)</f>
        <v>0</v>
      </c>
    </row>
    <row r="7483" customFormat="false" ht="15" hidden="false" customHeight="false" outlineLevel="0" collapsed="false">
      <c r="A7483" s="5" t="s">
        <v>271</v>
      </c>
      <c r="G7483" s="25" t="n">
        <f aca="false">G7476*MIN(G7475-G7481+G7480,MAX(0,G7542-Assumptions!$C$12*G7460-G7470))</f>
        <v>0</v>
      </c>
      <c r="H7483" s="25" t="n">
        <f aca="false">H7476*MIN(H7475-H7481+H7480,MAX(0,H7542-Assumptions!$C$12*H7460-H7470))</f>
        <v>0</v>
      </c>
      <c r="I7483" s="25" t="n">
        <f aca="false">I7476*MIN(I7475-I7481+I7480,MAX(0,I7542-Assumptions!$C$12*I7460-I7470))</f>
        <v>0</v>
      </c>
      <c r="J7483" s="25" t="n">
        <f aca="false">J7476*MIN(J7475-J7481+J7480,MAX(0,J7542-Assumptions!$C$12*J7460-J7470))</f>
        <v>0</v>
      </c>
      <c r="K7483" s="25" t="n">
        <f aca="false">K7476*MIN(K7475-K7481+K7480,MAX(0,K7542-Assumptions!$C$12*K7460-K7470))</f>
        <v>0</v>
      </c>
    </row>
    <row r="7484" customFormat="false" ht="15" hidden="false" customHeight="false" outlineLevel="0" collapsed="false">
      <c r="A7484" s="5" t="s">
        <v>272</v>
      </c>
      <c r="G7484" s="25" t="n">
        <f aca="false">Assumptions!$N$54*MIN(G7475+G7482+G7480-G7481-G7483,MAX(0,G7546-G7471))</f>
        <v>0</v>
      </c>
      <c r="H7484" s="25" t="n">
        <f aca="false">Assumptions!$N$54*MIN(H7475+H7482+H7480-H7481-H7483,MAX(0,H7546-H7471))</f>
        <v>0</v>
      </c>
      <c r="I7484" s="25" t="n">
        <f aca="false">Assumptions!$N$54*MIN(I7475+I7482+I7480-I7481-I7483,MAX(0,I7546-I7471))</f>
        <v>0</v>
      </c>
      <c r="J7484" s="25" t="n">
        <f aca="false">Assumptions!$N$54*MIN(J7475+J7482+J7480-J7481-J7483,MAX(0,J7546-J7471))</f>
        <v>0</v>
      </c>
      <c r="K7484" s="25" t="n">
        <f aca="false">Assumptions!$N$54*MIN(K7475+K7482+K7480-K7481-K7483,MAX(0,K7546-K7471))</f>
        <v>0</v>
      </c>
    </row>
    <row r="7485" customFormat="false" ht="15" hidden="false" customHeight="false" outlineLevel="0" collapsed="false">
      <c r="A7485" s="5" t="s">
        <v>273</v>
      </c>
      <c r="G7485" s="25" t="n">
        <f aca="false">G7476*(1-G7460)*(G7475-G7481+G7480-G7483)</f>
        <v>0</v>
      </c>
      <c r="H7485" s="25" t="n">
        <f aca="false">H7476*(1-H7460)*(H7475-H7481+H7480-H7483)</f>
        <v>0</v>
      </c>
      <c r="I7485" s="25" t="n">
        <f aca="false">I7476*(1-I7460)*(I7475-I7481+I7480-I7483)</f>
        <v>0</v>
      </c>
      <c r="J7485" s="25" t="n">
        <f aca="false">J7476*(1-J7460)*(J7475-J7481+J7480-J7483)</f>
        <v>0</v>
      </c>
      <c r="K7485" s="25" t="n">
        <f aca="false">K7476*(1-K7460)*(K7475-K7481+K7480-K7483)</f>
        <v>0</v>
      </c>
    </row>
    <row r="7486" customFormat="false" ht="15" hidden="false" customHeight="false" outlineLevel="0" collapsed="false">
      <c r="A7486" s="2" t="s">
        <v>274</v>
      </c>
      <c r="F7486" s="27" t="n">
        <f aca="false">Assumptions!$C$54</f>
        <v>520</v>
      </c>
      <c r="G7486" s="16" t="n">
        <f aca="false">G7475+G7482+G7480-G7481-G7483-G7484</f>
        <v>514.8</v>
      </c>
      <c r="H7486" s="16" t="n">
        <f aca="false">H7475+H7482+H7480-H7481-H7483-H7484</f>
        <v>509.6</v>
      </c>
      <c r="I7486" s="16" t="n">
        <f aca="false">I7475+I7482+I7480-I7481-I7483-I7484</f>
        <v>504.4</v>
      </c>
      <c r="J7486" s="16" t="n">
        <f aca="false">J7475+J7482+J7480-J7481-J7483-J7484</f>
        <v>499.2</v>
      </c>
      <c r="K7486" s="16" t="n">
        <f aca="false">K7475+K7482+K7480-K7481-K7483-K7484</f>
        <v>494</v>
      </c>
    </row>
    <row r="7487" customFormat="false" ht="15" hidden="false" customHeight="false" outlineLevel="0" collapsed="false">
      <c r="A7487" s="23" t="s">
        <v>276</v>
      </c>
      <c r="B7487" s="24"/>
      <c r="C7487" s="24"/>
      <c r="D7487" s="24"/>
      <c r="E7487" s="24"/>
      <c r="F7487" s="24"/>
      <c r="G7487" s="24"/>
      <c r="H7487" s="24"/>
      <c r="I7487" s="24"/>
      <c r="J7487" s="24"/>
      <c r="K7487" s="24"/>
    </row>
    <row r="7488" customFormat="false" ht="15" hidden="false" customHeight="false" outlineLevel="0" collapsed="false">
      <c r="A7488" s="5" t="s">
        <v>264</v>
      </c>
      <c r="G7488" s="25" t="n">
        <f aca="false">F7499</f>
        <v>250</v>
      </c>
      <c r="H7488" s="25" t="n">
        <f aca="false">G7499</f>
        <v>250</v>
      </c>
      <c r="I7488" s="25" t="n">
        <f aca="false">H7499</f>
        <v>250</v>
      </c>
      <c r="J7488" s="25" t="n">
        <f aca="false">I7499</f>
        <v>250</v>
      </c>
      <c r="K7488" s="25" t="n">
        <f aca="false">J7499</f>
        <v>250</v>
      </c>
    </row>
    <row r="7489" customFormat="false" ht="15" hidden="false" customHeight="false" outlineLevel="0" collapsed="false">
      <c r="A7489" s="5" t="s">
        <v>265</v>
      </c>
      <c r="G7489" s="20" t="n">
        <f aca="false">IF(G7426=Assumptions!$K$55,1,0)</f>
        <v>0</v>
      </c>
      <c r="H7489" s="20" t="n">
        <f aca="false">IF(H7426=Assumptions!$K$55,1,0)</f>
        <v>0</v>
      </c>
      <c r="I7489" s="20" t="n">
        <f aca="false">IF(I7426=Assumptions!$K$55,1,0)</f>
        <v>0</v>
      </c>
      <c r="J7489" s="20" t="n">
        <f aca="false">IF(J7426=Assumptions!$K$55,1,0)</f>
        <v>1</v>
      </c>
      <c r="K7489" s="20" t="n">
        <f aca="false">IF(K7426=Assumptions!$K$55,1,0)</f>
        <v>0</v>
      </c>
    </row>
    <row r="7491" customFormat="false" ht="15" hidden="false" customHeight="false" outlineLevel="0" collapsed="false">
      <c r="A7491" s="5" t="s">
        <v>266</v>
      </c>
      <c r="G7491" s="30" t="n">
        <f aca="false">IF(Assumptions!$I$55=1,MAX(G7452,Assumptions!$G$55)+Assumptions!$F$55+$C$7453,Assumptions!$E$55)</f>
        <v>0.11</v>
      </c>
      <c r="H7491" s="30" t="n">
        <f aca="false">IF(G7616=1,$C$7454,IF(Assumptions!$I$55=1,MAX(H7452,Assumptions!$G$55)+Assumptions!$F$55+$C$7453,Assumptions!$E$55))</f>
        <v>0.11</v>
      </c>
      <c r="I7491" s="30" t="n">
        <f aca="false">IF(H7616=1,$C$7454,IF(Assumptions!$I$55=1,MAX(I7452,Assumptions!$G$55)+Assumptions!$F$55+$C$7453,Assumptions!$E$55))</f>
        <v>0.11</v>
      </c>
      <c r="J7491" s="30" t="n">
        <f aca="false">IF(I7616=1,$C$7454,IF(Assumptions!$I$55=1,MAX(J7452,Assumptions!$G$55)+Assumptions!$F$55+$C$7453,Assumptions!$E$55))</f>
        <v>0.11</v>
      </c>
      <c r="K7491" s="30" t="n">
        <f aca="false">IF(J7616=1,$C$7454,IF(Assumptions!$I$55=1,MAX(K7452,Assumptions!$G$55)+Assumptions!$F$55+$C$7453,Assumptions!$E$55))</f>
        <v>0.11</v>
      </c>
    </row>
    <row r="7492" customFormat="false" ht="15" hidden="false" customHeight="false" outlineLevel="0" collapsed="false">
      <c r="A7492" s="5" t="s">
        <v>267</v>
      </c>
      <c r="G7492" s="25" t="n">
        <f aca="false">G7488*G7491</f>
        <v>27.5</v>
      </c>
      <c r="H7492" s="25" t="n">
        <f aca="false">H7488*H7491</f>
        <v>27.5</v>
      </c>
      <c r="I7492" s="25" t="n">
        <f aca="false">I7488*I7491</f>
        <v>27.5</v>
      </c>
      <c r="J7492" s="25" t="n">
        <f aca="false">J7488*J7491</f>
        <v>27.5</v>
      </c>
      <c r="K7492" s="25" t="n">
        <f aca="false">K7488*K7491</f>
        <v>27.5</v>
      </c>
    </row>
    <row r="7493" customFormat="false" ht="15" hidden="false" customHeight="false" outlineLevel="0" collapsed="false">
      <c r="A7493" s="5" t="s">
        <v>268</v>
      </c>
      <c r="G7493" s="25" t="n">
        <f aca="false">G7488*Assumptions!$H$55</f>
        <v>0</v>
      </c>
      <c r="H7493" s="25" t="n">
        <f aca="false">H7488*Assumptions!$H$55</f>
        <v>0</v>
      </c>
      <c r="I7493" s="25" t="n">
        <f aca="false">I7488*Assumptions!$H$55</f>
        <v>0</v>
      </c>
      <c r="J7493" s="25" t="n">
        <f aca="false">J7488*Assumptions!$H$55</f>
        <v>0</v>
      </c>
      <c r="K7493" s="25" t="n">
        <f aca="false">K7488*Assumptions!$H$55</f>
        <v>0</v>
      </c>
    </row>
    <row r="7494" customFormat="false" ht="15" hidden="false" customHeight="false" outlineLevel="0" collapsed="false">
      <c r="A7494" s="5" t="s">
        <v>269</v>
      </c>
      <c r="G7494" s="25" t="n">
        <f aca="false">MIN(G7488,Assumptions!$L$55*Assumptions!$C$55)</f>
        <v>0</v>
      </c>
      <c r="H7494" s="25" t="n">
        <f aca="false">MIN(H7488,Assumptions!$L$55*Assumptions!$C$55)</f>
        <v>0</v>
      </c>
      <c r="I7494" s="25" t="n">
        <f aca="false">MIN(I7488,Assumptions!$L$55*Assumptions!$C$55)</f>
        <v>0</v>
      </c>
      <c r="J7494" s="25" t="n">
        <f aca="false">MIN(J7488,Assumptions!$L$55*Assumptions!$C$55)</f>
        <v>0</v>
      </c>
      <c r="K7494" s="25" t="n">
        <f aca="false">MIN(K7488,Assumptions!$L$55*Assumptions!$C$55)</f>
        <v>0</v>
      </c>
    </row>
    <row r="7495" customFormat="false" ht="15" hidden="false" customHeight="false" outlineLevel="0" collapsed="false">
      <c r="A7495" s="5" t="s">
        <v>270</v>
      </c>
      <c r="G7495" s="25" t="n">
        <f aca="false">IF(AND(Assumptions!$P$55=1,G7426&lt;Assumptions!$K$55),MIN(MAX(0,-G7540),MAX(0,Assumptions!$D$55-G7488)),0)</f>
        <v>0</v>
      </c>
      <c r="H7495" s="25" t="n">
        <f aca="false">IF(AND(Assumptions!$P$55=1,OR(H7426&lt;Assumptions!$K$55,G7616=1)),MIN(MAX(0,-H7540),MAX(0,Assumptions!$D$55-H7488)),0)</f>
        <v>0</v>
      </c>
      <c r="I7495" s="25" t="n">
        <f aca="false">IF(AND(Assumptions!$P$55=1,OR(I7426&lt;Assumptions!$K$55,H7616=1)),MIN(MAX(0,-I7540),MAX(0,Assumptions!$D$55-I7488)),0)</f>
        <v>0</v>
      </c>
      <c r="J7495" s="25" t="n">
        <f aca="false">IF(AND(Assumptions!$P$55=1,OR(J7426&lt;Assumptions!$K$55,I7616=1)),MIN(MAX(0,-J7540),MAX(0,Assumptions!$D$55-J7488)),0)</f>
        <v>0</v>
      </c>
      <c r="K7495" s="25" t="n">
        <f aca="false">IF(AND(Assumptions!$P$55=1,OR(K7426&lt;Assumptions!$K$55,J7616=1)),MIN(MAX(0,-K7540),MAX(0,Assumptions!$D$55-K7488)),0)</f>
        <v>0</v>
      </c>
    </row>
    <row r="7496" customFormat="false" ht="15" hidden="false" customHeight="false" outlineLevel="0" collapsed="false">
      <c r="A7496" s="5" t="s">
        <v>271</v>
      </c>
      <c r="G7496" s="25" t="n">
        <f aca="false">G7489*MIN(G7488-G7494+G7493,MAX(0,G7542-Assumptions!$C$12*G7460-G7470-G7483))</f>
        <v>0</v>
      </c>
      <c r="H7496" s="25" t="n">
        <f aca="false">H7489*MIN(H7488-H7494+H7493,MAX(0,H7542-Assumptions!$C$12*H7460-H7470-H7483))</f>
        <v>0</v>
      </c>
      <c r="I7496" s="25" t="n">
        <f aca="false">I7489*MIN(I7488-I7494+I7493,MAX(0,I7542-Assumptions!$C$12*I7460-I7470-I7483))</f>
        <v>0</v>
      </c>
      <c r="J7496" s="25" t="n">
        <f aca="false">J7489*MIN(J7488-J7494+J7493,MAX(0,J7542-Assumptions!$C$12*J7460-J7470-J7483))</f>
        <v>0</v>
      </c>
      <c r="K7496" s="25" t="n">
        <f aca="false">K7489*MIN(K7488-K7494+K7493,MAX(0,K7542-Assumptions!$C$12*K7460-K7470-K7483))</f>
        <v>0</v>
      </c>
    </row>
    <row r="7497" customFormat="false" ht="15" hidden="false" customHeight="false" outlineLevel="0" collapsed="false">
      <c r="A7497" s="5" t="s">
        <v>272</v>
      </c>
      <c r="G7497" s="25" t="n">
        <f aca="false">Assumptions!$N$55*MIN(G7488+G7495+G7493-G7494-G7496,MAX(0,G7546-G7471-G7484))</f>
        <v>0</v>
      </c>
      <c r="H7497" s="25" t="n">
        <f aca="false">Assumptions!$N$55*MIN(H7488+H7495+H7493-H7494-H7496,MAX(0,H7546-H7471-H7484))</f>
        <v>0</v>
      </c>
      <c r="I7497" s="25" t="n">
        <f aca="false">Assumptions!$N$55*MIN(I7488+I7495+I7493-I7494-I7496,MAX(0,I7546-I7471-I7484))</f>
        <v>0</v>
      </c>
      <c r="J7497" s="25" t="n">
        <f aca="false">Assumptions!$N$55*MIN(J7488+J7495+J7493-J7494-J7496,MAX(0,J7546-J7471-J7484))</f>
        <v>0</v>
      </c>
      <c r="K7497" s="25" t="n">
        <f aca="false">Assumptions!$N$55*MIN(K7488+K7495+K7493-K7494-K7496,MAX(0,K7546-K7471-K7484))</f>
        <v>0</v>
      </c>
    </row>
    <row r="7498" customFormat="false" ht="15" hidden="false" customHeight="false" outlineLevel="0" collapsed="false">
      <c r="A7498" s="5" t="s">
        <v>273</v>
      </c>
      <c r="G7498" s="25" t="n">
        <f aca="false">G7489*(1-G7460)*(G7488-G7494+G7493-G7496)</f>
        <v>0</v>
      </c>
      <c r="H7498" s="25" t="n">
        <f aca="false">H7489*(1-H7460)*(H7488-H7494+H7493-H7496)</f>
        <v>0</v>
      </c>
      <c r="I7498" s="25" t="n">
        <f aca="false">I7489*(1-I7460)*(I7488-I7494+I7493-I7496)</f>
        <v>0</v>
      </c>
      <c r="J7498" s="25" t="n">
        <f aca="false">J7489*(1-J7460)*(J7488-J7494+J7493-J7496)</f>
        <v>0</v>
      </c>
      <c r="K7498" s="25" t="n">
        <f aca="false">K7489*(1-K7460)*(K7488-K7494+K7493-K7496)</f>
        <v>0</v>
      </c>
    </row>
    <row r="7499" customFormat="false" ht="15" hidden="false" customHeight="false" outlineLevel="0" collapsed="false">
      <c r="A7499" s="2" t="s">
        <v>274</v>
      </c>
      <c r="F7499" s="27" t="n">
        <f aca="false">Assumptions!$C$55</f>
        <v>250</v>
      </c>
      <c r="G7499" s="16" t="n">
        <f aca="false">G7488+G7495+G7493-G7494-G7496-G7497</f>
        <v>250</v>
      </c>
      <c r="H7499" s="16" t="n">
        <f aca="false">H7488+H7495+H7493-H7494-H7496-H7497</f>
        <v>250</v>
      </c>
      <c r="I7499" s="16" t="n">
        <f aca="false">I7488+I7495+I7493-I7494-I7496-I7497</f>
        <v>250</v>
      </c>
      <c r="J7499" s="16" t="n">
        <f aca="false">J7488+J7495+J7493-J7494-J7496-J7497</f>
        <v>250</v>
      </c>
      <c r="K7499" s="16" t="n">
        <f aca="false">K7488+K7495+K7493-K7494-K7496-K7497</f>
        <v>250</v>
      </c>
    </row>
    <row r="7500" customFormat="false" ht="15" hidden="false" customHeight="false" outlineLevel="0" collapsed="false">
      <c r="A7500" s="23" t="s">
        <v>277</v>
      </c>
      <c r="B7500" s="24"/>
      <c r="C7500" s="24"/>
      <c r="D7500" s="24"/>
      <c r="E7500" s="24"/>
      <c r="F7500" s="24"/>
      <c r="G7500" s="24"/>
      <c r="H7500" s="24"/>
      <c r="I7500" s="24"/>
      <c r="J7500" s="24"/>
      <c r="K7500" s="24"/>
    </row>
    <row r="7501" customFormat="false" ht="15" hidden="false" customHeight="false" outlineLevel="0" collapsed="false">
      <c r="A7501" s="5" t="s">
        <v>264</v>
      </c>
      <c r="G7501" s="25" t="n">
        <f aca="false">F7512</f>
        <v>300</v>
      </c>
      <c r="H7501" s="25" t="n">
        <f aca="false">G7512</f>
        <v>300</v>
      </c>
      <c r="I7501" s="25" t="n">
        <f aca="false">H7512</f>
        <v>300</v>
      </c>
      <c r="J7501" s="25" t="n">
        <f aca="false">I7512</f>
        <v>300</v>
      </c>
      <c r="K7501" s="25" t="n">
        <f aca="false">J7512</f>
        <v>300</v>
      </c>
    </row>
    <row r="7502" customFormat="false" ht="15" hidden="false" customHeight="false" outlineLevel="0" collapsed="false">
      <c r="A7502" s="5" t="s">
        <v>265</v>
      </c>
      <c r="G7502" s="20" t="n">
        <f aca="false">IF(G7426=Assumptions!$K$56,1,0)</f>
        <v>0</v>
      </c>
      <c r="H7502" s="20" t="n">
        <f aca="false">IF(H7426=Assumptions!$K$56,1,0)</f>
        <v>1</v>
      </c>
      <c r="I7502" s="20" t="n">
        <f aca="false">IF(I7426=Assumptions!$K$56,1,0)</f>
        <v>0</v>
      </c>
      <c r="J7502" s="20" t="n">
        <f aca="false">IF(J7426=Assumptions!$K$56,1,0)</f>
        <v>0</v>
      </c>
      <c r="K7502" s="20" t="n">
        <f aca="false">IF(K7426=Assumptions!$K$56,1,0)</f>
        <v>0</v>
      </c>
    </row>
    <row r="7504" customFormat="false" ht="15" hidden="false" customHeight="false" outlineLevel="0" collapsed="false">
      <c r="A7504" s="5" t="s">
        <v>266</v>
      </c>
      <c r="G7504" s="30" t="n">
        <f aca="false">IF(Assumptions!$I$56=1,MAX(G7452,Assumptions!$G$56)+Assumptions!$F$56+$C$7453,Assumptions!$E$56)</f>
        <v>0.075</v>
      </c>
      <c r="H7504" s="30" t="n">
        <f aca="false">IF(G7617=1,$C$7454,IF(Assumptions!$I$56=1,MAX(H7452,Assumptions!$G$56)+Assumptions!$F$56+$C$7453,Assumptions!$E$56))</f>
        <v>0.075</v>
      </c>
      <c r="I7504" s="30" t="n">
        <f aca="false">IF(H7617=1,$C$7454,IF(Assumptions!$I$56=1,MAX(I7452,Assumptions!$G$56)+Assumptions!$F$56+$C$7453,Assumptions!$E$56))</f>
        <v>0.11</v>
      </c>
      <c r="J7504" s="30" t="n">
        <f aca="false">IF(I7617=1,$C$7454,IF(Assumptions!$I$56=1,MAX(J7452,Assumptions!$G$56)+Assumptions!$F$56+$C$7453,Assumptions!$E$56))</f>
        <v>0.11</v>
      </c>
      <c r="K7504" s="30" t="n">
        <f aca="false">IF(J7617=1,$C$7454,IF(Assumptions!$I$56=1,MAX(K7452,Assumptions!$G$56)+Assumptions!$F$56+$C$7453,Assumptions!$E$56))</f>
        <v>0.11</v>
      </c>
    </row>
    <row r="7505" customFormat="false" ht="15" hidden="false" customHeight="false" outlineLevel="0" collapsed="false">
      <c r="A7505" s="5" t="s">
        <v>267</v>
      </c>
      <c r="G7505" s="25" t="n">
        <f aca="false">G7501*G7504</f>
        <v>22.5</v>
      </c>
      <c r="H7505" s="25" t="n">
        <f aca="false">H7501*H7504</f>
        <v>22.5</v>
      </c>
      <c r="I7505" s="25" t="n">
        <f aca="false">I7501*I7504</f>
        <v>33</v>
      </c>
      <c r="J7505" s="25" t="n">
        <f aca="false">J7501*J7504</f>
        <v>33</v>
      </c>
      <c r="K7505" s="25" t="n">
        <f aca="false">K7501*K7504</f>
        <v>33</v>
      </c>
    </row>
    <row r="7506" customFormat="false" ht="15" hidden="false" customHeight="false" outlineLevel="0" collapsed="false">
      <c r="A7506" s="5" t="s">
        <v>268</v>
      </c>
      <c r="G7506" s="25" t="n">
        <f aca="false">G7501*Assumptions!$H$56</f>
        <v>0</v>
      </c>
      <c r="H7506" s="25" t="n">
        <f aca="false">H7501*Assumptions!$H$56</f>
        <v>0</v>
      </c>
      <c r="I7506" s="25" t="n">
        <f aca="false">I7501*Assumptions!$H$56</f>
        <v>0</v>
      </c>
      <c r="J7506" s="25" t="n">
        <f aca="false">J7501*Assumptions!$H$56</f>
        <v>0</v>
      </c>
      <c r="K7506" s="25" t="n">
        <f aca="false">K7501*Assumptions!$H$56</f>
        <v>0</v>
      </c>
    </row>
    <row r="7507" customFormat="false" ht="15" hidden="false" customHeight="false" outlineLevel="0" collapsed="false">
      <c r="A7507" s="5" t="s">
        <v>269</v>
      </c>
      <c r="G7507" s="25" t="n">
        <f aca="false">MIN(G7501,Assumptions!$L$56*Assumptions!$C$56)</f>
        <v>0</v>
      </c>
      <c r="H7507" s="25" t="n">
        <f aca="false">MIN(H7501,Assumptions!$L$56*Assumptions!$C$56)</f>
        <v>0</v>
      </c>
      <c r="I7507" s="25" t="n">
        <f aca="false">MIN(I7501,Assumptions!$L$56*Assumptions!$C$56)</f>
        <v>0</v>
      </c>
      <c r="J7507" s="25" t="n">
        <f aca="false">MIN(J7501,Assumptions!$L$56*Assumptions!$C$56)</f>
        <v>0</v>
      </c>
      <c r="K7507" s="25" t="n">
        <f aca="false">MIN(K7501,Assumptions!$L$56*Assumptions!$C$56)</f>
        <v>0</v>
      </c>
    </row>
    <row r="7508" customFormat="false" ht="15" hidden="false" customHeight="false" outlineLevel="0" collapsed="false">
      <c r="A7508" s="5" t="s">
        <v>270</v>
      </c>
      <c r="G7508" s="25" t="n">
        <f aca="false">IF(AND(Assumptions!$P$56=1,G7426&lt;Assumptions!$K$56),MIN(MAX(0,-G7540),MAX(0,Assumptions!$D$56-G7501)),0)</f>
        <v>0</v>
      </c>
      <c r="H7508" s="25" t="n">
        <f aca="false">IF(AND(Assumptions!$P$56=1,OR(H7426&lt;Assumptions!$K$56,G7617=1)),MIN(MAX(0,-H7540),MAX(0,Assumptions!$D$56-H7501)),0)</f>
        <v>0</v>
      </c>
      <c r="I7508" s="25" t="n">
        <f aca="false">IF(AND(Assumptions!$P$56=1,OR(I7426&lt;Assumptions!$K$56,H7617=1)),MIN(MAX(0,-I7540),MAX(0,Assumptions!$D$56-I7501)),0)</f>
        <v>0</v>
      </c>
      <c r="J7508" s="25" t="n">
        <f aca="false">IF(AND(Assumptions!$P$56=1,OR(J7426&lt;Assumptions!$K$56,I7617=1)),MIN(MAX(0,-J7540),MAX(0,Assumptions!$D$56-J7501)),0)</f>
        <v>0</v>
      </c>
      <c r="K7508" s="25" t="n">
        <f aca="false">IF(AND(Assumptions!$P$56=1,OR(K7426&lt;Assumptions!$K$56,J7617=1)),MIN(MAX(0,-K7540),MAX(0,Assumptions!$D$56-K7501)),0)</f>
        <v>0</v>
      </c>
    </row>
    <row r="7509" customFormat="false" ht="15" hidden="false" customHeight="false" outlineLevel="0" collapsed="false">
      <c r="A7509" s="5" t="s">
        <v>271</v>
      </c>
      <c r="G7509" s="25" t="n">
        <f aca="false">G7502*MIN(G7501-G7507+G7506,MAX(0,G7542-Assumptions!$C$12*G7460-G7470-G7483-G7496))</f>
        <v>0</v>
      </c>
      <c r="H7509" s="25" t="n">
        <f aca="false">H7502*MIN(H7501-H7507+H7506,MAX(0,H7542-Assumptions!$C$12*H7460-H7470-H7483-H7496))</f>
        <v>0</v>
      </c>
      <c r="I7509" s="25" t="n">
        <f aca="false">I7502*MIN(I7501-I7507+I7506,MAX(0,I7542-Assumptions!$C$12*I7460-I7470-I7483-I7496))</f>
        <v>0</v>
      </c>
      <c r="J7509" s="25" t="n">
        <f aca="false">J7502*MIN(J7501-J7507+J7506,MAX(0,J7542-Assumptions!$C$12*J7460-J7470-J7483-J7496))</f>
        <v>0</v>
      </c>
      <c r="K7509" s="25" t="n">
        <f aca="false">K7502*MIN(K7501-K7507+K7506,MAX(0,K7542-Assumptions!$C$12*K7460-K7470-K7483-K7496))</f>
        <v>0</v>
      </c>
    </row>
    <row r="7510" customFormat="false" ht="15" hidden="false" customHeight="false" outlineLevel="0" collapsed="false">
      <c r="A7510" s="5" t="s">
        <v>272</v>
      </c>
      <c r="G7510" s="25" t="n">
        <f aca="false">Assumptions!$N$56*MIN(G7501+G7508+G7506-G7507-G7509,MAX(0,G7546-G7471-G7484-G7497))</f>
        <v>0</v>
      </c>
      <c r="H7510" s="25" t="n">
        <f aca="false">Assumptions!$N$56*MIN(H7501+H7508+H7506-H7507-H7509,MAX(0,H7546-H7471-H7484-H7497))</f>
        <v>0</v>
      </c>
      <c r="I7510" s="25" t="n">
        <f aca="false">Assumptions!$N$56*MIN(I7501+I7508+I7506-I7507-I7509,MAX(0,I7546-I7471-I7484-I7497))</f>
        <v>0</v>
      </c>
      <c r="J7510" s="25" t="n">
        <f aca="false">Assumptions!$N$56*MIN(J7501+J7508+J7506-J7507-J7509,MAX(0,J7546-J7471-J7484-J7497))</f>
        <v>0</v>
      </c>
      <c r="K7510" s="25" t="n">
        <f aca="false">Assumptions!$N$56*MIN(K7501+K7508+K7506-K7507-K7509,MAX(0,K7546-K7471-K7484-K7497))</f>
        <v>0</v>
      </c>
    </row>
    <row r="7511" customFormat="false" ht="15" hidden="false" customHeight="false" outlineLevel="0" collapsed="false">
      <c r="A7511" s="5" t="s">
        <v>273</v>
      </c>
      <c r="G7511" s="25" t="n">
        <f aca="false">G7502*(1-G7460)*(G7501-G7507+G7506-G7509)</f>
        <v>0</v>
      </c>
      <c r="H7511" s="25" t="n">
        <f aca="false">H7502*(1-H7460)*(H7501-H7507+H7506-H7509)</f>
        <v>0</v>
      </c>
      <c r="I7511" s="25" t="n">
        <f aca="false">I7502*(1-I7460)*(I7501-I7507+I7506-I7509)</f>
        <v>0</v>
      </c>
      <c r="J7511" s="25" t="n">
        <f aca="false">J7502*(1-J7460)*(J7501-J7507+J7506-J7509)</f>
        <v>0</v>
      </c>
      <c r="K7511" s="25" t="n">
        <f aca="false">K7502*(1-K7460)*(K7501-K7507+K7506-K7509)</f>
        <v>0</v>
      </c>
    </row>
    <row r="7512" customFormat="false" ht="15" hidden="false" customHeight="false" outlineLevel="0" collapsed="false">
      <c r="A7512" s="2" t="s">
        <v>274</v>
      </c>
      <c r="F7512" s="27" t="n">
        <f aca="false">Assumptions!$C$56</f>
        <v>300</v>
      </c>
      <c r="G7512" s="16" t="n">
        <f aca="false">G7501+G7508+G7506-G7507-G7509-G7510</f>
        <v>300</v>
      </c>
      <c r="H7512" s="16" t="n">
        <f aca="false">H7501+H7508+H7506-H7507-H7509-H7510</f>
        <v>300</v>
      </c>
      <c r="I7512" s="16" t="n">
        <f aca="false">I7501+I7508+I7506-I7507-I7509-I7510</f>
        <v>300</v>
      </c>
      <c r="J7512" s="16" t="n">
        <f aca="false">J7501+J7508+J7506-J7507-J7509-J7510</f>
        <v>300</v>
      </c>
      <c r="K7512" s="16" t="n">
        <f aca="false">K7501+K7508+K7506-K7507-K7509-K7510</f>
        <v>300</v>
      </c>
    </row>
    <row r="7513" customFormat="false" ht="15" hidden="false" customHeight="false" outlineLevel="0" collapsed="false">
      <c r="A7513" s="23" t="s">
        <v>278</v>
      </c>
      <c r="B7513" s="24"/>
      <c r="C7513" s="24"/>
      <c r="D7513" s="24"/>
      <c r="E7513" s="24"/>
      <c r="F7513" s="24"/>
      <c r="G7513" s="24"/>
      <c r="H7513" s="24"/>
      <c r="I7513" s="24"/>
      <c r="J7513" s="24"/>
      <c r="K7513" s="24"/>
    </row>
    <row r="7514" customFormat="false" ht="15" hidden="false" customHeight="false" outlineLevel="0" collapsed="false">
      <c r="A7514" s="2" t="s">
        <v>279</v>
      </c>
      <c r="F7514" s="16" t="n">
        <f aca="false">F7473+F7486+F7499+F7512</f>
        <v>1250</v>
      </c>
      <c r="G7514" s="16" t="n">
        <f aca="false">G7473+G7486+G7499+G7512</f>
        <v>1223.24</v>
      </c>
      <c r="H7514" s="16" t="n">
        <f aca="false">H7473+H7486+H7499+H7512</f>
        <v>1218.04</v>
      </c>
      <c r="I7514" s="16" t="n">
        <f aca="false">I7473+I7486+I7499+I7512</f>
        <v>1236.6901006</v>
      </c>
      <c r="J7514" s="16" t="n">
        <f aca="false">J7473+J7486+J7499+J7512</f>
        <v>1242.8786210995</v>
      </c>
      <c r="K7514" s="16" t="n">
        <f aca="false">K7473+K7486+K7499+K7512</f>
        <v>1241.36420757957</v>
      </c>
    </row>
    <row r="7515" customFormat="false" ht="15" hidden="false" customHeight="false" outlineLevel="0" collapsed="false">
      <c r="A7515" s="5" t="s">
        <v>280</v>
      </c>
      <c r="G7515" s="25" t="n">
        <f aca="false">G7463*Assumptions!$C$53+G7476*Assumptions!$C$54+G7489*Assumptions!$C$55+G7502*Assumptions!$C$56</f>
        <v>0</v>
      </c>
      <c r="H7515" s="25" t="n">
        <f aca="false">H7463*Assumptions!$C$53+H7476*Assumptions!$C$54+H7489*Assumptions!$C$55+H7502*Assumptions!$C$56</f>
        <v>480</v>
      </c>
      <c r="I7515" s="25" t="n">
        <f aca="false">I7463*Assumptions!$C$53+I7476*Assumptions!$C$54+I7489*Assumptions!$C$55+I7502*Assumptions!$C$56</f>
        <v>520</v>
      </c>
      <c r="J7515" s="25" t="n">
        <f aca="false">J7463*Assumptions!$C$53+J7476*Assumptions!$C$54+J7489*Assumptions!$C$55+J7502*Assumptions!$C$56</f>
        <v>250</v>
      </c>
      <c r="K7515" s="25" t="n">
        <f aca="false">K7463*Assumptions!$C$53+K7476*Assumptions!$C$54+K7489*Assumptions!$C$55+K7502*Assumptions!$C$56</f>
        <v>0</v>
      </c>
    </row>
    <row r="7516" customFormat="false" ht="15" hidden="false" customHeight="false" outlineLevel="0" collapsed="false">
      <c r="A7516" s="23" t="s">
        <v>281</v>
      </c>
      <c r="B7516" s="24"/>
      <c r="C7516" s="24"/>
      <c r="D7516" s="24"/>
      <c r="E7516" s="24"/>
      <c r="F7516" s="24"/>
      <c r="G7516" s="24"/>
      <c r="H7516" s="24"/>
      <c r="I7516" s="24"/>
      <c r="J7516" s="24"/>
      <c r="K7516" s="24"/>
    </row>
    <row r="7517" customFormat="false" ht="15" hidden="false" customHeight="false" outlineLevel="0" collapsed="false">
      <c r="A7517" s="5" t="s">
        <v>282</v>
      </c>
      <c r="C7517" s="25" t="n">
        <f aca="false">SUMPRODUCT($G$7463:$K$7463,$G$7462:$K$7462-$G$7468:$K$7468+$G$7467:$K$7467)</f>
        <v>158.44</v>
      </c>
    </row>
    <row r="7518" customFormat="false" ht="15" hidden="false" customHeight="false" outlineLevel="0" collapsed="false">
      <c r="A7518" s="5" t="s">
        <v>283</v>
      </c>
      <c r="C7518" s="25" t="n">
        <f aca="false">SUMPRODUCT($G$7463:$K$7463,$G$7470:$K$7470)</f>
        <v>0</v>
      </c>
    </row>
    <row r="7519" customFormat="false" ht="15" hidden="false" customHeight="false" outlineLevel="0" collapsed="false">
      <c r="A7519" s="5" t="s">
        <v>284</v>
      </c>
      <c r="C7519" s="5" t="str">
        <f aca="false">IF(SUM($G$7463:$K$7463)=0,"n/a (beyond horizon)",IF(SUMPRODUCT($G$7463:$K$7463,$G$7460:$K$7460)&gt;0,"REFINANCING PASS","REFINANCING FAILURE"))</f>
        <v>REFINANCING PASS</v>
      </c>
    </row>
    <row r="7520" customFormat="false" ht="15" hidden="false" customHeight="false" outlineLevel="0" collapsed="false">
      <c r="A7520" s="5" t="s">
        <v>285</v>
      </c>
      <c r="C7520" s="5" t="str">
        <f aca="false">IF(SUM($G$7463:$K$7463)=0,"n/a",IF(C7518&gt;=C7517-0.001,"Repaid from cash",IF(SUMPRODUCT($G$7463:$K$7463,$G$7460:$K$7460)&gt;0,IF(C7518&gt;0,"Partly repaid; remainder refinanced","Refinanced"),IF(SUM($G$7472:$K$7472)&gt;0.001,IF(C7518&gt;0,"Partial repayment; PAYMENT DEFAULT","PAYMENT DEFAULT"),"Repaid from cash"))))</f>
        <v>Refinanced</v>
      </c>
    </row>
    <row r="7521" customFormat="false" ht="15" hidden="false" customHeight="false" outlineLevel="0" collapsed="false">
      <c r="A7521" s="5" t="s">
        <v>286</v>
      </c>
      <c r="C7521" s="25" t="n">
        <f aca="false">SUMPRODUCT($G$7476:$K$7476,$G$7475:$K$7475-$G$7481:$K$7481+$G$7480:$K$7480)</f>
        <v>504.4</v>
      </c>
    </row>
    <row r="7522" customFormat="false" ht="15" hidden="false" customHeight="false" outlineLevel="0" collapsed="false">
      <c r="A7522" s="5" t="s">
        <v>287</v>
      </c>
      <c r="C7522" s="25" t="n">
        <f aca="false">SUMPRODUCT($G$7476:$K$7476,$G$7483:$K$7483)</f>
        <v>0</v>
      </c>
    </row>
    <row r="7523" customFormat="false" ht="15" hidden="false" customHeight="false" outlineLevel="0" collapsed="false">
      <c r="A7523" s="5" t="s">
        <v>288</v>
      </c>
      <c r="C7523" s="5" t="str">
        <f aca="false">IF(SUM($G$7476:$K$7476)=0,"n/a (beyond horizon)",IF(SUMPRODUCT($G$7476:$K$7476,$G$7460:$K$7460)&gt;0,"REFINANCING PASS","REFINANCING FAILURE"))</f>
        <v>REFINANCING PASS</v>
      </c>
    </row>
    <row r="7524" customFormat="false" ht="15" hidden="false" customHeight="false" outlineLevel="0" collapsed="false">
      <c r="A7524" s="5" t="s">
        <v>289</v>
      </c>
      <c r="C7524" s="5" t="str">
        <f aca="false">IF(SUM($G$7476:$K$7476)=0,"n/a",IF(C7522&gt;=C7521-0.001,"Repaid from cash",IF(SUMPRODUCT($G$7476:$K$7476,$G$7460:$K$7460)&gt;0,IF(C7522&gt;0,"Partly repaid; remainder refinanced","Refinanced"),IF(SUM($G$7485:$K$7485)&gt;0.001,IF(C7522&gt;0,"Partial repayment; PAYMENT DEFAULT","PAYMENT DEFAULT"),"Repaid from cash"))))</f>
        <v>Refinanced</v>
      </c>
    </row>
    <row r="7525" customFormat="false" ht="15" hidden="false" customHeight="false" outlineLevel="0" collapsed="false">
      <c r="A7525" s="5" t="s">
        <v>290</v>
      </c>
      <c r="C7525" s="25" t="n">
        <f aca="false">SUMPRODUCT($G$7489:$K$7489,$G$7488:$K$7488-$G$7494:$K$7494+$G$7493:$K$7493)</f>
        <v>250</v>
      </c>
    </row>
    <row r="7526" customFormat="false" ht="15" hidden="false" customHeight="false" outlineLevel="0" collapsed="false">
      <c r="A7526" s="5" t="s">
        <v>291</v>
      </c>
      <c r="C7526" s="25" t="n">
        <f aca="false">SUMPRODUCT($G$7489:$K$7489,$G$7496:$K$7496)</f>
        <v>0</v>
      </c>
    </row>
    <row r="7527" customFormat="false" ht="15" hidden="false" customHeight="false" outlineLevel="0" collapsed="false">
      <c r="A7527" s="5" t="s">
        <v>292</v>
      </c>
      <c r="C7527" s="5" t="str">
        <f aca="false">IF(SUM($G$7489:$K$7489)=0,"n/a (beyond horizon)",IF(SUMPRODUCT($G$7489:$K$7489,$G$7460:$K$7460)&gt;0,"REFINANCING PASS","REFINANCING FAILURE"))</f>
        <v>REFINANCING PASS</v>
      </c>
    </row>
    <row r="7528" customFormat="false" ht="15" hidden="false" customHeight="false" outlineLevel="0" collapsed="false">
      <c r="A7528" s="5" t="s">
        <v>293</v>
      </c>
      <c r="C7528" s="5" t="str">
        <f aca="false">IF(SUM($G$7489:$K$7489)=0,"n/a",IF(C7526&gt;=C7525-0.001,"Repaid from cash",IF(SUMPRODUCT($G$7489:$K$7489,$G$7460:$K$7460)&gt;0,IF(C7526&gt;0,"Partly repaid; remainder refinanced","Refinanced"),IF(SUM($G$7498:$K$7498)&gt;0.001,IF(C7526&gt;0,"Partial repayment; PAYMENT DEFAULT","PAYMENT DEFAULT"),"Repaid from cash"))))</f>
        <v>Refinanced</v>
      </c>
    </row>
    <row r="7529" customFormat="false" ht="15" hidden="false" customHeight="false" outlineLevel="0" collapsed="false">
      <c r="A7529" s="5" t="s">
        <v>294</v>
      </c>
      <c r="C7529" s="25" t="n">
        <f aca="false">SUMPRODUCT($G$7502:$K$7502,$G$7501:$K$7501-$G$7507:$K$7507+$G$7506:$K$7506)</f>
        <v>300</v>
      </c>
    </row>
    <row r="7530" customFormat="false" ht="15" hidden="false" customHeight="false" outlineLevel="0" collapsed="false">
      <c r="A7530" s="5" t="s">
        <v>295</v>
      </c>
      <c r="C7530" s="25" t="n">
        <f aca="false">SUMPRODUCT($G$7502:$K$7502,$G$7509:$K$7509)</f>
        <v>0</v>
      </c>
    </row>
    <row r="7531" customFormat="false" ht="15" hidden="false" customHeight="false" outlineLevel="0" collapsed="false">
      <c r="A7531" s="5" t="s">
        <v>296</v>
      </c>
      <c r="C7531" s="5" t="str">
        <f aca="false">IF(SUM($G$7502:$K$7502)=0,"n/a (beyond horizon)",IF(SUMPRODUCT($G$7502:$K$7502,$G$7460:$K$7460)&gt;0,"REFINANCING PASS","REFINANCING FAILURE"))</f>
        <v>REFINANCING PASS</v>
      </c>
    </row>
    <row r="7532" customFormat="false" ht="15" hidden="false" customHeight="false" outlineLevel="0" collapsed="false">
      <c r="A7532" s="5" t="s">
        <v>297</v>
      </c>
      <c r="C7532" s="5" t="str">
        <f aca="false">IF(SUM($G$7502:$K$7502)=0,"n/a",IF(C7530&gt;=C7529-0.001,"Repaid from cash",IF(SUMPRODUCT($G$7502:$K$7502,$G$7460:$K$7460)&gt;0,IF(C7530&gt;0,"Partly repaid; remainder refinanced","Refinanced"),IF(SUM($G$7511:$K$7511)&gt;0.001,IF(C7530&gt;0,"Partial repayment; PAYMENT DEFAULT","PAYMENT DEFAULT"),"Repaid from cash"))))</f>
        <v>Refinanced</v>
      </c>
    </row>
    <row r="7533" customFormat="false" ht="15" hidden="false" customHeight="false" outlineLevel="0" collapsed="false">
      <c r="A7533" s="5" t="s">
        <v>298</v>
      </c>
      <c r="C7533" s="20" t="n">
        <f aca="false">IF(C7519="REFINANCING FAILURE",1,0)+IF(C7523="REFINANCING FAILURE",1,0)+IF(C7527="REFINANCING FAILURE",1,0)+IF(C7531="REFINANCING FAILURE",1,0)</f>
        <v>0</v>
      </c>
    </row>
    <row r="7535" customFormat="false" ht="15" hidden="false" customHeight="false" outlineLevel="0" collapsed="false">
      <c r="A7535" s="23" t="s">
        <v>300</v>
      </c>
      <c r="B7535" s="24"/>
      <c r="C7535" s="24"/>
      <c r="D7535" s="24"/>
      <c r="E7535" s="24"/>
      <c r="F7535" s="24"/>
      <c r="G7535" s="24"/>
      <c r="H7535" s="24"/>
      <c r="I7535" s="24"/>
      <c r="J7535" s="24"/>
      <c r="K7535" s="24"/>
    </row>
    <row r="7536" customFormat="false" ht="15" hidden="false" customHeight="false" outlineLevel="0" collapsed="false">
      <c r="A7536" s="5" t="s">
        <v>260</v>
      </c>
      <c r="G7536" s="25" t="n">
        <f aca="false">F7548</f>
        <v>45</v>
      </c>
      <c r="H7536" s="25" t="n">
        <f aca="false">G7548</f>
        <v>0</v>
      </c>
      <c r="I7536" s="25" t="n">
        <f aca="false">H7548</f>
        <v>-10.604875</v>
      </c>
      <c r="J7536" s="25" t="n">
        <f aca="false">I7548</f>
        <v>0</v>
      </c>
      <c r="K7536" s="25" t="n">
        <f aca="false">J7548</f>
        <v>0</v>
      </c>
    </row>
    <row r="7537" customFormat="false" ht="15" hidden="false" customHeight="false" outlineLevel="0" collapsed="false">
      <c r="A7537" s="5" t="s">
        <v>301</v>
      </c>
      <c r="G7537" s="25" t="n">
        <f aca="false">G7449</f>
        <v>-18.24</v>
      </c>
      <c r="H7537" s="25" t="n">
        <f aca="false">H7449</f>
        <v>-5.404875</v>
      </c>
      <c r="I7537" s="25" t="n">
        <f aca="false">I7449</f>
        <v>-8.04522559999995</v>
      </c>
      <c r="J7537" s="25" t="n">
        <f aca="false">J7449</f>
        <v>-6.18852049949998</v>
      </c>
      <c r="K7537" s="25" t="n">
        <f aca="false">K7449</f>
        <v>1.51441351993132</v>
      </c>
    </row>
    <row r="7538" customFormat="false" ht="15" hidden="false" customHeight="false" outlineLevel="0" collapsed="false">
      <c r="A7538" s="5" t="s">
        <v>302</v>
      </c>
      <c r="G7538" s="25" t="n">
        <f aca="false">CHOOSE($C$7419,Assumptions!$G$68,Assumptions!$G$87,Assumptions!$G$106)</f>
        <v>0</v>
      </c>
      <c r="H7538" s="25" t="n">
        <f aca="false">CHOOSE($C$7419,Assumptions!$H$68,Assumptions!$H$87,Assumptions!$H$106)</f>
        <v>0</v>
      </c>
      <c r="I7538" s="25" t="n">
        <f aca="false">CHOOSE($C$7419,Assumptions!$I$68,Assumptions!$I$87,Assumptions!$I$106)</f>
        <v>0</v>
      </c>
      <c r="J7538" s="25" t="n">
        <f aca="false">CHOOSE($C$7419,Assumptions!$J$68,Assumptions!$J$87,Assumptions!$J$106)</f>
        <v>0</v>
      </c>
      <c r="K7538" s="25" t="n">
        <f aca="false">CHOOSE($C$7419,Assumptions!$K$68,Assumptions!$K$87,Assumptions!$K$106)</f>
        <v>0</v>
      </c>
    </row>
    <row r="7539" customFormat="false" ht="15" hidden="false" customHeight="false" outlineLevel="0" collapsed="false">
      <c r="A7539" s="5" t="s">
        <v>303</v>
      </c>
      <c r="G7539" s="25" t="n">
        <f aca="false">G7468+G7481+G7494+G7507</f>
        <v>5.2</v>
      </c>
      <c r="H7539" s="25" t="n">
        <f aca="false">H7468+H7481+H7494+H7507</f>
        <v>5.2</v>
      </c>
      <c r="I7539" s="25" t="n">
        <f aca="false">I7468+I7481+I7494+I7507</f>
        <v>5.2</v>
      </c>
      <c r="J7539" s="25" t="n">
        <f aca="false">J7468+J7481+J7494+J7507</f>
        <v>5.2</v>
      </c>
      <c r="K7539" s="25" t="n">
        <f aca="false">K7468+K7481+K7494+K7507</f>
        <v>5.2</v>
      </c>
    </row>
    <row r="7540" customFormat="false" ht="15" hidden="false" customHeight="false" outlineLevel="0" collapsed="false">
      <c r="A7540" s="2" t="s">
        <v>304</v>
      </c>
      <c r="G7540" s="16" t="n">
        <f aca="false">G7536+G7537+G7538-G7539</f>
        <v>21.56</v>
      </c>
      <c r="H7540" s="16" t="n">
        <f aca="false">H7536+H7537+H7538-H7539</f>
        <v>-10.604875</v>
      </c>
      <c r="I7540" s="16" t="n">
        <f aca="false">I7536+I7537+I7538-I7539</f>
        <v>-23.8501005999999</v>
      </c>
      <c r="J7540" s="16" t="n">
        <f aca="false">J7536+J7537+J7538-J7539</f>
        <v>-11.3885204995</v>
      </c>
      <c r="K7540" s="16" t="n">
        <f aca="false">K7536+K7537+K7538-K7539</f>
        <v>-3.68558648006868</v>
      </c>
    </row>
    <row r="7541" customFormat="false" ht="15" hidden="false" customHeight="false" outlineLevel="0" collapsed="false">
      <c r="A7541" s="5" t="s">
        <v>305</v>
      </c>
      <c r="G7541" s="25" t="n">
        <f aca="false">G7469+G7482+G7495+G7508</f>
        <v>0</v>
      </c>
      <c r="H7541" s="25" t="n">
        <f aca="false">H7469+H7482+H7495+H7508</f>
        <v>0</v>
      </c>
      <c r="I7541" s="25" t="n">
        <f aca="false">I7469+I7482+I7495+I7508</f>
        <v>23.8501005999999</v>
      </c>
      <c r="J7541" s="25" t="n">
        <f aca="false">J7469+J7482+J7495+J7508</f>
        <v>11.3885204995</v>
      </c>
      <c r="K7541" s="25" t="n">
        <f aca="false">K7469+K7482+K7495+K7508</f>
        <v>3.68558648006868</v>
      </c>
    </row>
    <row r="7542" customFormat="false" ht="15" hidden="false" customHeight="false" outlineLevel="0" collapsed="false">
      <c r="A7542" s="2" t="s">
        <v>306</v>
      </c>
      <c r="G7542" s="16" t="n">
        <f aca="false">G7540+G7541</f>
        <v>21.56</v>
      </c>
      <c r="H7542" s="16" t="n">
        <f aca="false">H7540+H7541</f>
        <v>-10.604875</v>
      </c>
      <c r="I7542" s="16" t="n">
        <f aca="false">I7540+I7541</f>
        <v>0</v>
      </c>
      <c r="J7542" s="16" t="n">
        <f aca="false">J7540+J7541</f>
        <v>0</v>
      </c>
      <c r="K7542" s="16" t="n">
        <f aca="false">K7540+K7541</f>
        <v>0</v>
      </c>
    </row>
    <row r="7543" customFormat="false" ht="15" hidden="false" customHeight="false" outlineLevel="0" collapsed="false">
      <c r="A7543" s="5" t="s">
        <v>307</v>
      </c>
      <c r="G7543" s="25" t="n">
        <f aca="false">G7470+G7483+G7496+G7509</f>
        <v>0</v>
      </c>
      <c r="H7543" s="25" t="n">
        <f aca="false">H7470+H7483+H7496+H7509</f>
        <v>0</v>
      </c>
      <c r="I7543" s="25" t="n">
        <f aca="false">I7470+I7483+I7496+I7509</f>
        <v>0</v>
      </c>
      <c r="J7543" s="25" t="n">
        <f aca="false">J7470+J7483+J7496+J7509</f>
        <v>0</v>
      </c>
      <c r="K7543" s="25" t="n">
        <f aca="false">K7470+K7483+K7496+K7509</f>
        <v>0</v>
      </c>
    </row>
    <row r="7544" customFormat="false" ht="15" hidden="false" customHeight="false" outlineLevel="0" collapsed="false">
      <c r="A7544" s="2" t="s">
        <v>308</v>
      </c>
      <c r="G7544" s="16" t="n">
        <f aca="false">G7542-G7543</f>
        <v>21.56</v>
      </c>
      <c r="H7544" s="16" t="n">
        <f aca="false">H7542-H7543</f>
        <v>-10.604875</v>
      </c>
      <c r="I7544" s="16" t="n">
        <f aca="false">I7542-I7543</f>
        <v>0</v>
      </c>
      <c r="J7544" s="16" t="n">
        <f aca="false">J7542-J7543</f>
        <v>0</v>
      </c>
      <c r="K7544" s="16" t="n">
        <f aca="false">K7542-K7543</f>
        <v>0</v>
      </c>
    </row>
    <row r="7545" customFormat="false" ht="15" hidden="false" customHeight="false" outlineLevel="0" collapsed="false">
      <c r="A7545" s="5" t="s">
        <v>309</v>
      </c>
      <c r="G7545" s="25" t="n">
        <f aca="false">MAX(0,-G7544)</f>
        <v>0</v>
      </c>
      <c r="H7545" s="25" t="n">
        <f aca="false">MAX(0,-H7544)</f>
        <v>10.604875</v>
      </c>
      <c r="I7545" s="25" t="n">
        <f aca="false">MAX(0,-I7544)</f>
        <v>-0</v>
      </c>
      <c r="J7545" s="25" t="n">
        <f aca="false">MAX(0,-J7544)</f>
        <v>-0</v>
      </c>
      <c r="K7545" s="25" t="n">
        <f aca="false">MAX(0,-K7544)</f>
        <v>-0</v>
      </c>
    </row>
    <row r="7546" customFormat="false" ht="15" hidden="false" customHeight="false" outlineLevel="0" collapsed="false">
      <c r="A7546" s="5" t="s">
        <v>310</v>
      </c>
      <c r="G7546" s="25" t="n">
        <f aca="false">MAX(0,G7544-Assumptions!$C$12)*Assumptions!$C$13</f>
        <v>21.56</v>
      </c>
      <c r="H7546" s="25" t="n">
        <f aca="false">MAX(0,H7544-Assumptions!$C$12)*Assumptions!$C$13</f>
        <v>0</v>
      </c>
      <c r="I7546" s="25" t="n">
        <f aca="false">MAX(0,I7544-Assumptions!$C$12)*Assumptions!$C$13</f>
        <v>0</v>
      </c>
      <c r="J7546" s="25" t="n">
        <f aca="false">MAX(0,J7544-Assumptions!$C$12)*Assumptions!$C$13</f>
        <v>0</v>
      </c>
      <c r="K7546" s="25" t="n">
        <f aca="false">MAX(0,K7544-Assumptions!$C$12)*Assumptions!$C$13</f>
        <v>0</v>
      </c>
    </row>
    <row r="7547" customFormat="false" ht="15" hidden="false" customHeight="false" outlineLevel="0" collapsed="false">
      <c r="A7547" s="5" t="s">
        <v>311</v>
      </c>
      <c r="G7547" s="25" t="n">
        <f aca="false">G7471+G7484+G7497+G7510</f>
        <v>21.56</v>
      </c>
      <c r="H7547" s="25" t="n">
        <f aca="false">H7471+H7484+H7497+H7510</f>
        <v>0</v>
      </c>
      <c r="I7547" s="25" t="n">
        <f aca="false">I7471+I7484+I7497+I7510</f>
        <v>0</v>
      </c>
      <c r="J7547" s="25" t="n">
        <f aca="false">J7471+J7484+J7497+J7510</f>
        <v>0</v>
      </c>
      <c r="K7547" s="25" t="n">
        <f aca="false">K7471+K7484+K7497+K7510</f>
        <v>0</v>
      </c>
    </row>
    <row r="7548" customFormat="false" ht="15" hidden="false" customHeight="false" outlineLevel="0" collapsed="false">
      <c r="A7548" s="2" t="s">
        <v>312</v>
      </c>
      <c r="F7548" s="27" t="n">
        <f aca="false">Assumptions!$C$11</f>
        <v>45</v>
      </c>
      <c r="G7548" s="16" t="n">
        <f aca="false">G7544-G7547</f>
        <v>0</v>
      </c>
      <c r="H7548" s="16" t="n">
        <f aca="false">H7544-H7547</f>
        <v>-10.604875</v>
      </c>
      <c r="I7548" s="16" t="n">
        <f aca="false">I7544-I7547</f>
        <v>0</v>
      </c>
      <c r="J7548" s="16" t="n">
        <f aca="false">J7544-J7547</f>
        <v>0</v>
      </c>
      <c r="K7548" s="16" t="n">
        <f aca="false">K7544-K7547</f>
        <v>0</v>
      </c>
    </row>
    <row r="7549" customFormat="false" ht="15" hidden="false" customHeight="false" outlineLevel="0" collapsed="false">
      <c r="A7549" s="5" t="s">
        <v>313</v>
      </c>
      <c r="G7549" s="25" t="n">
        <f aca="false">G7472+G7485+G7498+G7511</f>
        <v>0</v>
      </c>
      <c r="H7549" s="25" t="n">
        <f aca="false">H7472+H7485+H7498+H7511</f>
        <v>0</v>
      </c>
      <c r="I7549" s="25" t="n">
        <f aca="false">I7472+I7485+I7498+I7511</f>
        <v>0</v>
      </c>
      <c r="J7549" s="25" t="n">
        <f aca="false">J7472+J7485+J7498+J7511</f>
        <v>0</v>
      </c>
      <c r="K7549" s="25" t="n">
        <f aca="false">K7472+K7485+K7498+K7511</f>
        <v>0</v>
      </c>
    </row>
    <row r="7550" customFormat="false" ht="15" hidden="false" customHeight="false" outlineLevel="0" collapsed="false">
      <c r="A7550" s="5" t="s">
        <v>314</v>
      </c>
      <c r="G7550" s="20" t="n">
        <f aca="false">IF(OR(G7545&gt;0.001,G7549&gt;0.001),1,0)</f>
        <v>0</v>
      </c>
      <c r="H7550" s="20" t="n">
        <f aca="false">IF(OR(H7545&gt;0.001,H7549&gt;0.001),1,0)</f>
        <v>1</v>
      </c>
      <c r="I7550" s="20" t="n">
        <f aca="false">IF(OR(I7545&gt;0.001,I7549&gt;0.001),1,0)</f>
        <v>0</v>
      </c>
      <c r="J7550" s="20" t="n">
        <f aca="false">IF(OR(J7545&gt;0.001,J7549&gt;0.001),1,0)</f>
        <v>0</v>
      </c>
      <c r="K7550" s="20" t="n">
        <f aca="false">IF(OR(K7545&gt;0.001,K7549&gt;0.001),1,0)</f>
        <v>0</v>
      </c>
    </row>
    <row r="7551" customFormat="false" ht="15" hidden="false" customHeight="false" outlineLevel="0" collapsed="false">
      <c r="A7551" s="5" t="s">
        <v>315</v>
      </c>
      <c r="G7551" s="20" t="n">
        <f aca="false">IF(G7550=1,1,0)</f>
        <v>0</v>
      </c>
      <c r="H7551" s="20" t="n">
        <f aca="false">IF(AND(H7550=1,SUM($G$7550:G7550)=0),1,0)</f>
        <v>1</v>
      </c>
      <c r="I7551" s="20" t="n">
        <f aca="false">IF(AND(I7550=1,SUM($G$7550:H7550)=0),1,0)</f>
        <v>0</v>
      </c>
      <c r="J7551" s="20" t="n">
        <f aca="false">IF(AND(J7550=1,SUM($G$7550:I7550)=0),1,0)</f>
        <v>0</v>
      </c>
      <c r="K7551" s="20" t="n">
        <f aca="false">IF(AND(K7550=1,SUM($G$7550:J7550)=0),1,0)</f>
        <v>0</v>
      </c>
    </row>
    <row r="7552" customFormat="false" ht="15" hidden="false" customHeight="false" outlineLevel="0" collapsed="false">
      <c r="A7552" s="5" t="s">
        <v>316</v>
      </c>
      <c r="G7552" s="25" t="n">
        <f aca="false">(G7514-F7514)-(G7541+G7441-G7539-G7543-G7547)</f>
        <v>0</v>
      </c>
      <c r="H7552" s="25" t="n">
        <f aca="false">(H7514-G7514)-(H7541+H7441-H7539-H7543-H7547)</f>
        <v>-4.52970994047064E-014</v>
      </c>
      <c r="I7552" s="25" t="n">
        <f aca="false">(I7514-H7514)-(I7541+I7441-I7539-I7543-I7547)</f>
        <v>-8.88178419700125E-014</v>
      </c>
      <c r="J7552" s="25" t="n">
        <f aca="false">(J7514-I7514)-(J7541+J7441-J7539-J7543-J7547)</f>
        <v>1.18127729820117E-013</v>
      </c>
      <c r="K7552" s="25" t="n">
        <f aca="false">(K7514-J7514)-(K7541+K7441-K7539-K7543-K7547)</f>
        <v>1.54543045027822E-013</v>
      </c>
    </row>
    <row r="7554" customFormat="false" ht="15" hidden="false" customHeight="false" outlineLevel="0" collapsed="false">
      <c r="A7554" s="23" t="s">
        <v>318</v>
      </c>
      <c r="B7554" s="24"/>
      <c r="C7554" s="24"/>
      <c r="D7554" s="24"/>
      <c r="E7554" s="24"/>
      <c r="F7554" s="24"/>
      <c r="G7554" s="24"/>
      <c r="H7554" s="24"/>
      <c r="I7554" s="24"/>
      <c r="J7554" s="24"/>
      <c r="K7554" s="24"/>
    </row>
    <row r="7555" customFormat="false" ht="15" hidden="false" customHeight="false" outlineLevel="0" collapsed="false">
      <c r="A7555" s="5" t="s">
        <v>319</v>
      </c>
      <c r="G7555" s="25" t="n">
        <f aca="false">G7514</f>
        <v>1223.24</v>
      </c>
      <c r="H7555" s="25" t="n">
        <f aca="false">H7514</f>
        <v>1218.04</v>
      </c>
      <c r="I7555" s="25" t="n">
        <f aca="false">I7514</f>
        <v>1236.6901006</v>
      </c>
      <c r="J7555" s="25" t="n">
        <f aca="false">J7514</f>
        <v>1242.8786210995</v>
      </c>
      <c r="K7555" s="25" t="n">
        <f aca="false">K7514</f>
        <v>1241.36420757957</v>
      </c>
    </row>
    <row r="7556" customFormat="false" ht="15" hidden="false" customHeight="false" outlineLevel="0" collapsed="false">
      <c r="A7556" s="5" t="s">
        <v>320</v>
      </c>
      <c r="G7556" s="25" t="n">
        <f aca="false">Assumptions!$O$53*G7473+Assumptions!$O$54*G7486+Assumptions!$O$55*G7499+Assumptions!$O$56*G7512</f>
        <v>923.24</v>
      </c>
      <c r="H7556" s="25" t="n">
        <f aca="false">Assumptions!$O$53*H7473+Assumptions!$O$54*H7486+Assumptions!$O$55*H7499+Assumptions!$O$56*H7512</f>
        <v>918.04</v>
      </c>
      <c r="I7556" s="25" t="n">
        <f aca="false">Assumptions!$O$53*I7473+Assumptions!$O$54*I7486+Assumptions!$O$55*I7499+Assumptions!$O$56*I7512</f>
        <v>936.6901006</v>
      </c>
      <c r="J7556" s="25" t="n">
        <f aca="false">Assumptions!$O$53*J7473+Assumptions!$O$54*J7486+Assumptions!$O$55*J7499+Assumptions!$O$56*J7512</f>
        <v>942.8786210995</v>
      </c>
      <c r="K7556" s="25" t="n">
        <f aca="false">Assumptions!$O$53*K7473+Assumptions!$O$54*K7486+Assumptions!$O$55*K7499+Assumptions!$O$56*K7512</f>
        <v>941.364207579569</v>
      </c>
    </row>
    <row r="7557" customFormat="false" ht="15" hidden="false" customHeight="false" outlineLevel="0" collapsed="false">
      <c r="A7557" s="5" t="s">
        <v>321</v>
      </c>
      <c r="G7557" s="25" t="n">
        <f aca="false">G7555-G7548</f>
        <v>1223.24</v>
      </c>
      <c r="H7557" s="25" t="n">
        <f aca="false">H7555-H7548</f>
        <v>1228.644875</v>
      </c>
      <c r="I7557" s="25" t="n">
        <f aca="false">I7555-I7548</f>
        <v>1236.6901006</v>
      </c>
      <c r="J7557" s="25" t="n">
        <f aca="false">J7555-J7548</f>
        <v>1242.8786210995</v>
      </c>
      <c r="K7557" s="25" t="n">
        <f aca="false">K7555-K7548</f>
        <v>1241.36420757957</v>
      </c>
    </row>
    <row r="7558" customFormat="false" ht="15" hidden="false" customHeight="false" outlineLevel="0" collapsed="false">
      <c r="A7558" s="5" t="s">
        <v>322</v>
      </c>
      <c r="G7558" s="31" t="n">
        <f aca="false">IF(G7436&gt;0,G7555/G7436,0)</f>
        <v>7.5396942800789</v>
      </c>
      <c r="H7558" s="31" t="n">
        <f aca="false">IF(H7436&gt;0,H7555/H7436,0)</f>
        <v>7.00339831905561</v>
      </c>
      <c r="I7558" s="31" t="n">
        <f aca="false">IF(I7436&gt;0,I7555/I7436,0)</f>
        <v>6.63896736858555</v>
      </c>
      <c r="J7558" s="31" t="n">
        <f aca="false">IF(J7436&gt;0,J7555/J7436,0)</f>
        <v>6.23484656254166</v>
      </c>
      <c r="K7558" s="31" t="n">
        <f aca="false">IF(K7436&gt;0,K7555/K7436,0)</f>
        <v>5.82369230348453</v>
      </c>
    </row>
    <row r="7559" customFormat="false" ht="15" hidden="false" customHeight="false" outlineLevel="0" collapsed="false">
      <c r="A7559" s="5" t="s">
        <v>323</v>
      </c>
      <c r="G7559" s="31" t="n">
        <f aca="false">IF(G7436&gt;0,G7557/G7436,0)</f>
        <v>7.5396942800789</v>
      </c>
      <c r="H7559" s="31" t="n">
        <f aca="false">IF(H7436&gt;0,H7557/H7436,0)</f>
        <v>7.06437346252281</v>
      </c>
      <c r="I7559" s="31" t="n">
        <f aca="false">IF(I7436&gt;0,I7557/I7436,0)</f>
        <v>6.63896736858555</v>
      </c>
      <c r="J7559" s="31" t="n">
        <f aca="false">IF(J7436&gt;0,J7557/J7436,0)</f>
        <v>6.23484656254166</v>
      </c>
      <c r="K7559" s="31" t="n">
        <f aca="false">IF(K7436&gt;0,K7557/K7436,0)</f>
        <v>5.82369230348453</v>
      </c>
    </row>
    <row r="7560" customFormat="false" ht="15" hidden="false" customHeight="false" outlineLevel="0" collapsed="false">
      <c r="A7560" s="5" t="s">
        <v>324</v>
      </c>
      <c r="G7560" s="31" t="n">
        <f aca="false">IF(G7440&gt;0,G7436/G7440,0)</f>
        <v>1.36290322580645</v>
      </c>
      <c r="H7560" s="31" t="n">
        <f aca="false">IF(H7440&gt;0,H7436/H7440,0)</f>
        <v>1.51279122016952</v>
      </c>
      <c r="I7560" s="31" t="n">
        <f aca="false">IF(I7440&gt;0,I7436/I7440,0)</f>
        <v>1.45678144854273</v>
      </c>
      <c r="J7560" s="31" t="n">
        <f aca="false">IF(J7440&gt;0,J7436/J7440,0)</f>
        <v>1.46537702480109</v>
      </c>
      <c r="K7560" s="31" t="n">
        <f aca="false">IF(K7440&gt;0,K7436/K7440,0)</f>
        <v>1.55911947168342</v>
      </c>
    </row>
    <row r="7561" customFormat="false" ht="15" hidden="false" customHeight="false" outlineLevel="0" collapsed="false">
      <c r="A7561" s="5" t="s">
        <v>325</v>
      </c>
      <c r="G7561" s="31" t="n">
        <f aca="false">IF(G7440&gt;0,G7439/G7440,0)</f>
        <v>0.901612903225807</v>
      </c>
      <c r="H7561" s="31" t="n">
        <f aca="false">IF(H7440&gt;0,H7439/H7440,0)</f>
        <v>1.01605380459147</v>
      </c>
      <c r="I7561" s="31" t="n">
        <f aca="false">IF(I7440&gt;0,I7439/I7440,0)</f>
        <v>0.992300406978381</v>
      </c>
      <c r="J7561" s="31" t="n">
        <f aca="false">IF(J7440&gt;0,J7439/J7440,0)</f>
        <v>1.011316538243</v>
      </c>
      <c r="K7561" s="31" t="n">
        <f aca="false">IF(K7440&gt;0,K7439/K7440,0)</f>
        <v>1.0892478500802</v>
      </c>
    </row>
    <row r="7562" customFormat="false" ht="15" hidden="false" customHeight="false" outlineLevel="0" collapsed="false">
      <c r="A7562" s="5" t="s">
        <v>182</v>
      </c>
      <c r="G7562" s="21" t="n">
        <f aca="false">IF(G7555&gt;0,G7449/G7555,0)</f>
        <v>-0.0149112193845852</v>
      </c>
      <c r="H7562" s="21" t="n">
        <f aca="false">IF(H7555&gt;0,H7449/H7555,0)</f>
        <v>-0.00443735427407967</v>
      </c>
      <c r="I7562" s="21" t="n">
        <f aca="false">IF(I7555&gt;0,I7449/I7555,0)</f>
        <v>-0.00650544998791264</v>
      </c>
      <c r="J7562" s="21" t="n">
        <f aca="false">IF(J7555&gt;0,J7449/J7555,0)</f>
        <v>-0.00497918332043186</v>
      </c>
      <c r="K7562" s="21" t="n">
        <f aca="false">IF(K7555&gt;0,K7449/K7555,0)</f>
        <v>0.0012199590665532</v>
      </c>
    </row>
    <row r="7563" customFormat="false" ht="15" hidden="false" customHeight="false" outlineLevel="0" collapsed="false">
      <c r="A7563" s="5" t="s">
        <v>326</v>
      </c>
      <c r="G7563" s="31" t="n">
        <f aca="false">IF(G7440+G7539&gt;0,(G7436-G7447-G7444)/(G7440+G7539),0)</f>
        <v>0.904056664520283</v>
      </c>
      <c r="H7563" s="31" t="n">
        <f aca="false">IF(H7440+H7539&gt;0,(H7436-H7447-H7444)/(H7440+H7539),0)</f>
        <v>1.01145009359464</v>
      </c>
      <c r="I7563" s="31" t="n">
        <f aca="false">IF(I7440+I7539&gt;0,(I7436-I7447-I7444)/(I7440+I7539),0)</f>
        <v>0.994099358829842</v>
      </c>
      <c r="J7563" s="31" t="n">
        <f aca="false">IF(J7440+J7539&gt;0,(J7436-J7447-J7444)/(J7440+J7539),0)</f>
        <v>1.01111553547997</v>
      </c>
      <c r="K7563" s="31" t="n">
        <f aca="false">IF(K7440+K7539&gt;0,(K7436-K7447-K7444)/(K7440+K7539),0)</f>
        <v>1.06899249839236</v>
      </c>
    </row>
    <row r="7564" customFormat="false" ht="15" hidden="false" customHeight="false" outlineLevel="0" collapsed="false">
      <c r="A7564" s="5" t="s">
        <v>327</v>
      </c>
      <c r="G7564" s="25" t="n">
        <f aca="false">MAX(0,G7548)+Assumptions!$P$53*MAX(0,Assumptions!$D$53-G7473)+Assumptions!$P$54*MAX(0,Assumptions!$D$54-G7486)+Assumptions!$P$55*MAX(0,Assumptions!$D$55-G7499)+Assumptions!$P$56*MAX(0,Assumptions!$D$56-G7512)</f>
        <v>141.56</v>
      </c>
      <c r="H7564" s="25" t="n">
        <f aca="false">MAX(0,H7548)+Assumptions!$P$53*MAX(0,Assumptions!$D$53-H7473)+Assumptions!$P$54*MAX(0,Assumptions!$D$54-H7486)+Assumptions!$P$55*MAX(0,Assumptions!$D$55-H7499)+Assumptions!$P$56*MAX(0,Assumptions!$D$56-H7512)</f>
        <v>141.56</v>
      </c>
      <c r="I7564" s="25" t="n">
        <f aca="false">MAX(0,I7548)+Assumptions!$P$53*MAX(0,Assumptions!$D$53-I7473)+Assumptions!$P$54*MAX(0,Assumptions!$D$54-I7486)+Assumptions!$P$55*MAX(0,Assumptions!$D$55-I7499)+Assumptions!$P$56*MAX(0,Assumptions!$D$56-I7512)</f>
        <v>117.7098994</v>
      </c>
      <c r="J7564" s="25" t="n">
        <f aca="false">MAX(0,J7548)+Assumptions!$P$53*MAX(0,Assumptions!$D$53-J7473)+Assumptions!$P$54*MAX(0,Assumptions!$D$54-J7486)+Assumptions!$P$55*MAX(0,Assumptions!$D$55-J7499)+Assumptions!$P$56*MAX(0,Assumptions!$D$56-J7512)</f>
        <v>106.3213789005</v>
      </c>
      <c r="K7564" s="25" t="n">
        <f aca="false">MAX(0,K7548)+Assumptions!$P$53*MAX(0,Assumptions!$D$53-K7473)+Assumptions!$P$54*MAX(0,Assumptions!$D$54-K7486)+Assumptions!$P$55*MAX(0,Assumptions!$D$55-K7499)+Assumptions!$P$56*MAX(0,Assumptions!$D$56-K7512)</f>
        <v>102.635792420431</v>
      </c>
    </row>
    <row r="7565" customFormat="false" ht="15" hidden="false" customHeight="false" outlineLevel="0" collapsed="false">
      <c r="A7565" s="5" t="s">
        <v>328</v>
      </c>
      <c r="G7565" s="21" t="n">
        <f aca="false">IF(G7555&gt;0,G7555/(G7555+MAX(0,G7436*CHOOSE($C$7419,Assumptions!$C$76,Assumptions!$C$95,Assumptions!$C$114)-G7557)),0)</f>
        <v>1</v>
      </c>
      <c r="H7565" s="21" t="n">
        <f aca="false">IF(H7555&gt;0,H7555/(H7555+MAX(0,H7436*CHOOSE($C$7419,Assumptions!$C$76,Assumptions!$C$95,Assumptions!$C$114)-H7557)),0)</f>
        <v>1</v>
      </c>
      <c r="I7565" s="21" t="n">
        <f aca="false">IF(I7555&gt;0,I7555/(I7555+MAX(0,I7436*CHOOSE($C$7419,Assumptions!$C$76,Assumptions!$C$95,Assumptions!$C$114)-I7557)),0)</f>
        <v>1</v>
      </c>
      <c r="J7565" s="21" t="n">
        <f aca="false">IF(J7555&gt;0,J7555/(J7555+MAX(0,J7436*CHOOSE($C$7419,Assumptions!$C$76,Assumptions!$C$95,Assumptions!$C$114)-J7557)),0)</f>
        <v>0.959207163467948</v>
      </c>
      <c r="K7565" s="21" t="n">
        <f aca="false">IF(K7555&gt;0,K7555/(K7555+MAX(0,K7436*CHOOSE($C$7419,Assumptions!$C$76,Assumptions!$C$95,Assumptions!$C$114)-K7557)),0)</f>
        <v>0.895952662074544</v>
      </c>
    </row>
    <row r="7566" customFormat="false" ht="15" hidden="false" customHeight="false" outlineLevel="0" collapsed="false">
      <c r="A7566" s="5" t="s">
        <v>329</v>
      </c>
      <c r="G7566" s="21" t="n">
        <f aca="false">IF(G7555&gt;0,MAX(0,G7548)/G7555,0)</f>
        <v>0</v>
      </c>
      <c r="H7566" s="21" t="n">
        <f aca="false">IF(H7555&gt;0,MAX(0,H7548)/H7555,0)</f>
        <v>0</v>
      </c>
      <c r="I7566" s="21" t="n">
        <f aca="false">IF(I7555&gt;0,MAX(0,I7548)/I7555,0)</f>
        <v>0</v>
      </c>
      <c r="J7566" s="21" t="n">
        <f aca="false">IF(J7555&gt;0,MAX(0,J7548)/J7555,0)</f>
        <v>0</v>
      </c>
      <c r="K7566" s="21" t="n">
        <f aca="false">IF(K7555&gt;0,MAX(0,K7548)/K7555,0)</f>
        <v>0</v>
      </c>
    </row>
    <row r="7567" customFormat="false" ht="15" hidden="false" customHeight="false" outlineLevel="0" collapsed="false">
      <c r="A7567" s="5" t="s">
        <v>330</v>
      </c>
      <c r="G7567" s="25" t="n">
        <f aca="false">Assumptions!$C$27*(1-CHOOSE($C$7419,Assumptions!$C$79,Assumptions!$C$98,Assumptions!$C$117))</f>
        <v>1040</v>
      </c>
      <c r="H7567" s="25" t="n">
        <f aca="false">Assumptions!$C$27*(1-CHOOSE($C$7419,Assumptions!$C$79,Assumptions!$C$98,Assumptions!$C$117))</f>
        <v>1040</v>
      </c>
      <c r="I7567" s="25" t="n">
        <f aca="false">Assumptions!$C$27*(1-CHOOSE($C$7419,Assumptions!$C$79,Assumptions!$C$98,Assumptions!$C$117))</f>
        <v>1040</v>
      </c>
      <c r="J7567" s="25" t="n">
        <f aca="false">Assumptions!$C$27*(1-CHOOSE($C$7419,Assumptions!$C$79,Assumptions!$C$98,Assumptions!$C$117))</f>
        <v>1040</v>
      </c>
      <c r="K7567" s="25" t="n">
        <f aca="false">Assumptions!$C$27*(1-CHOOSE($C$7419,Assumptions!$C$79,Assumptions!$C$98,Assumptions!$C$117))</f>
        <v>1040</v>
      </c>
    </row>
    <row r="7568" customFormat="false" ht="15" hidden="false" customHeight="false" outlineLevel="0" collapsed="false">
      <c r="A7568" s="23" t="s">
        <v>331</v>
      </c>
      <c r="B7568" s="24"/>
      <c r="C7568" s="24"/>
      <c r="D7568" s="24"/>
      <c r="E7568" s="24"/>
      <c r="F7568" s="24"/>
      <c r="G7568" s="24"/>
      <c r="H7568" s="24"/>
      <c r="I7568" s="24"/>
      <c r="J7568" s="24"/>
      <c r="K7568" s="24"/>
    </row>
    <row r="7569" customFormat="false" ht="15" hidden="false" customHeight="false" outlineLevel="0" collapsed="false">
      <c r="A7569" s="23" t="s">
        <v>332</v>
      </c>
      <c r="B7569" s="24"/>
      <c r="C7569" s="24"/>
      <c r="D7569" s="24"/>
      <c r="E7569" s="24"/>
      <c r="F7569" s="24"/>
      <c r="G7569" s="24"/>
      <c r="H7569" s="24"/>
      <c r="I7569" s="24"/>
      <c r="J7569" s="24"/>
      <c r="K7569" s="24"/>
    </row>
    <row r="7570" customFormat="false" ht="15" hidden="false" customHeight="false" outlineLevel="0" collapsed="false">
      <c r="A7570" s="5" t="s">
        <v>333</v>
      </c>
      <c r="G7570" s="31" t="n">
        <f aca="false">IF(G7436&gt;0,G7557/G7436,99)</f>
        <v>7.5396942800789</v>
      </c>
      <c r="H7570" s="31" t="n">
        <f aca="false">IF(H7436&gt;0,H7557/H7436,99)</f>
        <v>7.06437346252281</v>
      </c>
      <c r="I7570" s="31" t="n">
        <f aca="false">IF(I7436&gt;0,I7557/I7436,99)</f>
        <v>6.63896736858555</v>
      </c>
      <c r="J7570" s="31" t="n">
        <f aca="false">IF(J7436&gt;0,J7557/J7436,99)</f>
        <v>6.23484656254166</v>
      </c>
      <c r="K7570" s="31" t="n">
        <f aca="false">IF(K7436&gt;0,K7557/K7436,99)</f>
        <v>5.82369230348453</v>
      </c>
    </row>
    <row r="7571" customFormat="false" ht="15" hidden="false" customHeight="false" outlineLevel="0" collapsed="false">
      <c r="A7571" s="5" t="s">
        <v>334</v>
      </c>
      <c r="G7571" s="32" t="n">
        <f aca="false">Assumptions!$G$61</f>
        <v>8.5</v>
      </c>
      <c r="H7571" s="32" t="n">
        <f aca="false">Assumptions!$H$61</f>
        <v>8.5</v>
      </c>
      <c r="I7571" s="32" t="n">
        <f aca="false">Assumptions!$I$61</f>
        <v>8.5</v>
      </c>
      <c r="J7571" s="32" t="n">
        <f aca="false">Assumptions!$J$61</f>
        <v>8.5</v>
      </c>
      <c r="K7571" s="32" t="n">
        <f aca="false">Assumptions!$K$61</f>
        <v>8.5</v>
      </c>
    </row>
    <row r="7572" customFormat="false" ht="15" hidden="false" customHeight="false" outlineLevel="0" collapsed="false">
      <c r="A7572" s="5" t="s">
        <v>335</v>
      </c>
      <c r="G7572" s="31" t="n">
        <f aca="false">G7571-G7570</f>
        <v>0.960305719921105</v>
      </c>
      <c r="H7572" s="31" t="n">
        <f aca="false">H7571-H7570</f>
        <v>1.43562653747719</v>
      </c>
      <c r="I7572" s="31" t="n">
        <f aca="false">I7571-I7570</f>
        <v>1.86103263141445</v>
      </c>
      <c r="J7572" s="31" t="n">
        <f aca="false">J7571-J7570</f>
        <v>2.26515343745834</v>
      </c>
      <c r="K7572" s="31" t="n">
        <f aca="false">K7571-K7570</f>
        <v>2.67630769651547</v>
      </c>
    </row>
    <row r="7573" customFormat="false" ht="15" hidden="false" customHeight="false" outlineLevel="0" collapsed="false">
      <c r="A7573" s="5" t="s">
        <v>336</v>
      </c>
      <c r="G7573" s="21" t="n">
        <f aca="false">IF(G7571=0,0,G7572/ABS(G7571))</f>
        <v>0.11297714352013</v>
      </c>
      <c r="H7573" s="21" t="n">
        <f aca="false">IF(H7571=0,0,H7572/ABS(H7571))</f>
        <v>0.168897239703198</v>
      </c>
      <c r="I7573" s="21" t="n">
        <f aca="false">IF(I7571=0,0,I7572/ABS(I7571))</f>
        <v>0.218945015460524</v>
      </c>
      <c r="J7573" s="21" t="n">
        <f aca="false">IF(J7571=0,0,J7572/ABS(J7571))</f>
        <v>0.266488639700981</v>
      </c>
      <c r="K7573" s="21" t="n">
        <f aca="false">IF(K7571=0,0,K7572/ABS(K7571))</f>
        <v>0.31485972900182</v>
      </c>
    </row>
    <row r="7574" customFormat="false" ht="15" hidden="false" customHeight="false" outlineLevel="0" collapsed="false">
      <c r="A7574" s="5" t="s">
        <v>337</v>
      </c>
      <c r="G7574" s="20" t="n">
        <f aca="false">IF(G7572&lt;0,1,0)</f>
        <v>0</v>
      </c>
      <c r="H7574" s="20" t="n">
        <f aca="false">IF(H7572&lt;0,1,0)</f>
        <v>0</v>
      </c>
      <c r="I7574" s="20" t="n">
        <f aca="false">IF(I7572&lt;0,1,0)</f>
        <v>0</v>
      </c>
      <c r="J7574" s="20" t="n">
        <f aca="false">IF(J7572&lt;0,1,0)</f>
        <v>0</v>
      </c>
      <c r="K7574" s="20" t="n">
        <f aca="false">IF(K7572&lt;0,1,0)</f>
        <v>0</v>
      </c>
    </row>
    <row r="7575" customFormat="false" ht="15" hidden="false" customHeight="false" outlineLevel="0" collapsed="false">
      <c r="A7575" s="5" t="s">
        <v>338</v>
      </c>
      <c r="C7575" s="20" t="n">
        <f aca="false">IFERROR(INDEX($G$7426:$K$7426,MATCH(1,$G$7574:$K$7574,0)),0)</f>
        <v>0</v>
      </c>
    </row>
    <row r="7576" customFormat="false" ht="15" hidden="false" customHeight="false" outlineLevel="0" collapsed="false">
      <c r="A7576" s="5" t="s">
        <v>339</v>
      </c>
      <c r="C7576" s="21" t="n">
        <f aca="false">MIN($G$7573:$K$7573)</f>
        <v>0.11297714352013</v>
      </c>
    </row>
    <row r="7577" customFormat="false" ht="15" hidden="false" customHeight="false" outlineLevel="0" collapsed="false">
      <c r="A7577" s="5" t="s">
        <v>340</v>
      </c>
      <c r="G7577" s="20" t="n">
        <f aca="false">G7574</f>
        <v>0</v>
      </c>
      <c r="H7577" s="20" t="n">
        <f aca="false">H7574</f>
        <v>0</v>
      </c>
      <c r="I7577" s="20" t="n">
        <f aca="false">I7574</f>
        <v>0</v>
      </c>
      <c r="J7577" s="20" t="n">
        <f aca="false">J7574</f>
        <v>0</v>
      </c>
      <c r="K7577" s="20" t="n">
        <f aca="false">K7574</f>
        <v>0</v>
      </c>
    </row>
    <row r="7578" customFormat="false" ht="15" hidden="false" customHeight="false" outlineLevel="0" collapsed="false">
      <c r="A7578" s="5" t="s">
        <v>341</v>
      </c>
      <c r="C7578" s="20" t="n">
        <f aca="false">SUM($G$7577:$K$7577)</f>
        <v>0</v>
      </c>
    </row>
    <row r="7579" customFormat="false" ht="15" hidden="false" customHeight="false" outlineLevel="0" collapsed="false">
      <c r="A7579" s="5" t="s">
        <v>342</v>
      </c>
      <c r="C7579" s="21" t="n">
        <f aca="false">MIN(C7576)</f>
        <v>0.11297714352013</v>
      </c>
    </row>
    <row r="7581" customFormat="false" ht="15" hidden="false" customHeight="false" outlineLevel="0" collapsed="false">
      <c r="A7581" s="23" t="s">
        <v>444</v>
      </c>
      <c r="B7581" s="24"/>
      <c r="C7581" s="24"/>
      <c r="D7581" s="24"/>
      <c r="E7581" s="24"/>
      <c r="F7581" s="24"/>
      <c r="G7581" s="24"/>
      <c r="H7581" s="24"/>
      <c r="I7581" s="24"/>
      <c r="J7581" s="24"/>
      <c r="K7581" s="24"/>
    </row>
    <row r="7582" customFormat="false" ht="15" hidden="false" customHeight="false" outlineLevel="0" collapsed="false">
      <c r="A7582" s="5" t="s">
        <v>445</v>
      </c>
      <c r="G7582" s="20" t="n">
        <f aca="false">IF($C$7583=1,G7551,IF(G7436=MIN($G$7436:$K$7436),1,0))</f>
        <v>0</v>
      </c>
      <c r="H7582" s="20" t="n">
        <f aca="false">IF($C$7583=1,H7551,IF(AND(H7436=MIN($G$7436:$K$7436),SUM($G$7582:G7582)=0),1,0))</f>
        <v>1</v>
      </c>
      <c r="I7582" s="20" t="n">
        <f aca="false">IF($C$7583=1,I7551,IF(AND(I7436=MIN($G$7436:$K$7436),SUM($G$7582:H7582)=0),1,0))</f>
        <v>0</v>
      </c>
      <c r="J7582" s="20" t="n">
        <f aca="false">IF($C$7583=1,J7551,IF(AND(J7436=MIN($G$7436:$K$7436),SUM($G$7582:I7582)=0),1,0))</f>
        <v>0</v>
      </c>
      <c r="K7582" s="20" t="n">
        <f aca="false">IF($C$7583=1,K7551,IF(AND(K7436=MIN($G$7436:$K$7436),SUM($G$7582:J7582)=0),1,0))</f>
        <v>0</v>
      </c>
    </row>
    <row r="7583" customFormat="false" ht="15" hidden="false" customHeight="false" outlineLevel="0" collapsed="false">
      <c r="A7583" s="5" t="s">
        <v>446</v>
      </c>
      <c r="C7583" s="20" t="n">
        <f aca="false">IF(SUM($G$7551:$K$7551)&gt;0,1,0)</f>
        <v>1</v>
      </c>
    </row>
    <row r="7584" customFormat="false" ht="15" hidden="false" customHeight="false" outlineLevel="0" collapsed="false">
      <c r="A7584" s="5" t="s">
        <v>447</v>
      </c>
      <c r="C7584" s="20" t="n">
        <f aca="false">SUMPRODUCT($G$7582:$K$7582,$G$7426:$K$7426)</f>
        <v>2027</v>
      </c>
    </row>
    <row r="7585" customFormat="false" ht="15" hidden="false" customHeight="false" outlineLevel="0" collapsed="false">
      <c r="A7585" s="5" t="s">
        <v>448</v>
      </c>
      <c r="C7585" s="25" t="n">
        <f aca="false">SUMPRODUCT($G$7582:$K$7582,$G$7436:$K$7436)</f>
        <v>173.92128</v>
      </c>
    </row>
    <row r="7586" customFormat="false" ht="15" hidden="false" customHeight="false" outlineLevel="0" collapsed="false">
      <c r="A7586" s="5" t="s">
        <v>449</v>
      </c>
      <c r="C7586" s="25" t="n">
        <f aca="false">MAX(0,SUMPRODUCT($G$7582:$K$7582,$G$7548:$K$7548))</f>
        <v>0</v>
      </c>
    </row>
    <row r="7587" customFormat="false" ht="15" hidden="false" customHeight="false" outlineLevel="0" collapsed="false">
      <c r="A7587" s="5" t="s">
        <v>450</v>
      </c>
      <c r="C7587" s="25" t="n">
        <f aca="false">(CHOOSE($C$7419,Assumptions!$C$78,Assumptions!$C$97,Assumptions!$C$116)+$C$7423)*C7585</f>
        <v>695.68512</v>
      </c>
    </row>
    <row r="7588" customFormat="false" ht="15" hidden="false" customHeight="false" outlineLevel="0" collapsed="false">
      <c r="A7588" s="5" t="s">
        <v>451</v>
      </c>
      <c r="C7588" s="25" t="n">
        <f aca="false">Assumptions!$C$27*(1-CHOOSE($C$7419,Assumptions!$C$79,Assumptions!$C$98,Assumptions!$C$117))*CHOOSE($C$7419,Assumptions!$C$80,Assumptions!$C$99,Assumptions!$C$118)</f>
        <v>624</v>
      </c>
    </row>
    <row r="7589" customFormat="false" ht="15" hidden="false" customHeight="false" outlineLevel="0" collapsed="false">
      <c r="A7589" s="5" t="s">
        <v>452</v>
      </c>
      <c r="C7589" s="25" t="n">
        <f aca="false">MAX(C7587,C7588)+C7586</f>
        <v>695.68512</v>
      </c>
    </row>
    <row r="7590" customFormat="false" ht="15" hidden="false" customHeight="false" outlineLevel="0" collapsed="false">
      <c r="A7590" s="2" t="s">
        <v>453</v>
      </c>
      <c r="C7590" s="16" t="n">
        <f aca="false">IF(ISNUMBER(Assumptions!$C$14),Assumptions!$C$14,C7589)</f>
        <v>695.68512</v>
      </c>
    </row>
    <row r="7591" customFormat="false" ht="15" hidden="false" customHeight="false" outlineLevel="0" collapsed="false">
      <c r="A7591" s="5" t="s">
        <v>454</v>
      </c>
      <c r="C7591" s="25" t="n">
        <f aca="false">C7590*Assumptions!$C$15</f>
        <v>27.8274048</v>
      </c>
    </row>
    <row r="7592" customFormat="false" ht="15" hidden="false" customHeight="false" outlineLevel="0" collapsed="false">
      <c r="A7592" s="2" t="s">
        <v>455</v>
      </c>
      <c r="C7592" s="16" t="n">
        <f aca="false">C7590-C7591</f>
        <v>667.8577152</v>
      </c>
    </row>
    <row r="7593" customFormat="false" ht="15" hidden="false" customHeight="false" outlineLevel="0" collapsed="false">
      <c r="A7593" s="23" t="s">
        <v>456</v>
      </c>
      <c r="B7593" s="24"/>
      <c r="C7593" s="24"/>
      <c r="D7593" s="24"/>
      <c r="E7593" s="24"/>
      <c r="F7593" s="24"/>
      <c r="G7593" s="24"/>
      <c r="H7593" s="24"/>
      <c r="I7593" s="24"/>
      <c r="J7593" s="24"/>
      <c r="K7593" s="24"/>
    </row>
    <row r="7594" customFormat="false" ht="15" hidden="false" customHeight="false" outlineLevel="0" collapsed="false">
      <c r="A7594" s="5" t="s">
        <v>457</v>
      </c>
      <c r="C7594" s="25" t="n">
        <f aca="false">SUMPRODUCT($G$7582:$K$7582,$G$7473:$K$7473)*(1+SUMPRODUCT($G$7582:$K$7582,$G$7465:$K$7465)*Assumptions!$C$16/12)</f>
        <v>161.747435</v>
      </c>
    </row>
    <row r="7595" customFormat="false" ht="15" hidden="false" customHeight="false" outlineLevel="0" collapsed="false">
      <c r="A7595" s="5" t="s">
        <v>458</v>
      </c>
      <c r="C7595" s="25" t="n">
        <f aca="false">SUMPRODUCT($G$7582:$K$7582,$G$7486:$K$7486)*(1+SUMPRODUCT($G$7582:$K$7582,$G$7478:$K$7478)*Assumptions!$C$16/12)</f>
        <v>522.4037</v>
      </c>
    </row>
    <row r="7596" customFormat="false" ht="15" hidden="false" customHeight="false" outlineLevel="0" collapsed="false">
      <c r="A7596" s="5" t="s">
        <v>459</v>
      </c>
      <c r="C7596" s="25" t="n">
        <f aca="false">SUMPRODUCT($G$7582:$K$7582,$G$7499:$K$7499)*(1+SUMPRODUCT($G$7582:$K$7582,$G$7491:$K$7491)*Assumptions!$C$16/12)</f>
        <v>256.875</v>
      </c>
    </row>
    <row r="7597" customFormat="false" ht="15" hidden="false" customHeight="false" outlineLevel="0" collapsed="false">
      <c r="A7597" s="5" t="s">
        <v>460</v>
      </c>
      <c r="C7597" s="25" t="n">
        <f aca="false">SUMPRODUCT($G$7582:$K$7582,$G$7512:$K$7512)*(1+SUMPRODUCT($G$7582:$K$7582,$G$7504:$K$7504)*Assumptions!$C$16/12)</f>
        <v>305.625</v>
      </c>
    </row>
    <row r="7598" customFormat="false" ht="15" hidden="false" customHeight="false" outlineLevel="0" collapsed="false">
      <c r="A7598" s="23" t="s">
        <v>461</v>
      </c>
      <c r="B7598" s="24"/>
      <c r="C7598" s="24"/>
      <c r="D7598" s="24"/>
      <c r="E7598" s="24"/>
      <c r="F7598" s="24"/>
      <c r="G7598" s="24"/>
      <c r="H7598" s="24"/>
      <c r="I7598" s="24"/>
      <c r="J7598" s="24"/>
      <c r="K7598" s="24"/>
    </row>
    <row r="7599" customFormat="false" ht="15" hidden="false" customHeight="false" outlineLevel="0" collapsed="false">
      <c r="A7599" s="5" t="s">
        <v>457</v>
      </c>
      <c r="C7599" s="26" t="n">
        <f aca="false">Assumptions!$M$53</f>
        <v>1</v>
      </c>
    </row>
    <row r="7600" customFormat="false" ht="15" hidden="false" customHeight="false" outlineLevel="0" collapsed="false">
      <c r="A7600" s="5" t="s">
        <v>458</v>
      </c>
      <c r="C7600" s="26" t="n">
        <f aca="false">Assumptions!$M$54</f>
        <v>2</v>
      </c>
    </row>
    <row r="7601" customFormat="false" ht="15" hidden="false" customHeight="false" outlineLevel="0" collapsed="false">
      <c r="A7601" s="5" t="s">
        <v>459</v>
      </c>
      <c r="C7601" s="26" t="n">
        <f aca="false">Assumptions!$M$55</f>
        <v>3</v>
      </c>
    </row>
    <row r="7602" customFormat="false" ht="15" hidden="false" customHeight="false" outlineLevel="0" collapsed="false">
      <c r="A7602" s="5" t="s">
        <v>460</v>
      </c>
      <c r="C7602" s="26" t="n">
        <f aca="false">Assumptions!$M$56</f>
        <v>4</v>
      </c>
    </row>
    <row r="7603" customFormat="false" ht="15" hidden="false" customHeight="false" outlineLevel="0" collapsed="false">
      <c r="A7603" s="23" t="s">
        <v>462</v>
      </c>
      <c r="B7603" s="24"/>
      <c r="C7603" s="24"/>
      <c r="D7603" s="24"/>
      <c r="E7603" s="24"/>
      <c r="F7603" s="24"/>
      <c r="G7603" s="24"/>
      <c r="H7603" s="24"/>
      <c r="I7603" s="24"/>
      <c r="J7603" s="24"/>
      <c r="K7603" s="24"/>
    </row>
    <row r="7604" customFormat="false" ht="15" hidden="false" customHeight="false" outlineLevel="0" collapsed="false">
      <c r="A7604" s="5" t="s">
        <v>457</v>
      </c>
      <c r="C7604" s="34" t="n">
        <f aca="false">Assumptions!$Q$53</f>
        <v>0</v>
      </c>
    </row>
    <row r="7605" customFormat="false" ht="15" hidden="false" customHeight="false" outlineLevel="0" collapsed="false">
      <c r="A7605" s="5" t="s">
        <v>458</v>
      </c>
      <c r="C7605" s="34" t="n">
        <f aca="false">Assumptions!$Q$54</f>
        <v>0</v>
      </c>
    </row>
    <row r="7606" customFormat="false" ht="15" hidden="false" customHeight="false" outlineLevel="0" collapsed="false">
      <c r="A7606" s="5" t="s">
        <v>459</v>
      </c>
      <c r="C7606" s="34" t="n">
        <f aca="false">Assumptions!$Q$55</f>
        <v>0</v>
      </c>
    </row>
    <row r="7607" customFormat="false" ht="15" hidden="false" customHeight="false" outlineLevel="0" collapsed="false">
      <c r="A7607" s="5" t="s">
        <v>460</v>
      </c>
      <c r="C7607" s="34" t="n">
        <f aca="false">Assumptions!$Q$56</f>
        <v>0</v>
      </c>
    </row>
    <row r="7608" customFormat="false" ht="15" hidden="false" customHeight="false" outlineLevel="0" collapsed="false">
      <c r="A7608" s="23" t="s">
        <v>463</v>
      </c>
      <c r="B7608" s="24"/>
      <c r="C7608" s="24"/>
      <c r="D7608" s="24"/>
      <c r="E7608" s="24"/>
      <c r="F7608" s="24"/>
      <c r="G7608" s="24"/>
      <c r="H7608" s="24"/>
      <c r="I7608" s="24"/>
      <c r="J7608" s="24"/>
      <c r="K7608" s="24"/>
    </row>
    <row r="7609" customFormat="false" ht="15" hidden="false" customHeight="false" outlineLevel="0" collapsed="false">
      <c r="A7609" s="5" t="s">
        <v>457</v>
      </c>
      <c r="C7609" s="25" t="n">
        <f aca="false">IF(C7604&gt;0,MIN(C7594,C7604*$C$7592),0)</f>
        <v>0</v>
      </c>
    </row>
    <row r="7610" customFormat="false" ht="15" hidden="false" customHeight="false" outlineLevel="0" collapsed="false">
      <c r="A7610" s="5" t="s">
        <v>458</v>
      </c>
      <c r="C7610" s="25" t="n">
        <f aca="false">IF(C7605&gt;0,MIN(C7595,C7605*$C$7592),0)</f>
        <v>0</v>
      </c>
    </row>
    <row r="7611" customFormat="false" ht="15" hidden="false" customHeight="false" outlineLevel="0" collapsed="false">
      <c r="A7611" s="5" t="s">
        <v>459</v>
      </c>
      <c r="C7611" s="25" t="n">
        <f aca="false">IF(C7606&gt;0,MIN(C7596,C7606*$C$7592),0)</f>
        <v>0</v>
      </c>
    </row>
    <row r="7612" customFormat="false" ht="15" hidden="false" customHeight="false" outlineLevel="0" collapsed="false">
      <c r="A7612" s="5" t="s">
        <v>460</v>
      </c>
      <c r="C7612" s="25" t="n">
        <f aca="false">IF(C7607&gt;0,MIN(C7597,C7607*$C$7592),0)</f>
        <v>0</v>
      </c>
    </row>
    <row r="7613" customFormat="false" ht="15" hidden="false" customHeight="false" outlineLevel="0" collapsed="false">
      <c r="A7613" s="23" t="s">
        <v>464</v>
      </c>
      <c r="B7613" s="24"/>
      <c r="C7613" s="24"/>
      <c r="D7613" s="24"/>
      <c r="E7613" s="24"/>
      <c r="F7613" s="24"/>
      <c r="G7613" s="24"/>
      <c r="H7613" s="24"/>
      <c r="I7613" s="24"/>
      <c r="J7613" s="24"/>
      <c r="K7613" s="24"/>
    </row>
    <row r="7614" customFormat="false" ht="15" hidden="false" customHeight="false" outlineLevel="0" collapsed="false">
      <c r="A7614" s="5" t="s">
        <v>457</v>
      </c>
      <c r="C7614" s="25" t="n">
        <f aca="false">IF(C7604&gt;0,C7594-C7609,0)</f>
        <v>0</v>
      </c>
      <c r="G7614" s="20" t="n">
        <f aca="false">IF(AND(G7463=1,G7460=1),1,0)</f>
        <v>0</v>
      </c>
      <c r="H7614" s="20" t="n">
        <f aca="false">IF(G7614=1,1,IF(AND(H7463=1,H7460=1),1,0))</f>
        <v>1</v>
      </c>
      <c r="I7614" s="20" t="n">
        <f aca="false">IF(H7614=1,1,IF(AND(I7463=1,I7460=1),1,0))</f>
        <v>1</v>
      </c>
      <c r="J7614" s="20" t="n">
        <f aca="false">IF(I7614=1,1,IF(AND(J7463=1,J7460=1),1,0))</f>
        <v>1</v>
      </c>
      <c r="K7614" s="20" t="n">
        <f aca="false">IF(J7614=1,1,IF(AND(K7463=1,K7460=1),1,0))</f>
        <v>1</v>
      </c>
    </row>
    <row r="7615" customFormat="false" ht="15" hidden="false" customHeight="false" outlineLevel="0" collapsed="false">
      <c r="A7615" s="5" t="s">
        <v>458</v>
      </c>
      <c r="C7615" s="25" t="n">
        <f aca="false">IF(C7605&gt;0,C7595-C7610,0)</f>
        <v>0</v>
      </c>
      <c r="G7615" s="20" t="n">
        <f aca="false">IF(AND(G7476=1,G7460=1),1,0)</f>
        <v>0</v>
      </c>
      <c r="H7615" s="20" t="n">
        <f aca="false">IF(G7615=1,1,IF(AND(H7476=1,H7460=1),1,0))</f>
        <v>0</v>
      </c>
      <c r="I7615" s="20" t="n">
        <f aca="false">IF(H7615=1,1,IF(AND(I7476=1,I7460=1),1,0))</f>
        <v>1</v>
      </c>
      <c r="J7615" s="20" t="n">
        <f aca="false">IF(I7615=1,1,IF(AND(J7476=1,J7460=1),1,0))</f>
        <v>1</v>
      </c>
      <c r="K7615" s="20" t="n">
        <f aca="false">IF(J7615=1,1,IF(AND(K7476=1,K7460=1),1,0))</f>
        <v>1</v>
      </c>
    </row>
    <row r="7616" customFormat="false" ht="15" hidden="false" customHeight="false" outlineLevel="0" collapsed="false">
      <c r="A7616" s="5" t="s">
        <v>459</v>
      </c>
      <c r="C7616" s="25" t="n">
        <f aca="false">IF(C7606&gt;0,C7596-C7611,0)</f>
        <v>0</v>
      </c>
      <c r="G7616" s="20" t="n">
        <f aca="false">IF(AND(G7489=1,G7460=1),1,0)</f>
        <v>0</v>
      </c>
      <c r="H7616" s="20" t="n">
        <f aca="false">IF(G7616=1,1,IF(AND(H7489=1,H7460=1),1,0))</f>
        <v>0</v>
      </c>
      <c r="I7616" s="20" t="n">
        <f aca="false">IF(H7616=1,1,IF(AND(I7489=1,I7460=1),1,0))</f>
        <v>0</v>
      </c>
      <c r="J7616" s="20" t="n">
        <f aca="false">IF(I7616=1,1,IF(AND(J7489=1,J7460=1),1,0))</f>
        <v>1</v>
      </c>
      <c r="K7616" s="20" t="n">
        <f aca="false">IF(J7616=1,1,IF(AND(K7489=1,K7460=1),1,0))</f>
        <v>1</v>
      </c>
    </row>
    <row r="7617" customFormat="false" ht="15" hidden="false" customHeight="false" outlineLevel="0" collapsed="false">
      <c r="A7617" s="5" t="s">
        <v>460</v>
      </c>
      <c r="C7617" s="25" t="n">
        <f aca="false">IF(C7607&gt;0,C7597-C7612,0)</f>
        <v>0</v>
      </c>
      <c r="G7617" s="20" t="n">
        <f aca="false">IF(AND(G7502=1,G7460=1),1,0)</f>
        <v>0</v>
      </c>
      <c r="H7617" s="20" t="n">
        <f aca="false">IF(G7617=1,1,IF(AND(H7502=1,H7460=1),1,0))</f>
        <v>1</v>
      </c>
      <c r="I7617" s="20" t="n">
        <f aca="false">IF(H7617=1,1,IF(AND(I7502=1,I7460=1),1,0))</f>
        <v>1</v>
      </c>
      <c r="J7617" s="20" t="n">
        <f aca="false">IF(I7617=1,1,IF(AND(J7502=1,J7460=1),1,0))</f>
        <v>1</v>
      </c>
      <c r="K7617" s="20" t="n">
        <f aca="false">IF(J7617=1,1,IF(AND(K7502=1,K7460=1),1,0))</f>
        <v>1</v>
      </c>
    </row>
    <row r="7618" customFormat="false" ht="15" hidden="false" customHeight="false" outlineLevel="0" collapsed="false">
      <c r="A7618" s="23" t="s">
        <v>465</v>
      </c>
      <c r="B7618" s="24"/>
      <c r="C7618" s="24"/>
      <c r="D7618" s="24"/>
      <c r="E7618" s="24"/>
      <c r="F7618" s="24"/>
      <c r="G7618" s="24"/>
      <c r="H7618" s="24"/>
      <c r="I7618" s="24"/>
      <c r="J7618" s="24"/>
      <c r="K7618" s="24"/>
    </row>
    <row r="7619" customFormat="false" ht="15" hidden="false" customHeight="false" outlineLevel="0" collapsed="false">
      <c r="A7619" s="5" t="s">
        <v>457</v>
      </c>
      <c r="C7619" s="25" t="n">
        <f aca="false">IF(C7604&gt;0,C7614,C7594)</f>
        <v>161.747435</v>
      </c>
    </row>
    <row r="7620" customFormat="false" ht="15" hidden="false" customHeight="false" outlineLevel="0" collapsed="false">
      <c r="A7620" s="5" t="s">
        <v>458</v>
      </c>
      <c r="C7620" s="25" t="n">
        <f aca="false">IF(C7605&gt;0,C7615,C7595)</f>
        <v>522.4037</v>
      </c>
    </row>
    <row r="7621" customFormat="false" ht="15" hidden="false" customHeight="false" outlineLevel="0" collapsed="false">
      <c r="A7621" s="5" t="s">
        <v>459</v>
      </c>
      <c r="C7621" s="25" t="n">
        <f aca="false">IF(C7606&gt;0,C7616,C7596)</f>
        <v>256.875</v>
      </c>
    </row>
    <row r="7622" customFormat="false" ht="15" hidden="false" customHeight="false" outlineLevel="0" collapsed="false">
      <c r="A7622" s="5" t="s">
        <v>460</v>
      </c>
      <c r="C7622" s="25" t="n">
        <f aca="false">IF(C7607&gt;0,C7617,C7597)</f>
        <v>305.625</v>
      </c>
    </row>
    <row r="7623" customFormat="false" ht="15" hidden="false" customHeight="false" outlineLevel="0" collapsed="false">
      <c r="A7623" s="23" t="s">
        <v>466</v>
      </c>
      <c r="B7623" s="24"/>
      <c r="C7623" s="24"/>
      <c r="D7623" s="24"/>
      <c r="E7623" s="24"/>
      <c r="F7623" s="24"/>
      <c r="G7623" s="24"/>
      <c r="H7623" s="24"/>
      <c r="I7623" s="24"/>
      <c r="J7623" s="24"/>
      <c r="K7623" s="24"/>
    </row>
    <row r="7624" customFormat="false" ht="15" hidden="false" customHeight="false" outlineLevel="0" collapsed="false">
      <c r="A7624" s="5" t="s">
        <v>457</v>
      </c>
      <c r="C7624" s="20" t="n">
        <f aca="false">IF(C7604&gt;0,Assumptions!$C$17,C7599)</f>
        <v>1</v>
      </c>
    </row>
    <row r="7625" customFormat="false" ht="15" hidden="false" customHeight="false" outlineLevel="0" collapsed="false">
      <c r="A7625" s="5" t="s">
        <v>458</v>
      </c>
      <c r="C7625" s="20" t="n">
        <f aca="false">IF(C7605&gt;0,Assumptions!$C$17,C7600)</f>
        <v>2</v>
      </c>
    </row>
    <row r="7626" customFormat="false" ht="15" hidden="false" customHeight="false" outlineLevel="0" collapsed="false">
      <c r="A7626" s="5" t="s">
        <v>459</v>
      </c>
      <c r="C7626" s="20" t="n">
        <f aca="false">IF(C7606&gt;0,Assumptions!$C$17,C7601)</f>
        <v>3</v>
      </c>
    </row>
    <row r="7627" customFormat="false" ht="15" hidden="false" customHeight="false" outlineLevel="0" collapsed="false">
      <c r="A7627" s="5" t="s">
        <v>460</v>
      </c>
      <c r="C7627" s="20" t="n">
        <f aca="false">IF(C7607&gt;0,Assumptions!$C$17,C7602)</f>
        <v>4</v>
      </c>
    </row>
    <row r="7628" customFormat="false" ht="15" hidden="false" customHeight="false" outlineLevel="0" collapsed="false">
      <c r="A7628" s="23" t="s">
        <v>467</v>
      </c>
      <c r="B7628" s="24"/>
      <c r="C7628" s="24"/>
      <c r="D7628" s="24"/>
      <c r="E7628" s="24"/>
      <c r="F7628" s="24"/>
      <c r="G7628" s="24"/>
      <c r="H7628" s="24"/>
      <c r="I7628" s="24"/>
      <c r="J7628" s="24"/>
      <c r="K7628" s="24"/>
    </row>
    <row r="7629" customFormat="false" ht="15" hidden="false" customHeight="false" outlineLevel="0" collapsed="false">
      <c r="A7629" s="5" t="s">
        <v>457</v>
      </c>
      <c r="C7629" s="25" t="n">
        <f aca="false">SUMPRODUCT(($C$7624:$C$7627&lt;C7624)*$C$7619:$C$7622)</f>
        <v>0</v>
      </c>
    </row>
    <row r="7630" customFormat="false" ht="15" hidden="false" customHeight="false" outlineLevel="0" collapsed="false">
      <c r="A7630" s="5" t="s">
        <v>458</v>
      </c>
      <c r="C7630" s="25" t="n">
        <f aca="false">SUMPRODUCT(($C$7624:$C$7627&lt;C7625)*$C$7619:$C$7622)</f>
        <v>161.747435</v>
      </c>
    </row>
    <row r="7631" customFormat="false" ht="15" hidden="false" customHeight="false" outlineLevel="0" collapsed="false">
      <c r="A7631" s="5" t="s">
        <v>459</v>
      </c>
      <c r="C7631" s="25" t="n">
        <f aca="false">SUMPRODUCT(($C$7624:$C$7627&lt;C7626)*$C$7619:$C$7622)</f>
        <v>684.151135</v>
      </c>
    </row>
    <row r="7632" customFormat="false" ht="15" hidden="false" customHeight="false" outlineLevel="0" collapsed="false">
      <c r="A7632" s="5" t="s">
        <v>460</v>
      </c>
      <c r="C7632" s="25" t="n">
        <f aca="false">SUMPRODUCT(($C$7624:$C$7627&lt;C7627)*$C$7619:$C$7622)</f>
        <v>941.026135</v>
      </c>
    </row>
    <row r="7633" customFormat="false" ht="15" hidden="false" customHeight="false" outlineLevel="0" collapsed="false">
      <c r="A7633" s="23" t="s">
        <v>468</v>
      </c>
      <c r="B7633" s="24"/>
      <c r="C7633" s="24"/>
      <c r="D7633" s="24"/>
      <c r="E7633" s="24"/>
      <c r="F7633" s="24"/>
      <c r="G7633" s="24"/>
      <c r="H7633" s="24"/>
      <c r="I7633" s="24"/>
      <c r="J7633" s="24"/>
      <c r="K7633" s="24"/>
    </row>
    <row r="7634" customFormat="false" ht="15" hidden="false" customHeight="false" outlineLevel="0" collapsed="false">
      <c r="A7634" s="5" t="s">
        <v>457</v>
      </c>
      <c r="C7634" s="25" t="n">
        <f aca="false">SUMPRODUCT(($C$7624:$C$7627=C7624)*$C$7619:$C$7622)</f>
        <v>161.747435</v>
      </c>
    </row>
    <row r="7635" customFormat="false" ht="15" hidden="false" customHeight="false" outlineLevel="0" collapsed="false">
      <c r="A7635" s="5" t="s">
        <v>458</v>
      </c>
      <c r="C7635" s="25" t="n">
        <f aca="false">SUMPRODUCT(($C$7624:$C$7627=C7625)*$C$7619:$C$7622)</f>
        <v>522.4037</v>
      </c>
    </row>
    <row r="7636" customFormat="false" ht="15" hidden="false" customHeight="false" outlineLevel="0" collapsed="false">
      <c r="A7636" s="5" t="s">
        <v>459</v>
      </c>
      <c r="C7636" s="25" t="n">
        <f aca="false">SUMPRODUCT(($C$7624:$C$7627=C7626)*$C$7619:$C$7622)</f>
        <v>256.875</v>
      </c>
    </row>
    <row r="7637" customFormat="false" ht="15" hidden="false" customHeight="false" outlineLevel="0" collapsed="false">
      <c r="A7637" s="5" t="s">
        <v>460</v>
      </c>
      <c r="C7637" s="25" t="n">
        <f aca="false">SUMPRODUCT(($C$7624:$C$7627=C7627)*$C$7619:$C$7622)</f>
        <v>305.625</v>
      </c>
    </row>
    <row r="7638" customFormat="false" ht="15" hidden="false" customHeight="false" outlineLevel="0" collapsed="false">
      <c r="A7638" s="23" t="s">
        <v>469</v>
      </c>
      <c r="B7638" s="24"/>
      <c r="C7638" s="24"/>
      <c r="D7638" s="24"/>
      <c r="E7638" s="24"/>
      <c r="F7638" s="24"/>
      <c r="G7638" s="24"/>
      <c r="H7638" s="24"/>
      <c r="I7638" s="24"/>
      <c r="J7638" s="24"/>
      <c r="K7638" s="24"/>
    </row>
    <row r="7639" customFormat="false" ht="15" hidden="false" customHeight="false" outlineLevel="0" collapsed="false">
      <c r="A7639" s="5" t="s">
        <v>457</v>
      </c>
      <c r="C7639" s="25" t="n">
        <f aca="false">IF(C7634=0,0,C7619/C7634*MAX(0,MIN(C7634,$C$7592-SUM($C$7609:$C$7612)-C7629)))</f>
        <v>161.747435</v>
      </c>
    </row>
    <row r="7640" customFormat="false" ht="15" hidden="false" customHeight="false" outlineLevel="0" collapsed="false">
      <c r="A7640" s="5" t="s">
        <v>458</v>
      </c>
      <c r="C7640" s="25" t="n">
        <f aca="false">IF(C7635=0,0,C7620/C7635*MAX(0,MIN(C7635,$C$7592-SUM($C$7609:$C$7612)-C7630)))</f>
        <v>506.1102802</v>
      </c>
    </row>
    <row r="7641" customFormat="false" ht="15" hidden="false" customHeight="false" outlineLevel="0" collapsed="false">
      <c r="A7641" s="5" t="s">
        <v>459</v>
      </c>
      <c r="C7641" s="25" t="n">
        <f aca="false">IF(C7636=0,0,C7621/C7636*MAX(0,MIN(C7636,$C$7592-SUM($C$7609:$C$7612)-C7631)))</f>
        <v>0</v>
      </c>
    </row>
    <row r="7642" customFormat="false" ht="15" hidden="false" customHeight="false" outlineLevel="0" collapsed="false">
      <c r="A7642" s="5" t="s">
        <v>460</v>
      </c>
      <c r="C7642" s="25" t="n">
        <f aca="false">IF(C7637=0,0,C7622/C7637*MAX(0,MIN(C7637,$C$7592-SUM($C$7609:$C$7612)-C7632)))</f>
        <v>0</v>
      </c>
    </row>
    <row r="7643" customFormat="false" ht="15" hidden="false" customHeight="false" outlineLevel="0" collapsed="false">
      <c r="A7643" s="23" t="s">
        <v>470</v>
      </c>
      <c r="B7643" s="24"/>
      <c r="C7643" s="24"/>
      <c r="D7643" s="24"/>
      <c r="E7643" s="24"/>
      <c r="F7643" s="24"/>
      <c r="G7643" s="24"/>
      <c r="H7643" s="24"/>
      <c r="I7643" s="24"/>
      <c r="J7643" s="24"/>
      <c r="K7643" s="24"/>
    </row>
    <row r="7644" customFormat="false" ht="15" hidden="false" customHeight="false" outlineLevel="0" collapsed="false">
      <c r="A7644" s="2" t="s">
        <v>457</v>
      </c>
      <c r="C7644" s="16" t="n">
        <f aca="false">C7609+C7639</f>
        <v>161.747435</v>
      </c>
    </row>
    <row r="7645" customFormat="false" ht="15" hidden="false" customHeight="false" outlineLevel="0" collapsed="false">
      <c r="A7645" s="2" t="s">
        <v>458</v>
      </c>
      <c r="C7645" s="16" t="n">
        <f aca="false">C7610+C7640</f>
        <v>506.1102802</v>
      </c>
    </row>
    <row r="7646" customFormat="false" ht="15" hidden="false" customHeight="false" outlineLevel="0" collapsed="false">
      <c r="A7646" s="2" t="s">
        <v>459</v>
      </c>
      <c r="C7646" s="16" t="n">
        <f aca="false">C7611+C7641</f>
        <v>0</v>
      </c>
    </row>
    <row r="7647" customFormat="false" ht="15" hidden="false" customHeight="false" outlineLevel="0" collapsed="false">
      <c r="A7647" s="2" t="s">
        <v>460</v>
      </c>
      <c r="C7647" s="16" t="n">
        <f aca="false">C7612+C7642</f>
        <v>0</v>
      </c>
    </row>
    <row r="7648" customFormat="false" ht="15" hidden="false" customHeight="false" outlineLevel="0" collapsed="false">
      <c r="A7648" s="23" t="s">
        <v>471</v>
      </c>
      <c r="B7648" s="24"/>
      <c r="C7648" s="24"/>
      <c r="D7648" s="24"/>
      <c r="E7648" s="24"/>
      <c r="F7648" s="24"/>
      <c r="G7648" s="24"/>
      <c r="H7648" s="24"/>
      <c r="I7648" s="24"/>
      <c r="J7648" s="24"/>
      <c r="K7648" s="24"/>
    </row>
    <row r="7649" customFormat="false" ht="15" hidden="false" customHeight="false" outlineLevel="0" collapsed="false">
      <c r="A7649" s="5" t="s">
        <v>457</v>
      </c>
      <c r="C7649" s="21" t="n">
        <f aca="false">IF(C7594=0,1,C7644/C7594)</f>
        <v>1</v>
      </c>
    </row>
    <row r="7650" customFormat="false" ht="15" hidden="false" customHeight="false" outlineLevel="0" collapsed="false">
      <c r="A7650" s="5" t="s">
        <v>458</v>
      </c>
      <c r="C7650" s="21" t="n">
        <f aca="false">IF(C7595=0,1,C7645/C7595)</f>
        <v>0.968810673048449</v>
      </c>
    </row>
    <row r="7651" customFormat="false" ht="15" hidden="false" customHeight="false" outlineLevel="0" collapsed="false">
      <c r="A7651" s="5" t="s">
        <v>459</v>
      </c>
      <c r="C7651" s="21" t="n">
        <f aca="false">IF(C7596=0,1,C7646/C7596)</f>
        <v>0</v>
      </c>
    </row>
    <row r="7652" customFormat="false" ht="15" hidden="false" customHeight="false" outlineLevel="0" collapsed="false">
      <c r="A7652" s="5" t="s">
        <v>460</v>
      </c>
      <c r="C7652" s="21" t="n">
        <f aca="false">IF(C7597=0,1,C7647/C7597)</f>
        <v>0</v>
      </c>
    </row>
    <row r="7653" customFormat="false" ht="15" hidden="false" customHeight="false" outlineLevel="0" collapsed="false">
      <c r="A7653" s="23" t="s">
        <v>472</v>
      </c>
      <c r="B7653" s="24"/>
      <c r="C7653" s="24"/>
      <c r="D7653" s="24"/>
      <c r="E7653" s="24"/>
      <c r="F7653" s="24"/>
      <c r="G7653" s="24"/>
      <c r="H7653" s="24"/>
      <c r="I7653" s="24"/>
      <c r="J7653" s="24"/>
      <c r="K7653" s="24"/>
    </row>
    <row r="7654" customFormat="false" ht="15" hidden="false" customHeight="false" outlineLevel="0" collapsed="false">
      <c r="A7654" s="5" t="s">
        <v>457</v>
      </c>
      <c r="C7654" s="25" t="n">
        <f aca="false">C7594-C7644</f>
        <v>0</v>
      </c>
    </row>
    <row r="7655" customFormat="false" ht="15" hidden="false" customHeight="false" outlineLevel="0" collapsed="false">
      <c r="A7655" s="5" t="s">
        <v>458</v>
      </c>
      <c r="C7655" s="25" t="n">
        <f aca="false">C7595-C7645</f>
        <v>16.2934197999998</v>
      </c>
    </row>
    <row r="7656" customFormat="false" ht="15" hidden="false" customHeight="false" outlineLevel="0" collapsed="false">
      <c r="A7656" s="5" t="s">
        <v>459</v>
      </c>
      <c r="C7656" s="25" t="n">
        <f aca="false">C7596-C7646</f>
        <v>256.875</v>
      </c>
    </row>
    <row r="7657" customFormat="false" ht="15" hidden="false" customHeight="false" outlineLevel="0" collapsed="false">
      <c r="A7657" s="5" t="s">
        <v>460</v>
      </c>
      <c r="C7657" s="25" t="n">
        <f aca="false">C7597-C7647</f>
        <v>305.625</v>
      </c>
    </row>
    <row r="7658" customFormat="false" ht="15" hidden="false" customHeight="false" outlineLevel="0" collapsed="false">
      <c r="A7658" s="23" t="s">
        <v>473</v>
      </c>
      <c r="B7658" s="24"/>
      <c r="C7658" s="24"/>
      <c r="D7658" s="24"/>
      <c r="E7658" s="24"/>
      <c r="F7658" s="24"/>
      <c r="G7658" s="24"/>
      <c r="H7658" s="24"/>
      <c r="I7658" s="24"/>
      <c r="J7658" s="24"/>
      <c r="K7658" s="24"/>
    </row>
    <row r="7659" customFormat="false" ht="15" hidden="false" customHeight="false" outlineLevel="0" collapsed="false">
      <c r="A7659" s="5" t="s">
        <v>457</v>
      </c>
      <c r="C7659" s="21" t="n">
        <f aca="false">IF(C7594=0,0,C7654/C7594)</f>
        <v>0</v>
      </c>
    </row>
    <row r="7660" customFormat="false" ht="15" hidden="false" customHeight="false" outlineLevel="0" collapsed="false">
      <c r="A7660" s="5" t="s">
        <v>458</v>
      </c>
      <c r="C7660" s="21" t="n">
        <f aca="false">IF(C7595=0,0,C7655/C7595)</f>
        <v>0.0311893269515507</v>
      </c>
    </row>
    <row r="7661" customFormat="false" ht="15" hidden="false" customHeight="false" outlineLevel="0" collapsed="false">
      <c r="A7661" s="5" t="s">
        <v>459</v>
      </c>
      <c r="C7661" s="21" t="n">
        <f aca="false">IF(C7596=0,0,C7656/C7596)</f>
        <v>1</v>
      </c>
    </row>
    <row r="7662" customFormat="false" ht="15" hidden="false" customHeight="false" outlineLevel="0" collapsed="false">
      <c r="A7662" s="5" t="s">
        <v>460</v>
      </c>
      <c r="C7662" s="21" t="n">
        <f aca="false">IF(C7597=0,0,C7657/C7597)</f>
        <v>1</v>
      </c>
    </row>
    <row r="7663" customFormat="false" ht="15" hidden="false" customHeight="false" outlineLevel="0" collapsed="false">
      <c r="A7663" s="2" t="s">
        <v>474</v>
      </c>
      <c r="C7663" s="16" t="n">
        <f aca="false">MAX(0,$C$7592-SUM($C$7609:$C$7612)-SUM($C$7619:$C$7622))</f>
        <v>0</v>
      </c>
    </row>
    <row r="7664" customFormat="false" ht="15" hidden="false" customHeight="false" outlineLevel="0" collapsed="false">
      <c r="A7664" s="5" t="s">
        <v>475</v>
      </c>
      <c r="C7664" s="25" t="n">
        <f aca="false">SUM($C$7644:$C$7647)+C7663+C7591-C7590</f>
        <v>0</v>
      </c>
    </row>
    <row r="7666" customFormat="false" ht="15" hidden="false" customHeight="false" outlineLevel="0" collapsed="false">
      <c r="A7666" s="23" t="s">
        <v>478</v>
      </c>
      <c r="B7666" s="24"/>
      <c r="C7666" s="24"/>
      <c r="D7666" s="24"/>
      <c r="E7666" s="24"/>
      <c r="F7666" s="24"/>
      <c r="G7666" s="24"/>
      <c r="H7666" s="24"/>
      <c r="I7666" s="24"/>
      <c r="J7666" s="24"/>
      <c r="K7666" s="24"/>
    </row>
    <row r="7667" customFormat="false" ht="15" hidden="false" customHeight="false" outlineLevel="0" collapsed="false">
      <c r="A7667" s="5" t="s">
        <v>479</v>
      </c>
      <c r="C7667" s="26" t="n">
        <f aca="false">Assumptions!$C$30</f>
        <v>2</v>
      </c>
    </row>
    <row r="7668" customFormat="false" ht="15" hidden="false" customHeight="false" outlineLevel="0" collapsed="false">
      <c r="A7668" s="5" t="s">
        <v>480</v>
      </c>
      <c r="C7668" s="28" t="n">
        <f aca="false">Assumptions!$C$31</f>
        <v>100</v>
      </c>
    </row>
    <row r="7669" customFormat="false" ht="15" hidden="false" customHeight="false" outlineLevel="0" collapsed="false">
      <c r="A7669" s="5" t="s">
        <v>481</v>
      </c>
      <c r="C7669" s="39" t="n">
        <f aca="false">Assumptions!$C$32</f>
        <v>78</v>
      </c>
    </row>
    <row r="7670" customFormat="false" ht="15" hidden="false" customHeight="false" outlineLevel="0" collapsed="false">
      <c r="A7670" s="5" t="s">
        <v>482</v>
      </c>
      <c r="C7670" s="25" t="n">
        <f aca="false">C7668*C7669/100*(1+Assumptions!$C$33)</f>
        <v>78.39</v>
      </c>
    </row>
    <row r="7671" customFormat="false" ht="15" hidden="false" customHeight="false" outlineLevel="0" collapsed="false">
      <c r="A7671" s="5" t="s">
        <v>483</v>
      </c>
      <c r="C7671" s="26" t="n">
        <f aca="false">Assumptions!$C$34</f>
        <v>2</v>
      </c>
    </row>
    <row r="7672" customFormat="false" ht="15" hidden="false" customHeight="false" outlineLevel="0" collapsed="false">
      <c r="A7672" s="5" t="s">
        <v>484</v>
      </c>
      <c r="C7672" s="20" t="n">
        <f aca="false">IF(C7583=1,SUMPRODUCT($G$7551:$K$7551,$G$7427:$K$7427),0)</f>
        <v>2</v>
      </c>
    </row>
    <row r="7673" customFormat="false" ht="15" hidden="false" customHeight="false" outlineLevel="0" collapsed="false">
      <c r="A7673" s="5" t="s">
        <v>485</v>
      </c>
      <c r="C7673" s="21" t="n">
        <f aca="false">IFERROR(C7668/CHOOSE(C7667,SUMPRODUCT($G$7582:$K$7582,$G$7473:$K$7473),SUMPRODUCT($G$7582:$K$7582,$G$7486:$K$7486),SUMPRODUCT($G$7582:$K$7582,$G$7499:$K$7499),SUMPRODUCT($G$7582:$K$7582,$G$7512:$K$7512)),0)</f>
        <v>0.196232339089482</v>
      </c>
    </row>
    <row r="7674" customFormat="false" ht="15" hidden="false" customHeight="false" outlineLevel="0" collapsed="false">
      <c r="A7674" s="5" t="s">
        <v>486</v>
      </c>
      <c r="C7674" s="25" t="n">
        <f aca="false">CHOOSE(C7667,C7644,C7645,C7646,C7647)*C7673</f>
        <v>99.3152041208792</v>
      </c>
    </row>
    <row r="7675" customFormat="false" ht="15" hidden="false" customHeight="false" outlineLevel="0" collapsed="false">
      <c r="A7675" s="5" t="s">
        <v>487</v>
      </c>
      <c r="C7675" s="21" t="n">
        <f aca="false">CHOOSE(C7667,C7649,C7650,C7651,C7652)</f>
        <v>0.968810673048449</v>
      </c>
    </row>
    <row r="7676" customFormat="false" ht="15" hidden="false" customHeight="false" outlineLevel="0" collapsed="false">
      <c r="A7676" s="5" t="s">
        <v>488</v>
      </c>
      <c r="C7676" s="20" t="n">
        <f aca="false">IF(C7583=1,C7672,C7671)</f>
        <v>2</v>
      </c>
    </row>
    <row r="7677" customFormat="false" ht="15" hidden="false" customHeight="false" outlineLevel="0" collapsed="false">
      <c r="A7677" s="5" t="s">
        <v>489</v>
      </c>
      <c r="C7677" s="33" t="n">
        <f aca="false">CHOOSE($C$7419,Assumptions!$C$77,Assumptions!$C$96,Assumptions!$C$115)</f>
        <v>100</v>
      </c>
    </row>
    <row r="7678" customFormat="false" ht="15" hidden="false" customHeight="false" outlineLevel="0" collapsed="false">
      <c r="A7678" s="5" t="s">
        <v>490</v>
      </c>
      <c r="C7678" s="25" t="n">
        <f aca="false">INDEX($G$7436:$K$7436,C7671)*CHOOSE($C$7419,Assumptions!$C$76,Assumptions!$C$95,Assumptions!$C$114)+MAX(0,INDEX($G$7548:$K$7548,C7671))</f>
        <v>1130.48832</v>
      </c>
    </row>
    <row r="7679" customFormat="false" ht="15" hidden="false" customHeight="false" outlineLevel="0" collapsed="false">
      <c r="A7679" s="23" t="s">
        <v>491</v>
      </c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</row>
    <row r="7680" customFormat="false" ht="15" hidden="false" customHeight="false" outlineLevel="0" collapsed="false">
      <c r="A7680" s="5" t="s">
        <v>457</v>
      </c>
      <c r="C7680" s="25" t="n">
        <f aca="false">INDEX($G$7473:$K$7473,C7671)</f>
        <v>158.44</v>
      </c>
    </row>
    <row r="7681" customFormat="false" ht="15" hidden="false" customHeight="false" outlineLevel="0" collapsed="false">
      <c r="A7681" s="5" t="s">
        <v>458</v>
      </c>
      <c r="C7681" s="25" t="n">
        <f aca="false">INDEX($G$7486:$K$7486,C7671)</f>
        <v>509.6</v>
      </c>
    </row>
    <row r="7682" customFormat="false" ht="15" hidden="false" customHeight="false" outlineLevel="0" collapsed="false">
      <c r="A7682" s="5" t="s">
        <v>459</v>
      </c>
      <c r="C7682" s="25" t="n">
        <f aca="false">INDEX($G$7499:$K$7499,C7671)</f>
        <v>250</v>
      </c>
    </row>
    <row r="7683" customFormat="false" ht="15" hidden="false" customHeight="false" outlineLevel="0" collapsed="false">
      <c r="A7683" s="5" t="s">
        <v>460</v>
      </c>
      <c r="C7683" s="25" t="n">
        <f aca="false">INDEX($G$7512:$K$7512,C7671)</f>
        <v>300</v>
      </c>
    </row>
    <row r="7684" customFormat="false" ht="15" hidden="false" customHeight="false" outlineLevel="0" collapsed="false">
      <c r="A7684" s="23" t="s">
        <v>461</v>
      </c>
      <c r="B7684" s="24"/>
      <c r="C7684" s="24"/>
      <c r="D7684" s="24"/>
      <c r="E7684" s="24"/>
      <c r="F7684" s="24"/>
      <c r="G7684" s="24"/>
      <c r="H7684" s="24"/>
      <c r="I7684" s="24"/>
      <c r="J7684" s="24"/>
      <c r="K7684" s="24"/>
    </row>
    <row r="7685" customFormat="false" ht="15" hidden="false" customHeight="false" outlineLevel="0" collapsed="false">
      <c r="A7685" s="5" t="s">
        <v>457</v>
      </c>
      <c r="C7685" s="26" t="n">
        <f aca="false">Assumptions!$M$53</f>
        <v>1</v>
      </c>
    </row>
    <row r="7686" customFormat="false" ht="15" hidden="false" customHeight="false" outlineLevel="0" collapsed="false">
      <c r="A7686" s="5" t="s">
        <v>458</v>
      </c>
      <c r="C7686" s="26" t="n">
        <f aca="false">Assumptions!$M$54</f>
        <v>2</v>
      </c>
    </row>
    <row r="7687" customFormat="false" ht="15" hidden="false" customHeight="false" outlineLevel="0" collapsed="false">
      <c r="A7687" s="5" t="s">
        <v>459</v>
      </c>
      <c r="C7687" s="26" t="n">
        <f aca="false">Assumptions!$M$55</f>
        <v>3</v>
      </c>
    </row>
    <row r="7688" customFormat="false" ht="15" hidden="false" customHeight="false" outlineLevel="0" collapsed="false">
      <c r="A7688" s="5" t="s">
        <v>460</v>
      </c>
      <c r="C7688" s="26" t="n">
        <f aca="false">Assumptions!$M$56</f>
        <v>4</v>
      </c>
    </row>
    <row r="7689" customFormat="false" ht="15" hidden="false" customHeight="false" outlineLevel="0" collapsed="false">
      <c r="A7689" s="23" t="s">
        <v>462</v>
      </c>
      <c r="B7689" s="24"/>
      <c r="C7689" s="24"/>
      <c r="D7689" s="24"/>
      <c r="E7689" s="24"/>
      <c r="F7689" s="24"/>
      <c r="G7689" s="24"/>
      <c r="H7689" s="24"/>
      <c r="I7689" s="24"/>
      <c r="J7689" s="24"/>
      <c r="K7689" s="24"/>
    </row>
    <row r="7690" customFormat="false" ht="15" hidden="false" customHeight="false" outlineLevel="0" collapsed="false">
      <c r="A7690" s="5" t="s">
        <v>457</v>
      </c>
      <c r="C7690" s="34" t="n">
        <f aca="false">Assumptions!$Q$53</f>
        <v>0</v>
      </c>
    </row>
    <row r="7691" customFormat="false" ht="15" hidden="false" customHeight="false" outlineLevel="0" collapsed="false">
      <c r="A7691" s="5" t="s">
        <v>458</v>
      </c>
      <c r="C7691" s="34" t="n">
        <f aca="false">Assumptions!$Q$54</f>
        <v>0</v>
      </c>
    </row>
    <row r="7692" customFormat="false" ht="15" hidden="false" customHeight="false" outlineLevel="0" collapsed="false">
      <c r="A7692" s="5" t="s">
        <v>459</v>
      </c>
      <c r="C7692" s="34" t="n">
        <f aca="false">Assumptions!$Q$55</f>
        <v>0</v>
      </c>
    </row>
    <row r="7693" customFormat="false" ht="15" hidden="false" customHeight="false" outlineLevel="0" collapsed="false">
      <c r="A7693" s="5" t="s">
        <v>460</v>
      </c>
      <c r="C7693" s="34" t="n">
        <f aca="false">Assumptions!$Q$56</f>
        <v>0</v>
      </c>
    </row>
    <row r="7694" customFormat="false" ht="15" hidden="false" customHeight="false" outlineLevel="0" collapsed="false">
      <c r="A7694" s="23" t="s">
        <v>463</v>
      </c>
      <c r="B7694" s="24"/>
      <c r="C7694" s="24"/>
      <c r="D7694" s="24"/>
      <c r="E7694" s="24"/>
      <c r="F7694" s="24"/>
      <c r="G7694" s="24"/>
      <c r="H7694" s="24"/>
      <c r="I7694" s="24"/>
      <c r="J7694" s="24"/>
      <c r="K7694" s="24"/>
    </row>
    <row r="7695" customFormat="false" ht="15" hidden="false" customHeight="false" outlineLevel="0" collapsed="false">
      <c r="A7695" s="5" t="s">
        <v>457</v>
      </c>
      <c r="C7695" s="25" t="n">
        <f aca="false">IF(C7690&gt;0,MIN(C7680,C7690*$C$7678),0)</f>
        <v>0</v>
      </c>
    </row>
    <row r="7696" customFormat="false" ht="15" hidden="false" customHeight="false" outlineLevel="0" collapsed="false">
      <c r="A7696" s="5" t="s">
        <v>458</v>
      </c>
      <c r="C7696" s="25" t="n">
        <f aca="false">IF(C7691&gt;0,MIN(C7681,C7691*$C$7678),0)</f>
        <v>0</v>
      </c>
    </row>
    <row r="7697" customFormat="false" ht="15" hidden="false" customHeight="false" outlineLevel="0" collapsed="false">
      <c r="A7697" s="5" t="s">
        <v>459</v>
      </c>
      <c r="C7697" s="25" t="n">
        <f aca="false">IF(C7692&gt;0,MIN(C7682,C7692*$C$7678),0)</f>
        <v>0</v>
      </c>
    </row>
    <row r="7698" customFormat="false" ht="15" hidden="false" customHeight="false" outlineLevel="0" collapsed="false">
      <c r="A7698" s="5" t="s">
        <v>460</v>
      </c>
      <c r="C7698" s="25" t="n">
        <f aca="false">IF(C7693&gt;0,MIN(C7683,C7693*$C$7678),0)</f>
        <v>0</v>
      </c>
    </row>
    <row r="7699" customFormat="false" ht="15" hidden="false" customHeight="false" outlineLevel="0" collapsed="false">
      <c r="A7699" s="23" t="s">
        <v>464</v>
      </c>
      <c r="B7699" s="24"/>
      <c r="C7699" s="24"/>
      <c r="D7699" s="24"/>
      <c r="E7699" s="24"/>
      <c r="F7699" s="24"/>
      <c r="G7699" s="24"/>
      <c r="H7699" s="24"/>
      <c r="I7699" s="24"/>
      <c r="J7699" s="24"/>
      <c r="K7699" s="24"/>
    </row>
    <row r="7700" customFormat="false" ht="15" hidden="false" customHeight="false" outlineLevel="0" collapsed="false">
      <c r="A7700" s="5" t="s">
        <v>457</v>
      </c>
      <c r="C7700" s="25" t="n">
        <f aca="false">IF(C7690&gt;0,C7680-C7695,0)</f>
        <v>0</v>
      </c>
    </row>
    <row r="7701" customFormat="false" ht="15" hidden="false" customHeight="false" outlineLevel="0" collapsed="false">
      <c r="A7701" s="5" t="s">
        <v>458</v>
      </c>
      <c r="C7701" s="25" t="n">
        <f aca="false">IF(C7691&gt;0,C7681-C7696,0)</f>
        <v>0</v>
      </c>
    </row>
    <row r="7702" customFormat="false" ht="15" hidden="false" customHeight="false" outlineLevel="0" collapsed="false">
      <c r="A7702" s="5" t="s">
        <v>459</v>
      </c>
      <c r="C7702" s="25" t="n">
        <f aca="false">IF(C7692&gt;0,C7682-C7697,0)</f>
        <v>0</v>
      </c>
    </row>
    <row r="7703" customFormat="false" ht="15" hidden="false" customHeight="false" outlineLevel="0" collapsed="false">
      <c r="A7703" s="5" t="s">
        <v>460</v>
      </c>
      <c r="C7703" s="25" t="n">
        <f aca="false">IF(C7693&gt;0,C7683-C7698,0)</f>
        <v>0</v>
      </c>
    </row>
    <row r="7704" customFormat="false" ht="15" hidden="false" customHeight="false" outlineLevel="0" collapsed="false">
      <c r="A7704" s="23" t="s">
        <v>465</v>
      </c>
      <c r="B7704" s="24"/>
      <c r="C7704" s="24"/>
      <c r="D7704" s="24"/>
      <c r="E7704" s="24"/>
      <c r="F7704" s="24"/>
      <c r="G7704" s="24"/>
      <c r="H7704" s="24"/>
      <c r="I7704" s="24"/>
      <c r="J7704" s="24"/>
      <c r="K7704" s="24"/>
    </row>
    <row r="7705" customFormat="false" ht="15" hidden="false" customHeight="false" outlineLevel="0" collapsed="false">
      <c r="A7705" s="5" t="s">
        <v>457</v>
      </c>
      <c r="C7705" s="25" t="n">
        <f aca="false">IF(C7690&gt;0,C7700,C7680)</f>
        <v>158.44</v>
      </c>
    </row>
    <row r="7706" customFormat="false" ht="15" hidden="false" customHeight="false" outlineLevel="0" collapsed="false">
      <c r="A7706" s="5" t="s">
        <v>458</v>
      </c>
      <c r="C7706" s="25" t="n">
        <f aca="false">IF(C7691&gt;0,C7701,C7681)</f>
        <v>509.6</v>
      </c>
    </row>
    <row r="7707" customFormat="false" ht="15" hidden="false" customHeight="false" outlineLevel="0" collapsed="false">
      <c r="A7707" s="5" t="s">
        <v>459</v>
      </c>
      <c r="C7707" s="25" t="n">
        <f aca="false">IF(C7692&gt;0,C7702,C7682)</f>
        <v>250</v>
      </c>
    </row>
    <row r="7708" customFormat="false" ht="15" hidden="false" customHeight="false" outlineLevel="0" collapsed="false">
      <c r="A7708" s="5" t="s">
        <v>460</v>
      </c>
      <c r="C7708" s="25" t="n">
        <f aca="false">IF(C7693&gt;0,C7703,C7683)</f>
        <v>300</v>
      </c>
    </row>
    <row r="7709" customFormat="false" ht="15" hidden="false" customHeight="false" outlineLevel="0" collapsed="false">
      <c r="A7709" s="23" t="s">
        <v>466</v>
      </c>
      <c r="B7709" s="24"/>
      <c r="C7709" s="24"/>
      <c r="D7709" s="24"/>
      <c r="E7709" s="24"/>
      <c r="F7709" s="24"/>
      <c r="G7709" s="24"/>
      <c r="H7709" s="24"/>
      <c r="I7709" s="24"/>
      <c r="J7709" s="24"/>
      <c r="K7709" s="24"/>
    </row>
    <row r="7710" customFormat="false" ht="15" hidden="false" customHeight="false" outlineLevel="0" collapsed="false">
      <c r="A7710" s="5" t="s">
        <v>457</v>
      </c>
      <c r="C7710" s="20" t="n">
        <f aca="false">IF(C7690&gt;0,Assumptions!$C$17,C7685)</f>
        <v>1</v>
      </c>
    </row>
    <row r="7711" customFormat="false" ht="15" hidden="false" customHeight="false" outlineLevel="0" collapsed="false">
      <c r="A7711" s="5" t="s">
        <v>458</v>
      </c>
      <c r="C7711" s="20" t="n">
        <f aca="false">IF(C7691&gt;0,Assumptions!$C$17,C7686)</f>
        <v>2</v>
      </c>
    </row>
    <row r="7712" customFormat="false" ht="15" hidden="false" customHeight="false" outlineLevel="0" collapsed="false">
      <c r="A7712" s="5" t="s">
        <v>459</v>
      </c>
      <c r="C7712" s="20" t="n">
        <f aca="false">IF(C7692&gt;0,Assumptions!$C$17,C7687)</f>
        <v>3</v>
      </c>
    </row>
    <row r="7713" customFormat="false" ht="15" hidden="false" customHeight="false" outlineLevel="0" collapsed="false">
      <c r="A7713" s="5" t="s">
        <v>460</v>
      </c>
      <c r="C7713" s="20" t="n">
        <f aca="false">IF(C7693&gt;0,Assumptions!$C$17,C7688)</f>
        <v>4</v>
      </c>
    </row>
    <row r="7714" customFormat="false" ht="15" hidden="false" customHeight="false" outlineLevel="0" collapsed="false">
      <c r="A7714" s="23" t="s">
        <v>467</v>
      </c>
      <c r="B7714" s="24"/>
      <c r="C7714" s="24"/>
      <c r="D7714" s="24"/>
      <c r="E7714" s="24"/>
      <c r="F7714" s="24"/>
      <c r="G7714" s="24"/>
      <c r="H7714" s="24"/>
      <c r="I7714" s="24"/>
      <c r="J7714" s="24"/>
      <c r="K7714" s="24"/>
    </row>
    <row r="7715" customFormat="false" ht="15" hidden="false" customHeight="false" outlineLevel="0" collapsed="false">
      <c r="A7715" s="5" t="s">
        <v>457</v>
      </c>
      <c r="C7715" s="25" t="n">
        <f aca="false">SUMPRODUCT(($C$7710:$C$7713&lt;C7710)*$C$7705:$C$7708)</f>
        <v>0</v>
      </c>
    </row>
    <row r="7716" customFormat="false" ht="15" hidden="false" customHeight="false" outlineLevel="0" collapsed="false">
      <c r="A7716" s="5" t="s">
        <v>458</v>
      </c>
      <c r="C7716" s="25" t="n">
        <f aca="false">SUMPRODUCT(($C$7710:$C$7713&lt;C7711)*$C$7705:$C$7708)</f>
        <v>158.44</v>
      </c>
    </row>
    <row r="7717" customFormat="false" ht="15" hidden="false" customHeight="false" outlineLevel="0" collapsed="false">
      <c r="A7717" s="5" t="s">
        <v>459</v>
      </c>
      <c r="C7717" s="25" t="n">
        <f aca="false">SUMPRODUCT(($C$7710:$C$7713&lt;C7712)*$C$7705:$C$7708)</f>
        <v>668.04</v>
      </c>
    </row>
    <row r="7718" customFormat="false" ht="15" hidden="false" customHeight="false" outlineLevel="0" collapsed="false">
      <c r="A7718" s="5" t="s">
        <v>460</v>
      </c>
      <c r="C7718" s="25" t="n">
        <f aca="false">SUMPRODUCT(($C$7710:$C$7713&lt;C7713)*$C$7705:$C$7708)</f>
        <v>918.04</v>
      </c>
    </row>
    <row r="7719" customFormat="false" ht="15" hidden="false" customHeight="false" outlineLevel="0" collapsed="false">
      <c r="A7719" s="23" t="s">
        <v>468</v>
      </c>
      <c r="B7719" s="24"/>
      <c r="C7719" s="24"/>
      <c r="D7719" s="24"/>
      <c r="E7719" s="24"/>
      <c r="F7719" s="24"/>
      <c r="G7719" s="24"/>
      <c r="H7719" s="24"/>
      <c r="I7719" s="24"/>
      <c r="J7719" s="24"/>
      <c r="K7719" s="24"/>
    </row>
    <row r="7720" customFormat="false" ht="15" hidden="false" customHeight="false" outlineLevel="0" collapsed="false">
      <c r="A7720" s="5" t="s">
        <v>457</v>
      </c>
      <c r="C7720" s="25" t="n">
        <f aca="false">SUMPRODUCT(($C$7710:$C$7713=C7710)*$C$7705:$C$7708)</f>
        <v>158.44</v>
      </c>
    </row>
    <row r="7721" customFormat="false" ht="15" hidden="false" customHeight="false" outlineLevel="0" collapsed="false">
      <c r="A7721" s="5" t="s">
        <v>458</v>
      </c>
      <c r="C7721" s="25" t="n">
        <f aca="false">SUMPRODUCT(($C$7710:$C$7713=C7711)*$C$7705:$C$7708)</f>
        <v>509.6</v>
      </c>
    </row>
    <row r="7722" customFormat="false" ht="15" hidden="false" customHeight="false" outlineLevel="0" collapsed="false">
      <c r="A7722" s="5" t="s">
        <v>459</v>
      </c>
      <c r="C7722" s="25" t="n">
        <f aca="false">SUMPRODUCT(($C$7710:$C$7713=C7712)*$C$7705:$C$7708)</f>
        <v>250</v>
      </c>
    </row>
    <row r="7723" customFormat="false" ht="15" hidden="false" customHeight="false" outlineLevel="0" collapsed="false">
      <c r="A7723" s="5" t="s">
        <v>460</v>
      </c>
      <c r="C7723" s="25" t="n">
        <f aca="false">SUMPRODUCT(($C$7710:$C$7713=C7713)*$C$7705:$C$7708)</f>
        <v>300</v>
      </c>
    </row>
    <row r="7724" customFormat="false" ht="15" hidden="false" customHeight="false" outlineLevel="0" collapsed="false">
      <c r="A7724" s="23" t="s">
        <v>469</v>
      </c>
      <c r="B7724" s="24"/>
      <c r="C7724" s="24"/>
      <c r="D7724" s="24"/>
      <c r="E7724" s="24"/>
      <c r="F7724" s="24"/>
      <c r="G7724" s="24"/>
      <c r="H7724" s="24"/>
      <c r="I7724" s="24"/>
      <c r="J7724" s="24"/>
      <c r="K7724" s="24"/>
    </row>
    <row r="7725" customFormat="false" ht="15" hidden="false" customHeight="false" outlineLevel="0" collapsed="false">
      <c r="A7725" s="5" t="s">
        <v>457</v>
      </c>
      <c r="C7725" s="25" t="n">
        <f aca="false">IF(C7720=0,0,C7705/C7720*MAX(0,MIN(C7720,$C$7678-SUM($C$7695:$C$7698)-C7715)))</f>
        <v>158.44</v>
      </c>
    </row>
    <row r="7726" customFormat="false" ht="15" hidden="false" customHeight="false" outlineLevel="0" collapsed="false">
      <c r="A7726" s="5" t="s">
        <v>458</v>
      </c>
      <c r="C7726" s="25" t="n">
        <f aca="false">IF(C7721=0,0,C7706/C7721*MAX(0,MIN(C7721,$C$7678-SUM($C$7695:$C$7698)-C7716)))</f>
        <v>509.6</v>
      </c>
    </row>
    <row r="7727" customFormat="false" ht="15" hidden="false" customHeight="false" outlineLevel="0" collapsed="false">
      <c r="A7727" s="5" t="s">
        <v>459</v>
      </c>
      <c r="C7727" s="25" t="n">
        <f aca="false">IF(C7722=0,0,C7707/C7722*MAX(0,MIN(C7722,$C$7678-SUM($C$7695:$C$7698)-C7717)))</f>
        <v>250</v>
      </c>
    </row>
    <row r="7728" customFormat="false" ht="15" hidden="false" customHeight="false" outlineLevel="0" collapsed="false">
      <c r="A7728" s="5" t="s">
        <v>460</v>
      </c>
      <c r="C7728" s="25" t="n">
        <f aca="false">IF(C7723=0,0,C7708/C7723*MAX(0,MIN(C7723,$C$7678-SUM($C$7695:$C$7698)-C7718)))</f>
        <v>212.44832</v>
      </c>
    </row>
    <row r="7729" customFormat="false" ht="15" hidden="false" customHeight="false" outlineLevel="0" collapsed="false">
      <c r="A7729" s="23" t="s">
        <v>470</v>
      </c>
      <c r="B7729" s="24"/>
      <c r="C7729" s="24"/>
      <c r="D7729" s="24"/>
      <c r="E7729" s="24"/>
      <c r="F7729" s="24"/>
      <c r="G7729" s="24"/>
      <c r="H7729" s="24"/>
      <c r="I7729" s="24"/>
      <c r="J7729" s="24"/>
      <c r="K7729" s="24"/>
    </row>
    <row r="7730" customFormat="false" ht="15" hidden="false" customHeight="false" outlineLevel="0" collapsed="false">
      <c r="A7730" s="2" t="s">
        <v>457</v>
      </c>
      <c r="C7730" s="16" t="n">
        <f aca="false">C7695+C7725</f>
        <v>158.44</v>
      </c>
    </row>
    <row r="7731" customFormat="false" ht="15" hidden="false" customHeight="false" outlineLevel="0" collapsed="false">
      <c r="A7731" s="2" t="s">
        <v>458</v>
      </c>
      <c r="C7731" s="16" t="n">
        <f aca="false">C7696+C7726</f>
        <v>509.6</v>
      </c>
    </row>
    <row r="7732" customFormat="false" ht="15" hidden="false" customHeight="false" outlineLevel="0" collapsed="false">
      <c r="A7732" s="2" t="s">
        <v>459</v>
      </c>
      <c r="C7732" s="16" t="n">
        <f aca="false">C7697+C7727</f>
        <v>250</v>
      </c>
    </row>
    <row r="7733" customFormat="false" ht="15" hidden="false" customHeight="false" outlineLevel="0" collapsed="false">
      <c r="A7733" s="2" t="s">
        <v>460</v>
      </c>
      <c r="C7733" s="16" t="n">
        <f aca="false">C7698+C7728</f>
        <v>212.44832</v>
      </c>
    </row>
    <row r="7734" customFormat="false" ht="15" hidden="false" customHeight="false" outlineLevel="0" collapsed="false">
      <c r="A7734" s="23" t="s">
        <v>471</v>
      </c>
      <c r="B7734" s="24"/>
      <c r="C7734" s="24"/>
      <c r="D7734" s="24"/>
      <c r="E7734" s="24"/>
      <c r="F7734" s="24"/>
      <c r="G7734" s="24"/>
      <c r="H7734" s="24"/>
      <c r="I7734" s="24"/>
      <c r="J7734" s="24"/>
      <c r="K7734" s="24"/>
    </row>
    <row r="7735" customFormat="false" ht="15" hidden="false" customHeight="false" outlineLevel="0" collapsed="false">
      <c r="A7735" s="5" t="s">
        <v>457</v>
      </c>
      <c r="C7735" s="21" t="n">
        <f aca="false">IF(C7680=0,1,C7730/C7680)</f>
        <v>1</v>
      </c>
    </row>
    <row r="7736" customFormat="false" ht="15" hidden="false" customHeight="false" outlineLevel="0" collapsed="false">
      <c r="A7736" s="5" t="s">
        <v>458</v>
      </c>
      <c r="C7736" s="21" t="n">
        <f aca="false">IF(C7681=0,1,C7731/C7681)</f>
        <v>1</v>
      </c>
    </row>
    <row r="7737" customFormat="false" ht="15" hidden="false" customHeight="false" outlineLevel="0" collapsed="false">
      <c r="A7737" s="5" t="s">
        <v>459</v>
      </c>
      <c r="C7737" s="21" t="n">
        <f aca="false">IF(C7682=0,1,C7732/C7682)</f>
        <v>1</v>
      </c>
    </row>
    <row r="7738" customFormat="false" ht="15" hidden="false" customHeight="false" outlineLevel="0" collapsed="false">
      <c r="A7738" s="5" t="s">
        <v>460</v>
      </c>
      <c r="C7738" s="21" t="n">
        <f aca="false">IF(C7683=0,1,C7733/C7683)</f>
        <v>0.708161066666667</v>
      </c>
    </row>
    <row r="7739" customFormat="false" ht="15" hidden="false" customHeight="false" outlineLevel="0" collapsed="false">
      <c r="A7739" s="23" t="s">
        <v>472</v>
      </c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</row>
    <row r="7740" customFormat="false" ht="15" hidden="false" customHeight="false" outlineLevel="0" collapsed="false">
      <c r="A7740" s="5" t="s">
        <v>457</v>
      </c>
      <c r="C7740" s="25" t="n">
        <f aca="false">C7680-C7730</f>
        <v>0</v>
      </c>
    </row>
    <row r="7741" customFormat="false" ht="15" hidden="false" customHeight="false" outlineLevel="0" collapsed="false">
      <c r="A7741" s="5" t="s">
        <v>458</v>
      </c>
      <c r="C7741" s="25" t="n">
        <f aca="false">C7681-C7731</f>
        <v>0</v>
      </c>
    </row>
    <row r="7742" customFormat="false" ht="15" hidden="false" customHeight="false" outlineLevel="0" collapsed="false">
      <c r="A7742" s="5" t="s">
        <v>459</v>
      </c>
      <c r="C7742" s="25" t="n">
        <f aca="false">C7682-C7732</f>
        <v>0</v>
      </c>
    </row>
    <row r="7743" customFormat="false" ht="15" hidden="false" customHeight="false" outlineLevel="0" collapsed="false">
      <c r="A7743" s="5" t="s">
        <v>460</v>
      </c>
      <c r="C7743" s="25" t="n">
        <f aca="false">C7683-C7733</f>
        <v>87.5516799999998</v>
      </c>
    </row>
    <row r="7744" customFormat="false" ht="15" hidden="false" customHeight="false" outlineLevel="0" collapsed="false">
      <c r="A7744" s="23" t="s">
        <v>473</v>
      </c>
      <c r="B7744" s="24"/>
      <c r="C7744" s="24"/>
      <c r="D7744" s="24"/>
      <c r="E7744" s="24"/>
      <c r="F7744" s="24"/>
      <c r="G7744" s="24"/>
      <c r="H7744" s="24"/>
      <c r="I7744" s="24"/>
      <c r="J7744" s="24"/>
      <c r="K7744" s="24"/>
    </row>
    <row r="7745" customFormat="false" ht="15" hidden="false" customHeight="false" outlineLevel="0" collapsed="false">
      <c r="A7745" s="5" t="s">
        <v>457</v>
      </c>
      <c r="C7745" s="21" t="n">
        <f aca="false">IF(C7680=0,0,C7740/C7680)</f>
        <v>0</v>
      </c>
    </row>
    <row r="7746" customFormat="false" ht="15" hidden="false" customHeight="false" outlineLevel="0" collapsed="false">
      <c r="A7746" s="5" t="s">
        <v>458</v>
      </c>
      <c r="C7746" s="21" t="n">
        <f aca="false">IF(C7681=0,0,C7741/C7681)</f>
        <v>0</v>
      </c>
    </row>
    <row r="7747" customFormat="false" ht="15" hidden="false" customHeight="false" outlineLevel="0" collapsed="false">
      <c r="A7747" s="5" t="s">
        <v>459</v>
      </c>
      <c r="C7747" s="21" t="n">
        <f aca="false">IF(C7682=0,0,C7742/C7682)</f>
        <v>0</v>
      </c>
    </row>
    <row r="7748" customFormat="false" ht="15" hidden="false" customHeight="false" outlineLevel="0" collapsed="false">
      <c r="A7748" s="5" t="s">
        <v>460</v>
      </c>
      <c r="C7748" s="21" t="n">
        <f aca="false">IF(C7683=0,0,C7743/C7683)</f>
        <v>0.291838933333333</v>
      </c>
    </row>
    <row r="7749" customFormat="false" ht="15" hidden="false" customHeight="false" outlineLevel="0" collapsed="false">
      <c r="A7749" s="2" t="s">
        <v>474</v>
      </c>
      <c r="C7749" s="16" t="n">
        <f aca="false">MAX(0,$C$7678-SUM($C$7695:$C$7698)-SUM($C$7705:$C$7708))</f>
        <v>0</v>
      </c>
    </row>
    <row r="7750" customFormat="false" ht="15" hidden="false" customHeight="false" outlineLevel="0" collapsed="false">
      <c r="A7750" s="5" t="s">
        <v>492</v>
      </c>
      <c r="C7750" s="33" t="n">
        <f aca="false">MIN(C7677,100*CHOOSE(C7667,C7735,C7736,C7737,C7738))</f>
        <v>100</v>
      </c>
    </row>
    <row r="7751" customFormat="false" ht="15" hidden="false" customHeight="false" outlineLevel="0" collapsed="false">
      <c r="A7751" s="5" t="s">
        <v>493</v>
      </c>
      <c r="C7751" s="20" t="n">
        <f aca="false">IF(C7583=1,C7672+Assumptions!$C$36,C7671)</f>
        <v>3</v>
      </c>
    </row>
    <row r="7752" customFormat="false" ht="15" hidden="false" customHeight="false" outlineLevel="0" collapsed="false">
      <c r="A7752" s="23" t="s">
        <v>494</v>
      </c>
      <c r="B7752" s="24"/>
      <c r="C7752" s="24"/>
      <c r="D7752" s="24"/>
      <c r="E7752" s="24"/>
      <c r="F7752" s="24"/>
      <c r="G7752" s="24"/>
      <c r="H7752" s="24"/>
      <c r="I7752" s="24"/>
      <c r="J7752" s="24"/>
      <c r="K7752" s="24"/>
    </row>
    <row r="7753" customFormat="false" ht="15" hidden="false" customHeight="false" outlineLevel="0" collapsed="false">
      <c r="A7753" s="5" t="s">
        <v>495</v>
      </c>
      <c r="C7753" s="20" t="n">
        <f aca="false">COLUMN()-COLUMN($C$1)</f>
        <v>0</v>
      </c>
      <c r="D7753" s="20" t="n">
        <f aca="false">COLUMN()-COLUMN($C$1)</f>
        <v>1</v>
      </c>
      <c r="E7753" s="20" t="n">
        <f aca="false">COLUMN()-COLUMN($C$1)</f>
        <v>2</v>
      </c>
      <c r="F7753" s="20" t="n">
        <f aca="false">COLUMN()-COLUMN($C$1)</f>
        <v>3</v>
      </c>
      <c r="G7753" s="20" t="n">
        <f aca="false">COLUMN()-COLUMN($C$1)</f>
        <v>4</v>
      </c>
      <c r="H7753" s="20" t="n">
        <f aca="false">COLUMN()-COLUMN($C$1)</f>
        <v>5</v>
      </c>
      <c r="I7753" s="20" t="n">
        <f aca="false">COLUMN()-COLUMN($C$1)</f>
        <v>6</v>
      </c>
    </row>
    <row r="7754" customFormat="false" ht="15" hidden="false" customHeight="false" outlineLevel="0" collapsed="false">
      <c r="A7754" s="5" t="s">
        <v>496</v>
      </c>
      <c r="D7754" s="30" t="n">
        <f aca="false">CHOOSE($C$7667,G7465,G7478,G7491,G7504)</f>
        <v>0.103</v>
      </c>
      <c r="E7754" s="30" t="n">
        <f aca="false">CHOOSE($C$7667,H7465,H7478,H7491,H7504)</f>
        <v>0.1005</v>
      </c>
      <c r="F7754" s="30" t="n">
        <f aca="false">CHOOSE($C$7667,I7465,I7478,I7491,I7504)</f>
        <v>0.098</v>
      </c>
      <c r="G7754" s="30" t="n">
        <f aca="false">CHOOSE($C$7667,J7465,J7478,J7491,J7504)</f>
        <v>0.11</v>
      </c>
      <c r="H7754" s="30" t="n">
        <f aca="false">CHOOSE($C$7667,K7465,K7478,K7491,K7504)</f>
        <v>0.11</v>
      </c>
    </row>
    <row r="7755" customFormat="false" ht="15" hidden="false" customHeight="false" outlineLevel="0" collapsed="false">
      <c r="A7755" s="5" t="s">
        <v>497</v>
      </c>
      <c r="D7755" s="25" t="n">
        <f aca="false">IF(D7753&lt;=$C$7676,$C$7668*D7754,0)</f>
        <v>10.3</v>
      </c>
      <c r="E7755" s="25" t="n">
        <f aca="false">IF(E7753&lt;=$C$7676,$C$7668*E7754,0)</f>
        <v>10.05</v>
      </c>
      <c r="F7755" s="25" t="n">
        <f aca="false">IF(F7753&lt;=$C$7676,$C$7668*F7754,0)</f>
        <v>0</v>
      </c>
      <c r="G7755" s="25" t="n">
        <f aca="false">IF(G7753&lt;=$C$7676,$C$7668*G7754,0)</f>
        <v>0</v>
      </c>
      <c r="H7755" s="25" t="n">
        <f aca="false">IF(H7753&lt;=$C$7676,$C$7668*H7754,0)</f>
        <v>0</v>
      </c>
    </row>
    <row r="7756" customFormat="false" ht="15" hidden="false" customHeight="false" outlineLevel="0" collapsed="false">
      <c r="A7756" s="5" t="s">
        <v>498</v>
      </c>
      <c r="D7756" s="25" t="n">
        <f aca="false">IF(AND($C$7583=0,D7753=$C$7671),$C$7668*$C$7750/100,0)+IF(AND($C$7583=1,D7753=$C$7751),$C$7674,0)</f>
        <v>0</v>
      </c>
      <c r="E7756" s="25" t="n">
        <f aca="false">IF(AND($C$7583=0,E7753=$C$7671),$C$7668*$C$7750/100,0)+IF(AND($C$7583=1,E7753=$C$7751),$C$7674,0)</f>
        <v>0</v>
      </c>
      <c r="F7756" s="25" t="n">
        <f aca="false">IF(AND($C$7583=0,F7753=$C$7671),$C$7668*$C$7750/100,0)+IF(AND($C$7583=1,F7753=$C$7751),$C$7674,0)</f>
        <v>99.3152041208792</v>
      </c>
      <c r="G7756" s="25" t="n">
        <f aca="false">IF(AND($C$7583=0,G7753=$C$7671),$C$7668*$C$7750/100,0)+IF(AND($C$7583=1,G7753=$C$7751),$C$7674,0)</f>
        <v>0</v>
      </c>
      <c r="H7756" s="25" t="n">
        <f aca="false">IF(AND($C$7583=0,H7753=$C$7671),$C$7668*$C$7750/100,0)+IF(AND($C$7583=1,H7753=$C$7751),$C$7674,0)</f>
        <v>0</v>
      </c>
      <c r="I7756" s="25" t="n">
        <f aca="false">IF(AND($C$7583=0,I7753=$C$7671),$C$7668*$C$7750/100,0)+IF(AND($C$7583=1,I7753=$C$7751),$C$7674,0)</f>
        <v>0</v>
      </c>
    </row>
    <row r="7757" customFormat="false" ht="15" hidden="false" customHeight="false" outlineLevel="0" collapsed="false">
      <c r="A7757" s="2" t="s">
        <v>499</v>
      </c>
      <c r="C7757" s="16" t="n">
        <f aca="false">-$C$7670</f>
        <v>-78.39</v>
      </c>
      <c r="D7757" s="16" t="n">
        <f aca="false">D7755+D7756</f>
        <v>10.3</v>
      </c>
      <c r="E7757" s="16" t="n">
        <f aca="false">E7755+E7756</f>
        <v>10.05</v>
      </c>
      <c r="F7757" s="16" t="n">
        <f aca="false">F7755+F7756</f>
        <v>99.3152041208792</v>
      </c>
      <c r="G7757" s="16" t="n">
        <f aca="false">G7755+G7756</f>
        <v>0</v>
      </c>
      <c r="H7757" s="16" t="n">
        <f aca="false">H7755+H7756</f>
        <v>0</v>
      </c>
      <c r="I7757" s="16" t="n">
        <f aca="false">I7755+I7756</f>
        <v>0</v>
      </c>
    </row>
    <row r="7758" customFormat="false" ht="15" hidden="false" customHeight="false" outlineLevel="0" collapsed="false">
      <c r="A7758" s="5" t="s">
        <v>500</v>
      </c>
      <c r="C7758" s="25" t="n">
        <f aca="false">SUM($C$7755:$I$7755)</f>
        <v>20.35</v>
      </c>
    </row>
    <row r="7759" customFormat="false" ht="15" hidden="false" customHeight="false" outlineLevel="0" collapsed="false">
      <c r="A7759" s="5" t="s">
        <v>501</v>
      </c>
      <c r="C7759" s="25" t="n">
        <f aca="false">SUM($C$7756:$I$7756)</f>
        <v>99.3152041208792</v>
      </c>
    </row>
    <row r="7760" customFormat="false" ht="15" hidden="false" customHeight="false" outlineLevel="0" collapsed="false">
      <c r="A7760" s="5" t="s">
        <v>502</v>
      </c>
      <c r="C7760" s="25" t="n">
        <f aca="false">C7758+C7759</f>
        <v>119.665204120879</v>
      </c>
    </row>
    <row r="7761" customFormat="false" ht="15" hidden="false" customHeight="false" outlineLevel="0" collapsed="false">
      <c r="A7761" s="5" t="s">
        <v>503</v>
      </c>
      <c r="C7761" s="25" t="n">
        <f aca="false">C7759-C7668*C7669/100</f>
        <v>21.3152041208792</v>
      </c>
    </row>
    <row r="7762" customFormat="false" ht="15" hidden="false" customHeight="false" outlineLevel="0" collapsed="false">
      <c r="A7762" s="5" t="s">
        <v>504</v>
      </c>
      <c r="C7762" s="25" t="n">
        <f aca="false">C7760-C7670</f>
        <v>41.2752041208792</v>
      </c>
    </row>
    <row r="7763" customFormat="false" ht="15" hidden="false" customHeight="false" outlineLevel="0" collapsed="false">
      <c r="A7763" s="2" t="s">
        <v>385</v>
      </c>
      <c r="C7763" s="43" t="n">
        <f aca="false">C7760/C7670</f>
        <v>1.52653660059803</v>
      </c>
    </row>
    <row r="7764" customFormat="false" ht="15" hidden="false" customHeight="false" outlineLevel="0" collapsed="false">
      <c r="A7764" s="2" t="s">
        <v>384</v>
      </c>
      <c r="C7764" s="41" t="n">
        <f aca="false">IF(C7760&lt;=0,-1,IFERROR(IRR($C$7757:$I$7757,MAX(-0.9,C7763^(1/C7751)-1)),IRR($C$7757:$I$7757,0.1)))</f>
        <v>0.168688113123758</v>
      </c>
    </row>
    <row r="7765" customFormat="false" ht="15" hidden="false" customHeight="false" outlineLevel="0" collapsed="false">
      <c r="A7765" s="5" t="s">
        <v>505</v>
      </c>
      <c r="C7765" s="31" t="n">
        <f aca="false">MAX($G$7559:$K$7559)</f>
        <v>7.5396942800789</v>
      </c>
    </row>
    <row r="7766" customFormat="false" ht="15" hidden="false" customHeight="false" outlineLevel="0" collapsed="false">
      <c r="A7766" s="5" t="s">
        <v>506</v>
      </c>
      <c r="C7766" s="31" t="n">
        <f aca="false">MIN($G$7560:$K$7560)</f>
        <v>1.36290322580645</v>
      </c>
    </row>
    <row r="7767" customFormat="false" ht="15" hidden="false" customHeight="false" outlineLevel="0" collapsed="false">
      <c r="A7767" s="5" t="s">
        <v>507</v>
      </c>
      <c r="C7767" s="25" t="n">
        <f aca="false">SUM($G$7449:$K$7449)</f>
        <v>-36.3642075795686</v>
      </c>
    </row>
    <row r="7771" customFormat="false" ht="15" hidden="false" customHeight="false" outlineLevel="0" collapsed="false">
      <c r="A7771" s="9" t="s">
        <v>648</v>
      </c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</row>
    <row r="7772" customFormat="false" ht="15" hidden="false" customHeight="false" outlineLevel="0" collapsed="false">
      <c r="A7772" s="5" t="s">
        <v>622</v>
      </c>
      <c r="C7772" s="11" t="n">
        <v>1</v>
      </c>
    </row>
    <row r="7773" customFormat="false" ht="15" hidden="false" customHeight="false" outlineLevel="0" collapsed="false">
      <c r="A7773" s="5" t="s">
        <v>623</v>
      </c>
      <c r="C7773" s="29" t="n">
        <f aca="false">Sensitivities!$A$44</f>
        <v>0.1</v>
      </c>
    </row>
    <row r="7774" customFormat="false" ht="15" hidden="false" customHeight="false" outlineLevel="0" collapsed="false">
      <c r="A7774" s="5" t="s">
        <v>624</v>
      </c>
      <c r="C7774" s="18" t="n">
        <v>0</v>
      </c>
    </row>
    <row r="7775" customFormat="false" ht="15" hidden="false" customHeight="false" outlineLevel="0" collapsed="false">
      <c r="A7775" s="5" t="s">
        <v>625</v>
      </c>
      <c r="C7775" s="18" t="n">
        <v>0</v>
      </c>
    </row>
    <row r="7776" customFormat="false" ht="15" hidden="false" customHeight="false" outlineLevel="0" collapsed="false">
      <c r="A7776" s="5" t="s">
        <v>626</v>
      </c>
      <c r="C7776" s="15" t="n">
        <v>0</v>
      </c>
    </row>
    <row r="7778" customFormat="false" ht="15" hidden="false" customHeight="false" outlineLevel="0" collapsed="false">
      <c r="A7778" s="23" t="s">
        <v>237</v>
      </c>
      <c r="B7778" s="24"/>
      <c r="C7778" s="24"/>
      <c r="D7778" s="24"/>
      <c r="E7778" s="24"/>
      <c r="F7778" s="24"/>
      <c r="G7778" s="24"/>
      <c r="H7778" s="24"/>
      <c r="I7778" s="24"/>
      <c r="J7778" s="24"/>
      <c r="K7778" s="24"/>
    </row>
    <row r="7779" customFormat="false" ht="15" hidden="false" customHeight="false" outlineLevel="0" collapsed="false">
      <c r="A7779" s="5" t="s">
        <v>238</v>
      </c>
      <c r="F7779" s="26" t="n">
        <f aca="false">Assumptions!$C$6</f>
        <v>2025</v>
      </c>
      <c r="G7779" s="20" t="n">
        <f aca="false">F7779+1</f>
        <v>2026</v>
      </c>
      <c r="H7779" s="20" t="n">
        <f aca="false">G7779+1</f>
        <v>2027</v>
      </c>
      <c r="I7779" s="20" t="n">
        <f aca="false">H7779+1</f>
        <v>2028</v>
      </c>
      <c r="J7779" s="20" t="n">
        <f aca="false">I7779+1</f>
        <v>2029</v>
      </c>
      <c r="K7779" s="20" t="n">
        <f aca="false">J7779+1</f>
        <v>2030</v>
      </c>
    </row>
    <row r="7780" customFormat="false" ht="15" hidden="false" customHeight="false" outlineLevel="0" collapsed="false">
      <c r="A7780" s="5" t="s">
        <v>239</v>
      </c>
      <c r="G7780" s="20" t="n">
        <f aca="false">G7779-Assumptions!$C$6</f>
        <v>1</v>
      </c>
      <c r="H7780" s="20" t="n">
        <f aca="false">H7779-Assumptions!$C$6</f>
        <v>2</v>
      </c>
      <c r="I7780" s="20" t="n">
        <f aca="false">I7779-Assumptions!$C$6</f>
        <v>3</v>
      </c>
      <c r="J7780" s="20" t="n">
        <f aca="false">J7779-Assumptions!$C$6</f>
        <v>4</v>
      </c>
      <c r="K7780" s="20" t="n">
        <f aca="false">K7779-Assumptions!$C$6</f>
        <v>5</v>
      </c>
    </row>
    <row r="7781" customFormat="false" ht="15" hidden="false" customHeight="false" outlineLevel="0" collapsed="false">
      <c r="A7781" s="5" t="s">
        <v>149</v>
      </c>
      <c r="G7781" s="21" t="n">
        <f aca="false">CHOOSE($C$7772,Assumptions!$G$65,Assumptions!$G$84,Assumptions!$G$103)+$C$7773</f>
        <v>0.09</v>
      </c>
      <c r="H7781" s="21" t="n">
        <f aca="false">CHOOSE($C$7772,Assumptions!$H$65,Assumptions!$H$84,Assumptions!$H$103)+$C$7773</f>
        <v>0.09</v>
      </c>
      <c r="I7781" s="21" t="n">
        <f aca="false">CHOOSE($C$7772,Assumptions!$I$65,Assumptions!$I$84,Assumptions!$I$103)+$C$7773</f>
        <v>0.09</v>
      </c>
      <c r="J7781" s="21" t="n">
        <f aca="false">CHOOSE($C$7772,Assumptions!$J$65,Assumptions!$J$84,Assumptions!$J$103)+$C$7773</f>
        <v>0.09</v>
      </c>
      <c r="K7781" s="21" t="n">
        <f aca="false">CHOOSE($C$7772,Assumptions!$K$65,Assumptions!$K$84,Assumptions!$K$103)+$C$7773</f>
        <v>0.09</v>
      </c>
    </row>
    <row r="7782" customFormat="false" ht="15" hidden="false" customHeight="false" outlineLevel="0" collapsed="false">
      <c r="A7782" s="5" t="s">
        <v>150</v>
      </c>
      <c r="G7782" s="21" t="n">
        <f aca="false">CHOOSE($C$7772,Assumptions!$G$66,Assumptions!$G$85,Assumptions!$G$104)</f>
        <v>0.36</v>
      </c>
      <c r="H7782" s="21" t="n">
        <f aca="false">CHOOSE($C$7772,Assumptions!$H$66,Assumptions!$H$85,Assumptions!$H$104)</f>
        <v>0.362</v>
      </c>
      <c r="I7782" s="21" t="n">
        <f aca="false">CHOOSE($C$7772,Assumptions!$I$66,Assumptions!$I$85,Assumptions!$I$104)</f>
        <v>0.364</v>
      </c>
      <c r="J7782" s="21" t="n">
        <f aca="false">CHOOSE($C$7772,Assumptions!$J$66,Assumptions!$J$85,Assumptions!$J$104)</f>
        <v>0.366</v>
      </c>
      <c r="K7782" s="21" t="n">
        <f aca="false">CHOOSE($C$7772,Assumptions!$K$66,Assumptions!$K$85,Assumptions!$K$104)</f>
        <v>0.368</v>
      </c>
    </row>
    <row r="7783" customFormat="false" ht="15" hidden="false" customHeight="false" outlineLevel="0" collapsed="false">
      <c r="A7783" s="5" t="s">
        <v>151</v>
      </c>
      <c r="G7783" s="21" t="n">
        <f aca="false">CHOOSE($C$7772,Assumptions!$G$67,Assumptions!$G$86,Assumptions!$G$105)+$C$7774</f>
        <v>0.065</v>
      </c>
      <c r="H7783" s="21" t="n">
        <f aca="false">CHOOSE($C$7772,Assumptions!$H$67,Assumptions!$H$86,Assumptions!$H$105)+$C$7774</f>
        <v>0.067</v>
      </c>
      <c r="I7783" s="21" t="n">
        <f aca="false">CHOOSE($C$7772,Assumptions!$I$67,Assumptions!$I$86,Assumptions!$I$105)+$C$7774</f>
        <v>0.069</v>
      </c>
      <c r="J7783" s="21" t="n">
        <f aca="false">CHOOSE($C$7772,Assumptions!$J$67,Assumptions!$J$86,Assumptions!$J$105)+$C$7774</f>
        <v>0.071</v>
      </c>
      <c r="K7783" s="21" t="n">
        <f aca="false">CHOOSE($C$7772,Assumptions!$K$67,Assumptions!$K$86,Assumptions!$K$105)+$C$7774</f>
        <v>0.073</v>
      </c>
    </row>
    <row r="7784" customFormat="false" ht="15" hidden="false" customHeight="false" outlineLevel="0" collapsed="false">
      <c r="A7784" s="23" t="s">
        <v>240</v>
      </c>
      <c r="B7784" s="24"/>
      <c r="C7784" s="24"/>
      <c r="D7784" s="24"/>
      <c r="E7784" s="24"/>
      <c r="F7784" s="24"/>
      <c r="G7784" s="24"/>
      <c r="H7784" s="24"/>
      <c r="I7784" s="24"/>
      <c r="J7784" s="24"/>
      <c r="K7784" s="24"/>
    </row>
    <row r="7785" customFormat="false" ht="15" hidden="false" customHeight="false" outlineLevel="0" collapsed="false">
      <c r="A7785" s="2" t="s">
        <v>207</v>
      </c>
      <c r="F7785" s="27" t="n">
        <f aca="false">'Historical Financials'!E17</f>
        <v>2400</v>
      </c>
      <c r="G7785" s="16" t="n">
        <f aca="false">F7785*(1+G7781)</f>
        <v>2616</v>
      </c>
      <c r="H7785" s="16" t="n">
        <f aca="false">G7785*(1+H7781)</f>
        <v>2851.44</v>
      </c>
      <c r="I7785" s="16" t="n">
        <f aca="false">H7785*(1+I7781)</f>
        <v>3108.0696</v>
      </c>
      <c r="J7785" s="16" t="n">
        <f aca="false">I7785*(1+J7781)</f>
        <v>3387.795864</v>
      </c>
      <c r="K7785" s="16" t="n">
        <f aca="false">J7785*(1+K7781)</f>
        <v>3692.69749176</v>
      </c>
    </row>
    <row r="7786" customFormat="false" ht="15" hidden="false" customHeight="false" outlineLevel="0" collapsed="false">
      <c r="A7786" s="5" t="s">
        <v>217</v>
      </c>
      <c r="G7786" s="25" t="n">
        <f aca="false">G7785*(1-G7782)</f>
        <v>1674.24</v>
      </c>
      <c r="H7786" s="25" t="n">
        <f aca="false">H7785*(1-H7782)</f>
        <v>1819.21872</v>
      </c>
      <c r="I7786" s="25" t="n">
        <f aca="false">I7785*(1-I7782)</f>
        <v>1976.7322656</v>
      </c>
      <c r="J7786" s="25" t="n">
        <f aca="false">J7785*(1-J7782)</f>
        <v>2147.862577776</v>
      </c>
      <c r="K7786" s="25" t="n">
        <f aca="false">K7785*(1-K7782)</f>
        <v>2333.78481479232</v>
      </c>
    </row>
    <row r="7787" customFormat="false" ht="15" hidden="false" customHeight="false" outlineLevel="0" collapsed="false">
      <c r="A7787" s="2" t="s">
        <v>218</v>
      </c>
      <c r="G7787" s="16" t="n">
        <f aca="false">G7785-G7786</f>
        <v>941.76</v>
      </c>
      <c r="H7787" s="16" t="n">
        <f aca="false">H7785-H7786</f>
        <v>1032.22128</v>
      </c>
      <c r="I7787" s="16" t="n">
        <f aca="false">I7785-I7786</f>
        <v>1131.3373344</v>
      </c>
      <c r="J7787" s="16" t="n">
        <f aca="false">J7785-J7786</f>
        <v>1239.933286224</v>
      </c>
      <c r="K7787" s="16" t="n">
        <f aca="false">K7785-K7786</f>
        <v>1358.91267696768</v>
      </c>
    </row>
    <row r="7788" customFormat="false" ht="15" hidden="false" customHeight="false" outlineLevel="0" collapsed="false">
      <c r="A7788" s="5" t="s">
        <v>241</v>
      </c>
      <c r="G7788" s="25" t="n">
        <f aca="false">G7787-G7789</f>
        <v>771.72</v>
      </c>
      <c r="H7788" s="25" t="n">
        <f aca="false">H7787-H7789</f>
        <v>841.1748</v>
      </c>
      <c r="I7788" s="25" t="n">
        <f aca="false">I7787-I7789</f>
        <v>916.880532</v>
      </c>
      <c r="J7788" s="25" t="n">
        <f aca="false">J7787-J7789</f>
        <v>999.39977988</v>
      </c>
      <c r="K7788" s="25" t="n">
        <f aca="false">K7787-K7789</f>
        <v>1089.3457600692</v>
      </c>
    </row>
    <row r="7789" customFormat="false" ht="15" hidden="false" customHeight="false" outlineLevel="0" collapsed="false">
      <c r="A7789" s="2" t="s">
        <v>242</v>
      </c>
      <c r="G7789" s="16" t="n">
        <f aca="false">G7785*G7783</f>
        <v>170.04</v>
      </c>
      <c r="H7789" s="16" t="n">
        <f aca="false">H7785*H7783</f>
        <v>191.04648</v>
      </c>
      <c r="I7789" s="16" t="n">
        <f aca="false">I7785*I7783</f>
        <v>214.4568024</v>
      </c>
      <c r="J7789" s="16" t="n">
        <f aca="false">J7785*J7783</f>
        <v>240.533506344</v>
      </c>
      <c r="K7789" s="16" t="n">
        <f aca="false">K7785*K7783</f>
        <v>269.56691689848</v>
      </c>
    </row>
    <row r="7790" customFormat="false" ht="15" hidden="false" customHeight="false" outlineLevel="0" collapsed="false">
      <c r="A7790" s="5" t="s">
        <v>243</v>
      </c>
      <c r="G7790" s="25" t="n">
        <f aca="false">G7785*'Historical Financials'!E22/'Historical Financials'!E17</f>
        <v>57.552</v>
      </c>
      <c r="H7790" s="25" t="n">
        <f aca="false">H7785*'Historical Financials'!E22/'Historical Financials'!E17</f>
        <v>62.73168</v>
      </c>
      <c r="I7790" s="25" t="n">
        <f aca="false">I7785*'Historical Financials'!E22/'Historical Financials'!E17</f>
        <v>68.3775312</v>
      </c>
      <c r="J7790" s="25" t="n">
        <f aca="false">J7785*'Historical Financials'!E22/'Historical Financials'!E17</f>
        <v>74.531509008</v>
      </c>
      <c r="K7790" s="25" t="n">
        <f aca="false">K7785*'Historical Financials'!E22/'Historical Financials'!E17</f>
        <v>81.23934481872</v>
      </c>
    </row>
    <row r="7791" customFormat="false" ht="15" hidden="false" customHeight="false" outlineLevel="0" collapsed="false">
      <c r="A7791" s="5" t="s">
        <v>244</v>
      </c>
      <c r="G7791" s="25" t="n">
        <f aca="false">G7785*'Historical Financials'!E23/'Historical Financials'!E17</f>
        <v>0</v>
      </c>
      <c r="H7791" s="25" t="n">
        <f aca="false">H7785*'Historical Financials'!E23/'Historical Financials'!E17</f>
        <v>0</v>
      </c>
      <c r="I7791" s="25" t="n">
        <f aca="false">I7785*'Historical Financials'!E23/'Historical Financials'!E17</f>
        <v>0</v>
      </c>
      <c r="J7791" s="25" t="n">
        <f aca="false">J7785*'Historical Financials'!E23/'Historical Financials'!E17</f>
        <v>0</v>
      </c>
      <c r="K7791" s="25" t="n">
        <f aca="false">K7785*'Historical Financials'!E23/'Historical Financials'!E17</f>
        <v>0</v>
      </c>
    </row>
    <row r="7792" customFormat="false" ht="15" hidden="false" customHeight="false" outlineLevel="0" collapsed="false">
      <c r="A7792" s="2" t="s">
        <v>245</v>
      </c>
      <c r="G7792" s="16" t="n">
        <f aca="false">G7789-G7790-G7791</f>
        <v>112.488</v>
      </c>
      <c r="H7792" s="16" t="n">
        <f aca="false">H7789-H7790-H7791</f>
        <v>128.3148</v>
      </c>
      <c r="I7792" s="16" t="n">
        <f aca="false">I7789-I7790-I7791</f>
        <v>146.0792712</v>
      </c>
      <c r="J7792" s="16" t="n">
        <f aca="false">J7789-J7790-J7791</f>
        <v>166.001997336</v>
      </c>
      <c r="K7792" s="16" t="n">
        <f aca="false">K7789-K7790-K7791</f>
        <v>188.32757207976</v>
      </c>
    </row>
    <row r="7793" customFormat="false" ht="15" hidden="false" customHeight="false" outlineLevel="0" collapsed="false">
      <c r="A7793" s="5" t="s">
        <v>246</v>
      </c>
      <c r="G7793" s="25" t="n">
        <f aca="false">G7819+G7832+G7845+G7858</f>
        <v>119.04</v>
      </c>
      <c r="H7793" s="25" t="n">
        <f aca="false">H7819+H7832+H7845+H7858</f>
        <v>115.71864</v>
      </c>
      <c r="I7793" s="25" t="n">
        <f aca="false">I7819+I7832+I7845+I7858</f>
        <v>128.8592</v>
      </c>
      <c r="J7793" s="25" t="n">
        <f aca="false">J7819+J7832+J7845+J7858</f>
        <v>138.270787534</v>
      </c>
      <c r="K7793" s="25" t="n">
        <f aca="false">K7819+K7832+K7845+K7858</f>
        <v>138.930034320055</v>
      </c>
    </row>
    <row r="7794" customFormat="false" ht="15" hidden="false" customHeight="false" outlineLevel="0" collapsed="false">
      <c r="A7794" s="5" t="s">
        <v>247</v>
      </c>
      <c r="G7794" s="25" t="n">
        <f aca="false">G7820+G7833+G7846+G7859</f>
        <v>0</v>
      </c>
      <c r="H7794" s="25" t="n">
        <f aca="false">H7820+H7833+H7846+H7859</f>
        <v>0</v>
      </c>
      <c r="I7794" s="25" t="n">
        <f aca="false">I7820+I7833+I7846+I7859</f>
        <v>0</v>
      </c>
      <c r="J7794" s="25" t="n">
        <f aca="false">J7820+J7833+J7846+J7859</f>
        <v>0</v>
      </c>
      <c r="K7794" s="25" t="n">
        <f aca="false">K7820+K7833+K7846+K7859</f>
        <v>0</v>
      </c>
    </row>
    <row r="7795" customFormat="false" ht="15" hidden="false" customHeight="false" outlineLevel="0" collapsed="false">
      <c r="A7795" s="5" t="s">
        <v>212</v>
      </c>
      <c r="G7795" s="25" t="n">
        <f aca="false">G7793+G7794</f>
        <v>119.04</v>
      </c>
      <c r="H7795" s="25" t="n">
        <f aca="false">H7793+H7794</f>
        <v>115.71864</v>
      </c>
      <c r="I7795" s="25" t="n">
        <f aca="false">I7793+I7794</f>
        <v>128.8592</v>
      </c>
      <c r="J7795" s="25" t="n">
        <f aca="false">J7793+J7794</f>
        <v>138.270787534</v>
      </c>
      <c r="K7795" s="25" t="n">
        <f aca="false">K7793+K7794</f>
        <v>138.930034320055</v>
      </c>
    </row>
    <row r="7796" customFormat="false" ht="15" hidden="false" customHeight="false" outlineLevel="0" collapsed="false">
      <c r="A7796" s="2" t="s">
        <v>223</v>
      </c>
      <c r="G7796" s="16" t="n">
        <f aca="false">G7792-G7795</f>
        <v>-6.55200000000001</v>
      </c>
      <c r="H7796" s="16" t="n">
        <f aca="false">H7792-H7795</f>
        <v>12.59616</v>
      </c>
      <c r="I7796" s="16" t="n">
        <f aca="false">I7792-I7795</f>
        <v>17.2200712000001</v>
      </c>
      <c r="J7796" s="16" t="n">
        <f aca="false">J7792-J7795</f>
        <v>27.7312098020001</v>
      </c>
      <c r="K7796" s="16" t="n">
        <f aca="false">K7792-K7795</f>
        <v>49.3975377597051</v>
      </c>
    </row>
    <row r="7797" customFormat="false" ht="15" hidden="false" customHeight="false" outlineLevel="0" collapsed="false">
      <c r="A7797" s="5" t="s">
        <v>213</v>
      </c>
      <c r="G7797" s="25" t="n">
        <f aca="false">MAX(0,G7796)*Assumptions!$C$9</f>
        <v>0</v>
      </c>
      <c r="H7797" s="25" t="n">
        <f aca="false">MAX(0,H7796)*Assumptions!$C$9</f>
        <v>3.14904</v>
      </c>
      <c r="I7797" s="25" t="n">
        <f aca="false">MAX(0,I7796)*Assumptions!$C$9</f>
        <v>4.30501780000002</v>
      </c>
      <c r="J7797" s="25" t="n">
        <f aca="false">MAX(0,J7796)*Assumptions!$C$9</f>
        <v>6.93280245050002</v>
      </c>
      <c r="K7797" s="25" t="n">
        <f aca="false">MAX(0,K7796)*Assumptions!$C$9</f>
        <v>12.3493844399263</v>
      </c>
    </row>
    <row r="7798" customFormat="false" ht="15" hidden="false" customHeight="false" outlineLevel="0" collapsed="false">
      <c r="A7798" s="2" t="s">
        <v>248</v>
      </c>
      <c r="G7798" s="16" t="n">
        <f aca="false">G7796-G7797</f>
        <v>-6.55200000000001</v>
      </c>
      <c r="H7798" s="16" t="n">
        <f aca="false">H7796-H7797</f>
        <v>9.44712</v>
      </c>
      <c r="I7798" s="16" t="n">
        <f aca="false">I7796-I7797</f>
        <v>12.9150534</v>
      </c>
      <c r="J7798" s="16" t="n">
        <f aca="false">J7796-J7797</f>
        <v>20.7984073515001</v>
      </c>
      <c r="K7798" s="16" t="n">
        <f aca="false">K7796-K7797</f>
        <v>37.0481533197788</v>
      </c>
    </row>
    <row r="7799" customFormat="false" ht="15" hidden="false" customHeight="false" outlineLevel="0" collapsed="false">
      <c r="A7799" s="23" t="s">
        <v>249</v>
      </c>
      <c r="B7799" s="24"/>
      <c r="C7799" s="24"/>
      <c r="D7799" s="24"/>
      <c r="E7799" s="24"/>
      <c r="F7799" s="24"/>
      <c r="G7799" s="24"/>
      <c r="H7799" s="24"/>
      <c r="I7799" s="24"/>
      <c r="J7799" s="24"/>
      <c r="K7799" s="24"/>
    </row>
    <row r="7800" customFormat="false" ht="15" hidden="false" customHeight="false" outlineLevel="0" collapsed="false">
      <c r="A7800" s="5" t="s">
        <v>153</v>
      </c>
      <c r="G7800" s="25" t="n">
        <f aca="false">G7785*CHOOSE($C$7772,Assumptions!$C$69,Assumptions!$C$88,Assumptions!$C$107)</f>
        <v>52.32</v>
      </c>
      <c r="H7800" s="25" t="n">
        <f aca="false">H7785*CHOOSE($C$7772,Assumptions!$C$69,Assumptions!$C$88,Assumptions!$C$107)</f>
        <v>57.0288</v>
      </c>
      <c r="I7800" s="25" t="n">
        <f aca="false">I7785*CHOOSE($C$7772,Assumptions!$C$69,Assumptions!$C$88,Assumptions!$C$107)</f>
        <v>62.161392</v>
      </c>
      <c r="J7800" s="25" t="n">
        <f aca="false">J7785*CHOOSE($C$7772,Assumptions!$C$69,Assumptions!$C$88,Assumptions!$C$107)</f>
        <v>67.75591728</v>
      </c>
      <c r="K7800" s="25" t="n">
        <f aca="false">K7785*CHOOSE($C$7772,Assumptions!$C$69,Assumptions!$C$88,Assumptions!$C$107)</f>
        <v>73.8539498352</v>
      </c>
    </row>
    <row r="7801" customFormat="false" ht="15" hidden="false" customHeight="false" outlineLevel="0" collapsed="false">
      <c r="A7801" s="5" t="s">
        <v>250</v>
      </c>
      <c r="G7801" s="25" t="n">
        <f aca="false">CHOOSE($C$7772,Assumptions!$C$70,Assumptions!$C$89,Assumptions!$C$108)*(G7785-F7785)+CHOOSE($C$7772,Assumptions!$C$71,Assumptions!$C$90,Assumptions!$C$109)*G7785</f>
        <v>25.92</v>
      </c>
      <c r="H7801" s="25" t="n">
        <f aca="false">CHOOSE($C$7772,Assumptions!$C$70,Assumptions!$C$89,Assumptions!$C$108)*(H7785-G7785)+CHOOSE($C$7772,Assumptions!$C$71,Assumptions!$C$90,Assumptions!$C$109)*H7785</f>
        <v>28.2528</v>
      </c>
      <c r="I7801" s="25" t="n">
        <f aca="false">CHOOSE($C$7772,Assumptions!$C$70,Assumptions!$C$89,Assumptions!$C$108)*(I7785-H7785)+CHOOSE($C$7772,Assumptions!$C$71,Assumptions!$C$90,Assumptions!$C$109)*I7785</f>
        <v>30.795552</v>
      </c>
      <c r="J7801" s="25" t="n">
        <f aca="false">CHOOSE($C$7772,Assumptions!$C$70,Assumptions!$C$89,Assumptions!$C$108)*(J7785-I7785)+CHOOSE($C$7772,Assumptions!$C$71,Assumptions!$C$90,Assumptions!$C$109)*J7785</f>
        <v>33.56715168</v>
      </c>
      <c r="K7801" s="25" t="n">
        <f aca="false">CHOOSE($C$7772,Assumptions!$C$70,Assumptions!$C$89,Assumptions!$C$108)*(K7785-J7785)+CHOOSE($C$7772,Assumptions!$C$71,Assumptions!$C$90,Assumptions!$C$109)*K7785</f>
        <v>36.5881953312</v>
      </c>
    </row>
    <row r="7802" customFormat="false" ht="15" hidden="false" customHeight="false" outlineLevel="0" collapsed="false">
      <c r="A7802" s="2" t="s">
        <v>251</v>
      </c>
      <c r="G7802" s="16" t="n">
        <f aca="false">G7798+G7790+G7791+G7794-G7800-G7801</f>
        <v>-27.24</v>
      </c>
      <c r="H7802" s="16" t="n">
        <f aca="false">H7798+H7790+H7791+H7794-H7800-H7801</f>
        <v>-13.1028</v>
      </c>
      <c r="I7802" s="16" t="n">
        <f aca="false">I7798+I7790+I7791+I7794-I7800-I7801</f>
        <v>-11.6643594</v>
      </c>
      <c r="J7802" s="16" t="n">
        <f aca="false">J7798+J7790+J7791+J7794-J7800-J7801</f>
        <v>-5.9931526005</v>
      </c>
      <c r="K7802" s="16" t="n">
        <f aca="false">K7798+K7790+K7791+K7794-K7800-K7801</f>
        <v>7.84535297209875</v>
      </c>
    </row>
    <row r="7804" customFormat="false" ht="15" hidden="false" customHeight="false" outlineLevel="0" collapsed="false">
      <c r="A7804" s="23" t="s">
        <v>253</v>
      </c>
      <c r="B7804" s="24"/>
      <c r="C7804" s="24"/>
      <c r="D7804" s="24"/>
      <c r="E7804" s="24"/>
      <c r="F7804" s="24"/>
      <c r="G7804" s="24"/>
      <c r="H7804" s="24"/>
      <c r="I7804" s="24"/>
      <c r="J7804" s="24"/>
      <c r="K7804" s="24"/>
    </row>
    <row r="7805" customFormat="false" ht="15" hidden="false" customHeight="false" outlineLevel="0" collapsed="false">
      <c r="A7805" s="5" t="s">
        <v>254</v>
      </c>
      <c r="G7805" s="29" t="n">
        <f aca="false">Assumptions!$G$49</f>
        <v>0.0425</v>
      </c>
      <c r="H7805" s="29" t="n">
        <f aca="false">Assumptions!$H$49</f>
        <v>0.04</v>
      </c>
      <c r="I7805" s="29" t="n">
        <f aca="false">Assumptions!$I$49</f>
        <v>0.0375</v>
      </c>
      <c r="J7805" s="29" t="n">
        <f aca="false">Assumptions!$J$49</f>
        <v>0.0375</v>
      </c>
      <c r="K7805" s="29" t="n">
        <f aca="false">Assumptions!$K$49</f>
        <v>0.0375</v>
      </c>
    </row>
    <row r="7806" customFormat="false" ht="15" hidden="false" customHeight="false" outlineLevel="0" collapsed="false">
      <c r="A7806" s="5" t="s">
        <v>255</v>
      </c>
      <c r="C7806" s="30" t="n">
        <f aca="false">CHOOSE($C$7772,Assumptions!$C$72,Assumptions!$C$91,Assumptions!$C$110)+$C$7775</f>
        <v>0</v>
      </c>
    </row>
    <row r="7807" customFormat="false" ht="15" hidden="false" customHeight="false" outlineLevel="0" collapsed="false">
      <c r="A7807" s="5" t="s">
        <v>256</v>
      </c>
      <c r="C7807" s="30" t="n">
        <f aca="false">CHOOSE($C$7772,Assumptions!$C$73,Assumptions!$C$92,Assumptions!$C$111)</f>
        <v>0.11</v>
      </c>
    </row>
    <row r="7808" customFormat="false" ht="15" hidden="false" customHeight="false" outlineLevel="0" collapsed="false">
      <c r="A7808" s="5" t="s">
        <v>257</v>
      </c>
      <c r="C7808" s="31" t="n">
        <f aca="false">CHOOSE($C$7772,Assumptions!$C$74,Assumptions!$C$93,Assumptions!$C$112)</f>
        <v>8.5</v>
      </c>
    </row>
    <row r="7809" customFormat="false" ht="15" hidden="false" customHeight="false" outlineLevel="0" collapsed="false">
      <c r="A7809" s="5" t="s">
        <v>258</v>
      </c>
      <c r="C7809" s="31" t="n">
        <f aca="false">CHOOSE($C$7772,Assumptions!$C$75,Assumptions!$C$94,Assumptions!$C$113)</f>
        <v>1.2</v>
      </c>
    </row>
    <row r="7810" customFormat="false" ht="15" hidden="false" customHeight="false" outlineLevel="0" collapsed="false">
      <c r="A7810" s="5" t="s">
        <v>259</v>
      </c>
      <c r="G7810" s="25" t="n">
        <f aca="false">G7815+G7828+G7841+G7854</f>
        <v>1250</v>
      </c>
      <c r="H7810" s="25" t="n">
        <f aca="false">H7815+H7828+H7841+H7854</f>
        <v>1232.24</v>
      </c>
      <c r="I7810" s="25" t="n">
        <f aca="false">I7815+I7828+I7841+I7854</f>
        <v>1227.04</v>
      </c>
      <c r="J7810" s="25" t="n">
        <f aca="false">J7815+J7828+J7841+J7854</f>
        <v>1257.0071594</v>
      </c>
      <c r="K7810" s="25" t="n">
        <f aca="false">K7815+K7828+K7841+K7854</f>
        <v>1263.0003120005</v>
      </c>
    </row>
    <row r="7811" customFormat="false" ht="15" hidden="false" customHeight="false" outlineLevel="0" collapsed="false">
      <c r="A7811" s="5" t="s">
        <v>260</v>
      </c>
      <c r="G7811" s="25" t="n">
        <f aca="false">F7901</f>
        <v>45</v>
      </c>
      <c r="H7811" s="25" t="n">
        <f aca="false">G7901</f>
        <v>0</v>
      </c>
      <c r="I7811" s="25" t="n">
        <f aca="false">H7901</f>
        <v>-18.3028</v>
      </c>
      <c r="J7811" s="25" t="n">
        <f aca="false">I7901</f>
        <v>0</v>
      </c>
      <c r="K7811" s="25" t="n">
        <f aca="false">J7901</f>
        <v>0</v>
      </c>
    </row>
    <row r="7812" customFormat="false" ht="15" hidden="false" customHeight="false" outlineLevel="0" collapsed="false">
      <c r="A7812" s="5" t="s">
        <v>261</v>
      </c>
      <c r="G7812" s="25" t="n">
        <f aca="false">G7815*IF(G7816=1,$C$7807,IF(Assumptions!$I$53=1,MAX(G7805,Assumptions!$G$53)+Assumptions!$F$53+$C$7806,Assumptions!$E$53))+G7828*IF(G7829=1,$C$7807,IF(Assumptions!$I$54=1,MAX(G7805,Assumptions!$G$54)+Assumptions!$F$54+$C$7806,Assumptions!$E$54))+G7841*IF(G7842=1,$C$7807,IF(Assumptions!$I$55=1,MAX(G7805,Assumptions!$G$55)+Assumptions!$F$55+$C$7806,Assumptions!$E$55))+G7854*IF(G7855=1,$C$7807,IF(Assumptions!$I$56=1,MAX(G7805,Assumptions!$G$56)+Assumptions!$F$56+$C$7806,Assumptions!$E$56))</f>
        <v>119.04</v>
      </c>
      <c r="H7812" s="25" t="n">
        <f aca="false">H7815*IF(OR(H7816=1,G7967=1),$C$7807,IF(Assumptions!$I$53=1,MAX(H7805,Assumptions!$G$53)+Assumptions!$F$53+$C$7806,Assumptions!$E$53))+H7828*IF(OR(H7829=1,G7968=1),$C$7807,IF(Assumptions!$I$54=1,MAX(H7805,Assumptions!$G$54)+Assumptions!$F$54+$C$7806,Assumptions!$E$54))+H7841*IF(OR(H7842=1,G7969=1),$C$7807,IF(Assumptions!$I$55=1,MAX(H7805,Assumptions!$G$55)+Assumptions!$F$55+$C$7806,Assumptions!$E$55))+H7854*IF(OR(H7855=1,G7970=1),$C$7807,IF(Assumptions!$I$56=1,MAX(H7805,Assumptions!$G$56)+Assumptions!$F$56+$C$7806,Assumptions!$E$56))</f>
        <v>130.6558</v>
      </c>
      <c r="I7812" s="25" t="n">
        <f aca="false">I7815*IF(OR(I7816=1,H7967=1),$C$7807,IF(Assumptions!$I$53=1,MAX(I7805,Assumptions!$G$53)+Assumptions!$F$53+$C$7806,Assumptions!$E$53))+I7828*IF(OR(I7829=1,H7968=1),$C$7807,IF(Assumptions!$I$54=1,MAX(I7805,Assumptions!$G$54)+Assumptions!$F$54+$C$7806,Assumptions!$E$54))+I7841*IF(OR(I7842=1,H7969=1),$C$7807,IF(Assumptions!$I$55=1,MAX(I7805,Assumptions!$G$55)+Assumptions!$F$55+$C$7806,Assumptions!$E$55))+I7854*IF(OR(I7855=1,H7970=1),$C$7807,IF(Assumptions!$I$56=1,MAX(I7805,Assumptions!$G$56)+Assumptions!$F$56+$C$7806,Assumptions!$E$56))</f>
        <v>134.9744</v>
      </c>
      <c r="J7812" s="25" t="n">
        <f aca="false">J7815*IF(OR(J7816=1,I7967=1),$C$7807,IF(Assumptions!$I$53=1,MAX(J7805,Assumptions!$G$53)+Assumptions!$F$53+$C$7806,Assumptions!$E$53))+J7828*IF(OR(J7829=1,I7968=1),$C$7807,IF(Assumptions!$I$54=1,MAX(J7805,Assumptions!$G$54)+Assumptions!$F$54+$C$7806,Assumptions!$E$54))+J7841*IF(OR(J7842=1,I7969=1),$C$7807,IF(Assumptions!$I$55=1,MAX(J7805,Assumptions!$G$55)+Assumptions!$F$55+$C$7806,Assumptions!$E$55))+J7854*IF(OR(J7855=1,I7970=1),$C$7807,IF(Assumptions!$I$56=1,MAX(J7805,Assumptions!$G$56)+Assumptions!$F$56+$C$7806,Assumptions!$E$56))</f>
        <v>138.270787534</v>
      </c>
      <c r="K7812" s="25" t="n">
        <f aca="false">K7815*IF(OR(K7816=1,J7967=1),$C$7807,IF(Assumptions!$I$53=1,MAX(K7805,Assumptions!$G$53)+Assumptions!$F$53+$C$7806,Assumptions!$E$53))+K7828*IF(OR(K7829=1,J7968=1),$C$7807,IF(Assumptions!$I$54=1,MAX(K7805,Assumptions!$G$54)+Assumptions!$F$54+$C$7806,Assumptions!$E$54))+K7841*IF(OR(K7842=1,J7969=1),$C$7807,IF(Assumptions!$I$55=1,MAX(K7805,Assumptions!$G$55)+Assumptions!$F$55+$C$7806,Assumptions!$E$55))+K7854*IF(OR(K7855=1,J7970=1),$C$7807,IF(Assumptions!$I$56=1,MAX(K7805,Assumptions!$G$56)+Assumptions!$F$56+$C$7806,Assumptions!$E$56))</f>
        <v>138.930034320055</v>
      </c>
    </row>
    <row r="7813" customFormat="false" ht="15" hidden="false" customHeight="false" outlineLevel="0" collapsed="false">
      <c r="A7813" s="5" t="s">
        <v>262</v>
      </c>
      <c r="G7813" s="20" t="n">
        <f aca="false">IF(G7789&lt;=0,0,IF(AND((G7810-G7811)/G7789&lt;=$C$7808,G7789/G7812&gt;=$C$7809),1,0))</f>
        <v>1</v>
      </c>
      <c r="H7813" s="20" t="n">
        <f aca="false">IF(H7789&lt;=0,0,IF(AND((H7810-H7811)/H7789&lt;=$C$7808,H7789/H7812&gt;=$C$7809),1,0))</f>
        <v>1</v>
      </c>
      <c r="I7813" s="20" t="n">
        <f aca="false">IF(I7789&lt;=0,0,IF(AND((I7810-I7811)/I7789&lt;=$C$7808,I7789/I7812&gt;=$C$7809),1,0))</f>
        <v>1</v>
      </c>
      <c r="J7813" s="20" t="n">
        <f aca="false">IF(J7789&lt;=0,0,IF(AND((J7810-J7811)/J7789&lt;=$C$7808,J7789/J7812&gt;=$C$7809),1,0))</f>
        <v>1</v>
      </c>
      <c r="K7813" s="20" t="n">
        <f aca="false">IF(K7789&lt;=0,0,IF(AND((K7810-K7811)/K7789&lt;=$C$7808,K7789/K7812&gt;=$C$7809),1,0))</f>
        <v>1</v>
      </c>
    </row>
    <row r="7814" customFormat="false" ht="15" hidden="false" customHeight="false" outlineLevel="0" collapsed="false">
      <c r="A7814" s="23" t="s">
        <v>263</v>
      </c>
      <c r="B7814" s="24"/>
      <c r="C7814" s="24"/>
      <c r="D7814" s="24"/>
      <c r="E7814" s="24"/>
      <c r="F7814" s="24"/>
      <c r="G7814" s="24"/>
      <c r="H7814" s="24"/>
      <c r="I7814" s="24"/>
      <c r="J7814" s="24"/>
      <c r="K7814" s="24"/>
    </row>
    <row r="7815" customFormat="false" ht="15" hidden="false" customHeight="false" outlineLevel="0" collapsed="false">
      <c r="A7815" s="5" t="s">
        <v>264</v>
      </c>
      <c r="G7815" s="25" t="n">
        <f aca="false">F7826</f>
        <v>180</v>
      </c>
      <c r="H7815" s="25" t="n">
        <f aca="false">G7826</f>
        <v>167.44</v>
      </c>
      <c r="I7815" s="25" t="n">
        <f aca="false">H7826</f>
        <v>167.44</v>
      </c>
      <c r="J7815" s="25" t="n">
        <f aca="false">I7826</f>
        <v>202.6071594</v>
      </c>
      <c r="K7815" s="25" t="n">
        <f aca="false">J7826</f>
        <v>213.8003120005</v>
      </c>
    </row>
    <row r="7816" customFormat="false" ht="15" hidden="false" customHeight="false" outlineLevel="0" collapsed="false">
      <c r="A7816" s="5" t="s">
        <v>265</v>
      </c>
      <c r="G7816" s="20" t="n">
        <f aca="false">IF(G7779=Assumptions!$K$53,1,0)</f>
        <v>0</v>
      </c>
      <c r="H7816" s="20" t="n">
        <f aca="false">IF(H7779=Assumptions!$K$53,1,0)</f>
        <v>1</v>
      </c>
      <c r="I7816" s="20" t="n">
        <f aca="false">IF(I7779=Assumptions!$K$53,1,0)</f>
        <v>0</v>
      </c>
      <c r="J7816" s="20" t="n">
        <f aca="false">IF(J7779=Assumptions!$K$53,1,0)</f>
        <v>0</v>
      </c>
      <c r="K7816" s="20" t="n">
        <f aca="false">IF(K7779=Assumptions!$K$53,1,0)</f>
        <v>0</v>
      </c>
    </row>
    <row r="7818" customFormat="false" ht="15" hidden="false" customHeight="false" outlineLevel="0" collapsed="false">
      <c r="A7818" s="5" t="s">
        <v>266</v>
      </c>
      <c r="G7818" s="30" t="n">
        <f aca="false">IF(Assumptions!$I$53=1,MAX(G7805,Assumptions!$G$53)+Assumptions!$F$53+$C$7806,Assumptions!$E$53)</f>
        <v>0.086</v>
      </c>
      <c r="H7818" s="30" t="n">
        <f aca="false">IF(G7967=1,$C$7807,IF(Assumptions!$I$53=1,MAX(H7805,Assumptions!$G$53)+Assumptions!$F$53+$C$7806,Assumptions!$E$53))</f>
        <v>0.0835</v>
      </c>
      <c r="I7818" s="30" t="n">
        <f aca="false">IF(H7967=1,$C$7807,IF(Assumptions!$I$53=1,MAX(I7805,Assumptions!$G$53)+Assumptions!$F$53+$C$7806,Assumptions!$E$53))</f>
        <v>0.11</v>
      </c>
      <c r="J7818" s="30" t="n">
        <f aca="false">IF(I7967=1,$C$7807,IF(Assumptions!$I$53=1,MAX(J7805,Assumptions!$G$53)+Assumptions!$F$53+$C$7806,Assumptions!$E$53))</f>
        <v>0.11</v>
      </c>
      <c r="K7818" s="30" t="n">
        <f aca="false">IF(J7967=1,$C$7807,IF(Assumptions!$I$53=1,MAX(K7805,Assumptions!$G$53)+Assumptions!$F$53+$C$7806,Assumptions!$E$53))</f>
        <v>0.11</v>
      </c>
    </row>
    <row r="7819" customFormat="false" ht="15" hidden="false" customHeight="false" outlineLevel="0" collapsed="false">
      <c r="A7819" s="5" t="s">
        <v>267</v>
      </c>
      <c r="G7819" s="25" t="n">
        <f aca="false">G7815*G7818</f>
        <v>15.48</v>
      </c>
      <c r="H7819" s="25" t="n">
        <f aca="false">H7815*H7818</f>
        <v>13.98124</v>
      </c>
      <c r="I7819" s="25" t="n">
        <f aca="false">I7815*I7818</f>
        <v>18.4184</v>
      </c>
      <c r="J7819" s="25" t="n">
        <f aca="false">J7815*J7818</f>
        <v>22.286787534</v>
      </c>
      <c r="K7819" s="25" t="n">
        <f aca="false">K7815*K7818</f>
        <v>23.518034320055</v>
      </c>
    </row>
    <row r="7820" customFormat="false" ht="15" hidden="false" customHeight="false" outlineLevel="0" collapsed="false">
      <c r="A7820" s="5" t="s">
        <v>268</v>
      </c>
      <c r="G7820" s="25" t="n">
        <f aca="false">G7815*Assumptions!$H$53</f>
        <v>0</v>
      </c>
      <c r="H7820" s="25" t="n">
        <f aca="false">H7815*Assumptions!$H$53</f>
        <v>0</v>
      </c>
      <c r="I7820" s="25" t="n">
        <f aca="false">I7815*Assumptions!$H$53</f>
        <v>0</v>
      </c>
      <c r="J7820" s="25" t="n">
        <f aca="false">J7815*Assumptions!$H$53</f>
        <v>0</v>
      </c>
      <c r="K7820" s="25" t="n">
        <f aca="false">K7815*Assumptions!$H$53</f>
        <v>0</v>
      </c>
    </row>
    <row r="7821" customFormat="false" ht="15" hidden="false" customHeight="false" outlineLevel="0" collapsed="false">
      <c r="A7821" s="5" t="s">
        <v>269</v>
      </c>
      <c r="G7821" s="25" t="n">
        <f aca="false">MIN(G7815,Assumptions!$L$53*Assumptions!$C$53)</f>
        <v>0</v>
      </c>
      <c r="H7821" s="25" t="n">
        <f aca="false">MIN(H7815,Assumptions!$L$53*Assumptions!$C$53)</f>
        <v>0</v>
      </c>
      <c r="I7821" s="25" t="n">
        <f aca="false">MIN(I7815,Assumptions!$L$53*Assumptions!$C$53)</f>
        <v>0</v>
      </c>
      <c r="J7821" s="25" t="n">
        <f aca="false">MIN(J7815,Assumptions!$L$53*Assumptions!$C$53)</f>
        <v>0</v>
      </c>
      <c r="K7821" s="25" t="n">
        <f aca="false">MIN(K7815,Assumptions!$L$53*Assumptions!$C$53)</f>
        <v>0</v>
      </c>
    </row>
    <row r="7822" customFormat="false" ht="15" hidden="false" customHeight="false" outlineLevel="0" collapsed="false">
      <c r="A7822" s="5" t="s">
        <v>270</v>
      </c>
      <c r="G7822" s="25" t="n">
        <f aca="false">IF(AND(Assumptions!$P$53=1,G7779&lt;Assumptions!$K$53),MIN(MAX(0,-G7893),MAX(0,Assumptions!$D$53-G7815)),0)</f>
        <v>0</v>
      </c>
      <c r="H7822" s="25" t="n">
        <f aca="false">IF(AND(Assumptions!$P$53=1,OR(H7779&lt;Assumptions!$K$53,G7967=1)),MIN(MAX(0,-H7893),MAX(0,Assumptions!$D$53-H7815)),0)</f>
        <v>0</v>
      </c>
      <c r="I7822" s="25" t="n">
        <f aca="false">IF(AND(Assumptions!$P$53=1,OR(I7779&lt;Assumptions!$K$53,H7967=1)),MIN(MAX(0,-I7893),MAX(0,Assumptions!$D$53-I7815)),0)</f>
        <v>35.1671594</v>
      </c>
      <c r="J7822" s="25" t="n">
        <f aca="false">IF(AND(Assumptions!$P$53=1,OR(J7779&lt;Assumptions!$K$53,I7967=1)),MIN(MAX(0,-J7893),MAX(0,Assumptions!$D$53-J7815)),0)</f>
        <v>11.1931526005</v>
      </c>
      <c r="K7822" s="25" t="n">
        <f aca="false">IF(AND(Assumptions!$P$53=1,OR(K7779&lt;Assumptions!$K$53,J7967=1)),MIN(MAX(0,-K7893),MAX(0,Assumptions!$D$53-K7815)),0)</f>
        <v>0</v>
      </c>
    </row>
    <row r="7823" customFormat="false" ht="15" hidden="false" customHeight="false" outlineLevel="0" collapsed="false">
      <c r="A7823" s="5" t="s">
        <v>271</v>
      </c>
      <c r="G7823" s="25" t="n">
        <f aca="false">G7816*MIN(G7815-G7821+G7820,MAX(0,G7895-Assumptions!$C$12*G7813))</f>
        <v>0</v>
      </c>
      <c r="H7823" s="25" t="n">
        <f aca="false">H7816*MIN(H7815-H7821+H7820,MAX(0,H7895-Assumptions!$C$12*H7813))</f>
        <v>0</v>
      </c>
      <c r="I7823" s="25" t="n">
        <f aca="false">I7816*MIN(I7815-I7821+I7820,MAX(0,I7895-Assumptions!$C$12*I7813))</f>
        <v>0</v>
      </c>
      <c r="J7823" s="25" t="n">
        <f aca="false">J7816*MIN(J7815-J7821+J7820,MAX(0,J7895-Assumptions!$C$12*J7813))</f>
        <v>0</v>
      </c>
      <c r="K7823" s="25" t="n">
        <f aca="false">K7816*MIN(K7815-K7821+K7820,MAX(0,K7895-Assumptions!$C$12*K7813))</f>
        <v>0</v>
      </c>
    </row>
    <row r="7824" customFormat="false" ht="15" hidden="false" customHeight="false" outlineLevel="0" collapsed="false">
      <c r="A7824" s="5" t="s">
        <v>272</v>
      </c>
      <c r="G7824" s="25" t="n">
        <f aca="false">Assumptions!$N$53*MIN(G7815+G7822+G7820-G7821-G7823,MAX(0,G7899))</f>
        <v>12.56</v>
      </c>
      <c r="H7824" s="25" t="n">
        <f aca="false">Assumptions!$N$53*MIN(H7815+H7822+H7820-H7821-H7823,MAX(0,H7899))</f>
        <v>0</v>
      </c>
      <c r="I7824" s="25" t="n">
        <f aca="false">Assumptions!$N$53*MIN(I7815+I7822+I7820-I7821-I7823,MAX(0,I7899))</f>
        <v>0</v>
      </c>
      <c r="J7824" s="25" t="n">
        <f aca="false">Assumptions!$N$53*MIN(J7815+J7822+J7820-J7821-J7823,MAX(0,J7899))</f>
        <v>0</v>
      </c>
      <c r="K7824" s="25" t="n">
        <f aca="false">Assumptions!$N$53*MIN(K7815+K7822+K7820-K7821-K7823,MAX(0,K7899))</f>
        <v>2.64535297209875</v>
      </c>
    </row>
    <row r="7825" customFormat="false" ht="15" hidden="false" customHeight="false" outlineLevel="0" collapsed="false">
      <c r="A7825" s="5" t="s">
        <v>273</v>
      </c>
      <c r="G7825" s="25" t="n">
        <f aca="false">G7816*(1-G7813)*(G7815-G7821+G7820-G7823)</f>
        <v>0</v>
      </c>
      <c r="H7825" s="25" t="n">
        <f aca="false">H7816*(1-H7813)*(H7815-H7821+H7820-H7823)</f>
        <v>0</v>
      </c>
      <c r="I7825" s="25" t="n">
        <f aca="false">I7816*(1-I7813)*(I7815-I7821+I7820-I7823)</f>
        <v>0</v>
      </c>
      <c r="J7825" s="25" t="n">
        <f aca="false">J7816*(1-J7813)*(J7815-J7821+J7820-J7823)</f>
        <v>0</v>
      </c>
      <c r="K7825" s="25" t="n">
        <f aca="false">K7816*(1-K7813)*(K7815-K7821+K7820-K7823)</f>
        <v>0</v>
      </c>
    </row>
    <row r="7826" customFormat="false" ht="15" hidden="false" customHeight="false" outlineLevel="0" collapsed="false">
      <c r="A7826" s="2" t="s">
        <v>274</v>
      </c>
      <c r="F7826" s="27" t="n">
        <f aca="false">Assumptions!$C$53</f>
        <v>180</v>
      </c>
      <c r="G7826" s="16" t="n">
        <f aca="false">G7815+G7822+G7820-G7821-G7823-G7824</f>
        <v>167.44</v>
      </c>
      <c r="H7826" s="16" t="n">
        <f aca="false">H7815+H7822+H7820-H7821-H7823-H7824</f>
        <v>167.44</v>
      </c>
      <c r="I7826" s="16" t="n">
        <f aca="false">I7815+I7822+I7820-I7821-I7823-I7824</f>
        <v>202.6071594</v>
      </c>
      <c r="J7826" s="16" t="n">
        <f aca="false">J7815+J7822+J7820-J7821-J7823-J7824</f>
        <v>213.8003120005</v>
      </c>
      <c r="K7826" s="16" t="n">
        <f aca="false">K7815+K7822+K7820-K7821-K7823-K7824</f>
        <v>211.154959028401</v>
      </c>
    </row>
    <row r="7827" customFormat="false" ht="15" hidden="false" customHeight="false" outlineLevel="0" collapsed="false">
      <c r="A7827" s="23" t="s">
        <v>275</v>
      </c>
      <c r="B7827" s="24"/>
      <c r="C7827" s="24"/>
      <c r="D7827" s="24"/>
      <c r="E7827" s="24"/>
      <c r="F7827" s="24"/>
      <c r="G7827" s="24"/>
      <c r="H7827" s="24"/>
      <c r="I7827" s="24"/>
      <c r="J7827" s="24"/>
      <c r="K7827" s="24"/>
    </row>
    <row r="7828" customFormat="false" ht="15" hidden="false" customHeight="false" outlineLevel="0" collapsed="false">
      <c r="A7828" s="5" t="s">
        <v>264</v>
      </c>
      <c r="G7828" s="25" t="n">
        <f aca="false">F7839</f>
        <v>520</v>
      </c>
      <c r="H7828" s="25" t="n">
        <f aca="false">G7839</f>
        <v>514.8</v>
      </c>
      <c r="I7828" s="25" t="n">
        <f aca="false">H7839</f>
        <v>509.6</v>
      </c>
      <c r="J7828" s="25" t="n">
        <f aca="false">I7839</f>
        <v>504.4</v>
      </c>
      <c r="K7828" s="25" t="n">
        <f aca="false">J7839</f>
        <v>499.2</v>
      </c>
    </row>
    <row r="7829" customFormat="false" ht="15" hidden="false" customHeight="false" outlineLevel="0" collapsed="false">
      <c r="A7829" s="5" t="s">
        <v>265</v>
      </c>
      <c r="G7829" s="20" t="n">
        <f aca="false">IF(G7779=Assumptions!$K$54,1,0)</f>
        <v>0</v>
      </c>
      <c r="H7829" s="20" t="n">
        <f aca="false">IF(H7779=Assumptions!$K$54,1,0)</f>
        <v>0</v>
      </c>
      <c r="I7829" s="20" t="n">
        <f aca="false">IF(I7779=Assumptions!$K$54,1,0)</f>
        <v>1</v>
      </c>
      <c r="J7829" s="20" t="n">
        <f aca="false">IF(J7779=Assumptions!$K$54,1,0)</f>
        <v>0</v>
      </c>
      <c r="K7829" s="20" t="n">
        <f aca="false">IF(K7779=Assumptions!$K$54,1,0)</f>
        <v>0</v>
      </c>
    </row>
    <row r="7831" customFormat="false" ht="15" hidden="false" customHeight="false" outlineLevel="0" collapsed="false">
      <c r="A7831" s="5" t="s">
        <v>266</v>
      </c>
      <c r="G7831" s="30" t="n">
        <f aca="false">IF(Assumptions!$I$54=1,MAX(G7805,Assumptions!$G$54)+Assumptions!$F$54+$C$7806,Assumptions!$E$54)</f>
        <v>0.103</v>
      </c>
      <c r="H7831" s="30" t="n">
        <f aca="false">IF(G7968=1,$C$7807,IF(Assumptions!$I$54=1,MAX(H7805,Assumptions!$G$54)+Assumptions!$F$54+$C$7806,Assumptions!$E$54))</f>
        <v>0.1005</v>
      </c>
      <c r="I7831" s="30" t="n">
        <f aca="false">IF(H7968=1,$C$7807,IF(Assumptions!$I$54=1,MAX(I7805,Assumptions!$G$54)+Assumptions!$F$54+$C$7806,Assumptions!$E$54))</f>
        <v>0.098</v>
      </c>
      <c r="J7831" s="30" t="n">
        <f aca="false">IF(I7968=1,$C$7807,IF(Assumptions!$I$54=1,MAX(J7805,Assumptions!$G$54)+Assumptions!$F$54+$C$7806,Assumptions!$E$54))</f>
        <v>0.11</v>
      </c>
      <c r="K7831" s="30" t="n">
        <f aca="false">IF(J7968=1,$C$7807,IF(Assumptions!$I$54=1,MAX(K7805,Assumptions!$G$54)+Assumptions!$F$54+$C$7806,Assumptions!$E$54))</f>
        <v>0.11</v>
      </c>
    </row>
    <row r="7832" customFormat="false" ht="15" hidden="false" customHeight="false" outlineLevel="0" collapsed="false">
      <c r="A7832" s="5" t="s">
        <v>267</v>
      </c>
      <c r="G7832" s="25" t="n">
        <f aca="false">G7828*G7831</f>
        <v>53.56</v>
      </c>
      <c r="H7832" s="25" t="n">
        <f aca="false">H7828*H7831</f>
        <v>51.7374</v>
      </c>
      <c r="I7832" s="25" t="n">
        <f aca="false">I7828*I7831</f>
        <v>49.9408</v>
      </c>
      <c r="J7832" s="25" t="n">
        <f aca="false">J7828*J7831</f>
        <v>55.484</v>
      </c>
      <c r="K7832" s="25" t="n">
        <f aca="false">K7828*K7831</f>
        <v>54.912</v>
      </c>
    </row>
    <row r="7833" customFormat="false" ht="15" hidden="false" customHeight="false" outlineLevel="0" collapsed="false">
      <c r="A7833" s="5" t="s">
        <v>268</v>
      </c>
      <c r="G7833" s="25" t="n">
        <f aca="false">G7828*Assumptions!$H$54</f>
        <v>0</v>
      </c>
      <c r="H7833" s="25" t="n">
        <f aca="false">H7828*Assumptions!$H$54</f>
        <v>0</v>
      </c>
      <c r="I7833" s="25" t="n">
        <f aca="false">I7828*Assumptions!$H$54</f>
        <v>0</v>
      </c>
      <c r="J7833" s="25" t="n">
        <f aca="false">J7828*Assumptions!$H$54</f>
        <v>0</v>
      </c>
      <c r="K7833" s="25" t="n">
        <f aca="false">K7828*Assumptions!$H$54</f>
        <v>0</v>
      </c>
    </row>
    <row r="7834" customFormat="false" ht="15" hidden="false" customHeight="false" outlineLevel="0" collapsed="false">
      <c r="A7834" s="5" t="s">
        <v>269</v>
      </c>
      <c r="G7834" s="25" t="n">
        <f aca="false">MIN(G7828,Assumptions!$L$54*Assumptions!$C$54)</f>
        <v>5.2</v>
      </c>
      <c r="H7834" s="25" t="n">
        <f aca="false">MIN(H7828,Assumptions!$L$54*Assumptions!$C$54)</f>
        <v>5.2</v>
      </c>
      <c r="I7834" s="25" t="n">
        <f aca="false">MIN(I7828,Assumptions!$L$54*Assumptions!$C$54)</f>
        <v>5.2</v>
      </c>
      <c r="J7834" s="25" t="n">
        <f aca="false">MIN(J7828,Assumptions!$L$54*Assumptions!$C$54)</f>
        <v>5.2</v>
      </c>
      <c r="K7834" s="25" t="n">
        <f aca="false">MIN(K7828,Assumptions!$L$54*Assumptions!$C$54)</f>
        <v>5.2</v>
      </c>
    </row>
    <row r="7835" customFormat="false" ht="15" hidden="false" customHeight="false" outlineLevel="0" collapsed="false">
      <c r="A7835" s="5" t="s">
        <v>270</v>
      </c>
      <c r="G7835" s="25" t="n">
        <f aca="false">IF(AND(Assumptions!$P$54=1,G7779&lt;Assumptions!$K$54),MIN(MAX(0,-G7893),MAX(0,Assumptions!$D$54-G7828)),0)</f>
        <v>0</v>
      </c>
      <c r="H7835" s="25" t="n">
        <f aca="false">IF(AND(Assumptions!$P$54=1,OR(H7779&lt;Assumptions!$K$54,G7968=1)),MIN(MAX(0,-H7893),MAX(0,Assumptions!$D$54-H7828)),0)</f>
        <v>0</v>
      </c>
      <c r="I7835" s="25" t="n">
        <f aca="false">IF(AND(Assumptions!$P$54=1,OR(I7779&lt;Assumptions!$K$54,H7968=1)),MIN(MAX(0,-I7893),MAX(0,Assumptions!$D$54-I7828)),0)</f>
        <v>0</v>
      </c>
      <c r="J7835" s="25" t="n">
        <f aca="false">IF(AND(Assumptions!$P$54=1,OR(J7779&lt;Assumptions!$K$54,I7968=1)),MIN(MAX(0,-J7893),MAX(0,Assumptions!$D$54-J7828)),0)</f>
        <v>0</v>
      </c>
      <c r="K7835" s="25" t="n">
        <f aca="false">IF(AND(Assumptions!$P$54=1,OR(K7779&lt;Assumptions!$K$54,J7968=1)),MIN(MAX(0,-K7893),MAX(0,Assumptions!$D$54-K7828)),0)</f>
        <v>0</v>
      </c>
    </row>
    <row r="7836" customFormat="false" ht="15" hidden="false" customHeight="false" outlineLevel="0" collapsed="false">
      <c r="A7836" s="5" t="s">
        <v>271</v>
      </c>
      <c r="G7836" s="25" t="n">
        <f aca="false">G7829*MIN(G7828-G7834+G7833,MAX(0,G7895-Assumptions!$C$12*G7813-G7823))</f>
        <v>0</v>
      </c>
      <c r="H7836" s="25" t="n">
        <f aca="false">H7829*MIN(H7828-H7834+H7833,MAX(0,H7895-Assumptions!$C$12*H7813-H7823))</f>
        <v>0</v>
      </c>
      <c r="I7836" s="25" t="n">
        <f aca="false">I7829*MIN(I7828-I7834+I7833,MAX(0,I7895-Assumptions!$C$12*I7813-I7823))</f>
        <v>0</v>
      </c>
      <c r="J7836" s="25" t="n">
        <f aca="false">J7829*MIN(J7828-J7834+J7833,MAX(0,J7895-Assumptions!$C$12*J7813-J7823))</f>
        <v>0</v>
      </c>
      <c r="K7836" s="25" t="n">
        <f aca="false">K7829*MIN(K7828-K7834+K7833,MAX(0,K7895-Assumptions!$C$12*K7813-K7823))</f>
        <v>0</v>
      </c>
    </row>
    <row r="7837" customFormat="false" ht="15" hidden="false" customHeight="false" outlineLevel="0" collapsed="false">
      <c r="A7837" s="5" t="s">
        <v>272</v>
      </c>
      <c r="G7837" s="25" t="n">
        <f aca="false">Assumptions!$N$54*MIN(G7828+G7835+G7833-G7834-G7836,MAX(0,G7899-G7824))</f>
        <v>0</v>
      </c>
      <c r="H7837" s="25" t="n">
        <f aca="false">Assumptions!$N$54*MIN(H7828+H7835+H7833-H7834-H7836,MAX(0,H7899-H7824))</f>
        <v>0</v>
      </c>
      <c r="I7837" s="25" t="n">
        <f aca="false">Assumptions!$N$54*MIN(I7828+I7835+I7833-I7834-I7836,MAX(0,I7899-I7824))</f>
        <v>0</v>
      </c>
      <c r="J7837" s="25" t="n">
        <f aca="false">Assumptions!$N$54*MIN(J7828+J7835+J7833-J7834-J7836,MAX(0,J7899-J7824))</f>
        <v>0</v>
      </c>
      <c r="K7837" s="25" t="n">
        <f aca="false">Assumptions!$N$54*MIN(K7828+K7835+K7833-K7834-K7836,MAX(0,K7899-K7824))</f>
        <v>0</v>
      </c>
    </row>
    <row r="7838" customFormat="false" ht="15" hidden="false" customHeight="false" outlineLevel="0" collapsed="false">
      <c r="A7838" s="5" t="s">
        <v>273</v>
      </c>
      <c r="G7838" s="25" t="n">
        <f aca="false">G7829*(1-G7813)*(G7828-G7834+G7833-G7836)</f>
        <v>0</v>
      </c>
      <c r="H7838" s="25" t="n">
        <f aca="false">H7829*(1-H7813)*(H7828-H7834+H7833-H7836)</f>
        <v>0</v>
      </c>
      <c r="I7838" s="25" t="n">
        <f aca="false">I7829*(1-I7813)*(I7828-I7834+I7833-I7836)</f>
        <v>0</v>
      </c>
      <c r="J7838" s="25" t="n">
        <f aca="false">J7829*(1-J7813)*(J7828-J7834+J7833-J7836)</f>
        <v>0</v>
      </c>
      <c r="K7838" s="25" t="n">
        <f aca="false">K7829*(1-K7813)*(K7828-K7834+K7833-K7836)</f>
        <v>0</v>
      </c>
    </row>
    <row r="7839" customFormat="false" ht="15" hidden="false" customHeight="false" outlineLevel="0" collapsed="false">
      <c r="A7839" s="2" t="s">
        <v>274</v>
      </c>
      <c r="F7839" s="27" t="n">
        <f aca="false">Assumptions!$C$54</f>
        <v>520</v>
      </c>
      <c r="G7839" s="16" t="n">
        <f aca="false">G7828+G7835+G7833-G7834-G7836-G7837</f>
        <v>514.8</v>
      </c>
      <c r="H7839" s="16" t="n">
        <f aca="false">H7828+H7835+H7833-H7834-H7836-H7837</f>
        <v>509.6</v>
      </c>
      <c r="I7839" s="16" t="n">
        <f aca="false">I7828+I7835+I7833-I7834-I7836-I7837</f>
        <v>504.4</v>
      </c>
      <c r="J7839" s="16" t="n">
        <f aca="false">J7828+J7835+J7833-J7834-J7836-J7837</f>
        <v>499.2</v>
      </c>
      <c r="K7839" s="16" t="n">
        <f aca="false">K7828+K7835+K7833-K7834-K7836-K7837</f>
        <v>494</v>
      </c>
    </row>
    <row r="7840" customFormat="false" ht="15" hidden="false" customHeight="false" outlineLevel="0" collapsed="false">
      <c r="A7840" s="23" t="s">
        <v>276</v>
      </c>
      <c r="B7840" s="24"/>
      <c r="C7840" s="24"/>
      <c r="D7840" s="24"/>
      <c r="E7840" s="24"/>
      <c r="F7840" s="24"/>
      <c r="G7840" s="24"/>
      <c r="H7840" s="24"/>
      <c r="I7840" s="24"/>
      <c r="J7840" s="24"/>
      <c r="K7840" s="24"/>
    </row>
    <row r="7841" customFormat="false" ht="15" hidden="false" customHeight="false" outlineLevel="0" collapsed="false">
      <c r="A7841" s="5" t="s">
        <v>264</v>
      </c>
      <c r="G7841" s="25" t="n">
        <f aca="false">F7852</f>
        <v>250</v>
      </c>
      <c r="H7841" s="25" t="n">
        <f aca="false">G7852</f>
        <v>250</v>
      </c>
      <c r="I7841" s="25" t="n">
        <f aca="false">H7852</f>
        <v>250</v>
      </c>
      <c r="J7841" s="25" t="n">
        <f aca="false">I7852</f>
        <v>250</v>
      </c>
      <c r="K7841" s="25" t="n">
        <f aca="false">J7852</f>
        <v>250</v>
      </c>
    </row>
    <row r="7842" customFormat="false" ht="15" hidden="false" customHeight="false" outlineLevel="0" collapsed="false">
      <c r="A7842" s="5" t="s">
        <v>265</v>
      </c>
      <c r="G7842" s="20" t="n">
        <f aca="false">IF(G7779=Assumptions!$K$55,1,0)</f>
        <v>0</v>
      </c>
      <c r="H7842" s="20" t="n">
        <f aca="false">IF(H7779=Assumptions!$K$55,1,0)</f>
        <v>0</v>
      </c>
      <c r="I7842" s="20" t="n">
        <f aca="false">IF(I7779=Assumptions!$K$55,1,0)</f>
        <v>0</v>
      </c>
      <c r="J7842" s="20" t="n">
        <f aca="false">IF(J7779=Assumptions!$K$55,1,0)</f>
        <v>1</v>
      </c>
      <c r="K7842" s="20" t="n">
        <f aca="false">IF(K7779=Assumptions!$K$55,1,0)</f>
        <v>0</v>
      </c>
    </row>
    <row r="7844" customFormat="false" ht="15" hidden="false" customHeight="false" outlineLevel="0" collapsed="false">
      <c r="A7844" s="5" t="s">
        <v>266</v>
      </c>
      <c r="G7844" s="30" t="n">
        <f aca="false">IF(Assumptions!$I$55=1,MAX(G7805,Assumptions!$G$55)+Assumptions!$F$55+$C$7806,Assumptions!$E$55)</f>
        <v>0.11</v>
      </c>
      <c r="H7844" s="30" t="n">
        <f aca="false">IF(G7969=1,$C$7807,IF(Assumptions!$I$55=1,MAX(H7805,Assumptions!$G$55)+Assumptions!$F$55+$C$7806,Assumptions!$E$55))</f>
        <v>0.11</v>
      </c>
      <c r="I7844" s="30" t="n">
        <f aca="false">IF(H7969=1,$C$7807,IF(Assumptions!$I$55=1,MAX(I7805,Assumptions!$G$55)+Assumptions!$F$55+$C$7806,Assumptions!$E$55))</f>
        <v>0.11</v>
      </c>
      <c r="J7844" s="30" t="n">
        <f aca="false">IF(I7969=1,$C$7807,IF(Assumptions!$I$55=1,MAX(J7805,Assumptions!$G$55)+Assumptions!$F$55+$C$7806,Assumptions!$E$55))</f>
        <v>0.11</v>
      </c>
      <c r="K7844" s="30" t="n">
        <f aca="false">IF(J7969=1,$C$7807,IF(Assumptions!$I$55=1,MAX(K7805,Assumptions!$G$55)+Assumptions!$F$55+$C$7806,Assumptions!$E$55))</f>
        <v>0.11</v>
      </c>
    </row>
    <row r="7845" customFormat="false" ht="15" hidden="false" customHeight="false" outlineLevel="0" collapsed="false">
      <c r="A7845" s="5" t="s">
        <v>267</v>
      </c>
      <c r="G7845" s="25" t="n">
        <f aca="false">G7841*G7844</f>
        <v>27.5</v>
      </c>
      <c r="H7845" s="25" t="n">
        <f aca="false">H7841*H7844</f>
        <v>27.5</v>
      </c>
      <c r="I7845" s="25" t="n">
        <f aca="false">I7841*I7844</f>
        <v>27.5</v>
      </c>
      <c r="J7845" s="25" t="n">
        <f aca="false">J7841*J7844</f>
        <v>27.5</v>
      </c>
      <c r="K7845" s="25" t="n">
        <f aca="false">K7841*K7844</f>
        <v>27.5</v>
      </c>
    </row>
    <row r="7846" customFormat="false" ht="15" hidden="false" customHeight="false" outlineLevel="0" collapsed="false">
      <c r="A7846" s="5" t="s">
        <v>268</v>
      </c>
      <c r="G7846" s="25" t="n">
        <f aca="false">G7841*Assumptions!$H$55</f>
        <v>0</v>
      </c>
      <c r="H7846" s="25" t="n">
        <f aca="false">H7841*Assumptions!$H$55</f>
        <v>0</v>
      </c>
      <c r="I7846" s="25" t="n">
        <f aca="false">I7841*Assumptions!$H$55</f>
        <v>0</v>
      </c>
      <c r="J7846" s="25" t="n">
        <f aca="false">J7841*Assumptions!$H$55</f>
        <v>0</v>
      </c>
      <c r="K7846" s="25" t="n">
        <f aca="false">K7841*Assumptions!$H$55</f>
        <v>0</v>
      </c>
    </row>
    <row r="7847" customFormat="false" ht="15" hidden="false" customHeight="false" outlineLevel="0" collapsed="false">
      <c r="A7847" s="5" t="s">
        <v>269</v>
      </c>
      <c r="G7847" s="25" t="n">
        <f aca="false">MIN(G7841,Assumptions!$L$55*Assumptions!$C$55)</f>
        <v>0</v>
      </c>
      <c r="H7847" s="25" t="n">
        <f aca="false">MIN(H7841,Assumptions!$L$55*Assumptions!$C$55)</f>
        <v>0</v>
      </c>
      <c r="I7847" s="25" t="n">
        <f aca="false">MIN(I7841,Assumptions!$L$55*Assumptions!$C$55)</f>
        <v>0</v>
      </c>
      <c r="J7847" s="25" t="n">
        <f aca="false">MIN(J7841,Assumptions!$L$55*Assumptions!$C$55)</f>
        <v>0</v>
      </c>
      <c r="K7847" s="25" t="n">
        <f aca="false">MIN(K7841,Assumptions!$L$55*Assumptions!$C$55)</f>
        <v>0</v>
      </c>
    </row>
    <row r="7848" customFormat="false" ht="15" hidden="false" customHeight="false" outlineLevel="0" collapsed="false">
      <c r="A7848" s="5" t="s">
        <v>270</v>
      </c>
      <c r="G7848" s="25" t="n">
        <f aca="false">IF(AND(Assumptions!$P$55=1,G7779&lt;Assumptions!$K$55),MIN(MAX(0,-G7893),MAX(0,Assumptions!$D$55-G7841)),0)</f>
        <v>0</v>
      </c>
      <c r="H7848" s="25" t="n">
        <f aca="false">IF(AND(Assumptions!$P$55=1,OR(H7779&lt;Assumptions!$K$55,G7969=1)),MIN(MAX(0,-H7893),MAX(0,Assumptions!$D$55-H7841)),0)</f>
        <v>0</v>
      </c>
      <c r="I7848" s="25" t="n">
        <f aca="false">IF(AND(Assumptions!$P$55=1,OR(I7779&lt;Assumptions!$K$55,H7969=1)),MIN(MAX(0,-I7893),MAX(0,Assumptions!$D$55-I7841)),0)</f>
        <v>0</v>
      </c>
      <c r="J7848" s="25" t="n">
        <f aca="false">IF(AND(Assumptions!$P$55=1,OR(J7779&lt;Assumptions!$K$55,I7969=1)),MIN(MAX(0,-J7893),MAX(0,Assumptions!$D$55-J7841)),0)</f>
        <v>0</v>
      </c>
      <c r="K7848" s="25" t="n">
        <f aca="false">IF(AND(Assumptions!$P$55=1,OR(K7779&lt;Assumptions!$K$55,J7969=1)),MIN(MAX(0,-K7893),MAX(0,Assumptions!$D$55-K7841)),0)</f>
        <v>0</v>
      </c>
    </row>
    <row r="7849" customFormat="false" ht="15" hidden="false" customHeight="false" outlineLevel="0" collapsed="false">
      <c r="A7849" s="5" t="s">
        <v>271</v>
      </c>
      <c r="G7849" s="25" t="n">
        <f aca="false">G7842*MIN(G7841-G7847+G7846,MAX(0,G7895-Assumptions!$C$12*G7813-G7823-G7836))</f>
        <v>0</v>
      </c>
      <c r="H7849" s="25" t="n">
        <f aca="false">H7842*MIN(H7841-H7847+H7846,MAX(0,H7895-Assumptions!$C$12*H7813-H7823-H7836))</f>
        <v>0</v>
      </c>
      <c r="I7849" s="25" t="n">
        <f aca="false">I7842*MIN(I7841-I7847+I7846,MAX(0,I7895-Assumptions!$C$12*I7813-I7823-I7836))</f>
        <v>0</v>
      </c>
      <c r="J7849" s="25" t="n">
        <f aca="false">J7842*MIN(J7841-J7847+J7846,MAX(0,J7895-Assumptions!$C$12*J7813-J7823-J7836))</f>
        <v>0</v>
      </c>
      <c r="K7849" s="25" t="n">
        <f aca="false">K7842*MIN(K7841-K7847+K7846,MAX(0,K7895-Assumptions!$C$12*K7813-K7823-K7836))</f>
        <v>0</v>
      </c>
    </row>
    <row r="7850" customFormat="false" ht="15" hidden="false" customHeight="false" outlineLevel="0" collapsed="false">
      <c r="A7850" s="5" t="s">
        <v>272</v>
      </c>
      <c r="G7850" s="25" t="n">
        <f aca="false">Assumptions!$N$55*MIN(G7841+G7848+G7846-G7847-G7849,MAX(0,G7899-G7824-G7837))</f>
        <v>0</v>
      </c>
      <c r="H7850" s="25" t="n">
        <f aca="false">Assumptions!$N$55*MIN(H7841+H7848+H7846-H7847-H7849,MAX(0,H7899-H7824-H7837))</f>
        <v>0</v>
      </c>
      <c r="I7850" s="25" t="n">
        <f aca="false">Assumptions!$N$55*MIN(I7841+I7848+I7846-I7847-I7849,MAX(0,I7899-I7824-I7837))</f>
        <v>0</v>
      </c>
      <c r="J7850" s="25" t="n">
        <f aca="false">Assumptions!$N$55*MIN(J7841+J7848+J7846-J7847-J7849,MAX(0,J7899-J7824-J7837))</f>
        <v>0</v>
      </c>
      <c r="K7850" s="25" t="n">
        <f aca="false">Assumptions!$N$55*MIN(K7841+K7848+K7846-K7847-K7849,MAX(0,K7899-K7824-K7837))</f>
        <v>0</v>
      </c>
    </row>
    <row r="7851" customFormat="false" ht="15" hidden="false" customHeight="false" outlineLevel="0" collapsed="false">
      <c r="A7851" s="5" t="s">
        <v>273</v>
      </c>
      <c r="G7851" s="25" t="n">
        <f aca="false">G7842*(1-G7813)*(G7841-G7847+G7846-G7849)</f>
        <v>0</v>
      </c>
      <c r="H7851" s="25" t="n">
        <f aca="false">H7842*(1-H7813)*(H7841-H7847+H7846-H7849)</f>
        <v>0</v>
      </c>
      <c r="I7851" s="25" t="n">
        <f aca="false">I7842*(1-I7813)*(I7841-I7847+I7846-I7849)</f>
        <v>0</v>
      </c>
      <c r="J7851" s="25" t="n">
        <f aca="false">J7842*(1-J7813)*(J7841-J7847+J7846-J7849)</f>
        <v>0</v>
      </c>
      <c r="K7851" s="25" t="n">
        <f aca="false">K7842*(1-K7813)*(K7841-K7847+K7846-K7849)</f>
        <v>0</v>
      </c>
    </row>
    <row r="7852" customFormat="false" ht="15" hidden="false" customHeight="false" outlineLevel="0" collapsed="false">
      <c r="A7852" s="2" t="s">
        <v>274</v>
      </c>
      <c r="F7852" s="27" t="n">
        <f aca="false">Assumptions!$C$55</f>
        <v>250</v>
      </c>
      <c r="G7852" s="16" t="n">
        <f aca="false">G7841+G7848+G7846-G7847-G7849-G7850</f>
        <v>250</v>
      </c>
      <c r="H7852" s="16" t="n">
        <f aca="false">H7841+H7848+H7846-H7847-H7849-H7850</f>
        <v>250</v>
      </c>
      <c r="I7852" s="16" t="n">
        <f aca="false">I7841+I7848+I7846-I7847-I7849-I7850</f>
        <v>250</v>
      </c>
      <c r="J7852" s="16" t="n">
        <f aca="false">J7841+J7848+J7846-J7847-J7849-J7850</f>
        <v>250</v>
      </c>
      <c r="K7852" s="16" t="n">
        <f aca="false">K7841+K7848+K7846-K7847-K7849-K7850</f>
        <v>250</v>
      </c>
    </row>
    <row r="7853" customFormat="false" ht="15" hidden="false" customHeight="false" outlineLevel="0" collapsed="false">
      <c r="A7853" s="23" t="s">
        <v>277</v>
      </c>
      <c r="B7853" s="24"/>
      <c r="C7853" s="24"/>
      <c r="D7853" s="24"/>
      <c r="E7853" s="24"/>
      <c r="F7853" s="24"/>
      <c r="G7853" s="24"/>
      <c r="H7853" s="24"/>
      <c r="I7853" s="24"/>
      <c r="J7853" s="24"/>
      <c r="K7853" s="24"/>
    </row>
    <row r="7854" customFormat="false" ht="15" hidden="false" customHeight="false" outlineLevel="0" collapsed="false">
      <c r="A7854" s="5" t="s">
        <v>264</v>
      </c>
      <c r="G7854" s="25" t="n">
        <f aca="false">F7865</f>
        <v>300</v>
      </c>
      <c r="H7854" s="25" t="n">
        <f aca="false">G7865</f>
        <v>300</v>
      </c>
      <c r="I7854" s="25" t="n">
        <f aca="false">H7865</f>
        <v>300</v>
      </c>
      <c r="J7854" s="25" t="n">
        <f aca="false">I7865</f>
        <v>300</v>
      </c>
      <c r="K7854" s="25" t="n">
        <f aca="false">J7865</f>
        <v>300</v>
      </c>
    </row>
    <row r="7855" customFormat="false" ht="15" hidden="false" customHeight="false" outlineLevel="0" collapsed="false">
      <c r="A7855" s="5" t="s">
        <v>265</v>
      </c>
      <c r="G7855" s="20" t="n">
        <f aca="false">IF(G7779=Assumptions!$K$56,1,0)</f>
        <v>0</v>
      </c>
      <c r="H7855" s="20" t="n">
        <f aca="false">IF(H7779=Assumptions!$K$56,1,0)</f>
        <v>1</v>
      </c>
      <c r="I7855" s="20" t="n">
        <f aca="false">IF(I7779=Assumptions!$K$56,1,0)</f>
        <v>0</v>
      </c>
      <c r="J7855" s="20" t="n">
        <f aca="false">IF(J7779=Assumptions!$K$56,1,0)</f>
        <v>0</v>
      </c>
      <c r="K7855" s="20" t="n">
        <f aca="false">IF(K7779=Assumptions!$K$56,1,0)</f>
        <v>0</v>
      </c>
    </row>
    <row r="7857" customFormat="false" ht="15" hidden="false" customHeight="false" outlineLevel="0" collapsed="false">
      <c r="A7857" s="5" t="s">
        <v>266</v>
      </c>
      <c r="G7857" s="30" t="n">
        <f aca="false">IF(Assumptions!$I$56=1,MAX(G7805,Assumptions!$G$56)+Assumptions!$F$56+$C$7806,Assumptions!$E$56)</f>
        <v>0.075</v>
      </c>
      <c r="H7857" s="30" t="n">
        <f aca="false">IF(G7970=1,$C$7807,IF(Assumptions!$I$56=1,MAX(H7805,Assumptions!$G$56)+Assumptions!$F$56+$C$7806,Assumptions!$E$56))</f>
        <v>0.075</v>
      </c>
      <c r="I7857" s="30" t="n">
        <f aca="false">IF(H7970=1,$C$7807,IF(Assumptions!$I$56=1,MAX(I7805,Assumptions!$G$56)+Assumptions!$F$56+$C$7806,Assumptions!$E$56))</f>
        <v>0.11</v>
      </c>
      <c r="J7857" s="30" t="n">
        <f aca="false">IF(I7970=1,$C$7807,IF(Assumptions!$I$56=1,MAX(J7805,Assumptions!$G$56)+Assumptions!$F$56+$C$7806,Assumptions!$E$56))</f>
        <v>0.11</v>
      </c>
      <c r="K7857" s="30" t="n">
        <f aca="false">IF(J7970=1,$C$7807,IF(Assumptions!$I$56=1,MAX(K7805,Assumptions!$G$56)+Assumptions!$F$56+$C$7806,Assumptions!$E$56))</f>
        <v>0.11</v>
      </c>
    </row>
    <row r="7858" customFormat="false" ht="15" hidden="false" customHeight="false" outlineLevel="0" collapsed="false">
      <c r="A7858" s="5" t="s">
        <v>267</v>
      </c>
      <c r="G7858" s="25" t="n">
        <f aca="false">G7854*G7857</f>
        <v>22.5</v>
      </c>
      <c r="H7858" s="25" t="n">
        <f aca="false">H7854*H7857</f>
        <v>22.5</v>
      </c>
      <c r="I7858" s="25" t="n">
        <f aca="false">I7854*I7857</f>
        <v>33</v>
      </c>
      <c r="J7858" s="25" t="n">
        <f aca="false">J7854*J7857</f>
        <v>33</v>
      </c>
      <c r="K7858" s="25" t="n">
        <f aca="false">K7854*K7857</f>
        <v>33</v>
      </c>
    </row>
    <row r="7859" customFormat="false" ht="15" hidden="false" customHeight="false" outlineLevel="0" collapsed="false">
      <c r="A7859" s="5" t="s">
        <v>268</v>
      </c>
      <c r="G7859" s="25" t="n">
        <f aca="false">G7854*Assumptions!$H$56</f>
        <v>0</v>
      </c>
      <c r="H7859" s="25" t="n">
        <f aca="false">H7854*Assumptions!$H$56</f>
        <v>0</v>
      </c>
      <c r="I7859" s="25" t="n">
        <f aca="false">I7854*Assumptions!$H$56</f>
        <v>0</v>
      </c>
      <c r="J7859" s="25" t="n">
        <f aca="false">J7854*Assumptions!$H$56</f>
        <v>0</v>
      </c>
      <c r="K7859" s="25" t="n">
        <f aca="false">K7854*Assumptions!$H$56</f>
        <v>0</v>
      </c>
    </row>
    <row r="7860" customFormat="false" ht="15" hidden="false" customHeight="false" outlineLevel="0" collapsed="false">
      <c r="A7860" s="5" t="s">
        <v>269</v>
      </c>
      <c r="G7860" s="25" t="n">
        <f aca="false">MIN(G7854,Assumptions!$L$56*Assumptions!$C$56)</f>
        <v>0</v>
      </c>
      <c r="H7860" s="25" t="n">
        <f aca="false">MIN(H7854,Assumptions!$L$56*Assumptions!$C$56)</f>
        <v>0</v>
      </c>
      <c r="I7860" s="25" t="n">
        <f aca="false">MIN(I7854,Assumptions!$L$56*Assumptions!$C$56)</f>
        <v>0</v>
      </c>
      <c r="J7860" s="25" t="n">
        <f aca="false">MIN(J7854,Assumptions!$L$56*Assumptions!$C$56)</f>
        <v>0</v>
      </c>
      <c r="K7860" s="25" t="n">
        <f aca="false">MIN(K7854,Assumptions!$L$56*Assumptions!$C$56)</f>
        <v>0</v>
      </c>
    </row>
    <row r="7861" customFormat="false" ht="15" hidden="false" customHeight="false" outlineLevel="0" collapsed="false">
      <c r="A7861" s="5" t="s">
        <v>270</v>
      </c>
      <c r="G7861" s="25" t="n">
        <f aca="false">IF(AND(Assumptions!$P$56=1,G7779&lt;Assumptions!$K$56),MIN(MAX(0,-G7893),MAX(0,Assumptions!$D$56-G7854)),0)</f>
        <v>0</v>
      </c>
      <c r="H7861" s="25" t="n">
        <f aca="false">IF(AND(Assumptions!$P$56=1,OR(H7779&lt;Assumptions!$K$56,G7970=1)),MIN(MAX(0,-H7893),MAX(0,Assumptions!$D$56-H7854)),0)</f>
        <v>0</v>
      </c>
      <c r="I7861" s="25" t="n">
        <f aca="false">IF(AND(Assumptions!$P$56=1,OR(I7779&lt;Assumptions!$K$56,H7970=1)),MIN(MAX(0,-I7893),MAX(0,Assumptions!$D$56-I7854)),0)</f>
        <v>0</v>
      </c>
      <c r="J7861" s="25" t="n">
        <f aca="false">IF(AND(Assumptions!$P$56=1,OR(J7779&lt;Assumptions!$K$56,I7970=1)),MIN(MAX(0,-J7893),MAX(0,Assumptions!$D$56-J7854)),0)</f>
        <v>0</v>
      </c>
      <c r="K7861" s="25" t="n">
        <f aca="false">IF(AND(Assumptions!$P$56=1,OR(K7779&lt;Assumptions!$K$56,J7970=1)),MIN(MAX(0,-K7893),MAX(0,Assumptions!$D$56-K7854)),0)</f>
        <v>0</v>
      </c>
    </row>
    <row r="7862" customFormat="false" ht="15" hidden="false" customHeight="false" outlineLevel="0" collapsed="false">
      <c r="A7862" s="5" t="s">
        <v>271</v>
      </c>
      <c r="G7862" s="25" t="n">
        <f aca="false">G7855*MIN(G7854-G7860+G7859,MAX(0,G7895-Assumptions!$C$12*G7813-G7823-G7836-G7849))</f>
        <v>0</v>
      </c>
      <c r="H7862" s="25" t="n">
        <f aca="false">H7855*MIN(H7854-H7860+H7859,MAX(0,H7895-Assumptions!$C$12*H7813-H7823-H7836-H7849))</f>
        <v>0</v>
      </c>
      <c r="I7862" s="25" t="n">
        <f aca="false">I7855*MIN(I7854-I7860+I7859,MAX(0,I7895-Assumptions!$C$12*I7813-I7823-I7836-I7849))</f>
        <v>0</v>
      </c>
      <c r="J7862" s="25" t="n">
        <f aca="false">J7855*MIN(J7854-J7860+J7859,MAX(0,J7895-Assumptions!$C$12*J7813-J7823-J7836-J7849))</f>
        <v>0</v>
      </c>
      <c r="K7862" s="25" t="n">
        <f aca="false">K7855*MIN(K7854-K7860+K7859,MAX(0,K7895-Assumptions!$C$12*K7813-K7823-K7836-K7849))</f>
        <v>0</v>
      </c>
    </row>
    <row r="7863" customFormat="false" ht="15" hidden="false" customHeight="false" outlineLevel="0" collapsed="false">
      <c r="A7863" s="5" t="s">
        <v>272</v>
      </c>
      <c r="G7863" s="25" t="n">
        <f aca="false">Assumptions!$N$56*MIN(G7854+G7861+G7859-G7860-G7862,MAX(0,G7899-G7824-G7837-G7850))</f>
        <v>0</v>
      </c>
      <c r="H7863" s="25" t="n">
        <f aca="false">Assumptions!$N$56*MIN(H7854+H7861+H7859-H7860-H7862,MAX(0,H7899-H7824-H7837-H7850))</f>
        <v>0</v>
      </c>
      <c r="I7863" s="25" t="n">
        <f aca="false">Assumptions!$N$56*MIN(I7854+I7861+I7859-I7860-I7862,MAX(0,I7899-I7824-I7837-I7850))</f>
        <v>0</v>
      </c>
      <c r="J7863" s="25" t="n">
        <f aca="false">Assumptions!$N$56*MIN(J7854+J7861+J7859-J7860-J7862,MAX(0,J7899-J7824-J7837-J7850))</f>
        <v>0</v>
      </c>
      <c r="K7863" s="25" t="n">
        <f aca="false">Assumptions!$N$56*MIN(K7854+K7861+K7859-K7860-K7862,MAX(0,K7899-K7824-K7837-K7850))</f>
        <v>0</v>
      </c>
    </row>
    <row r="7864" customFormat="false" ht="15" hidden="false" customHeight="false" outlineLevel="0" collapsed="false">
      <c r="A7864" s="5" t="s">
        <v>273</v>
      </c>
      <c r="G7864" s="25" t="n">
        <f aca="false">G7855*(1-G7813)*(G7854-G7860+G7859-G7862)</f>
        <v>0</v>
      </c>
      <c r="H7864" s="25" t="n">
        <f aca="false">H7855*(1-H7813)*(H7854-H7860+H7859-H7862)</f>
        <v>0</v>
      </c>
      <c r="I7864" s="25" t="n">
        <f aca="false">I7855*(1-I7813)*(I7854-I7860+I7859-I7862)</f>
        <v>0</v>
      </c>
      <c r="J7864" s="25" t="n">
        <f aca="false">J7855*(1-J7813)*(J7854-J7860+J7859-J7862)</f>
        <v>0</v>
      </c>
      <c r="K7864" s="25" t="n">
        <f aca="false">K7855*(1-K7813)*(K7854-K7860+K7859-K7862)</f>
        <v>0</v>
      </c>
    </row>
    <row r="7865" customFormat="false" ht="15" hidden="false" customHeight="false" outlineLevel="0" collapsed="false">
      <c r="A7865" s="2" t="s">
        <v>274</v>
      </c>
      <c r="F7865" s="27" t="n">
        <f aca="false">Assumptions!$C$56</f>
        <v>300</v>
      </c>
      <c r="G7865" s="16" t="n">
        <f aca="false">G7854+G7861+G7859-G7860-G7862-G7863</f>
        <v>300</v>
      </c>
      <c r="H7865" s="16" t="n">
        <f aca="false">H7854+H7861+H7859-H7860-H7862-H7863</f>
        <v>300</v>
      </c>
      <c r="I7865" s="16" t="n">
        <f aca="false">I7854+I7861+I7859-I7860-I7862-I7863</f>
        <v>300</v>
      </c>
      <c r="J7865" s="16" t="n">
        <f aca="false">J7854+J7861+J7859-J7860-J7862-J7863</f>
        <v>300</v>
      </c>
      <c r="K7865" s="16" t="n">
        <f aca="false">K7854+K7861+K7859-K7860-K7862-K7863</f>
        <v>300</v>
      </c>
    </row>
    <row r="7866" customFormat="false" ht="15" hidden="false" customHeight="false" outlineLevel="0" collapsed="false">
      <c r="A7866" s="23" t="s">
        <v>278</v>
      </c>
      <c r="B7866" s="24"/>
      <c r="C7866" s="24"/>
      <c r="D7866" s="24"/>
      <c r="E7866" s="24"/>
      <c r="F7866" s="24"/>
      <c r="G7866" s="24"/>
      <c r="H7866" s="24"/>
      <c r="I7866" s="24"/>
      <c r="J7866" s="24"/>
      <c r="K7866" s="24"/>
    </row>
    <row r="7867" customFormat="false" ht="15" hidden="false" customHeight="false" outlineLevel="0" collapsed="false">
      <c r="A7867" s="2" t="s">
        <v>279</v>
      </c>
      <c r="F7867" s="16" t="n">
        <f aca="false">F7826+F7839+F7852+F7865</f>
        <v>1250</v>
      </c>
      <c r="G7867" s="16" t="n">
        <f aca="false">G7826+G7839+G7852+G7865</f>
        <v>1232.24</v>
      </c>
      <c r="H7867" s="16" t="n">
        <f aca="false">H7826+H7839+H7852+H7865</f>
        <v>1227.04</v>
      </c>
      <c r="I7867" s="16" t="n">
        <f aca="false">I7826+I7839+I7852+I7865</f>
        <v>1257.0071594</v>
      </c>
      <c r="J7867" s="16" t="n">
        <f aca="false">J7826+J7839+J7852+J7865</f>
        <v>1263.0003120005</v>
      </c>
      <c r="K7867" s="16" t="n">
        <f aca="false">K7826+K7839+K7852+K7865</f>
        <v>1255.1549590284</v>
      </c>
    </row>
    <row r="7868" customFormat="false" ht="15" hidden="false" customHeight="false" outlineLevel="0" collapsed="false">
      <c r="A7868" s="5" t="s">
        <v>280</v>
      </c>
      <c r="G7868" s="25" t="n">
        <f aca="false">G7816*Assumptions!$C$53+G7829*Assumptions!$C$54+G7842*Assumptions!$C$55+G7855*Assumptions!$C$56</f>
        <v>0</v>
      </c>
      <c r="H7868" s="25" t="n">
        <f aca="false">H7816*Assumptions!$C$53+H7829*Assumptions!$C$54+H7842*Assumptions!$C$55+H7855*Assumptions!$C$56</f>
        <v>480</v>
      </c>
      <c r="I7868" s="25" t="n">
        <f aca="false">I7816*Assumptions!$C$53+I7829*Assumptions!$C$54+I7842*Assumptions!$C$55+I7855*Assumptions!$C$56</f>
        <v>520</v>
      </c>
      <c r="J7868" s="25" t="n">
        <f aca="false">J7816*Assumptions!$C$53+J7829*Assumptions!$C$54+J7842*Assumptions!$C$55+J7855*Assumptions!$C$56</f>
        <v>250</v>
      </c>
      <c r="K7868" s="25" t="n">
        <f aca="false">K7816*Assumptions!$C$53+K7829*Assumptions!$C$54+K7842*Assumptions!$C$55+K7855*Assumptions!$C$56</f>
        <v>0</v>
      </c>
    </row>
    <row r="7869" customFormat="false" ht="15" hidden="false" customHeight="false" outlineLevel="0" collapsed="false">
      <c r="A7869" s="23" t="s">
        <v>281</v>
      </c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</row>
    <row r="7870" customFormat="false" ht="15" hidden="false" customHeight="false" outlineLevel="0" collapsed="false">
      <c r="A7870" s="5" t="s">
        <v>282</v>
      </c>
      <c r="C7870" s="25" t="n">
        <f aca="false">SUMPRODUCT($G$7816:$K$7816,$G$7815:$K$7815-$G$7821:$K$7821+$G$7820:$K$7820)</f>
        <v>167.44</v>
      </c>
    </row>
    <row r="7871" customFormat="false" ht="15" hidden="false" customHeight="false" outlineLevel="0" collapsed="false">
      <c r="A7871" s="5" t="s">
        <v>283</v>
      </c>
      <c r="C7871" s="25" t="n">
        <f aca="false">SUMPRODUCT($G$7816:$K$7816,$G$7823:$K$7823)</f>
        <v>0</v>
      </c>
    </row>
    <row r="7872" customFormat="false" ht="15" hidden="false" customHeight="false" outlineLevel="0" collapsed="false">
      <c r="A7872" s="5" t="s">
        <v>284</v>
      </c>
      <c r="C7872" s="5" t="str">
        <f aca="false">IF(SUM($G$7816:$K$7816)=0,"n/a (beyond horizon)",IF(SUMPRODUCT($G$7816:$K$7816,$G$7813:$K$7813)&gt;0,"REFINANCING PASS","REFINANCING FAILURE"))</f>
        <v>REFINANCING PASS</v>
      </c>
    </row>
    <row r="7873" customFormat="false" ht="15" hidden="false" customHeight="false" outlineLevel="0" collapsed="false">
      <c r="A7873" s="5" t="s">
        <v>285</v>
      </c>
      <c r="C7873" s="5" t="str">
        <f aca="false">IF(SUM($G$7816:$K$7816)=0,"n/a",IF(C7871&gt;=C7870-0.001,"Repaid from cash",IF(SUMPRODUCT($G$7816:$K$7816,$G$7813:$K$7813)&gt;0,IF(C7871&gt;0,"Partly repaid; remainder refinanced","Refinanced"),IF(SUM($G$7825:$K$7825)&gt;0.001,IF(C7871&gt;0,"Partial repayment; PAYMENT DEFAULT","PAYMENT DEFAULT"),"Repaid from cash"))))</f>
        <v>Refinanced</v>
      </c>
    </row>
    <row r="7874" customFormat="false" ht="15" hidden="false" customHeight="false" outlineLevel="0" collapsed="false">
      <c r="A7874" s="5" t="s">
        <v>286</v>
      </c>
      <c r="C7874" s="25" t="n">
        <f aca="false">SUMPRODUCT($G$7829:$K$7829,$G$7828:$K$7828-$G$7834:$K$7834+$G$7833:$K$7833)</f>
        <v>504.4</v>
      </c>
    </row>
    <row r="7875" customFormat="false" ht="15" hidden="false" customHeight="false" outlineLevel="0" collapsed="false">
      <c r="A7875" s="5" t="s">
        <v>287</v>
      </c>
      <c r="C7875" s="25" t="n">
        <f aca="false">SUMPRODUCT($G$7829:$K$7829,$G$7836:$K$7836)</f>
        <v>0</v>
      </c>
    </row>
    <row r="7876" customFormat="false" ht="15" hidden="false" customHeight="false" outlineLevel="0" collapsed="false">
      <c r="A7876" s="5" t="s">
        <v>288</v>
      </c>
      <c r="C7876" s="5" t="str">
        <f aca="false">IF(SUM($G$7829:$K$7829)=0,"n/a (beyond horizon)",IF(SUMPRODUCT($G$7829:$K$7829,$G$7813:$K$7813)&gt;0,"REFINANCING PASS","REFINANCING FAILURE"))</f>
        <v>REFINANCING PASS</v>
      </c>
    </row>
    <row r="7877" customFormat="false" ht="15" hidden="false" customHeight="false" outlineLevel="0" collapsed="false">
      <c r="A7877" s="5" t="s">
        <v>289</v>
      </c>
      <c r="C7877" s="5" t="str">
        <f aca="false">IF(SUM($G$7829:$K$7829)=0,"n/a",IF(C7875&gt;=C7874-0.001,"Repaid from cash",IF(SUMPRODUCT($G$7829:$K$7829,$G$7813:$K$7813)&gt;0,IF(C7875&gt;0,"Partly repaid; remainder refinanced","Refinanced"),IF(SUM($G$7838:$K$7838)&gt;0.001,IF(C7875&gt;0,"Partial repayment; PAYMENT DEFAULT","PAYMENT DEFAULT"),"Repaid from cash"))))</f>
        <v>Refinanced</v>
      </c>
    </row>
    <row r="7878" customFormat="false" ht="15" hidden="false" customHeight="false" outlineLevel="0" collapsed="false">
      <c r="A7878" s="5" t="s">
        <v>290</v>
      </c>
      <c r="C7878" s="25" t="n">
        <f aca="false">SUMPRODUCT($G$7842:$K$7842,$G$7841:$K$7841-$G$7847:$K$7847+$G$7846:$K$7846)</f>
        <v>250</v>
      </c>
    </row>
    <row r="7879" customFormat="false" ht="15" hidden="false" customHeight="false" outlineLevel="0" collapsed="false">
      <c r="A7879" s="5" t="s">
        <v>291</v>
      </c>
      <c r="C7879" s="25" t="n">
        <f aca="false">SUMPRODUCT($G$7842:$K$7842,$G$7849:$K$7849)</f>
        <v>0</v>
      </c>
    </row>
    <row r="7880" customFormat="false" ht="15" hidden="false" customHeight="false" outlineLevel="0" collapsed="false">
      <c r="A7880" s="5" t="s">
        <v>292</v>
      </c>
      <c r="C7880" s="5" t="str">
        <f aca="false">IF(SUM($G$7842:$K$7842)=0,"n/a (beyond horizon)",IF(SUMPRODUCT($G$7842:$K$7842,$G$7813:$K$7813)&gt;0,"REFINANCING PASS","REFINANCING FAILURE"))</f>
        <v>REFINANCING PASS</v>
      </c>
    </row>
    <row r="7881" customFormat="false" ht="15" hidden="false" customHeight="false" outlineLevel="0" collapsed="false">
      <c r="A7881" s="5" t="s">
        <v>293</v>
      </c>
      <c r="C7881" s="5" t="str">
        <f aca="false">IF(SUM($G$7842:$K$7842)=0,"n/a",IF(C7879&gt;=C7878-0.001,"Repaid from cash",IF(SUMPRODUCT($G$7842:$K$7842,$G$7813:$K$7813)&gt;0,IF(C7879&gt;0,"Partly repaid; remainder refinanced","Refinanced"),IF(SUM($G$7851:$K$7851)&gt;0.001,IF(C7879&gt;0,"Partial repayment; PAYMENT DEFAULT","PAYMENT DEFAULT"),"Repaid from cash"))))</f>
        <v>Refinanced</v>
      </c>
    </row>
    <row r="7882" customFormat="false" ht="15" hidden="false" customHeight="false" outlineLevel="0" collapsed="false">
      <c r="A7882" s="5" t="s">
        <v>294</v>
      </c>
      <c r="C7882" s="25" t="n">
        <f aca="false">SUMPRODUCT($G$7855:$K$7855,$G$7854:$K$7854-$G$7860:$K$7860+$G$7859:$K$7859)</f>
        <v>300</v>
      </c>
    </row>
    <row r="7883" customFormat="false" ht="15" hidden="false" customHeight="false" outlineLevel="0" collapsed="false">
      <c r="A7883" s="5" t="s">
        <v>295</v>
      </c>
      <c r="C7883" s="25" t="n">
        <f aca="false">SUMPRODUCT($G$7855:$K$7855,$G$7862:$K$7862)</f>
        <v>0</v>
      </c>
    </row>
    <row r="7884" customFormat="false" ht="15" hidden="false" customHeight="false" outlineLevel="0" collapsed="false">
      <c r="A7884" s="5" t="s">
        <v>296</v>
      </c>
      <c r="C7884" s="5" t="str">
        <f aca="false">IF(SUM($G$7855:$K$7855)=0,"n/a (beyond horizon)",IF(SUMPRODUCT($G$7855:$K$7855,$G$7813:$K$7813)&gt;0,"REFINANCING PASS","REFINANCING FAILURE"))</f>
        <v>REFINANCING PASS</v>
      </c>
    </row>
    <row r="7885" customFormat="false" ht="15" hidden="false" customHeight="false" outlineLevel="0" collapsed="false">
      <c r="A7885" s="5" t="s">
        <v>297</v>
      </c>
      <c r="C7885" s="5" t="str">
        <f aca="false">IF(SUM($G$7855:$K$7855)=0,"n/a",IF(C7883&gt;=C7882-0.001,"Repaid from cash",IF(SUMPRODUCT($G$7855:$K$7855,$G$7813:$K$7813)&gt;0,IF(C7883&gt;0,"Partly repaid; remainder refinanced","Refinanced"),IF(SUM($G$7864:$K$7864)&gt;0.001,IF(C7883&gt;0,"Partial repayment; PAYMENT DEFAULT","PAYMENT DEFAULT"),"Repaid from cash"))))</f>
        <v>Refinanced</v>
      </c>
    </row>
    <row r="7886" customFormat="false" ht="15" hidden="false" customHeight="false" outlineLevel="0" collapsed="false">
      <c r="A7886" s="5" t="s">
        <v>298</v>
      </c>
      <c r="C7886" s="20" t="n">
        <f aca="false">IF(C7872="REFINANCING FAILURE",1,0)+IF(C7876="REFINANCING FAILURE",1,0)+IF(C7880="REFINANCING FAILURE",1,0)+IF(C7884="REFINANCING FAILURE",1,0)</f>
        <v>0</v>
      </c>
    </row>
    <row r="7888" customFormat="false" ht="15" hidden="false" customHeight="false" outlineLevel="0" collapsed="false">
      <c r="A7888" s="23" t="s">
        <v>300</v>
      </c>
      <c r="B7888" s="24"/>
      <c r="C7888" s="24"/>
      <c r="D7888" s="24"/>
      <c r="E7888" s="24"/>
      <c r="F7888" s="24"/>
      <c r="G7888" s="24"/>
      <c r="H7888" s="24"/>
      <c r="I7888" s="24"/>
      <c r="J7888" s="24"/>
      <c r="K7888" s="24"/>
    </row>
    <row r="7889" customFormat="false" ht="15" hidden="false" customHeight="false" outlineLevel="0" collapsed="false">
      <c r="A7889" s="5" t="s">
        <v>260</v>
      </c>
      <c r="G7889" s="25" t="n">
        <f aca="false">F7901</f>
        <v>45</v>
      </c>
      <c r="H7889" s="25" t="n">
        <f aca="false">G7901</f>
        <v>0</v>
      </c>
      <c r="I7889" s="25" t="n">
        <f aca="false">H7901</f>
        <v>-18.3028</v>
      </c>
      <c r="J7889" s="25" t="n">
        <f aca="false">I7901</f>
        <v>0</v>
      </c>
      <c r="K7889" s="25" t="n">
        <f aca="false">J7901</f>
        <v>0</v>
      </c>
    </row>
    <row r="7890" customFormat="false" ht="15" hidden="false" customHeight="false" outlineLevel="0" collapsed="false">
      <c r="A7890" s="5" t="s">
        <v>301</v>
      </c>
      <c r="G7890" s="25" t="n">
        <f aca="false">G7802</f>
        <v>-27.24</v>
      </c>
      <c r="H7890" s="25" t="n">
        <f aca="false">H7802</f>
        <v>-13.1028</v>
      </c>
      <c r="I7890" s="25" t="n">
        <f aca="false">I7802</f>
        <v>-11.6643594</v>
      </c>
      <c r="J7890" s="25" t="n">
        <f aca="false">J7802</f>
        <v>-5.9931526005</v>
      </c>
      <c r="K7890" s="25" t="n">
        <f aca="false">K7802</f>
        <v>7.84535297209875</v>
      </c>
    </row>
    <row r="7891" customFormat="false" ht="15" hidden="false" customHeight="false" outlineLevel="0" collapsed="false">
      <c r="A7891" s="5" t="s">
        <v>302</v>
      </c>
      <c r="G7891" s="25" t="n">
        <f aca="false">CHOOSE($C$7772,Assumptions!$G$68,Assumptions!$G$87,Assumptions!$G$106)</f>
        <v>0</v>
      </c>
      <c r="H7891" s="25" t="n">
        <f aca="false">CHOOSE($C$7772,Assumptions!$H$68,Assumptions!$H$87,Assumptions!$H$106)</f>
        <v>0</v>
      </c>
      <c r="I7891" s="25" t="n">
        <f aca="false">CHOOSE($C$7772,Assumptions!$I$68,Assumptions!$I$87,Assumptions!$I$106)</f>
        <v>0</v>
      </c>
      <c r="J7891" s="25" t="n">
        <f aca="false">CHOOSE($C$7772,Assumptions!$J$68,Assumptions!$J$87,Assumptions!$J$106)</f>
        <v>0</v>
      </c>
      <c r="K7891" s="25" t="n">
        <f aca="false">CHOOSE($C$7772,Assumptions!$K$68,Assumptions!$K$87,Assumptions!$K$106)</f>
        <v>0</v>
      </c>
    </row>
    <row r="7892" customFormat="false" ht="15" hidden="false" customHeight="false" outlineLevel="0" collapsed="false">
      <c r="A7892" s="5" t="s">
        <v>303</v>
      </c>
      <c r="G7892" s="25" t="n">
        <f aca="false">G7821+G7834+G7847+G7860</f>
        <v>5.2</v>
      </c>
      <c r="H7892" s="25" t="n">
        <f aca="false">H7821+H7834+H7847+H7860</f>
        <v>5.2</v>
      </c>
      <c r="I7892" s="25" t="n">
        <f aca="false">I7821+I7834+I7847+I7860</f>
        <v>5.2</v>
      </c>
      <c r="J7892" s="25" t="n">
        <f aca="false">J7821+J7834+J7847+J7860</f>
        <v>5.2</v>
      </c>
      <c r="K7892" s="25" t="n">
        <f aca="false">K7821+K7834+K7847+K7860</f>
        <v>5.2</v>
      </c>
    </row>
    <row r="7893" customFormat="false" ht="15" hidden="false" customHeight="false" outlineLevel="0" collapsed="false">
      <c r="A7893" s="2" t="s">
        <v>304</v>
      </c>
      <c r="G7893" s="16" t="n">
        <f aca="false">G7889+G7890+G7891-G7892</f>
        <v>12.56</v>
      </c>
      <c r="H7893" s="16" t="n">
        <f aca="false">H7889+H7890+H7891-H7892</f>
        <v>-18.3028</v>
      </c>
      <c r="I7893" s="16" t="n">
        <f aca="false">I7889+I7890+I7891-I7892</f>
        <v>-35.1671594</v>
      </c>
      <c r="J7893" s="16" t="n">
        <f aca="false">J7889+J7890+J7891-J7892</f>
        <v>-11.1931526005</v>
      </c>
      <c r="K7893" s="16" t="n">
        <f aca="false">K7889+K7890+K7891-K7892</f>
        <v>2.64535297209875</v>
      </c>
    </row>
    <row r="7894" customFormat="false" ht="15" hidden="false" customHeight="false" outlineLevel="0" collapsed="false">
      <c r="A7894" s="5" t="s">
        <v>305</v>
      </c>
      <c r="G7894" s="25" t="n">
        <f aca="false">G7822+G7835+G7848+G7861</f>
        <v>0</v>
      </c>
      <c r="H7894" s="25" t="n">
        <f aca="false">H7822+H7835+H7848+H7861</f>
        <v>0</v>
      </c>
      <c r="I7894" s="25" t="n">
        <f aca="false">I7822+I7835+I7848+I7861</f>
        <v>35.1671594</v>
      </c>
      <c r="J7894" s="25" t="n">
        <f aca="false">J7822+J7835+J7848+J7861</f>
        <v>11.1931526005</v>
      </c>
      <c r="K7894" s="25" t="n">
        <f aca="false">K7822+K7835+K7848+K7861</f>
        <v>0</v>
      </c>
    </row>
    <row r="7895" customFormat="false" ht="15" hidden="false" customHeight="false" outlineLevel="0" collapsed="false">
      <c r="A7895" s="2" t="s">
        <v>306</v>
      </c>
      <c r="G7895" s="16" t="n">
        <f aca="false">G7893+G7894</f>
        <v>12.56</v>
      </c>
      <c r="H7895" s="16" t="n">
        <f aca="false">H7893+H7894</f>
        <v>-18.3028</v>
      </c>
      <c r="I7895" s="16" t="n">
        <f aca="false">I7893+I7894</f>
        <v>0</v>
      </c>
      <c r="J7895" s="16" t="n">
        <f aca="false">J7893+J7894</f>
        <v>0</v>
      </c>
      <c r="K7895" s="16" t="n">
        <f aca="false">K7893+K7894</f>
        <v>2.64535297209875</v>
      </c>
    </row>
    <row r="7896" customFormat="false" ht="15" hidden="false" customHeight="false" outlineLevel="0" collapsed="false">
      <c r="A7896" s="5" t="s">
        <v>307</v>
      </c>
      <c r="G7896" s="25" t="n">
        <f aca="false">G7823+G7836+G7849+G7862</f>
        <v>0</v>
      </c>
      <c r="H7896" s="25" t="n">
        <f aca="false">H7823+H7836+H7849+H7862</f>
        <v>0</v>
      </c>
      <c r="I7896" s="25" t="n">
        <f aca="false">I7823+I7836+I7849+I7862</f>
        <v>0</v>
      </c>
      <c r="J7896" s="25" t="n">
        <f aca="false">J7823+J7836+J7849+J7862</f>
        <v>0</v>
      </c>
      <c r="K7896" s="25" t="n">
        <f aca="false">K7823+K7836+K7849+K7862</f>
        <v>0</v>
      </c>
    </row>
    <row r="7897" customFormat="false" ht="15" hidden="false" customHeight="false" outlineLevel="0" collapsed="false">
      <c r="A7897" s="2" t="s">
        <v>308</v>
      </c>
      <c r="G7897" s="16" t="n">
        <f aca="false">G7895-G7896</f>
        <v>12.56</v>
      </c>
      <c r="H7897" s="16" t="n">
        <f aca="false">H7895-H7896</f>
        <v>-18.3028</v>
      </c>
      <c r="I7897" s="16" t="n">
        <f aca="false">I7895-I7896</f>
        <v>0</v>
      </c>
      <c r="J7897" s="16" t="n">
        <f aca="false">J7895-J7896</f>
        <v>0</v>
      </c>
      <c r="K7897" s="16" t="n">
        <f aca="false">K7895-K7896</f>
        <v>2.64535297209875</v>
      </c>
    </row>
    <row r="7898" customFormat="false" ht="15" hidden="false" customHeight="false" outlineLevel="0" collapsed="false">
      <c r="A7898" s="5" t="s">
        <v>309</v>
      </c>
      <c r="G7898" s="25" t="n">
        <f aca="false">MAX(0,-G7897)</f>
        <v>0</v>
      </c>
      <c r="H7898" s="25" t="n">
        <f aca="false">MAX(0,-H7897)</f>
        <v>18.3028</v>
      </c>
      <c r="I7898" s="25" t="n">
        <f aca="false">MAX(0,-I7897)</f>
        <v>-0</v>
      </c>
      <c r="J7898" s="25" t="n">
        <f aca="false">MAX(0,-J7897)</f>
        <v>-0</v>
      </c>
      <c r="K7898" s="25" t="n">
        <f aca="false">MAX(0,-K7897)</f>
        <v>0</v>
      </c>
    </row>
    <row r="7899" customFormat="false" ht="15" hidden="false" customHeight="false" outlineLevel="0" collapsed="false">
      <c r="A7899" s="5" t="s">
        <v>310</v>
      </c>
      <c r="G7899" s="25" t="n">
        <f aca="false">MAX(0,G7897-Assumptions!$C$12)*Assumptions!$C$13</f>
        <v>12.56</v>
      </c>
      <c r="H7899" s="25" t="n">
        <f aca="false">MAX(0,H7897-Assumptions!$C$12)*Assumptions!$C$13</f>
        <v>0</v>
      </c>
      <c r="I7899" s="25" t="n">
        <f aca="false">MAX(0,I7897-Assumptions!$C$12)*Assumptions!$C$13</f>
        <v>0</v>
      </c>
      <c r="J7899" s="25" t="n">
        <f aca="false">MAX(0,J7897-Assumptions!$C$12)*Assumptions!$C$13</f>
        <v>0</v>
      </c>
      <c r="K7899" s="25" t="n">
        <f aca="false">MAX(0,K7897-Assumptions!$C$12)*Assumptions!$C$13</f>
        <v>2.64535297209875</v>
      </c>
    </row>
    <row r="7900" customFormat="false" ht="15" hidden="false" customHeight="false" outlineLevel="0" collapsed="false">
      <c r="A7900" s="5" t="s">
        <v>311</v>
      </c>
      <c r="G7900" s="25" t="n">
        <f aca="false">G7824+G7837+G7850+G7863</f>
        <v>12.56</v>
      </c>
      <c r="H7900" s="25" t="n">
        <f aca="false">H7824+H7837+H7850+H7863</f>
        <v>0</v>
      </c>
      <c r="I7900" s="25" t="n">
        <f aca="false">I7824+I7837+I7850+I7863</f>
        <v>0</v>
      </c>
      <c r="J7900" s="25" t="n">
        <f aca="false">J7824+J7837+J7850+J7863</f>
        <v>0</v>
      </c>
      <c r="K7900" s="25" t="n">
        <f aca="false">K7824+K7837+K7850+K7863</f>
        <v>2.64535297209875</v>
      </c>
    </row>
    <row r="7901" customFormat="false" ht="15" hidden="false" customHeight="false" outlineLevel="0" collapsed="false">
      <c r="A7901" s="2" t="s">
        <v>312</v>
      </c>
      <c r="F7901" s="27" t="n">
        <f aca="false">Assumptions!$C$11</f>
        <v>45</v>
      </c>
      <c r="G7901" s="16" t="n">
        <f aca="false">G7897-G7900</f>
        <v>0</v>
      </c>
      <c r="H7901" s="16" t="n">
        <f aca="false">H7897-H7900</f>
        <v>-18.3028</v>
      </c>
      <c r="I7901" s="16" t="n">
        <f aca="false">I7897-I7900</f>
        <v>0</v>
      </c>
      <c r="J7901" s="16" t="n">
        <f aca="false">J7897-J7900</f>
        <v>0</v>
      </c>
      <c r="K7901" s="16" t="n">
        <f aca="false">K7897-K7900</f>
        <v>0</v>
      </c>
    </row>
    <row r="7902" customFormat="false" ht="15" hidden="false" customHeight="false" outlineLevel="0" collapsed="false">
      <c r="A7902" s="5" t="s">
        <v>313</v>
      </c>
      <c r="G7902" s="25" t="n">
        <f aca="false">G7825+G7838+G7851+G7864</f>
        <v>0</v>
      </c>
      <c r="H7902" s="25" t="n">
        <f aca="false">H7825+H7838+H7851+H7864</f>
        <v>0</v>
      </c>
      <c r="I7902" s="25" t="n">
        <f aca="false">I7825+I7838+I7851+I7864</f>
        <v>0</v>
      </c>
      <c r="J7902" s="25" t="n">
        <f aca="false">J7825+J7838+J7851+J7864</f>
        <v>0</v>
      </c>
      <c r="K7902" s="25" t="n">
        <f aca="false">K7825+K7838+K7851+K7864</f>
        <v>0</v>
      </c>
    </row>
    <row r="7903" customFormat="false" ht="15" hidden="false" customHeight="false" outlineLevel="0" collapsed="false">
      <c r="A7903" s="5" t="s">
        <v>314</v>
      </c>
      <c r="G7903" s="20" t="n">
        <f aca="false">IF(OR(G7898&gt;0.001,G7902&gt;0.001),1,0)</f>
        <v>0</v>
      </c>
      <c r="H7903" s="20" t="n">
        <f aca="false">IF(OR(H7898&gt;0.001,H7902&gt;0.001),1,0)</f>
        <v>1</v>
      </c>
      <c r="I7903" s="20" t="n">
        <f aca="false">IF(OR(I7898&gt;0.001,I7902&gt;0.001),1,0)</f>
        <v>0</v>
      </c>
      <c r="J7903" s="20" t="n">
        <f aca="false">IF(OR(J7898&gt;0.001,J7902&gt;0.001),1,0)</f>
        <v>0</v>
      </c>
      <c r="K7903" s="20" t="n">
        <f aca="false">IF(OR(K7898&gt;0.001,K7902&gt;0.001),1,0)</f>
        <v>0</v>
      </c>
    </row>
    <row r="7904" customFormat="false" ht="15" hidden="false" customHeight="false" outlineLevel="0" collapsed="false">
      <c r="A7904" s="5" t="s">
        <v>315</v>
      </c>
      <c r="G7904" s="20" t="n">
        <f aca="false">IF(G7903=1,1,0)</f>
        <v>0</v>
      </c>
      <c r="H7904" s="20" t="n">
        <f aca="false">IF(AND(H7903=1,SUM($G$7903:G7903)=0),1,0)</f>
        <v>1</v>
      </c>
      <c r="I7904" s="20" t="n">
        <f aca="false">IF(AND(I7903=1,SUM($G$7903:H7903)=0),1,0)</f>
        <v>0</v>
      </c>
      <c r="J7904" s="20" t="n">
        <f aca="false">IF(AND(J7903=1,SUM($G$7903:I7903)=0),1,0)</f>
        <v>0</v>
      </c>
      <c r="K7904" s="20" t="n">
        <f aca="false">IF(AND(K7903=1,SUM($G$7903:J7903)=0),1,0)</f>
        <v>0</v>
      </c>
    </row>
    <row r="7905" customFormat="false" ht="15" hidden="false" customHeight="false" outlineLevel="0" collapsed="false">
      <c r="A7905" s="5" t="s">
        <v>316</v>
      </c>
      <c r="G7905" s="25" t="n">
        <f aca="false">(G7867-F7867)-(G7894+G7794-G7892-G7896-G7900)</f>
        <v>0</v>
      </c>
      <c r="H7905" s="25" t="n">
        <f aca="false">(H7867-G7867)-(H7894+H7794-H7892-H7896-H7900)</f>
        <v>-4.52970994047064E-014</v>
      </c>
      <c r="I7905" s="25" t="n">
        <f aca="false">(I7867-H7867)-(I7894+I7794-I7892-I7896-I7900)</f>
        <v>1.3855583347322E-013</v>
      </c>
      <c r="J7905" s="25" t="n">
        <f aca="false">(J7867-I7867)-(J7894+J7794-J7892-J7896-J7900)</f>
        <v>-2.05169214950729E-013</v>
      </c>
      <c r="K7905" s="25" t="n">
        <f aca="false">(K7867-J7867)-(K7894+K7794-K7892-K7896-K7900)</f>
        <v>7.105427357601E-014</v>
      </c>
    </row>
    <row r="7907" customFormat="false" ht="15" hidden="false" customHeight="false" outlineLevel="0" collapsed="false">
      <c r="A7907" s="23" t="s">
        <v>318</v>
      </c>
      <c r="B7907" s="24"/>
      <c r="C7907" s="24"/>
      <c r="D7907" s="24"/>
      <c r="E7907" s="24"/>
      <c r="F7907" s="24"/>
      <c r="G7907" s="24"/>
      <c r="H7907" s="24"/>
      <c r="I7907" s="24"/>
      <c r="J7907" s="24"/>
      <c r="K7907" s="24"/>
    </row>
    <row r="7908" customFormat="false" ht="15" hidden="false" customHeight="false" outlineLevel="0" collapsed="false">
      <c r="A7908" s="5" t="s">
        <v>319</v>
      </c>
      <c r="G7908" s="25" t="n">
        <f aca="false">G7867</f>
        <v>1232.24</v>
      </c>
      <c r="H7908" s="25" t="n">
        <f aca="false">H7867</f>
        <v>1227.04</v>
      </c>
      <c r="I7908" s="25" t="n">
        <f aca="false">I7867</f>
        <v>1257.0071594</v>
      </c>
      <c r="J7908" s="25" t="n">
        <f aca="false">J7867</f>
        <v>1263.0003120005</v>
      </c>
      <c r="K7908" s="25" t="n">
        <f aca="false">K7867</f>
        <v>1255.1549590284</v>
      </c>
    </row>
    <row r="7909" customFormat="false" ht="15" hidden="false" customHeight="false" outlineLevel="0" collapsed="false">
      <c r="A7909" s="5" t="s">
        <v>320</v>
      </c>
      <c r="G7909" s="25" t="n">
        <f aca="false">Assumptions!$O$53*G7826+Assumptions!$O$54*G7839+Assumptions!$O$55*G7852+Assumptions!$O$56*G7865</f>
        <v>932.24</v>
      </c>
      <c r="H7909" s="25" t="n">
        <f aca="false">Assumptions!$O$53*H7826+Assumptions!$O$54*H7839+Assumptions!$O$55*H7852+Assumptions!$O$56*H7865</f>
        <v>927.04</v>
      </c>
      <c r="I7909" s="25" t="n">
        <f aca="false">Assumptions!$O$53*I7826+Assumptions!$O$54*I7839+Assumptions!$O$55*I7852+Assumptions!$O$56*I7865</f>
        <v>957.0071594</v>
      </c>
      <c r="J7909" s="25" t="n">
        <f aca="false">Assumptions!$O$53*J7826+Assumptions!$O$54*J7839+Assumptions!$O$55*J7852+Assumptions!$O$56*J7865</f>
        <v>963.0003120005</v>
      </c>
      <c r="K7909" s="25" t="n">
        <f aca="false">Assumptions!$O$53*K7826+Assumptions!$O$54*K7839+Assumptions!$O$55*K7852+Assumptions!$O$56*K7865</f>
        <v>955.154959028401</v>
      </c>
    </row>
    <row r="7910" customFormat="false" ht="15" hidden="false" customHeight="false" outlineLevel="0" collapsed="false">
      <c r="A7910" s="5" t="s">
        <v>321</v>
      </c>
      <c r="G7910" s="25" t="n">
        <f aca="false">G7908-G7901</f>
        <v>1232.24</v>
      </c>
      <c r="H7910" s="25" t="n">
        <f aca="false">H7908-H7901</f>
        <v>1245.3428</v>
      </c>
      <c r="I7910" s="25" t="n">
        <f aca="false">I7908-I7901</f>
        <v>1257.0071594</v>
      </c>
      <c r="J7910" s="25" t="n">
        <f aca="false">J7908-J7901</f>
        <v>1263.0003120005</v>
      </c>
      <c r="K7910" s="25" t="n">
        <f aca="false">K7908-K7901</f>
        <v>1255.1549590284</v>
      </c>
    </row>
    <row r="7911" customFormat="false" ht="15" hidden="false" customHeight="false" outlineLevel="0" collapsed="false">
      <c r="A7911" s="5" t="s">
        <v>322</v>
      </c>
      <c r="G7911" s="31" t="n">
        <f aca="false">IF(G7789&gt;0,G7908/G7789,0)</f>
        <v>7.24676546694895</v>
      </c>
      <c r="H7911" s="31" t="n">
        <f aca="false">IF(H7789&gt;0,H7908/H7789,0)</f>
        <v>6.42273021727487</v>
      </c>
      <c r="I7911" s="31" t="n">
        <f aca="false">IF(I7789&gt;0,I7908/I7789,0)</f>
        <v>5.86135364013988</v>
      </c>
      <c r="J7911" s="31" t="n">
        <f aca="false">IF(J7789&gt;0,J7908/J7789,0)</f>
        <v>5.25082900589415</v>
      </c>
      <c r="K7911" s="31" t="n">
        <f aca="false">IF(K7789&gt;0,K7908/K7789,0)</f>
        <v>4.65619065377039</v>
      </c>
    </row>
    <row r="7912" customFormat="false" ht="15" hidden="false" customHeight="false" outlineLevel="0" collapsed="false">
      <c r="A7912" s="5" t="s">
        <v>323</v>
      </c>
      <c r="G7912" s="31" t="n">
        <f aca="false">IF(G7789&gt;0,G7910/G7789,0)</f>
        <v>7.24676546694895</v>
      </c>
      <c r="H7912" s="31" t="n">
        <f aca="false">IF(H7789&gt;0,H7910/H7789,0)</f>
        <v>6.51853308158308</v>
      </c>
      <c r="I7912" s="31" t="n">
        <f aca="false">IF(I7789&gt;0,I7910/I7789,0)</f>
        <v>5.86135364013988</v>
      </c>
      <c r="J7912" s="31" t="n">
        <f aca="false">IF(J7789&gt;0,J7910/J7789,0)</f>
        <v>5.25082900589415</v>
      </c>
      <c r="K7912" s="31" t="n">
        <f aca="false">IF(K7789&gt;0,K7910/K7789,0)</f>
        <v>4.65619065377039</v>
      </c>
    </row>
    <row r="7913" customFormat="false" ht="15" hidden="false" customHeight="false" outlineLevel="0" collapsed="false">
      <c r="A7913" s="5" t="s">
        <v>324</v>
      </c>
      <c r="G7913" s="31" t="n">
        <f aca="false">IF(G7793&gt;0,G7789/G7793,0)</f>
        <v>1.42842741935484</v>
      </c>
      <c r="H7913" s="31" t="n">
        <f aca="false">IF(H7793&gt;0,H7789/H7793,0)</f>
        <v>1.65095683806861</v>
      </c>
      <c r="I7913" s="31" t="n">
        <f aca="false">IF(I7793&gt;0,I7789/I7793,0)</f>
        <v>1.6642723406633</v>
      </c>
      <c r="J7913" s="31" t="n">
        <f aca="false">IF(J7793&gt;0,J7789/J7793,0)</f>
        <v>1.73958296350091</v>
      </c>
      <c r="K7913" s="31" t="n">
        <f aca="false">IF(K7793&gt;0,K7789/K7793,0)</f>
        <v>1.94030699134123</v>
      </c>
    </row>
    <row r="7914" customFormat="false" ht="15" hidden="false" customHeight="false" outlineLevel="0" collapsed="false">
      <c r="A7914" s="5" t="s">
        <v>325</v>
      </c>
      <c r="G7914" s="31" t="n">
        <f aca="false">IF(G7793&gt;0,G7792/G7793,0)</f>
        <v>0.944959677419355</v>
      </c>
      <c r="H7914" s="31" t="n">
        <f aca="false">IF(H7793&gt;0,H7792/H7793,0)</f>
        <v>1.10885160765802</v>
      </c>
      <c r="I7914" s="31" t="n">
        <f aca="false">IF(I7793&gt;0,I7792/I7793,0)</f>
        <v>1.13363478277065</v>
      </c>
      <c r="J7914" s="31" t="n">
        <f aca="false">IF(J7793&gt;0,J7792/J7793,0)</f>
        <v>1.20055725650063</v>
      </c>
      <c r="K7914" s="31" t="n">
        <f aca="false">IF(K7793&gt;0,K7792/K7793,0)</f>
        <v>1.3555569391562</v>
      </c>
    </row>
    <row r="7915" customFormat="false" ht="15" hidden="false" customHeight="false" outlineLevel="0" collapsed="false">
      <c r="A7915" s="5" t="s">
        <v>182</v>
      </c>
      <c r="G7915" s="21" t="n">
        <f aca="false">IF(G7908&gt;0,G7802/G7908,0)</f>
        <v>-0.0221060832305395</v>
      </c>
      <c r="H7915" s="21" t="n">
        <f aca="false">IF(H7908&gt;0,H7802/H7908,0)</f>
        <v>-0.0106783804928935</v>
      </c>
      <c r="I7915" s="21" t="n">
        <f aca="false">IF(I7908&gt;0,I7802/I7908,0)</f>
        <v>-0.00927946934333107</v>
      </c>
      <c r="J7915" s="21" t="n">
        <f aca="false">IF(J7908&gt;0,J7802/J7908,0)</f>
        <v>-0.00474517111639291</v>
      </c>
      <c r="K7915" s="21" t="n">
        <f aca="false">IF(K7908&gt;0,K7802/K7908,0)</f>
        <v>0.00625050549788031</v>
      </c>
    </row>
    <row r="7916" customFormat="false" ht="15" hidden="false" customHeight="false" outlineLevel="0" collapsed="false">
      <c r="A7916" s="5" t="s">
        <v>326</v>
      </c>
      <c r="G7916" s="31" t="n">
        <f aca="false">IF(G7793+G7892&gt;0,(G7789-G7800-G7797)/(G7793+G7892),0)</f>
        <v>0.947520927237605</v>
      </c>
      <c r="H7916" s="31" t="n">
        <f aca="false">IF(H7793+H7892&gt;0,(H7789-H7800-H7797)/(H7793+H7892),0)</f>
        <v>1.08228673428679</v>
      </c>
      <c r="I7916" s="31" t="n">
        <f aca="false">IF(I7793+I7892&gt;0,(I7789-I7800-I7797)/(I7793+I7892),0)</f>
        <v>1.10391821374438</v>
      </c>
      <c r="J7916" s="31" t="n">
        <f aca="false">IF(J7793+J7892&gt;0,(J7789-J7800-J7797)/(J7793+J7892),0)</f>
        <v>1.15594811643588</v>
      </c>
      <c r="K7916" s="31" t="n">
        <f aca="false">IF(K7793+K7892&gt;0,(K7789-K7800-K7797)/(K7793+K7892),0)</f>
        <v>1.27220938708845</v>
      </c>
    </row>
    <row r="7917" customFormat="false" ht="15" hidden="false" customHeight="false" outlineLevel="0" collapsed="false">
      <c r="A7917" s="5" t="s">
        <v>327</v>
      </c>
      <c r="G7917" s="25" t="n">
        <f aca="false">MAX(0,G7901)+Assumptions!$P$53*MAX(0,Assumptions!$D$53-G7826)+Assumptions!$P$54*MAX(0,Assumptions!$D$54-G7839)+Assumptions!$P$55*MAX(0,Assumptions!$D$55-G7852)+Assumptions!$P$56*MAX(0,Assumptions!$D$56-G7865)</f>
        <v>132.56</v>
      </c>
      <c r="H7917" s="25" t="n">
        <f aca="false">MAX(0,H7901)+Assumptions!$P$53*MAX(0,Assumptions!$D$53-H7826)+Assumptions!$P$54*MAX(0,Assumptions!$D$54-H7839)+Assumptions!$P$55*MAX(0,Assumptions!$D$55-H7852)+Assumptions!$P$56*MAX(0,Assumptions!$D$56-H7865)</f>
        <v>132.56</v>
      </c>
      <c r="I7917" s="25" t="n">
        <f aca="false">MAX(0,I7901)+Assumptions!$P$53*MAX(0,Assumptions!$D$53-I7826)+Assumptions!$P$54*MAX(0,Assumptions!$D$54-I7839)+Assumptions!$P$55*MAX(0,Assumptions!$D$55-I7852)+Assumptions!$P$56*MAX(0,Assumptions!$D$56-I7865)</f>
        <v>97.3928406</v>
      </c>
      <c r="J7917" s="25" t="n">
        <f aca="false">MAX(0,J7901)+Assumptions!$P$53*MAX(0,Assumptions!$D$53-J7826)+Assumptions!$P$54*MAX(0,Assumptions!$D$54-J7839)+Assumptions!$P$55*MAX(0,Assumptions!$D$55-J7852)+Assumptions!$P$56*MAX(0,Assumptions!$D$56-J7865)</f>
        <v>86.1996879995</v>
      </c>
      <c r="K7917" s="25" t="n">
        <f aca="false">MAX(0,K7901)+Assumptions!$P$53*MAX(0,Assumptions!$D$53-K7826)+Assumptions!$P$54*MAX(0,Assumptions!$D$54-K7839)+Assumptions!$P$55*MAX(0,Assumptions!$D$55-K7852)+Assumptions!$P$56*MAX(0,Assumptions!$D$56-K7865)</f>
        <v>88.8450409715987</v>
      </c>
    </row>
    <row r="7918" customFormat="false" ht="15" hidden="false" customHeight="false" outlineLevel="0" collapsed="false">
      <c r="A7918" s="5" t="s">
        <v>328</v>
      </c>
      <c r="G7918" s="21" t="n">
        <f aca="false">IF(G7908&gt;0,G7908/(G7908+MAX(0,G7789*CHOOSE($C$7772,Assumptions!$C$76,Assumptions!$C$95,Assumptions!$C$114)-G7910)),0)</f>
        <v>1</v>
      </c>
      <c r="H7918" s="21" t="n">
        <f aca="false">IF(H7908&gt;0,H7908/(H7908+MAX(0,H7789*CHOOSE($C$7772,Assumptions!$C$76,Assumptions!$C$95,Assumptions!$C$114)-H7910)),0)</f>
        <v>1</v>
      </c>
      <c r="I7918" s="21" t="n">
        <f aca="false">IF(I7908&gt;0,I7908/(I7908+MAX(0,I7789*CHOOSE($C$7772,Assumptions!$C$76,Assumptions!$C$95,Assumptions!$C$114)-I7910)),0)</f>
        <v>0.901746713867675</v>
      </c>
      <c r="J7918" s="21" t="n">
        <f aca="false">IF(J7908&gt;0,J7908/(J7908+MAX(0,J7789*CHOOSE($C$7772,Assumptions!$C$76,Assumptions!$C$95,Assumptions!$C$114)-J7910)),0)</f>
        <v>0.807819847060638</v>
      </c>
      <c r="K7918" s="21" t="n">
        <f aca="false">IF(K7908&gt;0,K7908/(K7908+MAX(0,K7789*CHOOSE($C$7772,Assumptions!$C$76,Assumptions!$C$95,Assumptions!$C$114)-K7910)),0)</f>
        <v>0.716337023656982</v>
      </c>
    </row>
    <row r="7919" customFormat="false" ht="15" hidden="false" customHeight="false" outlineLevel="0" collapsed="false">
      <c r="A7919" s="5" t="s">
        <v>329</v>
      </c>
      <c r="G7919" s="21" t="n">
        <f aca="false">IF(G7908&gt;0,MAX(0,G7901)/G7908,0)</f>
        <v>0</v>
      </c>
      <c r="H7919" s="21" t="n">
        <f aca="false">IF(H7908&gt;0,MAX(0,H7901)/H7908,0)</f>
        <v>0</v>
      </c>
      <c r="I7919" s="21" t="n">
        <f aca="false">IF(I7908&gt;0,MAX(0,I7901)/I7908,0)</f>
        <v>0</v>
      </c>
      <c r="J7919" s="21" t="n">
        <f aca="false">IF(J7908&gt;0,MAX(0,J7901)/J7908,0)</f>
        <v>0</v>
      </c>
      <c r="K7919" s="21" t="n">
        <f aca="false">IF(K7908&gt;0,MAX(0,K7901)/K7908,0)</f>
        <v>0</v>
      </c>
    </row>
    <row r="7920" customFormat="false" ht="15" hidden="false" customHeight="false" outlineLevel="0" collapsed="false">
      <c r="A7920" s="5" t="s">
        <v>330</v>
      </c>
      <c r="G7920" s="25" t="n">
        <f aca="false">Assumptions!$C$27*(1-CHOOSE($C$7772,Assumptions!$C$79,Assumptions!$C$98,Assumptions!$C$117))</f>
        <v>1040</v>
      </c>
      <c r="H7920" s="25" t="n">
        <f aca="false">Assumptions!$C$27*(1-CHOOSE($C$7772,Assumptions!$C$79,Assumptions!$C$98,Assumptions!$C$117))</f>
        <v>1040</v>
      </c>
      <c r="I7920" s="25" t="n">
        <f aca="false">Assumptions!$C$27*(1-CHOOSE($C$7772,Assumptions!$C$79,Assumptions!$C$98,Assumptions!$C$117))</f>
        <v>1040</v>
      </c>
      <c r="J7920" s="25" t="n">
        <f aca="false">Assumptions!$C$27*(1-CHOOSE($C$7772,Assumptions!$C$79,Assumptions!$C$98,Assumptions!$C$117))</f>
        <v>1040</v>
      </c>
      <c r="K7920" s="25" t="n">
        <f aca="false">Assumptions!$C$27*(1-CHOOSE($C$7772,Assumptions!$C$79,Assumptions!$C$98,Assumptions!$C$117))</f>
        <v>1040</v>
      </c>
    </row>
    <row r="7921" customFormat="false" ht="15" hidden="false" customHeight="false" outlineLevel="0" collapsed="false">
      <c r="A7921" s="23" t="s">
        <v>331</v>
      </c>
      <c r="B7921" s="24"/>
      <c r="C7921" s="24"/>
      <c r="D7921" s="24"/>
      <c r="E7921" s="24"/>
      <c r="F7921" s="24"/>
      <c r="G7921" s="24"/>
      <c r="H7921" s="24"/>
      <c r="I7921" s="24"/>
      <c r="J7921" s="24"/>
      <c r="K7921" s="24"/>
    </row>
    <row r="7922" customFormat="false" ht="15" hidden="false" customHeight="false" outlineLevel="0" collapsed="false">
      <c r="A7922" s="23" t="s">
        <v>332</v>
      </c>
      <c r="B7922" s="24"/>
      <c r="C7922" s="24"/>
      <c r="D7922" s="24"/>
      <c r="E7922" s="24"/>
      <c r="F7922" s="24"/>
      <c r="G7922" s="24"/>
      <c r="H7922" s="24"/>
      <c r="I7922" s="24"/>
      <c r="J7922" s="24"/>
      <c r="K7922" s="24"/>
    </row>
    <row r="7923" customFormat="false" ht="15" hidden="false" customHeight="false" outlineLevel="0" collapsed="false">
      <c r="A7923" s="5" t="s">
        <v>333</v>
      </c>
      <c r="G7923" s="31" t="n">
        <f aca="false">IF(G7789&gt;0,G7910/G7789,99)</f>
        <v>7.24676546694895</v>
      </c>
      <c r="H7923" s="31" t="n">
        <f aca="false">IF(H7789&gt;0,H7910/H7789,99)</f>
        <v>6.51853308158308</v>
      </c>
      <c r="I7923" s="31" t="n">
        <f aca="false">IF(I7789&gt;0,I7910/I7789,99)</f>
        <v>5.86135364013988</v>
      </c>
      <c r="J7923" s="31" t="n">
        <f aca="false">IF(J7789&gt;0,J7910/J7789,99)</f>
        <v>5.25082900589415</v>
      </c>
      <c r="K7923" s="31" t="n">
        <f aca="false">IF(K7789&gt;0,K7910/K7789,99)</f>
        <v>4.65619065377039</v>
      </c>
    </row>
    <row r="7924" customFormat="false" ht="15" hidden="false" customHeight="false" outlineLevel="0" collapsed="false">
      <c r="A7924" s="5" t="s">
        <v>334</v>
      </c>
      <c r="G7924" s="32" t="n">
        <f aca="false">Assumptions!$G$61</f>
        <v>8.5</v>
      </c>
      <c r="H7924" s="32" t="n">
        <f aca="false">Assumptions!$H$61</f>
        <v>8.5</v>
      </c>
      <c r="I7924" s="32" t="n">
        <f aca="false">Assumptions!$I$61</f>
        <v>8.5</v>
      </c>
      <c r="J7924" s="32" t="n">
        <f aca="false">Assumptions!$J$61</f>
        <v>8.5</v>
      </c>
      <c r="K7924" s="32" t="n">
        <f aca="false">Assumptions!$K$61</f>
        <v>8.5</v>
      </c>
    </row>
    <row r="7925" customFormat="false" ht="15" hidden="false" customHeight="false" outlineLevel="0" collapsed="false">
      <c r="A7925" s="5" t="s">
        <v>335</v>
      </c>
      <c r="G7925" s="31" t="n">
        <f aca="false">G7924-G7923</f>
        <v>1.25323453305105</v>
      </c>
      <c r="H7925" s="31" t="n">
        <f aca="false">H7924-H7923</f>
        <v>1.98146691841692</v>
      </c>
      <c r="I7925" s="31" t="n">
        <f aca="false">I7924-I7923</f>
        <v>2.63864635986012</v>
      </c>
      <c r="J7925" s="31" t="n">
        <f aca="false">J7924-J7923</f>
        <v>3.24917099410585</v>
      </c>
      <c r="K7925" s="31" t="n">
        <f aca="false">K7924-K7923</f>
        <v>3.84380934622961</v>
      </c>
    </row>
    <row r="7926" customFormat="false" ht="15" hidden="false" customHeight="false" outlineLevel="0" collapsed="false">
      <c r="A7926" s="5" t="s">
        <v>336</v>
      </c>
      <c r="G7926" s="21" t="n">
        <f aca="false">IF(G7924=0,0,G7925/ABS(G7924))</f>
        <v>0.147439356829535</v>
      </c>
      <c r="H7926" s="21" t="n">
        <f aca="false">IF(H7924=0,0,H7925/ABS(H7924))</f>
        <v>0.233113755107873</v>
      </c>
      <c r="I7926" s="21" t="n">
        <f aca="false">IF(I7924=0,0,I7925/ABS(I7924))</f>
        <v>0.310428983512955</v>
      </c>
      <c r="J7926" s="21" t="n">
        <f aca="false">IF(J7924=0,0,J7925/ABS(J7924))</f>
        <v>0.382255411071277</v>
      </c>
      <c r="K7926" s="21" t="n">
        <f aca="false">IF(K7924=0,0,K7925/ABS(K7924))</f>
        <v>0.452212864262308</v>
      </c>
    </row>
    <row r="7927" customFormat="false" ht="15" hidden="false" customHeight="false" outlineLevel="0" collapsed="false">
      <c r="A7927" s="5" t="s">
        <v>337</v>
      </c>
      <c r="G7927" s="20" t="n">
        <f aca="false">IF(G7925&lt;0,1,0)</f>
        <v>0</v>
      </c>
      <c r="H7927" s="20" t="n">
        <f aca="false">IF(H7925&lt;0,1,0)</f>
        <v>0</v>
      </c>
      <c r="I7927" s="20" t="n">
        <f aca="false">IF(I7925&lt;0,1,0)</f>
        <v>0</v>
      </c>
      <c r="J7927" s="20" t="n">
        <f aca="false">IF(J7925&lt;0,1,0)</f>
        <v>0</v>
      </c>
      <c r="K7927" s="20" t="n">
        <f aca="false">IF(K7925&lt;0,1,0)</f>
        <v>0</v>
      </c>
    </row>
    <row r="7928" customFormat="false" ht="15" hidden="false" customHeight="false" outlineLevel="0" collapsed="false">
      <c r="A7928" s="5" t="s">
        <v>338</v>
      </c>
      <c r="C7928" s="20" t="n">
        <f aca="false">IFERROR(INDEX($G$7779:$K$7779,MATCH(1,$G$7927:$K$7927,0)),0)</f>
        <v>0</v>
      </c>
    </row>
    <row r="7929" customFormat="false" ht="15" hidden="false" customHeight="false" outlineLevel="0" collapsed="false">
      <c r="A7929" s="5" t="s">
        <v>339</v>
      </c>
      <c r="C7929" s="21" t="n">
        <f aca="false">MIN($G$7926:$K$7926)</f>
        <v>0.147439356829535</v>
      </c>
    </row>
    <row r="7930" customFormat="false" ht="15" hidden="false" customHeight="false" outlineLevel="0" collapsed="false">
      <c r="A7930" s="5" t="s">
        <v>340</v>
      </c>
      <c r="G7930" s="20" t="n">
        <f aca="false">G7927</f>
        <v>0</v>
      </c>
      <c r="H7930" s="20" t="n">
        <f aca="false">H7927</f>
        <v>0</v>
      </c>
      <c r="I7930" s="20" t="n">
        <f aca="false">I7927</f>
        <v>0</v>
      </c>
      <c r="J7930" s="20" t="n">
        <f aca="false">J7927</f>
        <v>0</v>
      </c>
      <c r="K7930" s="20" t="n">
        <f aca="false">K7927</f>
        <v>0</v>
      </c>
    </row>
    <row r="7931" customFormat="false" ht="15" hidden="false" customHeight="false" outlineLevel="0" collapsed="false">
      <c r="A7931" s="5" t="s">
        <v>341</v>
      </c>
      <c r="C7931" s="20" t="n">
        <f aca="false">SUM($G$7930:$K$7930)</f>
        <v>0</v>
      </c>
    </row>
    <row r="7932" customFormat="false" ht="15" hidden="false" customHeight="false" outlineLevel="0" collapsed="false">
      <c r="A7932" s="5" t="s">
        <v>342</v>
      </c>
      <c r="C7932" s="21" t="n">
        <f aca="false">MIN(C7929)</f>
        <v>0.147439356829535</v>
      </c>
    </row>
    <row r="7934" customFormat="false" ht="15" hidden="false" customHeight="false" outlineLevel="0" collapsed="false">
      <c r="A7934" s="23" t="s">
        <v>444</v>
      </c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</row>
    <row r="7935" customFormat="false" ht="15" hidden="false" customHeight="false" outlineLevel="0" collapsed="false">
      <c r="A7935" s="5" t="s">
        <v>445</v>
      </c>
      <c r="G7935" s="20" t="n">
        <f aca="false">IF($C$7936=1,G7904,IF(G7789=MIN($G$7789:$K$7789),1,0))</f>
        <v>0</v>
      </c>
      <c r="H7935" s="20" t="n">
        <f aca="false">IF($C$7936=1,H7904,IF(AND(H7789=MIN($G$7789:$K$7789),SUM($G$7935:G7935)=0),1,0))</f>
        <v>1</v>
      </c>
      <c r="I7935" s="20" t="n">
        <f aca="false">IF($C$7936=1,I7904,IF(AND(I7789=MIN($G$7789:$K$7789),SUM($G$7935:H7935)=0),1,0))</f>
        <v>0</v>
      </c>
      <c r="J7935" s="20" t="n">
        <f aca="false">IF($C$7936=1,J7904,IF(AND(J7789=MIN($G$7789:$K$7789),SUM($G$7935:I7935)=0),1,0))</f>
        <v>0</v>
      </c>
      <c r="K7935" s="20" t="n">
        <f aca="false">IF($C$7936=1,K7904,IF(AND(K7789=MIN($G$7789:$K$7789),SUM($G$7935:J7935)=0),1,0))</f>
        <v>0</v>
      </c>
    </row>
    <row r="7936" customFormat="false" ht="15" hidden="false" customHeight="false" outlineLevel="0" collapsed="false">
      <c r="A7936" s="5" t="s">
        <v>446</v>
      </c>
      <c r="C7936" s="20" t="n">
        <f aca="false">IF(SUM($G$7904:$K$7904)&gt;0,1,0)</f>
        <v>1</v>
      </c>
    </row>
    <row r="7937" customFormat="false" ht="15" hidden="false" customHeight="false" outlineLevel="0" collapsed="false">
      <c r="A7937" s="5" t="s">
        <v>447</v>
      </c>
      <c r="C7937" s="20" t="n">
        <f aca="false">SUMPRODUCT($G$7935:$K$7935,$G$7779:$K$7779)</f>
        <v>2027</v>
      </c>
    </row>
    <row r="7938" customFormat="false" ht="15" hidden="false" customHeight="false" outlineLevel="0" collapsed="false">
      <c r="A7938" s="5" t="s">
        <v>448</v>
      </c>
      <c r="C7938" s="25" t="n">
        <f aca="false">SUMPRODUCT($G$7935:$K$7935,$G$7789:$K$7789)</f>
        <v>191.04648</v>
      </c>
    </row>
    <row r="7939" customFormat="false" ht="15" hidden="false" customHeight="false" outlineLevel="0" collapsed="false">
      <c r="A7939" s="5" t="s">
        <v>449</v>
      </c>
      <c r="C7939" s="25" t="n">
        <f aca="false">MAX(0,SUMPRODUCT($G$7935:$K$7935,$G$7901:$K$7901))</f>
        <v>0</v>
      </c>
    </row>
    <row r="7940" customFormat="false" ht="15" hidden="false" customHeight="false" outlineLevel="0" collapsed="false">
      <c r="A7940" s="5" t="s">
        <v>450</v>
      </c>
      <c r="C7940" s="25" t="n">
        <f aca="false">(CHOOSE($C$7772,Assumptions!$C$78,Assumptions!$C$97,Assumptions!$C$116)+$C$7776)*C7938</f>
        <v>764.18592</v>
      </c>
    </row>
    <row r="7941" customFormat="false" ht="15" hidden="false" customHeight="false" outlineLevel="0" collapsed="false">
      <c r="A7941" s="5" t="s">
        <v>451</v>
      </c>
      <c r="C7941" s="25" t="n">
        <f aca="false">Assumptions!$C$27*(1-CHOOSE($C$7772,Assumptions!$C$79,Assumptions!$C$98,Assumptions!$C$117))*CHOOSE($C$7772,Assumptions!$C$80,Assumptions!$C$99,Assumptions!$C$118)</f>
        <v>624</v>
      </c>
    </row>
    <row r="7942" customFormat="false" ht="15" hidden="false" customHeight="false" outlineLevel="0" collapsed="false">
      <c r="A7942" s="5" t="s">
        <v>452</v>
      </c>
      <c r="C7942" s="25" t="n">
        <f aca="false">MAX(C7940,C7941)+C7939</f>
        <v>764.18592</v>
      </c>
    </row>
    <row r="7943" customFormat="false" ht="15" hidden="false" customHeight="false" outlineLevel="0" collapsed="false">
      <c r="A7943" s="2" t="s">
        <v>453</v>
      </c>
      <c r="C7943" s="16" t="n">
        <f aca="false">IF(ISNUMBER(Assumptions!$C$14),Assumptions!$C$14,C7942)</f>
        <v>764.18592</v>
      </c>
    </row>
    <row r="7944" customFormat="false" ht="15" hidden="false" customHeight="false" outlineLevel="0" collapsed="false">
      <c r="A7944" s="5" t="s">
        <v>454</v>
      </c>
      <c r="C7944" s="25" t="n">
        <f aca="false">C7943*Assumptions!$C$15</f>
        <v>30.5674368</v>
      </c>
    </row>
    <row r="7945" customFormat="false" ht="15" hidden="false" customHeight="false" outlineLevel="0" collapsed="false">
      <c r="A7945" s="2" t="s">
        <v>455</v>
      </c>
      <c r="C7945" s="16" t="n">
        <f aca="false">C7943-C7944</f>
        <v>733.6184832</v>
      </c>
    </row>
    <row r="7946" customFormat="false" ht="15" hidden="false" customHeight="false" outlineLevel="0" collapsed="false">
      <c r="A7946" s="23" t="s">
        <v>456</v>
      </c>
      <c r="B7946" s="24"/>
      <c r="C7946" s="24"/>
      <c r="D7946" s="24"/>
      <c r="E7946" s="24"/>
      <c r="F7946" s="24"/>
      <c r="G7946" s="24"/>
      <c r="H7946" s="24"/>
      <c r="I7946" s="24"/>
      <c r="J7946" s="24"/>
      <c r="K7946" s="24"/>
    </row>
    <row r="7947" customFormat="false" ht="15" hidden="false" customHeight="false" outlineLevel="0" collapsed="false">
      <c r="A7947" s="5" t="s">
        <v>457</v>
      </c>
      <c r="C7947" s="25" t="n">
        <f aca="false">SUMPRODUCT($G$7935:$K$7935,$G$7826:$K$7826)*(1+SUMPRODUCT($G$7935:$K$7935,$G$7818:$K$7818)*Assumptions!$C$16/12)</f>
        <v>170.93531</v>
      </c>
    </row>
    <row r="7948" customFormat="false" ht="15" hidden="false" customHeight="false" outlineLevel="0" collapsed="false">
      <c r="A7948" s="5" t="s">
        <v>458</v>
      </c>
      <c r="C7948" s="25" t="n">
        <f aca="false">SUMPRODUCT($G$7935:$K$7935,$G$7839:$K$7839)*(1+SUMPRODUCT($G$7935:$K$7935,$G$7831:$K$7831)*Assumptions!$C$16/12)</f>
        <v>522.4037</v>
      </c>
    </row>
    <row r="7949" customFormat="false" ht="15" hidden="false" customHeight="false" outlineLevel="0" collapsed="false">
      <c r="A7949" s="5" t="s">
        <v>459</v>
      </c>
      <c r="C7949" s="25" t="n">
        <f aca="false">SUMPRODUCT($G$7935:$K$7935,$G$7852:$K$7852)*(1+SUMPRODUCT($G$7935:$K$7935,$G$7844:$K$7844)*Assumptions!$C$16/12)</f>
        <v>256.875</v>
      </c>
    </row>
    <row r="7950" customFormat="false" ht="15" hidden="false" customHeight="false" outlineLevel="0" collapsed="false">
      <c r="A7950" s="5" t="s">
        <v>460</v>
      </c>
      <c r="C7950" s="25" t="n">
        <f aca="false">SUMPRODUCT($G$7935:$K$7935,$G$7865:$K$7865)*(1+SUMPRODUCT($G$7935:$K$7935,$G$7857:$K$7857)*Assumptions!$C$16/12)</f>
        <v>305.625</v>
      </c>
    </row>
    <row r="7951" customFormat="false" ht="15" hidden="false" customHeight="false" outlineLevel="0" collapsed="false">
      <c r="A7951" s="23" t="s">
        <v>461</v>
      </c>
      <c r="B7951" s="24"/>
      <c r="C7951" s="24"/>
      <c r="D7951" s="24"/>
      <c r="E7951" s="24"/>
      <c r="F7951" s="24"/>
      <c r="G7951" s="24"/>
      <c r="H7951" s="24"/>
      <c r="I7951" s="24"/>
      <c r="J7951" s="24"/>
      <c r="K7951" s="24"/>
    </row>
    <row r="7952" customFormat="false" ht="15" hidden="false" customHeight="false" outlineLevel="0" collapsed="false">
      <c r="A7952" s="5" t="s">
        <v>457</v>
      </c>
      <c r="C7952" s="26" t="n">
        <f aca="false">Assumptions!$M$53</f>
        <v>1</v>
      </c>
    </row>
    <row r="7953" customFormat="false" ht="15" hidden="false" customHeight="false" outlineLevel="0" collapsed="false">
      <c r="A7953" s="5" t="s">
        <v>458</v>
      </c>
      <c r="C7953" s="26" t="n">
        <f aca="false">Assumptions!$M$54</f>
        <v>2</v>
      </c>
    </row>
    <row r="7954" customFormat="false" ht="15" hidden="false" customHeight="false" outlineLevel="0" collapsed="false">
      <c r="A7954" s="5" t="s">
        <v>459</v>
      </c>
      <c r="C7954" s="26" t="n">
        <f aca="false">Assumptions!$M$55</f>
        <v>3</v>
      </c>
    </row>
    <row r="7955" customFormat="false" ht="15" hidden="false" customHeight="false" outlineLevel="0" collapsed="false">
      <c r="A7955" s="5" t="s">
        <v>460</v>
      </c>
      <c r="C7955" s="26" t="n">
        <f aca="false">Assumptions!$M$56</f>
        <v>4</v>
      </c>
    </row>
    <row r="7956" customFormat="false" ht="15" hidden="false" customHeight="false" outlineLevel="0" collapsed="false">
      <c r="A7956" s="23" t="s">
        <v>462</v>
      </c>
      <c r="B7956" s="24"/>
      <c r="C7956" s="24"/>
      <c r="D7956" s="24"/>
      <c r="E7956" s="24"/>
      <c r="F7956" s="24"/>
      <c r="G7956" s="24"/>
      <c r="H7956" s="24"/>
      <c r="I7956" s="24"/>
      <c r="J7956" s="24"/>
      <c r="K7956" s="24"/>
    </row>
    <row r="7957" customFormat="false" ht="15" hidden="false" customHeight="false" outlineLevel="0" collapsed="false">
      <c r="A7957" s="5" t="s">
        <v>457</v>
      </c>
      <c r="C7957" s="34" t="n">
        <f aca="false">Assumptions!$Q$53</f>
        <v>0</v>
      </c>
    </row>
    <row r="7958" customFormat="false" ht="15" hidden="false" customHeight="false" outlineLevel="0" collapsed="false">
      <c r="A7958" s="5" t="s">
        <v>458</v>
      </c>
      <c r="C7958" s="34" t="n">
        <f aca="false">Assumptions!$Q$54</f>
        <v>0</v>
      </c>
    </row>
    <row r="7959" customFormat="false" ht="15" hidden="false" customHeight="false" outlineLevel="0" collapsed="false">
      <c r="A7959" s="5" t="s">
        <v>459</v>
      </c>
      <c r="C7959" s="34" t="n">
        <f aca="false">Assumptions!$Q$55</f>
        <v>0</v>
      </c>
    </row>
    <row r="7960" customFormat="false" ht="15" hidden="false" customHeight="false" outlineLevel="0" collapsed="false">
      <c r="A7960" s="5" t="s">
        <v>460</v>
      </c>
      <c r="C7960" s="34" t="n">
        <f aca="false">Assumptions!$Q$56</f>
        <v>0</v>
      </c>
    </row>
    <row r="7961" customFormat="false" ht="15" hidden="false" customHeight="false" outlineLevel="0" collapsed="false">
      <c r="A7961" s="23" t="s">
        <v>463</v>
      </c>
      <c r="B7961" s="24"/>
      <c r="C7961" s="24"/>
      <c r="D7961" s="24"/>
      <c r="E7961" s="24"/>
      <c r="F7961" s="24"/>
      <c r="G7961" s="24"/>
      <c r="H7961" s="24"/>
      <c r="I7961" s="24"/>
      <c r="J7961" s="24"/>
      <c r="K7961" s="24"/>
    </row>
    <row r="7962" customFormat="false" ht="15" hidden="false" customHeight="false" outlineLevel="0" collapsed="false">
      <c r="A7962" s="5" t="s">
        <v>457</v>
      </c>
      <c r="C7962" s="25" t="n">
        <f aca="false">IF(C7957&gt;0,MIN(C7947,C7957*$C$7945),0)</f>
        <v>0</v>
      </c>
    </row>
    <row r="7963" customFormat="false" ht="15" hidden="false" customHeight="false" outlineLevel="0" collapsed="false">
      <c r="A7963" s="5" t="s">
        <v>458</v>
      </c>
      <c r="C7963" s="25" t="n">
        <f aca="false">IF(C7958&gt;0,MIN(C7948,C7958*$C$7945),0)</f>
        <v>0</v>
      </c>
    </row>
    <row r="7964" customFormat="false" ht="15" hidden="false" customHeight="false" outlineLevel="0" collapsed="false">
      <c r="A7964" s="5" t="s">
        <v>459</v>
      </c>
      <c r="C7964" s="25" t="n">
        <f aca="false">IF(C7959&gt;0,MIN(C7949,C7959*$C$7945),0)</f>
        <v>0</v>
      </c>
    </row>
    <row r="7965" customFormat="false" ht="15" hidden="false" customHeight="false" outlineLevel="0" collapsed="false">
      <c r="A7965" s="5" t="s">
        <v>460</v>
      </c>
      <c r="C7965" s="25" t="n">
        <f aca="false">IF(C7960&gt;0,MIN(C7950,C7960*$C$7945),0)</f>
        <v>0</v>
      </c>
    </row>
    <row r="7966" customFormat="false" ht="15" hidden="false" customHeight="false" outlineLevel="0" collapsed="false">
      <c r="A7966" s="23" t="s">
        <v>464</v>
      </c>
      <c r="B7966" s="24"/>
      <c r="C7966" s="24"/>
      <c r="D7966" s="24"/>
      <c r="E7966" s="24"/>
      <c r="F7966" s="24"/>
      <c r="G7966" s="24"/>
      <c r="H7966" s="24"/>
      <c r="I7966" s="24"/>
      <c r="J7966" s="24"/>
      <c r="K7966" s="24"/>
    </row>
    <row r="7967" customFormat="false" ht="15" hidden="false" customHeight="false" outlineLevel="0" collapsed="false">
      <c r="A7967" s="5" t="s">
        <v>457</v>
      </c>
      <c r="C7967" s="25" t="n">
        <f aca="false">IF(C7957&gt;0,C7947-C7962,0)</f>
        <v>0</v>
      </c>
      <c r="G7967" s="20" t="n">
        <f aca="false">IF(AND(G7816=1,G7813=1),1,0)</f>
        <v>0</v>
      </c>
      <c r="H7967" s="20" t="n">
        <f aca="false">IF(G7967=1,1,IF(AND(H7816=1,H7813=1),1,0))</f>
        <v>1</v>
      </c>
      <c r="I7967" s="20" t="n">
        <f aca="false">IF(H7967=1,1,IF(AND(I7816=1,I7813=1),1,0))</f>
        <v>1</v>
      </c>
      <c r="J7967" s="20" t="n">
        <f aca="false">IF(I7967=1,1,IF(AND(J7816=1,J7813=1),1,0))</f>
        <v>1</v>
      </c>
      <c r="K7967" s="20" t="n">
        <f aca="false">IF(J7967=1,1,IF(AND(K7816=1,K7813=1),1,0))</f>
        <v>1</v>
      </c>
    </row>
    <row r="7968" customFormat="false" ht="15" hidden="false" customHeight="false" outlineLevel="0" collapsed="false">
      <c r="A7968" s="5" t="s">
        <v>458</v>
      </c>
      <c r="C7968" s="25" t="n">
        <f aca="false">IF(C7958&gt;0,C7948-C7963,0)</f>
        <v>0</v>
      </c>
      <c r="G7968" s="20" t="n">
        <f aca="false">IF(AND(G7829=1,G7813=1),1,0)</f>
        <v>0</v>
      </c>
      <c r="H7968" s="20" t="n">
        <f aca="false">IF(G7968=1,1,IF(AND(H7829=1,H7813=1),1,0))</f>
        <v>0</v>
      </c>
      <c r="I7968" s="20" t="n">
        <f aca="false">IF(H7968=1,1,IF(AND(I7829=1,I7813=1),1,0))</f>
        <v>1</v>
      </c>
      <c r="J7968" s="20" t="n">
        <f aca="false">IF(I7968=1,1,IF(AND(J7829=1,J7813=1),1,0))</f>
        <v>1</v>
      </c>
      <c r="K7968" s="20" t="n">
        <f aca="false">IF(J7968=1,1,IF(AND(K7829=1,K7813=1),1,0))</f>
        <v>1</v>
      </c>
    </row>
    <row r="7969" customFormat="false" ht="15" hidden="false" customHeight="false" outlineLevel="0" collapsed="false">
      <c r="A7969" s="5" t="s">
        <v>459</v>
      </c>
      <c r="C7969" s="25" t="n">
        <f aca="false">IF(C7959&gt;0,C7949-C7964,0)</f>
        <v>0</v>
      </c>
      <c r="G7969" s="20" t="n">
        <f aca="false">IF(AND(G7842=1,G7813=1),1,0)</f>
        <v>0</v>
      </c>
      <c r="H7969" s="20" t="n">
        <f aca="false">IF(G7969=1,1,IF(AND(H7842=1,H7813=1),1,0))</f>
        <v>0</v>
      </c>
      <c r="I7969" s="20" t="n">
        <f aca="false">IF(H7969=1,1,IF(AND(I7842=1,I7813=1),1,0))</f>
        <v>0</v>
      </c>
      <c r="J7969" s="20" t="n">
        <f aca="false">IF(I7969=1,1,IF(AND(J7842=1,J7813=1),1,0))</f>
        <v>1</v>
      </c>
      <c r="K7969" s="20" t="n">
        <f aca="false">IF(J7969=1,1,IF(AND(K7842=1,K7813=1),1,0))</f>
        <v>1</v>
      </c>
    </row>
    <row r="7970" customFormat="false" ht="15" hidden="false" customHeight="false" outlineLevel="0" collapsed="false">
      <c r="A7970" s="5" t="s">
        <v>460</v>
      </c>
      <c r="C7970" s="25" t="n">
        <f aca="false">IF(C7960&gt;0,C7950-C7965,0)</f>
        <v>0</v>
      </c>
      <c r="G7970" s="20" t="n">
        <f aca="false">IF(AND(G7855=1,G7813=1),1,0)</f>
        <v>0</v>
      </c>
      <c r="H7970" s="20" t="n">
        <f aca="false">IF(G7970=1,1,IF(AND(H7855=1,H7813=1),1,0))</f>
        <v>1</v>
      </c>
      <c r="I7970" s="20" t="n">
        <f aca="false">IF(H7970=1,1,IF(AND(I7855=1,I7813=1),1,0))</f>
        <v>1</v>
      </c>
      <c r="J7970" s="20" t="n">
        <f aca="false">IF(I7970=1,1,IF(AND(J7855=1,J7813=1),1,0))</f>
        <v>1</v>
      </c>
      <c r="K7970" s="20" t="n">
        <f aca="false">IF(J7970=1,1,IF(AND(K7855=1,K7813=1),1,0))</f>
        <v>1</v>
      </c>
    </row>
    <row r="7971" customFormat="false" ht="15" hidden="false" customHeight="false" outlineLevel="0" collapsed="false">
      <c r="A7971" s="23" t="s">
        <v>465</v>
      </c>
      <c r="B7971" s="24"/>
      <c r="C7971" s="24"/>
      <c r="D7971" s="24"/>
      <c r="E7971" s="24"/>
      <c r="F7971" s="24"/>
      <c r="G7971" s="24"/>
      <c r="H7971" s="24"/>
      <c r="I7971" s="24"/>
      <c r="J7971" s="24"/>
      <c r="K7971" s="24"/>
    </row>
    <row r="7972" customFormat="false" ht="15" hidden="false" customHeight="false" outlineLevel="0" collapsed="false">
      <c r="A7972" s="5" t="s">
        <v>457</v>
      </c>
      <c r="C7972" s="25" t="n">
        <f aca="false">IF(C7957&gt;0,C7967,C7947)</f>
        <v>170.93531</v>
      </c>
    </row>
    <row r="7973" customFormat="false" ht="15" hidden="false" customHeight="false" outlineLevel="0" collapsed="false">
      <c r="A7973" s="5" t="s">
        <v>458</v>
      </c>
      <c r="C7973" s="25" t="n">
        <f aca="false">IF(C7958&gt;0,C7968,C7948)</f>
        <v>522.4037</v>
      </c>
    </row>
    <row r="7974" customFormat="false" ht="15" hidden="false" customHeight="false" outlineLevel="0" collapsed="false">
      <c r="A7974" s="5" t="s">
        <v>459</v>
      </c>
      <c r="C7974" s="25" t="n">
        <f aca="false">IF(C7959&gt;0,C7969,C7949)</f>
        <v>256.875</v>
      </c>
    </row>
    <row r="7975" customFormat="false" ht="15" hidden="false" customHeight="false" outlineLevel="0" collapsed="false">
      <c r="A7975" s="5" t="s">
        <v>460</v>
      </c>
      <c r="C7975" s="25" t="n">
        <f aca="false">IF(C7960&gt;0,C7970,C7950)</f>
        <v>305.625</v>
      </c>
    </row>
    <row r="7976" customFormat="false" ht="15" hidden="false" customHeight="false" outlineLevel="0" collapsed="false">
      <c r="A7976" s="23" t="s">
        <v>466</v>
      </c>
      <c r="B7976" s="24"/>
      <c r="C7976" s="24"/>
      <c r="D7976" s="24"/>
      <c r="E7976" s="24"/>
      <c r="F7976" s="24"/>
      <c r="G7976" s="24"/>
      <c r="H7976" s="24"/>
      <c r="I7976" s="24"/>
      <c r="J7976" s="24"/>
      <c r="K7976" s="24"/>
    </row>
    <row r="7977" customFormat="false" ht="15" hidden="false" customHeight="false" outlineLevel="0" collapsed="false">
      <c r="A7977" s="5" t="s">
        <v>457</v>
      </c>
      <c r="C7977" s="20" t="n">
        <f aca="false">IF(C7957&gt;0,Assumptions!$C$17,C7952)</f>
        <v>1</v>
      </c>
    </row>
    <row r="7978" customFormat="false" ht="15" hidden="false" customHeight="false" outlineLevel="0" collapsed="false">
      <c r="A7978" s="5" t="s">
        <v>458</v>
      </c>
      <c r="C7978" s="20" t="n">
        <f aca="false">IF(C7958&gt;0,Assumptions!$C$17,C7953)</f>
        <v>2</v>
      </c>
    </row>
    <row r="7979" customFormat="false" ht="15" hidden="false" customHeight="false" outlineLevel="0" collapsed="false">
      <c r="A7979" s="5" t="s">
        <v>459</v>
      </c>
      <c r="C7979" s="20" t="n">
        <f aca="false">IF(C7959&gt;0,Assumptions!$C$17,C7954)</f>
        <v>3</v>
      </c>
    </row>
    <row r="7980" customFormat="false" ht="15" hidden="false" customHeight="false" outlineLevel="0" collapsed="false">
      <c r="A7980" s="5" t="s">
        <v>460</v>
      </c>
      <c r="C7980" s="20" t="n">
        <f aca="false">IF(C7960&gt;0,Assumptions!$C$17,C7955)</f>
        <v>4</v>
      </c>
    </row>
    <row r="7981" customFormat="false" ht="15" hidden="false" customHeight="false" outlineLevel="0" collapsed="false">
      <c r="A7981" s="23" t="s">
        <v>467</v>
      </c>
      <c r="B7981" s="24"/>
      <c r="C7981" s="24"/>
      <c r="D7981" s="24"/>
      <c r="E7981" s="24"/>
      <c r="F7981" s="24"/>
      <c r="G7981" s="24"/>
      <c r="H7981" s="24"/>
      <c r="I7981" s="24"/>
      <c r="J7981" s="24"/>
      <c r="K7981" s="24"/>
    </row>
    <row r="7982" customFormat="false" ht="15" hidden="false" customHeight="false" outlineLevel="0" collapsed="false">
      <c r="A7982" s="5" t="s">
        <v>457</v>
      </c>
      <c r="C7982" s="25" t="n">
        <f aca="false">SUMPRODUCT(($C$7977:$C$7980&lt;C7977)*$C$7972:$C$7975)</f>
        <v>0</v>
      </c>
    </row>
    <row r="7983" customFormat="false" ht="15" hidden="false" customHeight="false" outlineLevel="0" collapsed="false">
      <c r="A7983" s="5" t="s">
        <v>458</v>
      </c>
      <c r="C7983" s="25" t="n">
        <f aca="false">SUMPRODUCT(($C$7977:$C$7980&lt;C7978)*$C$7972:$C$7975)</f>
        <v>170.93531</v>
      </c>
    </row>
    <row r="7984" customFormat="false" ht="15" hidden="false" customHeight="false" outlineLevel="0" collapsed="false">
      <c r="A7984" s="5" t="s">
        <v>459</v>
      </c>
      <c r="C7984" s="25" t="n">
        <f aca="false">SUMPRODUCT(($C$7977:$C$7980&lt;C7979)*$C$7972:$C$7975)</f>
        <v>693.33901</v>
      </c>
    </row>
    <row r="7985" customFormat="false" ht="15" hidden="false" customHeight="false" outlineLevel="0" collapsed="false">
      <c r="A7985" s="5" t="s">
        <v>460</v>
      </c>
      <c r="C7985" s="25" t="n">
        <f aca="false">SUMPRODUCT(($C$7977:$C$7980&lt;C7980)*$C$7972:$C$7975)</f>
        <v>950.21401</v>
      </c>
    </row>
    <row r="7986" customFormat="false" ht="15" hidden="false" customHeight="false" outlineLevel="0" collapsed="false">
      <c r="A7986" s="23" t="s">
        <v>468</v>
      </c>
      <c r="B7986" s="24"/>
      <c r="C7986" s="24"/>
      <c r="D7986" s="24"/>
      <c r="E7986" s="24"/>
      <c r="F7986" s="24"/>
      <c r="G7986" s="24"/>
      <c r="H7986" s="24"/>
      <c r="I7986" s="24"/>
      <c r="J7986" s="24"/>
      <c r="K7986" s="24"/>
    </row>
    <row r="7987" customFormat="false" ht="15" hidden="false" customHeight="false" outlineLevel="0" collapsed="false">
      <c r="A7987" s="5" t="s">
        <v>457</v>
      </c>
      <c r="C7987" s="25" t="n">
        <f aca="false">SUMPRODUCT(($C$7977:$C$7980=C7977)*$C$7972:$C$7975)</f>
        <v>170.93531</v>
      </c>
    </row>
    <row r="7988" customFormat="false" ht="15" hidden="false" customHeight="false" outlineLevel="0" collapsed="false">
      <c r="A7988" s="5" t="s">
        <v>458</v>
      </c>
      <c r="C7988" s="25" t="n">
        <f aca="false">SUMPRODUCT(($C$7977:$C$7980=C7978)*$C$7972:$C$7975)</f>
        <v>522.4037</v>
      </c>
    </row>
    <row r="7989" customFormat="false" ht="15" hidden="false" customHeight="false" outlineLevel="0" collapsed="false">
      <c r="A7989" s="5" t="s">
        <v>459</v>
      </c>
      <c r="C7989" s="25" t="n">
        <f aca="false">SUMPRODUCT(($C$7977:$C$7980=C7979)*$C$7972:$C$7975)</f>
        <v>256.875</v>
      </c>
    </row>
    <row r="7990" customFormat="false" ht="15" hidden="false" customHeight="false" outlineLevel="0" collapsed="false">
      <c r="A7990" s="5" t="s">
        <v>460</v>
      </c>
      <c r="C7990" s="25" t="n">
        <f aca="false">SUMPRODUCT(($C$7977:$C$7980=C7980)*$C$7972:$C$7975)</f>
        <v>305.625</v>
      </c>
    </row>
    <row r="7991" customFormat="false" ht="15" hidden="false" customHeight="false" outlineLevel="0" collapsed="false">
      <c r="A7991" s="23" t="s">
        <v>469</v>
      </c>
      <c r="B7991" s="24"/>
      <c r="C7991" s="24"/>
      <c r="D7991" s="24"/>
      <c r="E7991" s="24"/>
      <c r="F7991" s="24"/>
      <c r="G7991" s="24"/>
      <c r="H7991" s="24"/>
      <c r="I7991" s="24"/>
      <c r="J7991" s="24"/>
      <c r="K7991" s="24"/>
    </row>
    <row r="7992" customFormat="false" ht="15" hidden="false" customHeight="false" outlineLevel="0" collapsed="false">
      <c r="A7992" s="5" t="s">
        <v>457</v>
      </c>
      <c r="C7992" s="25" t="n">
        <f aca="false">IF(C7987=0,0,C7972/C7987*MAX(0,MIN(C7987,$C$7945-SUM($C$7962:$C$7965)-C7982)))</f>
        <v>170.93531</v>
      </c>
    </row>
    <row r="7993" customFormat="false" ht="15" hidden="false" customHeight="false" outlineLevel="0" collapsed="false">
      <c r="A7993" s="5" t="s">
        <v>458</v>
      </c>
      <c r="C7993" s="25" t="n">
        <f aca="false">IF(C7988=0,0,C7973/C7988*MAX(0,MIN(C7988,$C$7945-SUM($C$7962:$C$7965)-C7983)))</f>
        <v>522.4037</v>
      </c>
    </row>
    <row r="7994" customFormat="false" ht="15" hidden="false" customHeight="false" outlineLevel="0" collapsed="false">
      <c r="A7994" s="5" t="s">
        <v>459</v>
      </c>
      <c r="C7994" s="25" t="n">
        <f aca="false">IF(C7989=0,0,C7974/C7989*MAX(0,MIN(C7989,$C$7945-SUM($C$7962:$C$7965)-C7984)))</f>
        <v>40.2794732000001</v>
      </c>
    </row>
    <row r="7995" customFormat="false" ht="15" hidden="false" customHeight="false" outlineLevel="0" collapsed="false">
      <c r="A7995" s="5" t="s">
        <v>460</v>
      </c>
      <c r="C7995" s="25" t="n">
        <f aca="false">IF(C7990=0,0,C7975/C7990*MAX(0,MIN(C7990,$C$7945-SUM($C$7962:$C$7965)-C7985)))</f>
        <v>0</v>
      </c>
    </row>
    <row r="7996" customFormat="false" ht="15" hidden="false" customHeight="false" outlineLevel="0" collapsed="false">
      <c r="A7996" s="23" t="s">
        <v>470</v>
      </c>
      <c r="B7996" s="24"/>
      <c r="C7996" s="24"/>
      <c r="D7996" s="24"/>
      <c r="E7996" s="24"/>
      <c r="F7996" s="24"/>
      <c r="G7996" s="24"/>
      <c r="H7996" s="24"/>
      <c r="I7996" s="24"/>
      <c r="J7996" s="24"/>
      <c r="K7996" s="24"/>
    </row>
    <row r="7997" customFormat="false" ht="15" hidden="false" customHeight="false" outlineLevel="0" collapsed="false">
      <c r="A7997" s="2" t="s">
        <v>457</v>
      </c>
      <c r="C7997" s="16" t="n">
        <f aca="false">C7962+C7992</f>
        <v>170.93531</v>
      </c>
    </row>
    <row r="7998" customFormat="false" ht="15" hidden="false" customHeight="false" outlineLevel="0" collapsed="false">
      <c r="A7998" s="2" t="s">
        <v>458</v>
      </c>
      <c r="C7998" s="16" t="n">
        <f aca="false">C7963+C7993</f>
        <v>522.4037</v>
      </c>
    </row>
    <row r="7999" customFormat="false" ht="15" hidden="false" customHeight="false" outlineLevel="0" collapsed="false">
      <c r="A7999" s="2" t="s">
        <v>459</v>
      </c>
      <c r="C7999" s="16" t="n">
        <f aca="false">C7964+C7994</f>
        <v>40.2794732000001</v>
      </c>
    </row>
    <row r="8000" customFormat="false" ht="15" hidden="false" customHeight="false" outlineLevel="0" collapsed="false">
      <c r="A8000" s="2" t="s">
        <v>460</v>
      </c>
      <c r="C8000" s="16" t="n">
        <f aca="false">C7965+C7995</f>
        <v>0</v>
      </c>
    </row>
    <row r="8001" customFormat="false" ht="15" hidden="false" customHeight="false" outlineLevel="0" collapsed="false">
      <c r="A8001" s="23" t="s">
        <v>471</v>
      </c>
      <c r="B8001" s="24"/>
      <c r="C8001" s="24"/>
      <c r="D8001" s="24"/>
      <c r="E8001" s="24"/>
      <c r="F8001" s="24"/>
      <c r="G8001" s="24"/>
      <c r="H8001" s="24"/>
      <c r="I8001" s="24"/>
      <c r="J8001" s="24"/>
      <c r="K8001" s="24"/>
    </row>
    <row r="8002" customFormat="false" ht="15" hidden="false" customHeight="false" outlineLevel="0" collapsed="false">
      <c r="A8002" s="5" t="s">
        <v>457</v>
      </c>
      <c r="C8002" s="21" t="n">
        <f aca="false">IF(C7947=0,1,C7997/C7947)</f>
        <v>1</v>
      </c>
    </row>
    <row r="8003" customFormat="false" ht="15" hidden="false" customHeight="false" outlineLevel="0" collapsed="false">
      <c r="A8003" s="5" t="s">
        <v>458</v>
      </c>
      <c r="C8003" s="21" t="n">
        <f aca="false">IF(C7948=0,1,C7998/C7948)</f>
        <v>1</v>
      </c>
    </row>
    <row r="8004" customFormat="false" ht="15" hidden="false" customHeight="false" outlineLevel="0" collapsed="false">
      <c r="A8004" s="5" t="s">
        <v>459</v>
      </c>
      <c r="C8004" s="21" t="n">
        <f aca="false">IF(C7949=0,1,C7999/C7949)</f>
        <v>0.156805735085159</v>
      </c>
    </row>
    <row r="8005" customFormat="false" ht="15" hidden="false" customHeight="false" outlineLevel="0" collapsed="false">
      <c r="A8005" s="5" t="s">
        <v>460</v>
      </c>
      <c r="C8005" s="21" t="n">
        <f aca="false">IF(C7950=0,1,C8000/C7950)</f>
        <v>0</v>
      </c>
    </row>
    <row r="8006" customFormat="false" ht="15" hidden="false" customHeight="false" outlineLevel="0" collapsed="false">
      <c r="A8006" s="23" t="s">
        <v>472</v>
      </c>
      <c r="B8006" s="24"/>
      <c r="C8006" s="24"/>
      <c r="D8006" s="24"/>
      <c r="E8006" s="24"/>
      <c r="F8006" s="24"/>
      <c r="G8006" s="24"/>
      <c r="H8006" s="24"/>
      <c r="I8006" s="24"/>
      <c r="J8006" s="24"/>
      <c r="K8006" s="24"/>
    </row>
    <row r="8007" customFormat="false" ht="15" hidden="false" customHeight="false" outlineLevel="0" collapsed="false">
      <c r="A8007" s="5" t="s">
        <v>457</v>
      </c>
      <c r="C8007" s="25" t="n">
        <f aca="false">C7947-C7997</f>
        <v>0</v>
      </c>
    </row>
    <row r="8008" customFormat="false" ht="15" hidden="false" customHeight="false" outlineLevel="0" collapsed="false">
      <c r="A8008" s="5" t="s">
        <v>458</v>
      </c>
      <c r="C8008" s="25" t="n">
        <f aca="false">C7948-C7998</f>
        <v>0</v>
      </c>
    </row>
    <row r="8009" customFormat="false" ht="15" hidden="false" customHeight="false" outlineLevel="0" collapsed="false">
      <c r="A8009" s="5" t="s">
        <v>459</v>
      </c>
      <c r="C8009" s="25" t="n">
        <f aca="false">C7949-C7999</f>
        <v>216.5955268</v>
      </c>
    </row>
    <row r="8010" customFormat="false" ht="15" hidden="false" customHeight="false" outlineLevel="0" collapsed="false">
      <c r="A8010" s="5" t="s">
        <v>460</v>
      </c>
      <c r="C8010" s="25" t="n">
        <f aca="false">C7950-C8000</f>
        <v>305.625</v>
      </c>
    </row>
    <row r="8011" customFormat="false" ht="15" hidden="false" customHeight="false" outlineLevel="0" collapsed="false">
      <c r="A8011" s="23" t="s">
        <v>473</v>
      </c>
      <c r="B8011" s="24"/>
      <c r="C8011" s="24"/>
      <c r="D8011" s="24"/>
      <c r="E8011" s="24"/>
      <c r="F8011" s="24"/>
      <c r="G8011" s="24"/>
      <c r="H8011" s="24"/>
      <c r="I8011" s="24"/>
      <c r="J8011" s="24"/>
      <c r="K8011" s="24"/>
    </row>
    <row r="8012" customFormat="false" ht="15" hidden="false" customHeight="false" outlineLevel="0" collapsed="false">
      <c r="A8012" s="5" t="s">
        <v>457</v>
      </c>
      <c r="C8012" s="21" t="n">
        <f aca="false">IF(C7947=0,0,C8007/C7947)</f>
        <v>0</v>
      </c>
    </row>
    <row r="8013" customFormat="false" ht="15" hidden="false" customHeight="false" outlineLevel="0" collapsed="false">
      <c r="A8013" s="5" t="s">
        <v>458</v>
      </c>
      <c r="C8013" s="21" t="n">
        <f aca="false">IF(C7948=0,0,C8008/C7948)</f>
        <v>0</v>
      </c>
    </row>
    <row r="8014" customFormat="false" ht="15" hidden="false" customHeight="false" outlineLevel="0" collapsed="false">
      <c r="A8014" s="5" t="s">
        <v>459</v>
      </c>
      <c r="C8014" s="21" t="n">
        <f aca="false">IF(C7949=0,0,C8009/C7949)</f>
        <v>0.843194264914842</v>
      </c>
    </row>
    <row r="8015" customFormat="false" ht="15" hidden="false" customHeight="false" outlineLevel="0" collapsed="false">
      <c r="A8015" s="5" t="s">
        <v>460</v>
      </c>
      <c r="C8015" s="21" t="n">
        <f aca="false">IF(C7950=0,0,C8010/C7950)</f>
        <v>1</v>
      </c>
    </row>
    <row r="8016" customFormat="false" ht="15" hidden="false" customHeight="false" outlineLevel="0" collapsed="false">
      <c r="A8016" s="2" t="s">
        <v>474</v>
      </c>
      <c r="C8016" s="16" t="n">
        <f aca="false">MAX(0,$C$7945-SUM($C$7962:$C$7965)-SUM($C$7972:$C$7975))</f>
        <v>0</v>
      </c>
    </row>
    <row r="8017" customFormat="false" ht="15" hidden="false" customHeight="false" outlineLevel="0" collapsed="false">
      <c r="A8017" s="5" t="s">
        <v>475</v>
      </c>
      <c r="C8017" s="25" t="n">
        <f aca="false">SUM($C$7997:$C$8000)+C8016+C7944-C7943</f>
        <v>0</v>
      </c>
    </row>
    <row r="8019" customFormat="false" ht="15" hidden="false" customHeight="false" outlineLevel="0" collapsed="false">
      <c r="A8019" s="23" t="s">
        <v>478</v>
      </c>
      <c r="B8019" s="24"/>
      <c r="C8019" s="24"/>
      <c r="D8019" s="24"/>
      <c r="E8019" s="24"/>
      <c r="F8019" s="24"/>
      <c r="G8019" s="24"/>
      <c r="H8019" s="24"/>
      <c r="I8019" s="24"/>
      <c r="J8019" s="24"/>
      <c r="K8019" s="24"/>
    </row>
    <row r="8020" customFormat="false" ht="15" hidden="false" customHeight="false" outlineLevel="0" collapsed="false">
      <c r="A8020" s="5" t="s">
        <v>479</v>
      </c>
      <c r="C8020" s="26" t="n">
        <f aca="false">Assumptions!$C$30</f>
        <v>2</v>
      </c>
    </row>
    <row r="8021" customFormat="false" ht="15" hidden="false" customHeight="false" outlineLevel="0" collapsed="false">
      <c r="A8021" s="5" t="s">
        <v>480</v>
      </c>
      <c r="C8021" s="28" t="n">
        <f aca="false">Assumptions!$C$31</f>
        <v>100</v>
      </c>
    </row>
    <row r="8022" customFormat="false" ht="15" hidden="false" customHeight="false" outlineLevel="0" collapsed="false">
      <c r="A8022" s="5" t="s">
        <v>481</v>
      </c>
      <c r="C8022" s="39" t="n">
        <f aca="false">Assumptions!$C$32</f>
        <v>78</v>
      </c>
    </row>
    <row r="8023" customFormat="false" ht="15" hidden="false" customHeight="false" outlineLevel="0" collapsed="false">
      <c r="A8023" s="5" t="s">
        <v>482</v>
      </c>
      <c r="C8023" s="25" t="n">
        <f aca="false">C8021*C8022/100*(1+Assumptions!$C$33)</f>
        <v>78.39</v>
      </c>
    </row>
    <row r="8024" customFormat="false" ht="15" hidden="false" customHeight="false" outlineLevel="0" collapsed="false">
      <c r="A8024" s="5" t="s">
        <v>483</v>
      </c>
      <c r="C8024" s="26" t="n">
        <f aca="false">Assumptions!$C$34</f>
        <v>2</v>
      </c>
    </row>
    <row r="8025" customFormat="false" ht="15" hidden="false" customHeight="false" outlineLevel="0" collapsed="false">
      <c r="A8025" s="5" t="s">
        <v>484</v>
      </c>
      <c r="C8025" s="20" t="n">
        <f aca="false">IF(C7936=1,SUMPRODUCT($G$7904:$K$7904,$G$7780:$K$7780),0)</f>
        <v>2</v>
      </c>
    </row>
    <row r="8026" customFormat="false" ht="15" hidden="false" customHeight="false" outlineLevel="0" collapsed="false">
      <c r="A8026" s="5" t="s">
        <v>485</v>
      </c>
      <c r="C8026" s="21" t="n">
        <f aca="false">IFERROR(C8021/CHOOSE(C8020,SUMPRODUCT($G$7935:$K$7935,$G$7826:$K$7826),SUMPRODUCT($G$7935:$K$7935,$G$7839:$K$7839),SUMPRODUCT($G$7935:$K$7935,$G$7852:$K$7852),SUMPRODUCT($G$7935:$K$7935,$G$7865:$K$7865)),0)</f>
        <v>0.196232339089482</v>
      </c>
    </row>
    <row r="8027" customFormat="false" ht="15" hidden="false" customHeight="false" outlineLevel="0" collapsed="false">
      <c r="A8027" s="5" t="s">
        <v>486</v>
      </c>
      <c r="C8027" s="25" t="n">
        <f aca="false">CHOOSE(C8020,C7997,C7998,C7999,C8000)*C8026</f>
        <v>102.5125</v>
      </c>
    </row>
    <row r="8028" customFormat="false" ht="15" hidden="false" customHeight="false" outlineLevel="0" collapsed="false">
      <c r="A8028" s="5" t="s">
        <v>487</v>
      </c>
      <c r="C8028" s="21" t="n">
        <f aca="false">CHOOSE(C8020,C8002,C8003,C8004,C8005)</f>
        <v>1</v>
      </c>
    </row>
    <row r="8029" customFormat="false" ht="15" hidden="false" customHeight="false" outlineLevel="0" collapsed="false">
      <c r="A8029" s="5" t="s">
        <v>488</v>
      </c>
      <c r="C8029" s="20" t="n">
        <f aca="false">IF(C7936=1,C8025,C8024)</f>
        <v>2</v>
      </c>
    </row>
    <row r="8030" customFormat="false" ht="15" hidden="false" customHeight="false" outlineLevel="0" collapsed="false">
      <c r="A8030" s="5" t="s">
        <v>489</v>
      </c>
      <c r="C8030" s="33" t="n">
        <f aca="false">CHOOSE($C$7772,Assumptions!$C$77,Assumptions!$C$96,Assumptions!$C$115)</f>
        <v>100</v>
      </c>
    </row>
    <row r="8031" customFormat="false" ht="15" hidden="false" customHeight="false" outlineLevel="0" collapsed="false">
      <c r="A8031" s="5" t="s">
        <v>490</v>
      </c>
      <c r="C8031" s="25" t="n">
        <f aca="false">INDEX($G$7789:$K$7789,C8024)*CHOOSE($C$7772,Assumptions!$C$76,Assumptions!$C$95,Assumptions!$C$114)+MAX(0,INDEX($G$7901:$K$7901,C8024))</f>
        <v>1241.80212</v>
      </c>
    </row>
    <row r="8032" customFormat="false" ht="15" hidden="false" customHeight="false" outlineLevel="0" collapsed="false">
      <c r="A8032" s="23" t="s">
        <v>491</v>
      </c>
      <c r="B8032" s="24"/>
      <c r="C8032" s="24"/>
      <c r="D8032" s="24"/>
      <c r="E8032" s="24"/>
      <c r="F8032" s="24"/>
      <c r="G8032" s="24"/>
      <c r="H8032" s="24"/>
      <c r="I8032" s="24"/>
      <c r="J8032" s="24"/>
      <c r="K8032" s="24"/>
    </row>
    <row r="8033" customFormat="false" ht="15" hidden="false" customHeight="false" outlineLevel="0" collapsed="false">
      <c r="A8033" s="5" t="s">
        <v>457</v>
      </c>
      <c r="C8033" s="25" t="n">
        <f aca="false">INDEX($G$7826:$K$7826,C8024)</f>
        <v>167.44</v>
      </c>
    </row>
    <row r="8034" customFormat="false" ht="15" hidden="false" customHeight="false" outlineLevel="0" collapsed="false">
      <c r="A8034" s="5" t="s">
        <v>458</v>
      </c>
      <c r="C8034" s="25" t="n">
        <f aca="false">INDEX($G$7839:$K$7839,C8024)</f>
        <v>509.6</v>
      </c>
    </row>
    <row r="8035" customFormat="false" ht="15" hidden="false" customHeight="false" outlineLevel="0" collapsed="false">
      <c r="A8035" s="5" t="s">
        <v>459</v>
      </c>
      <c r="C8035" s="25" t="n">
        <f aca="false">INDEX($G$7852:$K$7852,C8024)</f>
        <v>250</v>
      </c>
    </row>
    <row r="8036" customFormat="false" ht="15" hidden="false" customHeight="false" outlineLevel="0" collapsed="false">
      <c r="A8036" s="5" t="s">
        <v>460</v>
      </c>
      <c r="C8036" s="25" t="n">
        <f aca="false">INDEX($G$7865:$K$7865,C8024)</f>
        <v>300</v>
      </c>
    </row>
    <row r="8037" customFormat="false" ht="15" hidden="false" customHeight="false" outlineLevel="0" collapsed="false">
      <c r="A8037" s="23" t="s">
        <v>461</v>
      </c>
      <c r="B8037" s="24"/>
      <c r="C8037" s="24"/>
      <c r="D8037" s="24"/>
      <c r="E8037" s="24"/>
      <c r="F8037" s="24"/>
      <c r="G8037" s="24"/>
      <c r="H8037" s="24"/>
      <c r="I8037" s="24"/>
      <c r="J8037" s="24"/>
      <c r="K8037" s="24"/>
    </row>
    <row r="8038" customFormat="false" ht="15" hidden="false" customHeight="false" outlineLevel="0" collapsed="false">
      <c r="A8038" s="5" t="s">
        <v>457</v>
      </c>
      <c r="C8038" s="26" t="n">
        <f aca="false">Assumptions!$M$53</f>
        <v>1</v>
      </c>
    </row>
    <row r="8039" customFormat="false" ht="15" hidden="false" customHeight="false" outlineLevel="0" collapsed="false">
      <c r="A8039" s="5" t="s">
        <v>458</v>
      </c>
      <c r="C8039" s="26" t="n">
        <f aca="false">Assumptions!$M$54</f>
        <v>2</v>
      </c>
    </row>
    <row r="8040" customFormat="false" ht="15" hidden="false" customHeight="false" outlineLevel="0" collapsed="false">
      <c r="A8040" s="5" t="s">
        <v>459</v>
      </c>
      <c r="C8040" s="26" t="n">
        <f aca="false">Assumptions!$M$55</f>
        <v>3</v>
      </c>
    </row>
    <row r="8041" customFormat="false" ht="15" hidden="false" customHeight="false" outlineLevel="0" collapsed="false">
      <c r="A8041" s="5" t="s">
        <v>460</v>
      </c>
      <c r="C8041" s="26" t="n">
        <f aca="false">Assumptions!$M$56</f>
        <v>4</v>
      </c>
    </row>
    <row r="8042" customFormat="false" ht="15" hidden="false" customHeight="false" outlineLevel="0" collapsed="false">
      <c r="A8042" s="23" t="s">
        <v>462</v>
      </c>
      <c r="B8042" s="24"/>
      <c r="C8042" s="24"/>
      <c r="D8042" s="24"/>
      <c r="E8042" s="24"/>
      <c r="F8042" s="24"/>
      <c r="G8042" s="24"/>
      <c r="H8042" s="24"/>
      <c r="I8042" s="24"/>
      <c r="J8042" s="24"/>
      <c r="K8042" s="24"/>
    </row>
    <row r="8043" customFormat="false" ht="15" hidden="false" customHeight="false" outlineLevel="0" collapsed="false">
      <c r="A8043" s="5" t="s">
        <v>457</v>
      </c>
      <c r="C8043" s="34" t="n">
        <f aca="false">Assumptions!$Q$53</f>
        <v>0</v>
      </c>
    </row>
    <row r="8044" customFormat="false" ht="15" hidden="false" customHeight="false" outlineLevel="0" collapsed="false">
      <c r="A8044" s="5" t="s">
        <v>458</v>
      </c>
      <c r="C8044" s="34" t="n">
        <f aca="false">Assumptions!$Q$54</f>
        <v>0</v>
      </c>
    </row>
    <row r="8045" customFormat="false" ht="15" hidden="false" customHeight="false" outlineLevel="0" collapsed="false">
      <c r="A8045" s="5" t="s">
        <v>459</v>
      </c>
      <c r="C8045" s="34" t="n">
        <f aca="false">Assumptions!$Q$55</f>
        <v>0</v>
      </c>
    </row>
    <row r="8046" customFormat="false" ht="15" hidden="false" customHeight="false" outlineLevel="0" collapsed="false">
      <c r="A8046" s="5" t="s">
        <v>460</v>
      </c>
      <c r="C8046" s="34" t="n">
        <f aca="false">Assumptions!$Q$56</f>
        <v>0</v>
      </c>
    </row>
    <row r="8047" customFormat="false" ht="15" hidden="false" customHeight="false" outlineLevel="0" collapsed="false">
      <c r="A8047" s="23" t="s">
        <v>463</v>
      </c>
      <c r="B8047" s="24"/>
      <c r="C8047" s="24"/>
      <c r="D8047" s="24"/>
      <c r="E8047" s="24"/>
      <c r="F8047" s="24"/>
      <c r="G8047" s="24"/>
      <c r="H8047" s="24"/>
      <c r="I8047" s="24"/>
      <c r="J8047" s="24"/>
      <c r="K8047" s="24"/>
    </row>
    <row r="8048" customFormat="false" ht="15" hidden="false" customHeight="false" outlineLevel="0" collapsed="false">
      <c r="A8048" s="5" t="s">
        <v>457</v>
      </c>
      <c r="C8048" s="25" t="n">
        <f aca="false">IF(C8043&gt;0,MIN(C8033,C8043*$C$8031),0)</f>
        <v>0</v>
      </c>
    </row>
    <row r="8049" customFormat="false" ht="15" hidden="false" customHeight="false" outlineLevel="0" collapsed="false">
      <c r="A8049" s="5" t="s">
        <v>458</v>
      </c>
      <c r="C8049" s="25" t="n">
        <f aca="false">IF(C8044&gt;0,MIN(C8034,C8044*$C$8031),0)</f>
        <v>0</v>
      </c>
    </row>
    <row r="8050" customFormat="false" ht="15" hidden="false" customHeight="false" outlineLevel="0" collapsed="false">
      <c r="A8050" s="5" t="s">
        <v>459</v>
      </c>
      <c r="C8050" s="25" t="n">
        <f aca="false">IF(C8045&gt;0,MIN(C8035,C8045*$C$8031),0)</f>
        <v>0</v>
      </c>
    </row>
    <row r="8051" customFormat="false" ht="15" hidden="false" customHeight="false" outlineLevel="0" collapsed="false">
      <c r="A8051" s="5" t="s">
        <v>460</v>
      </c>
      <c r="C8051" s="25" t="n">
        <f aca="false">IF(C8046&gt;0,MIN(C8036,C8046*$C$8031),0)</f>
        <v>0</v>
      </c>
    </row>
    <row r="8052" customFormat="false" ht="15" hidden="false" customHeight="false" outlineLevel="0" collapsed="false">
      <c r="A8052" s="23" t="s">
        <v>464</v>
      </c>
      <c r="B8052" s="24"/>
      <c r="C8052" s="24"/>
      <c r="D8052" s="24"/>
      <c r="E8052" s="24"/>
      <c r="F8052" s="24"/>
      <c r="G8052" s="24"/>
      <c r="H8052" s="24"/>
      <c r="I8052" s="24"/>
      <c r="J8052" s="24"/>
      <c r="K8052" s="24"/>
    </row>
    <row r="8053" customFormat="false" ht="15" hidden="false" customHeight="false" outlineLevel="0" collapsed="false">
      <c r="A8053" s="5" t="s">
        <v>457</v>
      </c>
      <c r="C8053" s="25" t="n">
        <f aca="false">IF(C8043&gt;0,C8033-C8048,0)</f>
        <v>0</v>
      </c>
    </row>
    <row r="8054" customFormat="false" ht="15" hidden="false" customHeight="false" outlineLevel="0" collapsed="false">
      <c r="A8054" s="5" t="s">
        <v>458</v>
      </c>
      <c r="C8054" s="25" t="n">
        <f aca="false">IF(C8044&gt;0,C8034-C8049,0)</f>
        <v>0</v>
      </c>
    </row>
    <row r="8055" customFormat="false" ht="15" hidden="false" customHeight="false" outlineLevel="0" collapsed="false">
      <c r="A8055" s="5" t="s">
        <v>459</v>
      </c>
      <c r="C8055" s="25" t="n">
        <f aca="false">IF(C8045&gt;0,C8035-C8050,0)</f>
        <v>0</v>
      </c>
    </row>
    <row r="8056" customFormat="false" ht="15" hidden="false" customHeight="false" outlineLevel="0" collapsed="false">
      <c r="A8056" s="5" t="s">
        <v>460</v>
      </c>
      <c r="C8056" s="25" t="n">
        <f aca="false">IF(C8046&gt;0,C8036-C8051,0)</f>
        <v>0</v>
      </c>
    </row>
    <row r="8057" customFormat="false" ht="15" hidden="false" customHeight="false" outlineLevel="0" collapsed="false">
      <c r="A8057" s="23" t="s">
        <v>465</v>
      </c>
      <c r="B8057" s="24"/>
      <c r="C8057" s="24"/>
      <c r="D8057" s="24"/>
      <c r="E8057" s="24"/>
      <c r="F8057" s="24"/>
      <c r="G8057" s="24"/>
      <c r="H8057" s="24"/>
      <c r="I8057" s="24"/>
      <c r="J8057" s="24"/>
      <c r="K8057" s="24"/>
    </row>
    <row r="8058" customFormat="false" ht="15" hidden="false" customHeight="false" outlineLevel="0" collapsed="false">
      <c r="A8058" s="5" t="s">
        <v>457</v>
      </c>
      <c r="C8058" s="25" t="n">
        <f aca="false">IF(C8043&gt;0,C8053,C8033)</f>
        <v>167.44</v>
      </c>
    </row>
    <row r="8059" customFormat="false" ht="15" hidden="false" customHeight="false" outlineLevel="0" collapsed="false">
      <c r="A8059" s="5" t="s">
        <v>458</v>
      </c>
      <c r="C8059" s="25" t="n">
        <f aca="false">IF(C8044&gt;0,C8054,C8034)</f>
        <v>509.6</v>
      </c>
    </row>
    <row r="8060" customFormat="false" ht="15" hidden="false" customHeight="false" outlineLevel="0" collapsed="false">
      <c r="A8060" s="5" t="s">
        <v>459</v>
      </c>
      <c r="C8060" s="25" t="n">
        <f aca="false">IF(C8045&gt;0,C8055,C8035)</f>
        <v>250</v>
      </c>
    </row>
    <row r="8061" customFormat="false" ht="15" hidden="false" customHeight="false" outlineLevel="0" collapsed="false">
      <c r="A8061" s="5" t="s">
        <v>460</v>
      </c>
      <c r="C8061" s="25" t="n">
        <f aca="false">IF(C8046&gt;0,C8056,C8036)</f>
        <v>300</v>
      </c>
    </row>
    <row r="8062" customFormat="false" ht="15" hidden="false" customHeight="false" outlineLevel="0" collapsed="false">
      <c r="A8062" s="23" t="s">
        <v>466</v>
      </c>
      <c r="B8062" s="24"/>
      <c r="C8062" s="24"/>
      <c r="D8062" s="24"/>
      <c r="E8062" s="24"/>
      <c r="F8062" s="24"/>
      <c r="G8062" s="24"/>
      <c r="H8062" s="24"/>
      <c r="I8062" s="24"/>
      <c r="J8062" s="24"/>
      <c r="K8062" s="24"/>
    </row>
    <row r="8063" customFormat="false" ht="15" hidden="false" customHeight="false" outlineLevel="0" collapsed="false">
      <c r="A8063" s="5" t="s">
        <v>457</v>
      </c>
      <c r="C8063" s="20" t="n">
        <f aca="false">IF(C8043&gt;0,Assumptions!$C$17,C8038)</f>
        <v>1</v>
      </c>
    </row>
    <row r="8064" customFormat="false" ht="15" hidden="false" customHeight="false" outlineLevel="0" collapsed="false">
      <c r="A8064" s="5" t="s">
        <v>458</v>
      </c>
      <c r="C8064" s="20" t="n">
        <f aca="false">IF(C8044&gt;0,Assumptions!$C$17,C8039)</f>
        <v>2</v>
      </c>
    </row>
    <row r="8065" customFormat="false" ht="15" hidden="false" customHeight="false" outlineLevel="0" collapsed="false">
      <c r="A8065" s="5" t="s">
        <v>459</v>
      </c>
      <c r="C8065" s="20" t="n">
        <f aca="false">IF(C8045&gt;0,Assumptions!$C$17,C8040)</f>
        <v>3</v>
      </c>
    </row>
    <row r="8066" customFormat="false" ht="15" hidden="false" customHeight="false" outlineLevel="0" collapsed="false">
      <c r="A8066" s="5" t="s">
        <v>460</v>
      </c>
      <c r="C8066" s="20" t="n">
        <f aca="false">IF(C8046&gt;0,Assumptions!$C$17,C8041)</f>
        <v>4</v>
      </c>
    </row>
    <row r="8067" customFormat="false" ht="15" hidden="false" customHeight="false" outlineLevel="0" collapsed="false">
      <c r="A8067" s="23" t="s">
        <v>467</v>
      </c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</row>
    <row r="8068" customFormat="false" ht="15" hidden="false" customHeight="false" outlineLevel="0" collapsed="false">
      <c r="A8068" s="5" t="s">
        <v>457</v>
      </c>
      <c r="C8068" s="25" t="n">
        <f aca="false">SUMPRODUCT(($C$8063:$C$8066&lt;C8063)*$C$8058:$C$8061)</f>
        <v>0</v>
      </c>
    </row>
    <row r="8069" customFormat="false" ht="15" hidden="false" customHeight="false" outlineLevel="0" collapsed="false">
      <c r="A8069" s="5" t="s">
        <v>458</v>
      </c>
      <c r="C8069" s="25" t="n">
        <f aca="false">SUMPRODUCT(($C$8063:$C$8066&lt;C8064)*$C$8058:$C$8061)</f>
        <v>167.44</v>
      </c>
    </row>
    <row r="8070" customFormat="false" ht="15" hidden="false" customHeight="false" outlineLevel="0" collapsed="false">
      <c r="A8070" s="5" t="s">
        <v>459</v>
      </c>
      <c r="C8070" s="25" t="n">
        <f aca="false">SUMPRODUCT(($C$8063:$C$8066&lt;C8065)*$C$8058:$C$8061)</f>
        <v>677.04</v>
      </c>
    </row>
    <row r="8071" customFormat="false" ht="15" hidden="false" customHeight="false" outlineLevel="0" collapsed="false">
      <c r="A8071" s="5" t="s">
        <v>460</v>
      </c>
      <c r="C8071" s="25" t="n">
        <f aca="false">SUMPRODUCT(($C$8063:$C$8066&lt;C8066)*$C$8058:$C$8061)</f>
        <v>927.04</v>
      </c>
    </row>
    <row r="8072" customFormat="false" ht="15" hidden="false" customHeight="false" outlineLevel="0" collapsed="false">
      <c r="A8072" s="23" t="s">
        <v>468</v>
      </c>
      <c r="B8072" s="24"/>
      <c r="C8072" s="24"/>
      <c r="D8072" s="24"/>
      <c r="E8072" s="24"/>
      <c r="F8072" s="24"/>
      <c r="G8072" s="24"/>
      <c r="H8072" s="24"/>
      <c r="I8072" s="24"/>
      <c r="J8072" s="24"/>
      <c r="K8072" s="24"/>
    </row>
    <row r="8073" customFormat="false" ht="15" hidden="false" customHeight="false" outlineLevel="0" collapsed="false">
      <c r="A8073" s="5" t="s">
        <v>457</v>
      </c>
      <c r="C8073" s="25" t="n">
        <f aca="false">SUMPRODUCT(($C$8063:$C$8066=C8063)*$C$8058:$C$8061)</f>
        <v>167.44</v>
      </c>
    </row>
    <row r="8074" customFormat="false" ht="15" hidden="false" customHeight="false" outlineLevel="0" collapsed="false">
      <c r="A8074" s="5" t="s">
        <v>458</v>
      </c>
      <c r="C8074" s="25" t="n">
        <f aca="false">SUMPRODUCT(($C$8063:$C$8066=C8064)*$C$8058:$C$8061)</f>
        <v>509.6</v>
      </c>
    </row>
    <row r="8075" customFormat="false" ht="15" hidden="false" customHeight="false" outlineLevel="0" collapsed="false">
      <c r="A8075" s="5" t="s">
        <v>459</v>
      </c>
      <c r="C8075" s="25" t="n">
        <f aca="false">SUMPRODUCT(($C$8063:$C$8066=C8065)*$C$8058:$C$8061)</f>
        <v>250</v>
      </c>
    </row>
    <row r="8076" customFormat="false" ht="15" hidden="false" customHeight="false" outlineLevel="0" collapsed="false">
      <c r="A8076" s="5" t="s">
        <v>460</v>
      </c>
      <c r="C8076" s="25" t="n">
        <f aca="false">SUMPRODUCT(($C$8063:$C$8066=C8066)*$C$8058:$C$8061)</f>
        <v>300</v>
      </c>
    </row>
    <row r="8077" customFormat="false" ht="15" hidden="false" customHeight="false" outlineLevel="0" collapsed="false">
      <c r="A8077" s="23" t="s">
        <v>469</v>
      </c>
      <c r="B8077" s="24"/>
      <c r="C8077" s="24"/>
      <c r="D8077" s="24"/>
      <c r="E8077" s="24"/>
      <c r="F8077" s="24"/>
      <c r="G8077" s="24"/>
      <c r="H8077" s="24"/>
      <c r="I8077" s="24"/>
      <c r="J8077" s="24"/>
      <c r="K8077" s="24"/>
    </row>
    <row r="8078" customFormat="false" ht="15" hidden="false" customHeight="false" outlineLevel="0" collapsed="false">
      <c r="A8078" s="5" t="s">
        <v>457</v>
      </c>
      <c r="C8078" s="25" t="n">
        <f aca="false">IF(C8073=0,0,C8058/C8073*MAX(0,MIN(C8073,$C$8031-SUM($C$8048:$C$8051)-C8068)))</f>
        <v>167.44</v>
      </c>
    </row>
    <row r="8079" customFormat="false" ht="15" hidden="false" customHeight="false" outlineLevel="0" collapsed="false">
      <c r="A8079" s="5" t="s">
        <v>458</v>
      </c>
      <c r="C8079" s="25" t="n">
        <f aca="false">IF(C8074=0,0,C8059/C8074*MAX(0,MIN(C8074,$C$8031-SUM($C$8048:$C$8051)-C8069)))</f>
        <v>509.6</v>
      </c>
    </row>
    <row r="8080" customFormat="false" ht="15" hidden="false" customHeight="false" outlineLevel="0" collapsed="false">
      <c r="A8080" s="5" t="s">
        <v>459</v>
      </c>
      <c r="C8080" s="25" t="n">
        <f aca="false">IF(C8075=0,0,C8060/C8075*MAX(0,MIN(C8075,$C$8031-SUM($C$8048:$C$8051)-C8070)))</f>
        <v>250</v>
      </c>
    </row>
    <row r="8081" customFormat="false" ht="15" hidden="false" customHeight="false" outlineLevel="0" collapsed="false">
      <c r="A8081" s="5" t="s">
        <v>460</v>
      </c>
      <c r="C8081" s="25" t="n">
        <f aca="false">IF(C8076=0,0,C8061/C8076*MAX(0,MIN(C8076,$C$8031-SUM($C$8048:$C$8051)-C8071)))</f>
        <v>300</v>
      </c>
    </row>
    <row r="8082" customFormat="false" ht="15" hidden="false" customHeight="false" outlineLevel="0" collapsed="false">
      <c r="A8082" s="23" t="s">
        <v>470</v>
      </c>
      <c r="B8082" s="24"/>
      <c r="C8082" s="24"/>
      <c r="D8082" s="24"/>
      <c r="E8082" s="24"/>
      <c r="F8082" s="24"/>
      <c r="G8082" s="24"/>
      <c r="H8082" s="24"/>
      <c r="I8082" s="24"/>
      <c r="J8082" s="24"/>
      <c r="K8082" s="24"/>
    </row>
    <row r="8083" customFormat="false" ht="15" hidden="false" customHeight="false" outlineLevel="0" collapsed="false">
      <c r="A8083" s="2" t="s">
        <v>457</v>
      </c>
      <c r="C8083" s="16" t="n">
        <f aca="false">C8048+C8078</f>
        <v>167.44</v>
      </c>
    </row>
    <row r="8084" customFormat="false" ht="15" hidden="false" customHeight="false" outlineLevel="0" collapsed="false">
      <c r="A8084" s="2" t="s">
        <v>458</v>
      </c>
      <c r="C8084" s="16" t="n">
        <f aca="false">C8049+C8079</f>
        <v>509.6</v>
      </c>
    </row>
    <row r="8085" customFormat="false" ht="15" hidden="false" customHeight="false" outlineLevel="0" collapsed="false">
      <c r="A8085" s="2" t="s">
        <v>459</v>
      </c>
      <c r="C8085" s="16" t="n">
        <f aca="false">C8050+C8080</f>
        <v>250</v>
      </c>
    </row>
    <row r="8086" customFormat="false" ht="15" hidden="false" customHeight="false" outlineLevel="0" collapsed="false">
      <c r="A8086" s="2" t="s">
        <v>460</v>
      </c>
      <c r="C8086" s="16" t="n">
        <f aca="false">C8051+C8081</f>
        <v>300</v>
      </c>
    </row>
    <row r="8087" customFormat="false" ht="15" hidden="false" customHeight="false" outlineLevel="0" collapsed="false">
      <c r="A8087" s="23" t="s">
        <v>471</v>
      </c>
      <c r="B8087" s="24"/>
      <c r="C8087" s="24"/>
      <c r="D8087" s="24"/>
      <c r="E8087" s="24"/>
      <c r="F8087" s="24"/>
      <c r="G8087" s="24"/>
      <c r="H8087" s="24"/>
      <c r="I8087" s="24"/>
      <c r="J8087" s="24"/>
      <c r="K8087" s="24"/>
    </row>
    <row r="8088" customFormat="false" ht="15" hidden="false" customHeight="false" outlineLevel="0" collapsed="false">
      <c r="A8088" s="5" t="s">
        <v>457</v>
      </c>
      <c r="C8088" s="21" t="n">
        <f aca="false">IF(C8033=0,1,C8083/C8033)</f>
        <v>1</v>
      </c>
    </row>
    <row r="8089" customFormat="false" ht="15" hidden="false" customHeight="false" outlineLevel="0" collapsed="false">
      <c r="A8089" s="5" t="s">
        <v>458</v>
      </c>
      <c r="C8089" s="21" t="n">
        <f aca="false">IF(C8034=0,1,C8084/C8034)</f>
        <v>1</v>
      </c>
    </row>
    <row r="8090" customFormat="false" ht="15" hidden="false" customHeight="false" outlineLevel="0" collapsed="false">
      <c r="A8090" s="5" t="s">
        <v>459</v>
      </c>
      <c r="C8090" s="21" t="n">
        <f aca="false">IF(C8035=0,1,C8085/C8035)</f>
        <v>1</v>
      </c>
    </row>
    <row r="8091" customFormat="false" ht="15" hidden="false" customHeight="false" outlineLevel="0" collapsed="false">
      <c r="A8091" s="5" t="s">
        <v>460</v>
      </c>
      <c r="C8091" s="21" t="n">
        <f aca="false">IF(C8036=0,1,C8086/C8036)</f>
        <v>1</v>
      </c>
    </row>
    <row r="8092" customFormat="false" ht="15" hidden="false" customHeight="false" outlineLevel="0" collapsed="false">
      <c r="A8092" s="23" t="s">
        <v>472</v>
      </c>
      <c r="B8092" s="24"/>
      <c r="C8092" s="24"/>
      <c r="D8092" s="24"/>
      <c r="E8092" s="24"/>
      <c r="F8092" s="24"/>
      <c r="G8092" s="24"/>
      <c r="H8092" s="24"/>
      <c r="I8092" s="24"/>
      <c r="J8092" s="24"/>
      <c r="K8092" s="24"/>
    </row>
    <row r="8093" customFormat="false" ht="15" hidden="false" customHeight="false" outlineLevel="0" collapsed="false">
      <c r="A8093" s="5" t="s">
        <v>457</v>
      </c>
      <c r="C8093" s="25" t="n">
        <f aca="false">C8033-C8083</f>
        <v>0</v>
      </c>
    </row>
    <row r="8094" customFormat="false" ht="15" hidden="false" customHeight="false" outlineLevel="0" collapsed="false">
      <c r="A8094" s="5" t="s">
        <v>458</v>
      </c>
      <c r="C8094" s="25" t="n">
        <f aca="false">C8034-C8084</f>
        <v>0</v>
      </c>
    </row>
    <row r="8095" customFormat="false" ht="15" hidden="false" customHeight="false" outlineLevel="0" collapsed="false">
      <c r="A8095" s="5" t="s">
        <v>459</v>
      </c>
      <c r="C8095" s="25" t="n">
        <f aca="false">C8035-C8085</f>
        <v>0</v>
      </c>
    </row>
    <row r="8096" customFormat="false" ht="15" hidden="false" customHeight="false" outlineLevel="0" collapsed="false">
      <c r="A8096" s="5" t="s">
        <v>460</v>
      </c>
      <c r="C8096" s="25" t="n">
        <f aca="false">C8036-C8086</f>
        <v>0</v>
      </c>
    </row>
    <row r="8097" customFormat="false" ht="15" hidden="false" customHeight="false" outlineLevel="0" collapsed="false">
      <c r="A8097" s="23" t="s">
        <v>473</v>
      </c>
      <c r="B8097" s="24"/>
      <c r="C8097" s="24"/>
      <c r="D8097" s="24"/>
      <c r="E8097" s="24"/>
      <c r="F8097" s="24"/>
      <c r="G8097" s="24"/>
      <c r="H8097" s="24"/>
      <c r="I8097" s="24"/>
      <c r="J8097" s="24"/>
      <c r="K8097" s="24"/>
    </row>
    <row r="8098" customFormat="false" ht="15" hidden="false" customHeight="false" outlineLevel="0" collapsed="false">
      <c r="A8098" s="5" t="s">
        <v>457</v>
      </c>
      <c r="C8098" s="21" t="n">
        <f aca="false">IF(C8033=0,0,C8093/C8033)</f>
        <v>0</v>
      </c>
    </row>
    <row r="8099" customFormat="false" ht="15" hidden="false" customHeight="false" outlineLevel="0" collapsed="false">
      <c r="A8099" s="5" t="s">
        <v>458</v>
      </c>
      <c r="C8099" s="21" t="n">
        <f aca="false">IF(C8034=0,0,C8094/C8034)</f>
        <v>0</v>
      </c>
    </row>
    <row r="8100" customFormat="false" ht="15" hidden="false" customHeight="false" outlineLevel="0" collapsed="false">
      <c r="A8100" s="5" t="s">
        <v>459</v>
      </c>
      <c r="C8100" s="21" t="n">
        <f aca="false">IF(C8035=0,0,C8095/C8035)</f>
        <v>0</v>
      </c>
    </row>
    <row r="8101" customFormat="false" ht="15" hidden="false" customHeight="false" outlineLevel="0" collapsed="false">
      <c r="A8101" s="5" t="s">
        <v>460</v>
      </c>
      <c r="C8101" s="21" t="n">
        <f aca="false">IF(C8036=0,0,C8096/C8036)</f>
        <v>0</v>
      </c>
    </row>
    <row r="8102" customFormat="false" ht="15" hidden="false" customHeight="false" outlineLevel="0" collapsed="false">
      <c r="A8102" s="2" t="s">
        <v>474</v>
      </c>
      <c r="C8102" s="16" t="n">
        <f aca="false">MAX(0,$C$8031-SUM($C$8048:$C$8051)-SUM($C$8058:$C$8061))</f>
        <v>14.7621200000001</v>
      </c>
    </row>
    <row r="8103" customFormat="false" ht="15" hidden="false" customHeight="false" outlineLevel="0" collapsed="false">
      <c r="A8103" s="5" t="s">
        <v>492</v>
      </c>
      <c r="C8103" s="33" t="n">
        <f aca="false">MIN(C8030,100*CHOOSE(C8020,C8088,C8089,C8090,C8091))</f>
        <v>100</v>
      </c>
    </row>
    <row r="8104" customFormat="false" ht="15" hidden="false" customHeight="false" outlineLevel="0" collapsed="false">
      <c r="A8104" s="5" t="s">
        <v>493</v>
      </c>
      <c r="C8104" s="20" t="n">
        <f aca="false">IF(C7936=1,C8025+Assumptions!$C$36,C8024)</f>
        <v>3</v>
      </c>
    </row>
    <row r="8105" customFormat="false" ht="15" hidden="false" customHeight="false" outlineLevel="0" collapsed="false">
      <c r="A8105" s="23" t="s">
        <v>494</v>
      </c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</row>
    <row r="8106" customFormat="false" ht="15" hidden="false" customHeight="false" outlineLevel="0" collapsed="false">
      <c r="A8106" s="5" t="s">
        <v>495</v>
      </c>
      <c r="C8106" s="20" t="n">
        <f aca="false">COLUMN()-COLUMN($C$1)</f>
        <v>0</v>
      </c>
      <c r="D8106" s="20" t="n">
        <f aca="false">COLUMN()-COLUMN($C$1)</f>
        <v>1</v>
      </c>
      <c r="E8106" s="20" t="n">
        <f aca="false">COLUMN()-COLUMN($C$1)</f>
        <v>2</v>
      </c>
      <c r="F8106" s="20" t="n">
        <f aca="false">COLUMN()-COLUMN($C$1)</f>
        <v>3</v>
      </c>
      <c r="G8106" s="20" t="n">
        <f aca="false">COLUMN()-COLUMN($C$1)</f>
        <v>4</v>
      </c>
      <c r="H8106" s="20" t="n">
        <f aca="false">COLUMN()-COLUMN($C$1)</f>
        <v>5</v>
      </c>
      <c r="I8106" s="20" t="n">
        <f aca="false">COLUMN()-COLUMN($C$1)</f>
        <v>6</v>
      </c>
    </row>
    <row r="8107" customFormat="false" ht="15" hidden="false" customHeight="false" outlineLevel="0" collapsed="false">
      <c r="A8107" s="5" t="s">
        <v>496</v>
      </c>
      <c r="D8107" s="30" t="n">
        <f aca="false">CHOOSE($C$8020,G7818,G7831,G7844,G7857)</f>
        <v>0.103</v>
      </c>
      <c r="E8107" s="30" t="n">
        <f aca="false">CHOOSE($C$8020,H7818,H7831,H7844,H7857)</f>
        <v>0.1005</v>
      </c>
      <c r="F8107" s="30" t="n">
        <f aca="false">CHOOSE($C$8020,I7818,I7831,I7844,I7857)</f>
        <v>0.098</v>
      </c>
      <c r="G8107" s="30" t="n">
        <f aca="false">CHOOSE($C$8020,J7818,J7831,J7844,J7857)</f>
        <v>0.11</v>
      </c>
      <c r="H8107" s="30" t="n">
        <f aca="false">CHOOSE($C$8020,K7818,K7831,K7844,K7857)</f>
        <v>0.11</v>
      </c>
    </row>
    <row r="8108" customFormat="false" ht="15" hidden="false" customHeight="false" outlineLevel="0" collapsed="false">
      <c r="A8108" s="5" t="s">
        <v>497</v>
      </c>
      <c r="D8108" s="25" t="n">
        <f aca="false">IF(D8106&lt;=$C$8029,$C$8021*D8107,0)</f>
        <v>10.3</v>
      </c>
      <c r="E8108" s="25" t="n">
        <f aca="false">IF(E8106&lt;=$C$8029,$C$8021*E8107,0)</f>
        <v>10.05</v>
      </c>
      <c r="F8108" s="25" t="n">
        <f aca="false">IF(F8106&lt;=$C$8029,$C$8021*F8107,0)</f>
        <v>0</v>
      </c>
      <c r="G8108" s="25" t="n">
        <f aca="false">IF(G8106&lt;=$C$8029,$C$8021*G8107,0)</f>
        <v>0</v>
      </c>
      <c r="H8108" s="25" t="n">
        <f aca="false">IF(H8106&lt;=$C$8029,$C$8021*H8107,0)</f>
        <v>0</v>
      </c>
    </row>
    <row r="8109" customFormat="false" ht="15" hidden="false" customHeight="false" outlineLevel="0" collapsed="false">
      <c r="A8109" s="5" t="s">
        <v>498</v>
      </c>
      <c r="D8109" s="25" t="n">
        <f aca="false">IF(AND($C$7936=0,D8106=$C$8024),$C$8021*$C$8103/100,0)+IF(AND($C$7936=1,D8106=$C$8104),$C$8027,0)</f>
        <v>0</v>
      </c>
      <c r="E8109" s="25" t="n">
        <f aca="false">IF(AND($C$7936=0,E8106=$C$8024),$C$8021*$C$8103/100,0)+IF(AND($C$7936=1,E8106=$C$8104),$C$8027,0)</f>
        <v>0</v>
      </c>
      <c r="F8109" s="25" t="n">
        <f aca="false">IF(AND($C$7936=0,F8106=$C$8024),$C$8021*$C$8103/100,0)+IF(AND($C$7936=1,F8106=$C$8104),$C$8027,0)</f>
        <v>102.5125</v>
      </c>
      <c r="G8109" s="25" t="n">
        <f aca="false">IF(AND($C$7936=0,G8106=$C$8024),$C$8021*$C$8103/100,0)+IF(AND($C$7936=1,G8106=$C$8104),$C$8027,0)</f>
        <v>0</v>
      </c>
      <c r="H8109" s="25" t="n">
        <f aca="false">IF(AND($C$7936=0,H8106=$C$8024),$C$8021*$C$8103/100,0)+IF(AND($C$7936=1,H8106=$C$8104),$C$8027,0)</f>
        <v>0</v>
      </c>
      <c r="I8109" s="25" t="n">
        <f aca="false">IF(AND($C$7936=0,I8106=$C$8024),$C$8021*$C$8103/100,0)+IF(AND($C$7936=1,I8106=$C$8104),$C$8027,0)</f>
        <v>0</v>
      </c>
    </row>
    <row r="8110" customFormat="false" ht="15" hidden="false" customHeight="false" outlineLevel="0" collapsed="false">
      <c r="A8110" s="2" t="s">
        <v>499</v>
      </c>
      <c r="C8110" s="16" t="n">
        <f aca="false">-$C$8023</f>
        <v>-78.39</v>
      </c>
      <c r="D8110" s="16" t="n">
        <f aca="false">D8108+D8109</f>
        <v>10.3</v>
      </c>
      <c r="E8110" s="16" t="n">
        <f aca="false">E8108+E8109</f>
        <v>10.05</v>
      </c>
      <c r="F8110" s="16" t="n">
        <f aca="false">F8108+F8109</f>
        <v>102.5125</v>
      </c>
      <c r="G8110" s="16" t="n">
        <f aca="false">G8108+G8109</f>
        <v>0</v>
      </c>
      <c r="H8110" s="16" t="n">
        <f aca="false">H8108+H8109</f>
        <v>0</v>
      </c>
      <c r="I8110" s="16" t="n">
        <f aca="false">I8108+I8109</f>
        <v>0</v>
      </c>
    </row>
    <row r="8111" customFormat="false" ht="15" hidden="false" customHeight="false" outlineLevel="0" collapsed="false">
      <c r="A8111" s="5" t="s">
        <v>500</v>
      </c>
      <c r="C8111" s="25" t="n">
        <f aca="false">SUM($C$8108:$I$8108)</f>
        <v>20.35</v>
      </c>
    </row>
    <row r="8112" customFormat="false" ht="15" hidden="false" customHeight="false" outlineLevel="0" collapsed="false">
      <c r="A8112" s="5" t="s">
        <v>501</v>
      </c>
      <c r="C8112" s="25" t="n">
        <f aca="false">SUM($C$8109:$I$8109)</f>
        <v>102.5125</v>
      </c>
    </row>
    <row r="8113" customFormat="false" ht="15" hidden="false" customHeight="false" outlineLevel="0" collapsed="false">
      <c r="A8113" s="5" t="s">
        <v>502</v>
      </c>
      <c r="C8113" s="25" t="n">
        <f aca="false">C8111+C8112</f>
        <v>122.8625</v>
      </c>
    </row>
    <row r="8114" customFormat="false" ht="15" hidden="false" customHeight="false" outlineLevel="0" collapsed="false">
      <c r="A8114" s="5" t="s">
        <v>503</v>
      </c>
      <c r="C8114" s="25" t="n">
        <f aca="false">C8112-C8021*C8022/100</f>
        <v>24.5125</v>
      </c>
    </row>
    <row r="8115" customFormat="false" ht="15" hidden="false" customHeight="false" outlineLevel="0" collapsed="false">
      <c r="A8115" s="5" t="s">
        <v>504</v>
      </c>
      <c r="C8115" s="25" t="n">
        <f aca="false">C8113-C8023</f>
        <v>44.4725</v>
      </c>
    </row>
    <row r="8116" customFormat="false" ht="15" hidden="false" customHeight="false" outlineLevel="0" collapsed="false">
      <c r="A8116" s="2" t="s">
        <v>385</v>
      </c>
      <c r="C8116" s="43" t="n">
        <f aca="false">C8113/C8023</f>
        <v>1.56732363821916</v>
      </c>
    </row>
    <row r="8117" customFormat="false" ht="15" hidden="false" customHeight="false" outlineLevel="0" collapsed="false">
      <c r="A8117" s="2" t="s">
        <v>384</v>
      </c>
      <c r="C8117" s="41" t="n">
        <f aca="false">IF(C8113&lt;=0,-1,IFERROR(IRR($C$8110:$I$8110,MAX(-0.9,C8116^(1/C8104)-1)),IRR($C$8110:$I$8110,0.1)))</f>
        <v>0.179713126715643</v>
      </c>
    </row>
    <row r="8118" customFormat="false" ht="15" hidden="false" customHeight="false" outlineLevel="0" collapsed="false">
      <c r="A8118" s="5" t="s">
        <v>505</v>
      </c>
      <c r="C8118" s="31" t="n">
        <f aca="false">MAX($G$7912:$K$7912)</f>
        <v>7.24676546694895</v>
      </c>
    </row>
    <row r="8119" customFormat="false" ht="15" hidden="false" customHeight="false" outlineLevel="0" collapsed="false">
      <c r="A8119" s="5" t="s">
        <v>506</v>
      </c>
      <c r="C8119" s="31" t="n">
        <f aca="false">MIN($G$7913:$K$7913)</f>
        <v>1.42842741935484</v>
      </c>
    </row>
    <row r="8120" customFormat="false" ht="15" hidden="false" customHeight="false" outlineLevel="0" collapsed="false">
      <c r="A8120" s="5" t="s">
        <v>507</v>
      </c>
      <c r="C8120" s="25" t="n">
        <f aca="false">SUM($G$7802:$K$7802)</f>
        <v>-50.1549590284013</v>
      </c>
    </row>
    <row r="8124" customFormat="false" ht="15" hidden="false" customHeight="false" outlineLevel="0" collapsed="false">
      <c r="A8124" s="9" t="s">
        <v>649</v>
      </c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</row>
    <row r="8125" customFormat="false" ht="15" hidden="false" customHeight="false" outlineLevel="0" collapsed="false">
      <c r="A8125" s="5" t="s">
        <v>622</v>
      </c>
      <c r="C8125" s="11" t="n">
        <v>2</v>
      </c>
    </row>
    <row r="8126" customFormat="false" ht="15" hidden="false" customHeight="false" outlineLevel="0" collapsed="false">
      <c r="A8126" s="5" t="s">
        <v>623</v>
      </c>
      <c r="C8126" s="29" t="n">
        <f aca="false">Sensitivities!$A$40</f>
        <v>-0.1</v>
      </c>
    </row>
    <row r="8127" customFormat="false" ht="15" hidden="false" customHeight="false" outlineLevel="0" collapsed="false">
      <c r="A8127" s="5" t="s">
        <v>624</v>
      </c>
      <c r="C8127" s="18" t="n">
        <v>0</v>
      </c>
    </row>
    <row r="8128" customFormat="false" ht="15" hidden="false" customHeight="false" outlineLevel="0" collapsed="false">
      <c r="A8128" s="5" t="s">
        <v>625</v>
      </c>
      <c r="C8128" s="18" t="n">
        <v>0</v>
      </c>
    </row>
    <row r="8129" customFormat="false" ht="15" hidden="false" customHeight="false" outlineLevel="0" collapsed="false">
      <c r="A8129" s="5" t="s">
        <v>626</v>
      </c>
      <c r="C8129" s="15" t="n">
        <v>0</v>
      </c>
    </row>
    <row r="8131" customFormat="false" ht="15" hidden="false" customHeight="false" outlineLevel="0" collapsed="false">
      <c r="A8131" s="23" t="s">
        <v>237</v>
      </c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</row>
    <row r="8132" customFormat="false" ht="15" hidden="false" customHeight="false" outlineLevel="0" collapsed="false">
      <c r="A8132" s="5" t="s">
        <v>238</v>
      </c>
      <c r="F8132" s="26" t="n">
        <f aca="false">Assumptions!$C$6</f>
        <v>2025</v>
      </c>
      <c r="G8132" s="20" t="n">
        <f aca="false">F8132+1</f>
        <v>2026</v>
      </c>
      <c r="H8132" s="20" t="n">
        <f aca="false">G8132+1</f>
        <v>2027</v>
      </c>
      <c r="I8132" s="20" t="n">
        <f aca="false">H8132+1</f>
        <v>2028</v>
      </c>
      <c r="J8132" s="20" t="n">
        <f aca="false">I8132+1</f>
        <v>2029</v>
      </c>
      <c r="K8132" s="20" t="n">
        <f aca="false">J8132+1</f>
        <v>2030</v>
      </c>
    </row>
    <row r="8133" customFormat="false" ht="15" hidden="false" customHeight="false" outlineLevel="0" collapsed="false">
      <c r="A8133" s="5" t="s">
        <v>239</v>
      </c>
      <c r="G8133" s="20" t="n">
        <f aca="false">G8132-Assumptions!$C$6</f>
        <v>1</v>
      </c>
      <c r="H8133" s="20" t="n">
        <f aca="false">H8132-Assumptions!$C$6</f>
        <v>2</v>
      </c>
      <c r="I8133" s="20" t="n">
        <f aca="false">I8132-Assumptions!$C$6</f>
        <v>3</v>
      </c>
      <c r="J8133" s="20" t="n">
        <f aca="false">J8132-Assumptions!$C$6</f>
        <v>4</v>
      </c>
      <c r="K8133" s="20" t="n">
        <f aca="false">K8132-Assumptions!$C$6</f>
        <v>5</v>
      </c>
    </row>
    <row r="8134" customFormat="false" ht="15" hidden="false" customHeight="false" outlineLevel="0" collapsed="false">
      <c r="A8134" s="5" t="s">
        <v>149</v>
      </c>
      <c r="G8134" s="21" t="n">
        <f aca="false">CHOOSE($C$8125,Assumptions!$G$65,Assumptions!$G$84,Assumptions!$G$103)+$C$8126</f>
        <v>-0.178</v>
      </c>
      <c r="H8134" s="21" t="n">
        <f aca="false">CHOOSE($C$8125,Assumptions!$H$65,Assumptions!$H$84,Assumptions!$H$103)+$C$8126</f>
        <v>-0.139</v>
      </c>
      <c r="I8134" s="21" t="n">
        <f aca="false">CHOOSE($C$8125,Assumptions!$I$65,Assumptions!$I$84,Assumptions!$I$103)+$C$8126</f>
        <v>-0.105</v>
      </c>
      <c r="J8134" s="21" t="n">
        <f aca="false">CHOOSE($C$8125,Assumptions!$J$65,Assumptions!$J$84,Assumptions!$J$103)+$C$8126</f>
        <v>-0.11</v>
      </c>
      <c r="K8134" s="21" t="n">
        <f aca="false">CHOOSE($C$8125,Assumptions!$K$65,Assumptions!$K$84,Assumptions!$K$103)+$C$8126</f>
        <v>-0.11</v>
      </c>
    </row>
    <row r="8135" customFormat="false" ht="15" hidden="false" customHeight="false" outlineLevel="0" collapsed="false">
      <c r="A8135" s="5" t="s">
        <v>150</v>
      </c>
      <c r="G8135" s="21" t="n">
        <f aca="false">CHOOSE($C$8125,Assumptions!$G$66,Assumptions!$G$85,Assumptions!$G$104)</f>
        <v>0.33</v>
      </c>
      <c r="H8135" s="21" t="n">
        <f aca="false">CHOOSE($C$8125,Assumptions!$H$66,Assumptions!$H$85,Assumptions!$H$104)</f>
        <v>0.318</v>
      </c>
      <c r="I8135" s="21" t="n">
        <f aca="false">CHOOSE($C$8125,Assumptions!$I$66,Assumptions!$I$85,Assumptions!$I$104)</f>
        <v>0.324</v>
      </c>
      <c r="J8135" s="21" t="n">
        <f aca="false">CHOOSE($C$8125,Assumptions!$J$66,Assumptions!$J$85,Assumptions!$J$104)</f>
        <v>0.33</v>
      </c>
      <c r="K8135" s="21" t="n">
        <f aca="false">CHOOSE($C$8125,Assumptions!$K$66,Assumptions!$K$85,Assumptions!$K$104)</f>
        <v>0.336</v>
      </c>
    </row>
    <row r="8136" customFormat="false" ht="15" hidden="false" customHeight="false" outlineLevel="0" collapsed="false">
      <c r="A8136" s="5" t="s">
        <v>151</v>
      </c>
      <c r="G8136" s="21" t="n">
        <f aca="false">CHOOSE($C$8125,Assumptions!$G$67,Assumptions!$G$86,Assumptions!$G$105)+$C$8127</f>
        <v>0.035</v>
      </c>
      <c r="H8136" s="21" t="n">
        <f aca="false">CHOOSE($C$8125,Assumptions!$H$67,Assumptions!$H$86,Assumptions!$H$105)+$C$8127</f>
        <v>0.023</v>
      </c>
      <c r="I8136" s="21" t="n">
        <f aca="false">CHOOSE($C$8125,Assumptions!$I$67,Assumptions!$I$86,Assumptions!$I$105)+$C$8127</f>
        <v>0.029</v>
      </c>
      <c r="J8136" s="21" t="n">
        <f aca="false">CHOOSE($C$8125,Assumptions!$J$67,Assumptions!$J$86,Assumptions!$J$105)+$C$8127</f>
        <v>0.035</v>
      </c>
      <c r="K8136" s="21" t="n">
        <f aca="false">CHOOSE($C$8125,Assumptions!$K$67,Assumptions!$K$86,Assumptions!$K$105)+$C$8127</f>
        <v>0.041</v>
      </c>
    </row>
    <row r="8137" customFormat="false" ht="15" hidden="false" customHeight="false" outlineLevel="0" collapsed="false">
      <c r="A8137" s="23" t="s">
        <v>240</v>
      </c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</row>
    <row r="8138" customFormat="false" ht="15" hidden="false" customHeight="false" outlineLevel="0" collapsed="false">
      <c r="A8138" s="2" t="s">
        <v>207</v>
      </c>
      <c r="F8138" s="27" t="n">
        <f aca="false">'Historical Financials'!E17</f>
        <v>2400</v>
      </c>
      <c r="G8138" s="16" t="n">
        <f aca="false">F8138*(1+G8134)</f>
        <v>1972.8</v>
      </c>
      <c r="H8138" s="16" t="n">
        <f aca="false">G8138*(1+H8134)</f>
        <v>1698.5808</v>
      </c>
      <c r="I8138" s="16" t="n">
        <f aca="false">H8138*(1+I8134)</f>
        <v>1520.229816</v>
      </c>
      <c r="J8138" s="16" t="n">
        <f aca="false">I8138*(1+J8134)</f>
        <v>1353.00453624</v>
      </c>
      <c r="K8138" s="16" t="n">
        <f aca="false">J8138*(1+K8134)</f>
        <v>1204.1740372536</v>
      </c>
    </row>
    <row r="8139" customFormat="false" ht="15" hidden="false" customHeight="false" outlineLevel="0" collapsed="false">
      <c r="A8139" s="5" t="s">
        <v>217</v>
      </c>
      <c r="G8139" s="25" t="n">
        <f aca="false">G8138*(1-G8135)</f>
        <v>1321.776</v>
      </c>
      <c r="H8139" s="25" t="n">
        <f aca="false">H8138*(1-H8135)</f>
        <v>1158.4321056</v>
      </c>
      <c r="I8139" s="25" t="n">
        <f aca="false">I8138*(1-I8135)</f>
        <v>1027.675355616</v>
      </c>
      <c r="J8139" s="25" t="n">
        <f aca="false">J8138*(1-J8135)</f>
        <v>906.5130392808</v>
      </c>
      <c r="K8139" s="25" t="n">
        <f aca="false">K8138*(1-K8135)</f>
        <v>799.571560736391</v>
      </c>
    </row>
    <row r="8140" customFormat="false" ht="15" hidden="false" customHeight="false" outlineLevel="0" collapsed="false">
      <c r="A8140" s="2" t="s">
        <v>218</v>
      </c>
      <c r="G8140" s="16" t="n">
        <f aca="false">G8138-G8139</f>
        <v>651.024</v>
      </c>
      <c r="H8140" s="16" t="n">
        <f aca="false">H8138-H8139</f>
        <v>540.1486944</v>
      </c>
      <c r="I8140" s="16" t="n">
        <f aca="false">I8138-I8139</f>
        <v>492.554460384</v>
      </c>
      <c r="J8140" s="16" t="n">
        <f aca="false">J8138-J8139</f>
        <v>446.4914969592</v>
      </c>
      <c r="K8140" s="16" t="n">
        <f aca="false">K8138-K8139</f>
        <v>404.60247651721</v>
      </c>
    </row>
    <row r="8141" customFormat="false" ht="15" hidden="false" customHeight="false" outlineLevel="0" collapsed="false">
      <c r="A8141" s="5" t="s">
        <v>241</v>
      </c>
      <c r="G8141" s="25" t="n">
        <f aca="false">G8140-G8142</f>
        <v>581.976</v>
      </c>
      <c r="H8141" s="25" t="n">
        <f aca="false">H8140-H8142</f>
        <v>501.081336</v>
      </c>
      <c r="I8141" s="25" t="n">
        <f aca="false">I8140-I8142</f>
        <v>448.46779572</v>
      </c>
      <c r="J8141" s="25" t="n">
        <f aca="false">J8140-J8142</f>
        <v>399.1363381908</v>
      </c>
      <c r="K8141" s="25" t="n">
        <f aca="false">K8140-K8142</f>
        <v>355.231340989812</v>
      </c>
    </row>
    <row r="8142" customFormat="false" ht="15" hidden="false" customHeight="false" outlineLevel="0" collapsed="false">
      <c r="A8142" s="2" t="s">
        <v>242</v>
      </c>
      <c r="G8142" s="16" t="n">
        <f aca="false">G8138*G8136</f>
        <v>69.048</v>
      </c>
      <c r="H8142" s="16" t="n">
        <f aca="false">H8138*H8136</f>
        <v>39.0673584</v>
      </c>
      <c r="I8142" s="16" t="n">
        <f aca="false">I8138*I8136</f>
        <v>44.086664664</v>
      </c>
      <c r="J8142" s="16" t="n">
        <f aca="false">J8138*J8136</f>
        <v>47.3551587684</v>
      </c>
      <c r="K8142" s="16" t="n">
        <f aca="false">K8138*K8136</f>
        <v>49.3711355273976</v>
      </c>
    </row>
    <row r="8143" customFormat="false" ht="15" hidden="false" customHeight="false" outlineLevel="0" collapsed="false">
      <c r="A8143" s="5" t="s">
        <v>243</v>
      </c>
      <c r="G8143" s="25" t="n">
        <f aca="false">G8138*'Historical Financials'!E22/'Historical Financials'!E17</f>
        <v>43.4016</v>
      </c>
      <c r="H8143" s="25" t="n">
        <f aca="false">H8138*'Historical Financials'!E22/'Historical Financials'!E17</f>
        <v>37.3687776</v>
      </c>
      <c r="I8143" s="25" t="n">
        <f aca="false">I8138*'Historical Financials'!E22/'Historical Financials'!E17</f>
        <v>33.445055952</v>
      </c>
      <c r="J8143" s="25" t="n">
        <f aca="false">J8138*'Historical Financials'!E22/'Historical Financials'!E17</f>
        <v>29.76609979728</v>
      </c>
      <c r="K8143" s="25" t="n">
        <f aca="false">K8138*'Historical Financials'!E22/'Historical Financials'!E17</f>
        <v>26.4918288195792</v>
      </c>
    </row>
    <row r="8144" customFormat="false" ht="15" hidden="false" customHeight="false" outlineLevel="0" collapsed="false">
      <c r="A8144" s="5" t="s">
        <v>244</v>
      </c>
      <c r="G8144" s="25" t="n">
        <f aca="false">G8138*'Historical Financials'!E23/'Historical Financials'!E17</f>
        <v>0</v>
      </c>
      <c r="H8144" s="25" t="n">
        <f aca="false">H8138*'Historical Financials'!E23/'Historical Financials'!E17</f>
        <v>0</v>
      </c>
      <c r="I8144" s="25" t="n">
        <f aca="false">I8138*'Historical Financials'!E23/'Historical Financials'!E17</f>
        <v>0</v>
      </c>
      <c r="J8144" s="25" t="n">
        <f aca="false">J8138*'Historical Financials'!E23/'Historical Financials'!E17</f>
        <v>0</v>
      </c>
      <c r="K8144" s="25" t="n">
        <f aca="false">K8138*'Historical Financials'!E23/'Historical Financials'!E17</f>
        <v>0</v>
      </c>
    </row>
    <row r="8145" customFormat="false" ht="15" hidden="false" customHeight="false" outlineLevel="0" collapsed="false">
      <c r="A8145" s="2" t="s">
        <v>245</v>
      </c>
      <c r="G8145" s="16" t="n">
        <f aca="false">G8142-G8143-G8144</f>
        <v>25.6464</v>
      </c>
      <c r="H8145" s="16" t="n">
        <f aca="false">H8142-H8143-H8144</f>
        <v>1.69858079999999</v>
      </c>
      <c r="I8145" s="16" t="n">
        <f aca="false">I8142-I8143-I8144</f>
        <v>10.641608712</v>
      </c>
      <c r="J8145" s="16" t="n">
        <f aca="false">J8142-J8143-J8144</f>
        <v>17.58905897112</v>
      </c>
      <c r="K8145" s="16" t="n">
        <f aca="false">K8142-K8143-K8144</f>
        <v>22.8793067078184</v>
      </c>
    </row>
    <row r="8146" customFormat="false" ht="15" hidden="false" customHeight="false" outlineLevel="0" collapsed="false">
      <c r="A8146" s="5" t="s">
        <v>246</v>
      </c>
      <c r="G8146" s="25" t="n">
        <f aca="false">G8172+G8185+G8198+G8211</f>
        <v>129.54</v>
      </c>
      <c r="H8146" s="25" t="n">
        <f aca="false">H8172+H8185+H8198+H8211</f>
        <v>128.2587948</v>
      </c>
      <c r="I8146" s="25" t="n">
        <f aca="false">I8172+I8185+I8198+I8211</f>
        <v>125.9070528</v>
      </c>
      <c r="J8146" s="25" t="n">
        <f aca="false">J8172+J8185+J8198+J8211</f>
        <v>125.3194528</v>
      </c>
      <c r="K8146" s="25" t="n">
        <f aca="false">K8172+K8185+K8198+K8211</f>
        <v>124.7318528</v>
      </c>
    </row>
    <row r="8147" customFormat="false" ht="15" hidden="false" customHeight="false" outlineLevel="0" collapsed="false">
      <c r="A8147" s="5" t="s">
        <v>247</v>
      </c>
      <c r="G8147" s="25" t="n">
        <f aca="false">G8173+G8186+G8199+G8212</f>
        <v>0</v>
      </c>
      <c r="H8147" s="25" t="n">
        <f aca="false">H8173+H8186+H8199+H8212</f>
        <v>0</v>
      </c>
      <c r="I8147" s="25" t="n">
        <f aca="false">I8173+I8186+I8199+I8212</f>
        <v>0</v>
      </c>
      <c r="J8147" s="25" t="n">
        <f aca="false">J8173+J8186+J8199+J8212</f>
        <v>0</v>
      </c>
      <c r="K8147" s="25" t="n">
        <f aca="false">K8173+K8186+K8199+K8212</f>
        <v>0</v>
      </c>
    </row>
    <row r="8148" customFormat="false" ht="15" hidden="false" customHeight="false" outlineLevel="0" collapsed="false">
      <c r="A8148" s="5" t="s">
        <v>212</v>
      </c>
      <c r="G8148" s="25" t="n">
        <f aca="false">G8146+G8147</f>
        <v>129.54</v>
      </c>
      <c r="H8148" s="25" t="n">
        <f aca="false">H8146+H8147</f>
        <v>128.2587948</v>
      </c>
      <c r="I8148" s="25" t="n">
        <f aca="false">I8146+I8147</f>
        <v>125.9070528</v>
      </c>
      <c r="J8148" s="25" t="n">
        <f aca="false">J8146+J8147</f>
        <v>125.3194528</v>
      </c>
      <c r="K8148" s="25" t="n">
        <f aca="false">K8146+K8147</f>
        <v>124.7318528</v>
      </c>
    </row>
    <row r="8149" customFormat="false" ht="15" hidden="false" customHeight="false" outlineLevel="0" collapsed="false">
      <c r="A8149" s="2" t="s">
        <v>223</v>
      </c>
      <c r="G8149" s="16" t="n">
        <f aca="false">G8145-G8148</f>
        <v>-103.8936</v>
      </c>
      <c r="H8149" s="16" t="n">
        <f aca="false">H8145-H8148</f>
        <v>-126.560214</v>
      </c>
      <c r="I8149" s="16" t="n">
        <f aca="false">I8145-I8148</f>
        <v>-115.265444088</v>
      </c>
      <c r="J8149" s="16" t="n">
        <f aca="false">J8145-J8148</f>
        <v>-107.73039382888</v>
      </c>
      <c r="K8149" s="16" t="n">
        <f aca="false">K8145-K8148</f>
        <v>-101.852546092182</v>
      </c>
    </row>
    <row r="8150" customFormat="false" ht="15" hidden="false" customHeight="false" outlineLevel="0" collapsed="false">
      <c r="A8150" s="5" t="s">
        <v>213</v>
      </c>
      <c r="G8150" s="25" t="n">
        <f aca="false">MAX(0,G8149)*Assumptions!$C$9</f>
        <v>0</v>
      </c>
      <c r="H8150" s="25" t="n">
        <f aca="false">MAX(0,H8149)*Assumptions!$C$9</f>
        <v>0</v>
      </c>
      <c r="I8150" s="25" t="n">
        <f aca="false">MAX(0,I8149)*Assumptions!$C$9</f>
        <v>0</v>
      </c>
      <c r="J8150" s="25" t="n">
        <f aca="false">MAX(0,J8149)*Assumptions!$C$9</f>
        <v>0</v>
      </c>
      <c r="K8150" s="25" t="n">
        <f aca="false">MAX(0,K8149)*Assumptions!$C$9</f>
        <v>0</v>
      </c>
    </row>
    <row r="8151" customFormat="false" ht="15" hidden="false" customHeight="false" outlineLevel="0" collapsed="false">
      <c r="A8151" s="2" t="s">
        <v>248</v>
      </c>
      <c r="G8151" s="16" t="n">
        <f aca="false">G8149-G8150</f>
        <v>-103.8936</v>
      </c>
      <c r="H8151" s="16" t="n">
        <f aca="false">H8149-H8150</f>
        <v>-126.560214</v>
      </c>
      <c r="I8151" s="16" t="n">
        <f aca="false">I8149-I8150</f>
        <v>-115.265444088</v>
      </c>
      <c r="J8151" s="16" t="n">
        <f aca="false">J8149-J8150</f>
        <v>-107.73039382888</v>
      </c>
      <c r="K8151" s="16" t="n">
        <f aca="false">K8149-K8150</f>
        <v>-101.852546092182</v>
      </c>
    </row>
    <row r="8152" customFormat="false" ht="15" hidden="false" customHeight="false" outlineLevel="0" collapsed="false">
      <c r="A8152" s="23" t="s">
        <v>249</v>
      </c>
      <c r="B8152" s="24"/>
      <c r="C8152" s="24"/>
      <c r="D8152" s="24"/>
      <c r="E8152" s="24"/>
      <c r="F8152" s="24"/>
      <c r="G8152" s="24"/>
      <c r="H8152" s="24"/>
      <c r="I8152" s="24"/>
      <c r="J8152" s="24"/>
      <c r="K8152" s="24"/>
    </row>
    <row r="8153" customFormat="false" ht="15" hidden="false" customHeight="false" outlineLevel="0" collapsed="false">
      <c r="A8153" s="5" t="s">
        <v>153</v>
      </c>
      <c r="G8153" s="25" t="n">
        <f aca="false">G8138*CHOOSE($C$8125,Assumptions!$C$69,Assumptions!$C$88,Assumptions!$C$107)</f>
        <v>37.4832</v>
      </c>
      <c r="H8153" s="25" t="n">
        <f aca="false">H8138*CHOOSE($C$8125,Assumptions!$C$69,Assumptions!$C$88,Assumptions!$C$107)</f>
        <v>32.2730352</v>
      </c>
      <c r="I8153" s="25" t="n">
        <f aca="false">I8138*CHOOSE($C$8125,Assumptions!$C$69,Assumptions!$C$88,Assumptions!$C$107)</f>
        <v>28.884366504</v>
      </c>
      <c r="J8153" s="25" t="n">
        <f aca="false">J8138*CHOOSE($C$8125,Assumptions!$C$69,Assumptions!$C$88,Assumptions!$C$107)</f>
        <v>25.70708618856</v>
      </c>
      <c r="K8153" s="25" t="n">
        <f aca="false">K8138*CHOOSE($C$8125,Assumptions!$C$69,Assumptions!$C$88,Assumptions!$C$107)</f>
        <v>22.8793067078184</v>
      </c>
    </row>
    <row r="8154" customFormat="false" ht="15" hidden="false" customHeight="false" outlineLevel="0" collapsed="false">
      <c r="A8154" s="5" t="s">
        <v>250</v>
      </c>
      <c r="G8154" s="25" t="n">
        <f aca="false">CHOOSE($C$8125,Assumptions!$C$70,Assumptions!$C$89,Assumptions!$C$108)*(G8138-F8138)+CHOOSE($C$8125,Assumptions!$C$71,Assumptions!$C$90,Assumptions!$C$109)*G8138</f>
        <v>-47.3184</v>
      </c>
      <c r="H8154" s="25" t="n">
        <f aca="false">CHOOSE($C$8125,Assumptions!$C$70,Assumptions!$C$89,Assumptions!$C$108)*(H8138-G8138)+CHOOSE($C$8125,Assumptions!$C$71,Assumptions!$C$90,Assumptions!$C$109)*H8138</f>
        <v>-29.5091424</v>
      </c>
      <c r="I8154" s="25" t="n">
        <f aca="false">CHOOSE($C$8125,Assumptions!$C$70,Assumptions!$C$89,Assumptions!$C$108)*(I8138-H8138)+CHOOSE($C$8125,Assumptions!$C$71,Assumptions!$C$90,Assumptions!$C$109)*I8138</f>
        <v>-18.361658448</v>
      </c>
      <c r="J8154" s="25" t="n">
        <f aca="false">CHOOSE($C$8125,Assumptions!$C$70,Assumptions!$C$89,Assumptions!$C$108)*(J8138-I8138)+CHOOSE($C$8125,Assumptions!$C$71,Assumptions!$C$90,Assumptions!$C$109)*J8138</f>
        <v>-17.36102449872</v>
      </c>
      <c r="K8154" s="25" t="n">
        <f aca="false">CHOOSE($C$8125,Assumptions!$C$70,Assumptions!$C$89,Assumptions!$C$108)*(K8138-J8138)+CHOOSE($C$8125,Assumptions!$C$71,Assumptions!$C$90,Assumptions!$C$109)*K8138</f>
        <v>-15.4513118038608</v>
      </c>
    </row>
    <row r="8155" customFormat="false" ht="15" hidden="false" customHeight="false" outlineLevel="0" collapsed="false">
      <c r="A8155" s="2" t="s">
        <v>251</v>
      </c>
      <c r="G8155" s="16" t="n">
        <f aca="false">G8151+G8143+G8144+G8147-G8153-G8154</f>
        <v>-50.6568</v>
      </c>
      <c r="H8155" s="16" t="n">
        <f aca="false">H8151+H8143+H8144+H8147-H8153-H8154</f>
        <v>-91.9553292</v>
      </c>
      <c r="I8155" s="16" t="n">
        <f aca="false">I8151+I8143+I8144+I8147-I8153-I8154</f>
        <v>-92.343096192</v>
      </c>
      <c r="J8155" s="16" t="n">
        <f aca="false">J8151+J8143+J8144+J8147-J8153-J8154</f>
        <v>-86.31035572144</v>
      </c>
      <c r="K8155" s="16" t="n">
        <f aca="false">K8151+K8143+K8144+K8147-K8153-K8154</f>
        <v>-82.78871217656</v>
      </c>
    </row>
    <row r="8157" customFormat="false" ht="15" hidden="false" customHeight="false" outlineLevel="0" collapsed="false">
      <c r="A8157" s="23" t="s">
        <v>253</v>
      </c>
      <c r="B8157" s="24"/>
      <c r="C8157" s="24"/>
      <c r="D8157" s="24"/>
      <c r="E8157" s="24"/>
      <c r="F8157" s="24"/>
      <c r="G8157" s="24"/>
      <c r="H8157" s="24"/>
      <c r="I8157" s="24"/>
      <c r="J8157" s="24"/>
      <c r="K8157" s="24"/>
    </row>
    <row r="8158" customFormat="false" ht="15" hidden="false" customHeight="false" outlineLevel="0" collapsed="false">
      <c r="A8158" s="5" t="s">
        <v>254</v>
      </c>
      <c r="G8158" s="29" t="n">
        <f aca="false">Assumptions!$G$49</f>
        <v>0.0425</v>
      </c>
      <c r="H8158" s="29" t="n">
        <f aca="false">Assumptions!$H$49</f>
        <v>0.04</v>
      </c>
      <c r="I8158" s="29" t="n">
        <f aca="false">Assumptions!$I$49</f>
        <v>0.0375</v>
      </c>
      <c r="J8158" s="29" t="n">
        <f aca="false">Assumptions!$J$49</f>
        <v>0.0375</v>
      </c>
      <c r="K8158" s="29" t="n">
        <f aca="false">Assumptions!$K$49</f>
        <v>0.0375</v>
      </c>
    </row>
    <row r="8159" customFormat="false" ht="15" hidden="false" customHeight="false" outlineLevel="0" collapsed="false">
      <c r="A8159" s="5" t="s">
        <v>255</v>
      </c>
      <c r="C8159" s="30" t="n">
        <f aca="false">CHOOSE($C$8125,Assumptions!$C$72,Assumptions!$C$91,Assumptions!$C$110)+$C$8128</f>
        <v>0.015</v>
      </c>
    </row>
    <row r="8160" customFormat="false" ht="15" hidden="false" customHeight="false" outlineLevel="0" collapsed="false">
      <c r="A8160" s="5" t="s">
        <v>256</v>
      </c>
      <c r="C8160" s="30" t="n">
        <f aca="false">CHOOSE($C$8125,Assumptions!$C$73,Assumptions!$C$92,Assumptions!$C$111)</f>
        <v>0.135</v>
      </c>
    </row>
    <row r="8161" customFormat="false" ht="15" hidden="false" customHeight="false" outlineLevel="0" collapsed="false">
      <c r="A8161" s="5" t="s">
        <v>257</v>
      </c>
      <c r="C8161" s="31" t="n">
        <f aca="false">CHOOSE($C$8125,Assumptions!$C$74,Assumptions!$C$93,Assumptions!$C$112)</f>
        <v>5.5</v>
      </c>
    </row>
    <row r="8162" customFormat="false" ht="15" hidden="false" customHeight="false" outlineLevel="0" collapsed="false">
      <c r="A8162" s="5" t="s">
        <v>258</v>
      </c>
      <c r="C8162" s="31" t="n">
        <f aca="false">CHOOSE($C$8125,Assumptions!$C$75,Assumptions!$C$94,Assumptions!$C$113)</f>
        <v>1.8</v>
      </c>
    </row>
    <row r="8163" customFormat="false" ht="15" hidden="false" customHeight="false" outlineLevel="0" collapsed="false">
      <c r="A8163" s="5" t="s">
        <v>259</v>
      </c>
      <c r="G8163" s="25" t="n">
        <f aca="false">G8168+G8181+G8194+G8207</f>
        <v>1250</v>
      </c>
      <c r="H8163" s="25" t="n">
        <f aca="false">H8168+H8181+H8194+H8207</f>
        <v>1255.6568</v>
      </c>
      <c r="I8163" s="25" t="n">
        <f aca="false">I8168+I8181+I8194+I8207</f>
        <v>1250.4568</v>
      </c>
      <c r="J8163" s="25" t="n">
        <f aca="false">J8168+J8181+J8194+J8207</f>
        <v>1245.2568</v>
      </c>
      <c r="K8163" s="25" t="n">
        <f aca="false">K8168+K8181+K8194+K8207</f>
        <v>1240.0568</v>
      </c>
    </row>
    <row r="8164" customFormat="false" ht="15" hidden="false" customHeight="false" outlineLevel="0" collapsed="false">
      <c r="A8164" s="5" t="s">
        <v>260</v>
      </c>
      <c r="G8164" s="25" t="n">
        <f aca="false">F8254</f>
        <v>45</v>
      </c>
      <c r="H8164" s="25" t="n">
        <f aca="false">G8254</f>
        <v>0</v>
      </c>
      <c r="I8164" s="25" t="n">
        <f aca="false">H8254</f>
        <v>-97.1553292</v>
      </c>
      <c r="J8164" s="25" t="n">
        <f aca="false">I8254</f>
        <v>-194.698425392</v>
      </c>
      <c r="K8164" s="25" t="n">
        <f aca="false">J8254</f>
        <v>-286.20878111344</v>
      </c>
    </row>
    <row r="8165" customFormat="false" ht="15" hidden="false" customHeight="false" outlineLevel="0" collapsed="false">
      <c r="A8165" s="5" t="s">
        <v>261</v>
      </c>
      <c r="G8165" s="25" t="n">
        <f aca="false">G8168*IF(G8169=1,$C$8160,IF(Assumptions!$I$53=1,MAX(G8158,Assumptions!$G$53)+Assumptions!$F$53+$C$8159,Assumptions!$E$53))+G8181*IF(G8182=1,$C$8160,IF(Assumptions!$I$54=1,MAX(G8158,Assumptions!$G$54)+Assumptions!$F$54+$C$8159,Assumptions!$E$54))+G8194*IF(G8195=1,$C$8160,IF(Assumptions!$I$55=1,MAX(G8158,Assumptions!$G$55)+Assumptions!$F$55+$C$8159,Assumptions!$E$55))+G8207*IF(G8208=1,$C$8160,IF(Assumptions!$I$56=1,MAX(G8158,Assumptions!$G$56)+Assumptions!$F$56+$C$8159,Assumptions!$E$56))</f>
        <v>129.54</v>
      </c>
      <c r="H8165" s="25" t="n">
        <f aca="false">H8168*IF(OR(H8169=1,G8320=1),$C$8160,IF(Assumptions!$I$53=1,MAX(H8158,Assumptions!$G$53)+Assumptions!$F$53+$C$8159,Assumptions!$E$53))+H8181*IF(OR(H8182=1,G8321=1),$C$8160,IF(Assumptions!$I$54=1,MAX(H8158,Assumptions!$G$54)+Assumptions!$F$54+$C$8159,Assumptions!$E$54))+H8194*IF(OR(H8195=1,G8322=1),$C$8160,IF(Assumptions!$I$55=1,MAX(H8158,Assumptions!$G$55)+Assumptions!$F$55+$C$8159,Assumptions!$E$55))+H8207*IF(OR(H8208=1,G8323=1),$C$8160,IF(Assumptions!$I$56=1,MAX(H8158,Assumptions!$G$56)+Assumptions!$F$56+$C$8159,Assumptions!$E$56))</f>
        <v>153.225068</v>
      </c>
      <c r="I8165" s="25" t="n">
        <f aca="false">I8168*IF(OR(I8169=1,H8320=1),$C$8160,IF(Assumptions!$I$53=1,MAX(I8158,Assumptions!$G$53)+Assumptions!$F$53+$C$8159,Assumptions!$E$53))+I8181*IF(OR(I8182=1,H8321=1),$C$8160,IF(Assumptions!$I$54=1,MAX(I8158,Assumptions!$G$54)+Assumptions!$F$54+$C$8159,Assumptions!$E$54))+I8194*IF(OR(I8195=1,H8322=1),$C$8160,IF(Assumptions!$I$55=1,MAX(I8158,Assumptions!$G$55)+Assumptions!$F$55+$C$8159,Assumptions!$E$55))+I8207*IF(OR(I8208=1,H8323=1),$C$8160,IF(Assumptions!$I$56=1,MAX(I8158,Assumptions!$G$56)+Assumptions!$F$56+$C$8159,Assumptions!$E$56))</f>
        <v>137.1182528</v>
      </c>
      <c r="J8165" s="25" t="n">
        <f aca="false">J8168*IF(OR(J8169=1,I8320=1),$C$8160,IF(Assumptions!$I$53=1,MAX(J8158,Assumptions!$G$53)+Assumptions!$F$53+$C$8159,Assumptions!$E$53))+J8181*IF(OR(J8182=1,I8321=1),$C$8160,IF(Assumptions!$I$54=1,MAX(J8158,Assumptions!$G$54)+Assumptions!$F$54+$C$8159,Assumptions!$E$54))+J8194*IF(OR(J8195=1,I8322=1),$C$8160,IF(Assumptions!$I$55=1,MAX(J8158,Assumptions!$G$55)+Assumptions!$F$55+$C$8159,Assumptions!$E$55))+J8207*IF(OR(J8208=1,I8323=1),$C$8160,IF(Assumptions!$I$56=1,MAX(J8158,Assumptions!$G$56)+Assumptions!$F$56+$C$8159,Assumptions!$E$56))</f>
        <v>131.5694528</v>
      </c>
      <c r="K8165" s="25" t="n">
        <f aca="false">K8168*IF(OR(K8169=1,J8320=1),$C$8160,IF(Assumptions!$I$53=1,MAX(K8158,Assumptions!$G$53)+Assumptions!$F$53+$C$8159,Assumptions!$E$53))+K8181*IF(OR(K8182=1,J8321=1),$C$8160,IF(Assumptions!$I$54=1,MAX(K8158,Assumptions!$G$54)+Assumptions!$F$54+$C$8159,Assumptions!$E$54))+K8194*IF(OR(K8195=1,J8322=1),$C$8160,IF(Assumptions!$I$55=1,MAX(K8158,Assumptions!$G$55)+Assumptions!$F$55+$C$8159,Assumptions!$E$55))+K8207*IF(OR(K8208=1,J8323=1),$C$8160,IF(Assumptions!$I$56=1,MAX(K8158,Assumptions!$G$56)+Assumptions!$F$56+$C$8159,Assumptions!$E$56))</f>
        <v>124.7318528</v>
      </c>
    </row>
    <row r="8166" customFormat="false" ht="15" hidden="false" customHeight="false" outlineLevel="0" collapsed="false">
      <c r="A8166" s="5" t="s">
        <v>262</v>
      </c>
      <c r="G8166" s="20" t="n">
        <f aca="false">IF(G8142&lt;=0,0,IF(AND((G8163-G8164)/G8142&lt;=$C$8161,G8142/G8165&gt;=$C$8162),1,0))</f>
        <v>0</v>
      </c>
      <c r="H8166" s="20" t="n">
        <f aca="false">IF(H8142&lt;=0,0,IF(AND((H8163-H8164)/H8142&lt;=$C$8161,H8142/H8165&gt;=$C$8162),1,0))</f>
        <v>0</v>
      </c>
      <c r="I8166" s="20" t="n">
        <f aca="false">IF(I8142&lt;=0,0,IF(AND((I8163-I8164)/I8142&lt;=$C$8161,I8142/I8165&gt;=$C$8162),1,0))</f>
        <v>0</v>
      </c>
      <c r="J8166" s="20" t="n">
        <f aca="false">IF(J8142&lt;=0,0,IF(AND((J8163-J8164)/J8142&lt;=$C$8161,J8142/J8165&gt;=$C$8162),1,0))</f>
        <v>0</v>
      </c>
      <c r="K8166" s="20" t="n">
        <f aca="false">IF(K8142&lt;=0,0,IF(AND((K8163-K8164)/K8142&lt;=$C$8161,K8142/K8165&gt;=$C$8162),1,0))</f>
        <v>0</v>
      </c>
    </row>
    <row r="8167" customFormat="false" ht="15" hidden="false" customHeight="false" outlineLevel="0" collapsed="false">
      <c r="A8167" s="23" t="s">
        <v>263</v>
      </c>
      <c r="B8167" s="24"/>
      <c r="C8167" s="24"/>
      <c r="D8167" s="24"/>
      <c r="E8167" s="24"/>
      <c r="F8167" s="24"/>
      <c r="G8167" s="24"/>
      <c r="H8167" s="24"/>
      <c r="I8167" s="24"/>
      <c r="J8167" s="24"/>
      <c r="K8167" s="24"/>
    </row>
    <row r="8168" customFormat="false" ht="15" hidden="false" customHeight="false" outlineLevel="0" collapsed="false">
      <c r="A8168" s="5" t="s">
        <v>264</v>
      </c>
      <c r="G8168" s="25" t="n">
        <f aca="false">F8179</f>
        <v>180</v>
      </c>
      <c r="H8168" s="25" t="n">
        <f aca="false">G8179</f>
        <v>190.8568</v>
      </c>
      <c r="I8168" s="25" t="n">
        <f aca="false">H8179</f>
        <v>190.8568</v>
      </c>
      <c r="J8168" s="25" t="n">
        <f aca="false">I8179</f>
        <v>190.8568</v>
      </c>
      <c r="K8168" s="25" t="n">
        <f aca="false">J8179</f>
        <v>190.8568</v>
      </c>
    </row>
    <row r="8169" customFormat="false" ht="15" hidden="false" customHeight="false" outlineLevel="0" collapsed="false">
      <c r="A8169" s="5" t="s">
        <v>265</v>
      </c>
      <c r="G8169" s="20" t="n">
        <f aca="false">IF(G8132=Assumptions!$K$53,1,0)</f>
        <v>0</v>
      </c>
      <c r="H8169" s="20" t="n">
        <f aca="false">IF(H8132=Assumptions!$K$53,1,0)</f>
        <v>1</v>
      </c>
      <c r="I8169" s="20" t="n">
        <f aca="false">IF(I8132=Assumptions!$K$53,1,0)</f>
        <v>0</v>
      </c>
      <c r="J8169" s="20" t="n">
        <f aca="false">IF(J8132=Assumptions!$K$53,1,0)</f>
        <v>0</v>
      </c>
      <c r="K8169" s="20" t="n">
        <f aca="false">IF(K8132=Assumptions!$K$53,1,0)</f>
        <v>0</v>
      </c>
    </row>
    <row r="8171" customFormat="false" ht="15" hidden="false" customHeight="false" outlineLevel="0" collapsed="false">
      <c r="A8171" s="5" t="s">
        <v>266</v>
      </c>
      <c r="G8171" s="30" t="n">
        <f aca="false">IF(Assumptions!$I$53=1,MAX(G8158,Assumptions!$G$53)+Assumptions!$F$53+$C$8159,Assumptions!$E$53)</f>
        <v>0.101</v>
      </c>
      <c r="H8171" s="30" t="n">
        <f aca="false">IF(G8320=1,$C$8160,IF(Assumptions!$I$53=1,MAX(H8158,Assumptions!$G$53)+Assumptions!$F$53+$C$8159,Assumptions!$E$53))</f>
        <v>0.0985</v>
      </c>
      <c r="I8171" s="30" t="n">
        <f aca="false">IF(H8320=1,$C$8160,IF(Assumptions!$I$53=1,MAX(I8158,Assumptions!$G$53)+Assumptions!$F$53+$C$8159,Assumptions!$E$53))</f>
        <v>0.096</v>
      </c>
      <c r="J8171" s="30" t="n">
        <f aca="false">IF(I8320=1,$C$8160,IF(Assumptions!$I$53=1,MAX(J8158,Assumptions!$G$53)+Assumptions!$F$53+$C$8159,Assumptions!$E$53))</f>
        <v>0.096</v>
      </c>
      <c r="K8171" s="30" t="n">
        <f aca="false">IF(J8320=1,$C$8160,IF(Assumptions!$I$53=1,MAX(K8158,Assumptions!$G$53)+Assumptions!$F$53+$C$8159,Assumptions!$E$53))</f>
        <v>0.096</v>
      </c>
    </row>
    <row r="8172" customFormat="false" ht="15" hidden="false" customHeight="false" outlineLevel="0" collapsed="false">
      <c r="A8172" s="5" t="s">
        <v>267</v>
      </c>
      <c r="G8172" s="25" t="n">
        <f aca="false">G8168*G8171</f>
        <v>18.18</v>
      </c>
      <c r="H8172" s="25" t="n">
        <f aca="false">H8168*H8171</f>
        <v>18.7993948</v>
      </c>
      <c r="I8172" s="25" t="n">
        <f aca="false">I8168*I8171</f>
        <v>18.3222528</v>
      </c>
      <c r="J8172" s="25" t="n">
        <f aca="false">J8168*J8171</f>
        <v>18.3222528</v>
      </c>
      <c r="K8172" s="25" t="n">
        <f aca="false">K8168*K8171</f>
        <v>18.3222528</v>
      </c>
    </row>
    <row r="8173" customFormat="false" ht="15" hidden="false" customHeight="false" outlineLevel="0" collapsed="false">
      <c r="A8173" s="5" t="s">
        <v>268</v>
      </c>
      <c r="G8173" s="25" t="n">
        <f aca="false">G8168*Assumptions!$H$53</f>
        <v>0</v>
      </c>
      <c r="H8173" s="25" t="n">
        <f aca="false">H8168*Assumptions!$H$53</f>
        <v>0</v>
      </c>
      <c r="I8173" s="25" t="n">
        <f aca="false">I8168*Assumptions!$H$53</f>
        <v>0</v>
      </c>
      <c r="J8173" s="25" t="n">
        <f aca="false">J8168*Assumptions!$H$53</f>
        <v>0</v>
      </c>
      <c r="K8173" s="25" t="n">
        <f aca="false">K8168*Assumptions!$H$53</f>
        <v>0</v>
      </c>
    </row>
    <row r="8174" customFormat="false" ht="15" hidden="false" customHeight="false" outlineLevel="0" collapsed="false">
      <c r="A8174" s="5" t="s">
        <v>269</v>
      </c>
      <c r="G8174" s="25" t="n">
        <f aca="false">MIN(G8168,Assumptions!$L$53*Assumptions!$C$53)</f>
        <v>0</v>
      </c>
      <c r="H8174" s="25" t="n">
        <f aca="false">MIN(H8168,Assumptions!$L$53*Assumptions!$C$53)</f>
        <v>0</v>
      </c>
      <c r="I8174" s="25" t="n">
        <f aca="false">MIN(I8168,Assumptions!$L$53*Assumptions!$C$53)</f>
        <v>0</v>
      </c>
      <c r="J8174" s="25" t="n">
        <f aca="false">MIN(J8168,Assumptions!$L$53*Assumptions!$C$53)</f>
        <v>0</v>
      </c>
      <c r="K8174" s="25" t="n">
        <f aca="false">MIN(K8168,Assumptions!$L$53*Assumptions!$C$53)</f>
        <v>0</v>
      </c>
    </row>
    <row r="8175" customFormat="false" ht="15" hidden="false" customHeight="false" outlineLevel="0" collapsed="false">
      <c r="A8175" s="5" t="s">
        <v>270</v>
      </c>
      <c r="G8175" s="25" t="n">
        <f aca="false">IF(AND(Assumptions!$P$53=1,G8132&lt;Assumptions!$K$53),MIN(MAX(0,-G8246),MAX(0,Assumptions!$D$53-G8168)),0)</f>
        <v>10.8568</v>
      </c>
      <c r="H8175" s="25" t="n">
        <f aca="false">IF(AND(Assumptions!$P$53=1,OR(H8132&lt;Assumptions!$K$53,G8320=1)),MIN(MAX(0,-H8246),MAX(0,Assumptions!$D$53-H8168)),0)</f>
        <v>0</v>
      </c>
      <c r="I8175" s="25" t="n">
        <f aca="false">IF(AND(Assumptions!$P$53=1,OR(I8132&lt;Assumptions!$K$53,H8320=1)),MIN(MAX(0,-I8246),MAX(0,Assumptions!$D$53-I8168)),0)</f>
        <v>0</v>
      </c>
      <c r="J8175" s="25" t="n">
        <f aca="false">IF(AND(Assumptions!$P$53=1,OR(J8132&lt;Assumptions!$K$53,I8320=1)),MIN(MAX(0,-J8246),MAX(0,Assumptions!$D$53-J8168)),0)</f>
        <v>0</v>
      </c>
      <c r="K8175" s="25" t="n">
        <f aca="false">IF(AND(Assumptions!$P$53=1,OR(K8132&lt;Assumptions!$K$53,J8320=1)),MIN(MAX(0,-K8246),MAX(0,Assumptions!$D$53-K8168)),0)</f>
        <v>0</v>
      </c>
    </row>
    <row r="8176" customFormat="false" ht="15" hidden="false" customHeight="false" outlineLevel="0" collapsed="false">
      <c r="A8176" s="5" t="s">
        <v>271</v>
      </c>
      <c r="G8176" s="25" t="n">
        <f aca="false">G8169*MIN(G8168-G8174+G8173,MAX(0,G8248-Assumptions!$C$12*G8166))</f>
        <v>0</v>
      </c>
      <c r="H8176" s="25" t="n">
        <f aca="false">H8169*MIN(H8168-H8174+H8173,MAX(0,H8248-Assumptions!$C$12*H8166))</f>
        <v>0</v>
      </c>
      <c r="I8176" s="25" t="n">
        <f aca="false">I8169*MIN(I8168-I8174+I8173,MAX(0,I8248-Assumptions!$C$12*I8166))</f>
        <v>0</v>
      </c>
      <c r="J8176" s="25" t="n">
        <f aca="false">J8169*MIN(J8168-J8174+J8173,MAX(0,J8248-Assumptions!$C$12*J8166))</f>
        <v>0</v>
      </c>
      <c r="K8176" s="25" t="n">
        <f aca="false">K8169*MIN(K8168-K8174+K8173,MAX(0,K8248-Assumptions!$C$12*K8166))</f>
        <v>0</v>
      </c>
    </row>
    <row r="8177" customFormat="false" ht="15" hidden="false" customHeight="false" outlineLevel="0" collapsed="false">
      <c r="A8177" s="5" t="s">
        <v>272</v>
      </c>
      <c r="G8177" s="25" t="n">
        <f aca="false">Assumptions!$N$53*MIN(G8168+G8175+G8173-G8174-G8176,MAX(0,G8252))</f>
        <v>0</v>
      </c>
      <c r="H8177" s="25" t="n">
        <f aca="false">Assumptions!$N$53*MIN(H8168+H8175+H8173-H8174-H8176,MAX(0,H8252))</f>
        <v>0</v>
      </c>
      <c r="I8177" s="25" t="n">
        <f aca="false">Assumptions!$N$53*MIN(I8168+I8175+I8173-I8174-I8176,MAX(0,I8252))</f>
        <v>0</v>
      </c>
      <c r="J8177" s="25" t="n">
        <f aca="false">Assumptions!$N$53*MIN(J8168+J8175+J8173-J8174-J8176,MAX(0,J8252))</f>
        <v>0</v>
      </c>
      <c r="K8177" s="25" t="n">
        <f aca="false">Assumptions!$N$53*MIN(K8168+K8175+K8173-K8174-K8176,MAX(0,K8252))</f>
        <v>0</v>
      </c>
    </row>
    <row r="8178" customFormat="false" ht="15" hidden="false" customHeight="false" outlineLevel="0" collapsed="false">
      <c r="A8178" s="5" t="s">
        <v>273</v>
      </c>
      <c r="G8178" s="25" t="n">
        <f aca="false">G8169*(1-G8166)*(G8168-G8174+G8173-G8176)</f>
        <v>0</v>
      </c>
      <c r="H8178" s="25" t="n">
        <f aca="false">H8169*(1-H8166)*(H8168-H8174+H8173-H8176)</f>
        <v>190.8568</v>
      </c>
      <c r="I8178" s="25" t="n">
        <f aca="false">I8169*(1-I8166)*(I8168-I8174+I8173-I8176)</f>
        <v>0</v>
      </c>
      <c r="J8178" s="25" t="n">
        <f aca="false">J8169*(1-J8166)*(J8168-J8174+J8173-J8176)</f>
        <v>0</v>
      </c>
      <c r="K8178" s="25" t="n">
        <f aca="false">K8169*(1-K8166)*(K8168-K8174+K8173-K8176)</f>
        <v>0</v>
      </c>
    </row>
    <row r="8179" customFormat="false" ht="15" hidden="false" customHeight="false" outlineLevel="0" collapsed="false">
      <c r="A8179" s="2" t="s">
        <v>274</v>
      </c>
      <c r="F8179" s="27" t="n">
        <f aca="false">Assumptions!$C$53</f>
        <v>180</v>
      </c>
      <c r="G8179" s="16" t="n">
        <f aca="false">G8168+G8175+G8173-G8174-G8176-G8177</f>
        <v>190.8568</v>
      </c>
      <c r="H8179" s="16" t="n">
        <f aca="false">H8168+H8175+H8173-H8174-H8176-H8177</f>
        <v>190.8568</v>
      </c>
      <c r="I8179" s="16" t="n">
        <f aca="false">I8168+I8175+I8173-I8174-I8176-I8177</f>
        <v>190.8568</v>
      </c>
      <c r="J8179" s="16" t="n">
        <f aca="false">J8168+J8175+J8173-J8174-J8176-J8177</f>
        <v>190.8568</v>
      </c>
      <c r="K8179" s="16" t="n">
        <f aca="false">K8168+K8175+K8173-K8174-K8176-K8177</f>
        <v>190.8568</v>
      </c>
    </row>
    <row r="8180" customFormat="false" ht="15" hidden="false" customHeight="false" outlineLevel="0" collapsed="false">
      <c r="A8180" s="23" t="s">
        <v>275</v>
      </c>
      <c r="B8180" s="24"/>
      <c r="C8180" s="24"/>
      <c r="D8180" s="24"/>
      <c r="E8180" s="24"/>
      <c r="F8180" s="24"/>
      <c r="G8180" s="24"/>
      <c r="H8180" s="24"/>
      <c r="I8180" s="24"/>
      <c r="J8180" s="24"/>
      <c r="K8180" s="24"/>
    </row>
    <row r="8181" customFormat="false" ht="15" hidden="false" customHeight="false" outlineLevel="0" collapsed="false">
      <c r="A8181" s="5" t="s">
        <v>264</v>
      </c>
      <c r="G8181" s="25" t="n">
        <f aca="false">F8192</f>
        <v>520</v>
      </c>
      <c r="H8181" s="25" t="n">
        <f aca="false">G8192</f>
        <v>514.8</v>
      </c>
      <c r="I8181" s="25" t="n">
        <f aca="false">H8192</f>
        <v>509.6</v>
      </c>
      <c r="J8181" s="25" t="n">
        <f aca="false">I8192</f>
        <v>504.4</v>
      </c>
      <c r="K8181" s="25" t="n">
        <f aca="false">J8192</f>
        <v>499.2</v>
      </c>
    </row>
    <row r="8182" customFormat="false" ht="15" hidden="false" customHeight="false" outlineLevel="0" collapsed="false">
      <c r="A8182" s="5" t="s">
        <v>265</v>
      </c>
      <c r="G8182" s="20" t="n">
        <f aca="false">IF(G8132=Assumptions!$K$54,1,0)</f>
        <v>0</v>
      </c>
      <c r="H8182" s="20" t="n">
        <f aca="false">IF(H8132=Assumptions!$K$54,1,0)</f>
        <v>0</v>
      </c>
      <c r="I8182" s="20" t="n">
        <f aca="false">IF(I8132=Assumptions!$K$54,1,0)</f>
        <v>1</v>
      </c>
      <c r="J8182" s="20" t="n">
        <f aca="false">IF(J8132=Assumptions!$K$54,1,0)</f>
        <v>0</v>
      </c>
      <c r="K8182" s="20" t="n">
        <f aca="false">IF(K8132=Assumptions!$K$54,1,0)</f>
        <v>0</v>
      </c>
    </row>
    <row r="8184" customFormat="false" ht="15" hidden="false" customHeight="false" outlineLevel="0" collapsed="false">
      <c r="A8184" s="5" t="s">
        <v>266</v>
      </c>
      <c r="G8184" s="30" t="n">
        <f aca="false">IF(Assumptions!$I$54=1,MAX(G8158,Assumptions!$G$54)+Assumptions!$F$54+$C$8159,Assumptions!$E$54)</f>
        <v>0.118</v>
      </c>
      <c r="H8184" s="30" t="n">
        <f aca="false">IF(G8321=1,$C$8160,IF(Assumptions!$I$54=1,MAX(H8158,Assumptions!$G$54)+Assumptions!$F$54+$C$8159,Assumptions!$E$54))</f>
        <v>0.1155</v>
      </c>
      <c r="I8184" s="30" t="n">
        <f aca="false">IF(H8321=1,$C$8160,IF(Assumptions!$I$54=1,MAX(I8158,Assumptions!$G$54)+Assumptions!$F$54+$C$8159,Assumptions!$E$54))</f>
        <v>0.113</v>
      </c>
      <c r="J8184" s="30" t="n">
        <f aca="false">IF(I8321=1,$C$8160,IF(Assumptions!$I$54=1,MAX(J8158,Assumptions!$G$54)+Assumptions!$F$54+$C$8159,Assumptions!$E$54))</f>
        <v>0.113</v>
      </c>
      <c r="K8184" s="30" t="n">
        <f aca="false">IF(J8321=1,$C$8160,IF(Assumptions!$I$54=1,MAX(K8158,Assumptions!$G$54)+Assumptions!$F$54+$C$8159,Assumptions!$E$54))</f>
        <v>0.113</v>
      </c>
    </row>
    <row r="8185" customFormat="false" ht="15" hidden="false" customHeight="false" outlineLevel="0" collapsed="false">
      <c r="A8185" s="5" t="s">
        <v>267</v>
      </c>
      <c r="G8185" s="25" t="n">
        <f aca="false">G8181*G8184</f>
        <v>61.36</v>
      </c>
      <c r="H8185" s="25" t="n">
        <f aca="false">H8181*H8184</f>
        <v>59.4594</v>
      </c>
      <c r="I8185" s="25" t="n">
        <f aca="false">I8181*I8184</f>
        <v>57.5848</v>
      </c>
      <c r="J8185" s="25" t="n">
        <f aca="false">J8181*J8184</f>
        <v>56.9972</v>
      </c>
      <c r="K8185" s="25" t="n">
        <f aca="false">K8181*K8184</f>
        <v>56.4096</v>
      </c>
    </row>
    <row r="8186" customFormat="false" ht="15" hidden="false" customHeight="false" outlineLevel="0" collapsed="false">
      <c r="A8186" s="5" t="s">
        <v>268</v>
      </c>
      <c r="G8186" s="25" t="n">
        <f aca="false">G8181*Assumptions!$H$54</f>
        <v>0</v>
      </c>
      <c r="H8186" s="25" t="n">
        <f aca="false">H8181*Assumptions!$H$54</f>
        <v>0</v>
      </c>
      <c r="I8186" s="25" t="n">
        <f aca="false">I8181*Assumptions!$H$54</f>
        <v>0</v>
      </c>
      <c r="J8186" s="25" t="n">
        <f aca="false">J8181*Assumptions!$H$54</f>
        <v>0</v>
      </c>
      <c r="K8186" s="25" t="n">
        <f aca="false">K8181*Assumptions!$H$54</f>
        <v>0</v>
      </c>
    </row>
    <row r="8187" customFormat="false" ht="15" hidden="false" customHeight="false" outlineLevel="0" collapsed="false">
      <c r="A8187" s="5" t="s">
        <v>269</v>
      </c>
      <c r="G8187" s="25" t="n">
        <f aca="false">MIN(G8181,Assumptions!$L$54*Assumptions!$C$54)</f>
        <v>5.2</v>
      </c>
      <c r="H8187" s="25" t="n">
        <f aca="false">MIN(H8181,Assumptions!$L$54*Assumptions!$C$54)</f>
        <v>5.2</v>
      </c>
      <c r="I8187" s="25" t="n">
        <f aca="false">MIN(I8181,Assumptions!$L$54*Assumptions!$C$54)</f>
        <v>5.2</v>
      </c>
      <c r="J8187" s="25" t="n">
        <f aca="false">MIN(J8181,Assumptions!$L$54*Assumptions!$C$54)</f>
        <v>5.2</v>
      </c>
      <c r="K8187" s="25" t="n">
        <f aca="false">MIN(K8181,Assumptions!$L$54*Assumptions!$C$54)</f>
        <v>5.2</v>
      </c>
    </row>
    <row r="8188" customFormat="false" ht="15" hidden="false" customHeight="false" outlineLevel="0" collapsed="false">
      <c r="A8188" s="5" t="s">
        <v>270</v>
      </c>
      <c r="G8188" s="25" t="n">
        <f aca="false">IF(AND(Assumptions!$P$54=1,G8132&lt;Assumptions!$K$54),MIN(MAX(0,-G8246),MAX(0,Assumptions!$D$54-G8181)),0)</f>
        <v>0</v>
      </c>
      <c r="H8188" s="25" t="n">
        <f aca="false">IF(AND(Assumptions!$P$54=1,OR(H8132&lt;Assumptions!$K$54,G8321=1)),MIN(MAX(0,-H8246),MAX(0,Assumptions!$D$54-H8181)),0)</f>
        <v>0</v>
      </c>
      <c r="I8188" s="25" t="n">
        <f aca="false">IF(AND(Assumptions!$P$54=1,OR(I8132&lt;Assumptions!$K$54,H8321=1)),MIN(MAX(0,-I8246),MAX(0,Assumptions!$D$54-I8181)),0)</f>
        <v>0</v>
      </c>
      <c r="J8188" s="25" t="n">
        <f aca="false">IF(AND(Assumptions!$P$54=1,OR(J8132&lt;Assumptions!$K$54,I8321=1)),MIN(MAX(0,-J8246),MAX(0,Assumptions!$D$54-J8181)),0)</f>
        <v>0</v>
      </c>
      <c r="K8188" s="25" t="n">
        <f aca="false">IF(AND(Assumptions!$P$54=1,OR(K8132&lt;Assumptions!$K$54,J8321=1)),MIN(MAX(0,-K8246),MAX(0,Assumptions!$D$54-K8181)),0)</f>
        <v>0</v>
      </c>
    </row>
    <row r="8189" customFormat="false" ht="15" hidden="false" customHeight="false" outlineLevel="0" collapsed="false">
      <c r="A8189" s="5" t="s">
        <v>271</v>
      </c>
      <c r="G8189" s="25" t="n">
        <f aca="false">G8182*MIN(G8181-G8187+G8186,MAX(0,G8248-Assumptions!$C$12*G8166-G8176))</f>
        <v>0</v>
      </c>
      <c r="H8189" s="25" t="n">
        <f aca="false">H8182*MIN(H8181-H8187+H8186,MAX(0,H8248-Assumptions!$C$12*H8166-H8176))</f>
        <v>0</v>
      </c>
      <c r="I8189" s="25" t="n">
        <f aca="false">I8182*MIN(I8181-I8187+I8186,MAX(0,I8248-Assumptions!$C$12*I8166-I8176))</f>
        <v>0</v>
      </c>
      <c r="J8189" s="25" t="n">
        <f aca="false">J8182*MIN(J8181-J8187+J8186,MAX(0,J8248-Assumptions!$C$12*J8166-J8176))</f>
        <v>0</v>
      </c>
      <c r="K8189" s="25" t="n">
        <f aca="false">K8182*MIN(K8181-K8187+K8186,MAX(0,K8248-Assumptions!$C$12*K8166-K8176))</f>
        <v>0</v>
      </c>
    </row>
    <row r="8190" customFormat="false" ht="15" hidden="false" customHeight="false" outlineLevel="0" collapsed="false">
      <c r="A8190" s="5" t="s">
        <v>272</v>
      </c>
      <c r="G8190" s="25" t="n">
        <f aca="false">Assumptions!$N$54*MIN(G8181+G8188+G8186-G8187-G8189,MAX(0,G8252-G8177))</f>
        <v>0</v>
      </c>
      <c r="H8190" s="25" t="n">
        <f aca="false">Assumptions!$N$54*MIN(H8181+H8188+H8186-H8187-H8189,MAX(0,H8252-H8177))</f>
        <v>0</v>
      </c>
      <c r="I8190" s="25" t="n">
        <f aca="false">Assumptions!$N$54*MIN(I8181+I8188+I8186-I8187-I8189,MAX(0,I8252-I8177))</f>
        <v>0</v>
      </c>
      <c r="J8190" s="25" t="n">
        <f aca="false">Assumptions!$N$54*MIN(J8181+J8188+J8186-J8187-J8189,MAX(0,J8252-J8177))</f>
        <v>0</v>
      </c>
      <c r="K8190" s="25" t="n">
        <f aca="false">Assumptions!$N$54*MIN(K8181+K8188+K8186-K8187-K8189,MAX(0,K8252-K8177))</f>
        <v>0</v>
      </c>
    </row>
    <row r="8191" customFormat="false" ht="15" hidden="false" customHeight="false" outlineLevel="0" collapsed="false">
      <c r="A8191" s="5" t="s">
        <v>273</v>
      </c>
      <c r="G8191" s="25" t="n">
        <f aca="false">G8182*(1-G8166)*(G8181-G8187+G8186-G8189)</f>
        <v>0</v>
      </c>
      <c r="H8191" s="25" t="n">
        <f aca="false">H8182*(1-H8166)*(H8181-H8187+H8186-H8189)</f>
        <v>0</v>
      </c>
      <c r="I8191" s="25" t="n">
        <f aca="false">I8182*(1-I8166)*(I8181-I8187+I8186-I8189)</f>
        <v>504.4</v>
      </c>
      <c r="J8191" s="25" t="n">
        <f aca="false">J8182*(1-J8166)*(J8181-J8187+J8186-J8189)</f>
        <v>0</v>
      </c>
      <c r="K8191" s="25" t="n">
        <f aca="false">K8182*(1-K8166)*(K8181-K8187+K8186-K8189)</f>
        <v>0</v>
      </c>
    </row>
    <row r="8192" customFormat="false" ht="15" hidden="false" customHeight="false" outlineLevel="0" collapsed="false">
      <c r="A8192" s="2" t="s">
        <v>274</v>
      </c>
      <c r="F8192" s="27" t="n">
        <f aca="false">Assumptions!$C$54</f>
        <v>520</v>
      </c>
      <c r="G8192" s="16" t="n">
        <f aca="false">G8181+G8188+G8186-G8187-G8189-G8190</f>
        <v>514.8</v>
      </c>
      <c r="H8192" s="16" t="n">
        <f aca="false">H8181+H8188+H8186-H8187-H8189-H8190</f>
        <v>509.6</v>
      </c>
      <c r="I8192" s="16" t="n">
        <f aca="false">I8181+I8188+I8186-I8187-I8189-I8190</f>
        <v>504.4</v>
      </c>
      <c r="J8192" s="16" t="n">
        <f aca="false">J8181+J8188+J8186-J8187-J8189-J8190</f>
        <v>499.2</v>
      </c>
      <c r="K8192" s="16" t="n">
        <f aca="false">K8181+K8188+K8186-K8187-K8189-K8190</f>
        <v>494</v>
      </c>
    </row>
    <row r="8193" customFormat="false" ht="15" hidden="false" customHeight="false" outlineLevel="0" collapsed="false">
      <c r="A8193" s="23" t="s">
        <v>276</v>
      </c>
      <c r="B8193" s="24"/>
      <c r="C8193" s="24"/>
      <c r="D8193" s="24"/>
      <c r="E8193" s="24"/>
      <c r="F8193" s="24"/>
      <c r="G8193" s="24"/>
      <c r="H8193" s="24"/>
      <c r="I8193" s="24"/>
      <c r="J8193" s="24"/>
      <c r="K8193" s="24"/>
    </row>
    <row r="8194" customFormat="false" ht="15" hidden="false" customHeight="false" outlineLevel="0" collapsed="false">
      <c r="A8194" s="5" t="s">
        <v>264</v>
      </c>
      <c r="G8194" s="25" t="n">
        <f aca="false">F8205</f>
        <v>250</v>
      </c>
      <c r="H8194" s="25" t="n">
        <f aca="false">G8205</f>
        <v>250</v>
      </c>
      <c r="I8194" s="25" t="n">
        <f aca="false">H8205</f>
        <v>250</v>
      </c>
      <c r="J8194" s="25" t="n">
        <f aca="false">I8205</f>
        <v>250</v>
      </c>
      <c r="K8194" s="25" t="n">
        <f aca="false">J8205</f>
        <v>250</v>
      </c>
    </row>
    <row r="8195" customFormat="false" ht="15" hidden="false" customHeight="false" outlineLevel="0" collapsed="false">
      <c r="A8195" s="5" t="s">
        <v>265</v>
      </c>
      <c r="G8195" s="20" t="n">
        <f aca="false">IF(G8132=Assumptions!$K$55,1,0)</f>
        <v>0</v>
      </c>
      <c r="H8195" s="20" t="n">
        <f aca="false">IF(H8132=Assumptions!$K$55,1,0)</f>
        <v>0</v>
      </c>
      <c r="I8195" s="20" t="n">
        <f aca="false">IF(I8132=Assumptions!$K$55,1,0)</f>
        <v>0</v>
      </c>
      <c r="J8195" s="20" t="n">
        <f aca="false">IF(J8132=Assumptions!$K$55,1,0)</f>
        <v>1</v>
      </c>
      <c r="K8195" s="20" t="n">
        <f aca="false">IF(K8132=Assumptions!$K$55,1,0)</f>
        <v>0</v>
      </c>
    </row>
    <row r="8197" customFormat="false" ht="15" hidden="false" customHeight="false" outlineLevel="0" collapsed="false">
      <c r="A8197" s="5" t="s">
        <v>266</v>
      </c>
      <c r="G8197" s="30" t="n">
        <f aca="false">IF(Assumptions!$I$55=1,MAX(G8158,Assumptions!$G$55)+Assumptions!$F$55+$C$8159,Assumptions!$E$55)</f>
        <v>0.11</v>
      </c>
      <c r="H8197" s="30" t="n">
        <f aca="false">IF(G8322=1,$C$8160,IF(Assumptions!$I$55=1,MAX(H8158,Assumptions!$G$55)+Assumptions!$F$55+$C$8159,Assumptions!$E$55))</f>
        <v>0.11</v>
      </c>
      <c r="I8197" s="30" t="n">
        <f aca="false">IF(H8322=1,$C$8160,IF(Assumptions!$I$55=1,MAX(I8158,Assumptions!$G$55)+Assumptions!$F$55+$C$8159,Assumptions!$E$55))</f>
        <v>0.11</v>
      </c>
      <c r="J8197" s="30" t="n">
        <f aca="false">IF(I8322=1,$C$8160,IF(Assumptions!$I$55=1,MAX(J8158,Assumptions!$G$55)+Assumptions!$F$55+$C$8159,Assumptions!$E$55))</f>
        <v>0.11</v>
      </c>
      <c r="K8197" s="30" t="n">
        <f aca="false">IF(J8322=1,$C$8160,IF(Assumptions!$I$55=1,MAX(K8158,Assumptions!$G$55)+Assumptions!$F$55+$C$8159,Assumptions!$E$55))</f>
        <v>0.11</v>
      </c>
    </row>
    <row r="8198" customFormat="false" ht="15" hidden="false" customHeight="false" outlineLevel="0" collapsed="false">
      <c r="A8198" s="5" t="s">
        <v>267</v>
      </c>
      <c r="G8198" s="25" t="n">
        <f aca="false">G8194*G8197</f>
        <v>27.5</v>
      </c>
      <c r="H8198" s="25" t="n">
        <f aca="false">H8194*H8197</f>
        <v>27.5</v>
      </c>
      <c r="I8198" s="25" t="n">
        <f aca="false">I8194*I8197</f>
        <v>27.5</v>
      </c>
      <c r="J8198" s="25" t="n">
        <f aca="false">J8194*J8197</f>
        <v>27.5</v>
      </c>
      <c r="K8198" s="25" t="n">
        <f aca="false">K8194*K8197</f>
        <v>27.5</v>
      </c>
    </row>
    <row r="8199" customFormat="false" ht="15" hidden="false" customHeight="false" outlineLevel="0" collapsed="false">
      <c r="A8199" s="5" t="s">
        <v>268</v>
      </c>
      <c r="G8199" s="25" t="n">
        <f aca="false">G8194*Assumptions!$H$55</f>
        <v>0</v>
      </c>
      <c r="H8199" s="25" t="n">
        <f aca="false">H8194*Assumptions!$H$55</f>
        <v>0</v>
      </c>
      <c r="I8199" s="25" t="n">
        <f aca="false">I8194*Assumptions!$H$55</f>
        <v>0</v>
      </c>
      <c r="J8199" s="25" t="n">
        <f aca="false">J8194*Assumptions!$H$55</f>
        <v>0</v>
      </c>
      <c r="K8199" s="25" t="n">
        <f aca="false">K8194*Assumptions!$H$55</f>
        <v>0</v>
      </c>
    </row>
    <row r="8200" customFormat="false" ht="15" hidden="false" customHeight="false" outlineLevel="0" collapsed="false">
      <c r="A8200" s="5" t="s">
        <v>269</v>
      </c>
      <c r="G8200" s="25" t="n">
        <f aca="false">MIN(G8194,Assumptions!$L$55*Assumptions!$C$55)</f>
        <v>0</v>
      </c>
      <c r="H8200" s="25" t="n">
        <f aca="false">MIN(H8194,Assumptions!$L$55*Assumptions!$C$55)</f>
        <v>0</v>
      </c>
      <c r="I8200" s="25" t="n">
        <f aca="false">MIN(I8194,Assumptions!$L$55*Assumptions!$C$55)</f>
        <v>0</v>
      </c>
      <c r="J8200" s="25" t="n">
        <f aca="false">MIN(J8194,Assumptions!$L$55*Assumptions!$C$55)</f>
        <v>0</v>
      </c>
      <c r="K8200" s="25" t="n">
        <f aca="false">MIN(K8194,Assumptions!$L$55*Assumptions!$C$55)</f>
        <v>0</v>
      </c>
    </row>
    <row r="8201" customFormat="false" ht="15" hidden="false" customHeight="false" outlineLevel="0" collapsed="false">
      <c r="A8201" s="5" t="s">
        <v>270</v>
      </c>
      <c r="G8201" s="25" t="n">
        <f aca="false">IF(AND(Assumptions!$P$55=1,G8132&lt;Assumptions!$K$55),MIN(MAX(0,-G8246),MAX(0,Assumptions!$D$55-G8194)),0)</f>
        <v>0</v>
      </c>
      <c r="H8201" s="25" t="n">
        <f aca="false">IF(AND(Assumptions!$P$55=1,OR(H8132&lt;Assumptions!$K$55,G8322=1)),MIN(MAX(0,-H8246),MAX(0,Assumptions!$D$55-H8194)),0)</f>
        <v>0</v>
      </c>
      <c r="I8201" s="25" t="n">
        <f aca="false">IF(AND(Assumptions!$P$55=1,OR(I8132&lt;Assumptions!$K$55,H8322=1)),MIN(MAX(0,-I8246),MAX(0,Assumptions!$D$55-I8194)),0)</f>
        <v>0</v>
      </c>
      <c r="J8201" s="25" t="n">
        <f aca="false">IF(AND(Assumptions!$P$55=1,OR(J8132&lt;Assumptions!$K$55,I8322=1)),MIN(MAX(0,-J8246),MAX(0,Assumptions!$D$55-J8194)),0)</f>
        <v>0</v>
      </c>
      <c r="K8201" s="25" t="n">
        <f aca="false">IF(AND(Assumptions!$P$55=1,OR(K8132&lt;Assumptions!$K$55,J8322=1)),MIN(MAX(0,-K8246),MAX(0,Assumptions!$D$55-K8194)),0)</f>
        <v>0</v>
      </c>
    </row>
    <row r="8202" customFormat="false" ht="15" hidden="false" customHeight="false" outlineLevel="0" collapsed="false">
      <c r="A8202" s="5" t="s">
        <v>271</v>
      </c>
      <c r="G8202" s="25" t="n">
        <f aca="false">G8195*MIN(G8194-G8200+G8199,MAX(0,G8248-Assumptions!$C$12*G8166-G8176-G8189))</f>
        <v>0</v>
      </c>
      <c r="H8202" s="25" t="n">
        <f aca="false">H8195*MIN(H8194-H8200+H8199,MAX(0,H8248-Assumptions!$C$12*H8166-H8176-H8189))</f>
        <v>0</v>
      </c>
      <c r="I8202" s="25" t="n">
        <f aca="false">I8195*MIN(I8194-I8200+I8199,MAX(0,I8248-Assumptions!$C$12*I8166-I8176-I8189))</f>
        <v>0</v>
      </c>
      <c r="J8202" s="25" t="n">
        <f aca="false">J8195*MIN(J8194-J8200+J8199,MAX(0,J8248-Assumptions!$C$12*J8166-J8176-J8189))</f>
        <v>0</v>
      </c>
      <c r="K8202" s="25" t="n">
        <f aca="false">K8195*MIN(K8194-K8200+K8199,MAX(0,K8248-Assumptions!$C$12*K8166-K8176-K8189))</f>
        <v>0</v>
      </c>
    </row>
    <row r="8203" customFormat="false" ht="15" hidden="false" customHeight="false" outlineLevel="0" collapsed="false">
      <c r="A8203" s="5" t="s">
        <v>272</v>
      </c>
      <c r="G8203" s="25" t="n">
        <f aca="false">Assumptions!$N$55*MIN(G8194+G8201+G8199-G8200-G8202,MAX(0,G8252-G8177-G8190))</f>
        <v>0</v>
      </c>
      <c r="H8203" s="25" t="n">
        <f aca="false">Assumptions!$N$55*MIN(H8194+H8201+H8199-H8200-H8202,MAX(0,H8252-H8177-H8190))</f>
        <v>0</v>
      </c>
      <c r="I8203" s="25" t="n">
        <f aca="false">Assumptions!$N$55*MIN(I8194+I8201+I8199-I8200-I8202,MAX(0,I8252-I8177-I8190))</f>
        <v>0</v>
      </c>
      <c r="J8203" s="25" t="n">
        <f aca="false">Assumptions!$N$55*MIN(J8194+J8201+J8199-J8200-J8202,MAX(0,J8252-J8177-J8190))</f>
        <v>0</v>
      </c>
      <c r="K8203" s="25" t="n">
        <f aca="false">Assumptions!$N$55*MIN(K8194+K8201+K8199-K8200-K8202,MAX(0,K8252-K8177-K8190))</f>
        <v>0</v>
      </c>
    </row>
    <row r="8204" customFormat="false" ht="15" hidden="false" customHeight="false" outlineLevel="0" collapsed="false">
      <c r="A8204" s="5" t="s">
        <v>273</v>
      </c>
      <c r="G8204" s="25" t="n">
        <f aca="false">G8195*(1-G8166)*(G8194-G8200+G8199-G8202)</f>
        <v>0</v>
      </c>
      <c r="H8204" s="25" t="n">
        <f aca="false">H8195*(1-H8166)*(H8194-H8200+H8199-H8202)</f>
        <v>0</v>
      </c>
      <c r="I8204" s="25" t="n">
        <f aca="false">I8195*(1-I8166)*(I8194-I8200+I8199-I8202)</f>
        <v>0</v>
      </c>
      <c r="J8204" s="25" t="n">
        <f aca="false">J8195*(1-J8166)*(J8194-J8200+J8199-J8202)</f>
        <v>250</v>
      </c>
      <c r="K8204" s="25" t="n">
        <f aca="false">K8195*(1-K8166)*(K8194-K8200+K8199-K8202)</f>
        <v>0</v>
      </c>
    </row>
    <row r="8205" customFormat="false" ht="15" hidden="false" customHeight="false" outlineLevel="0" collapsed="false">
      <c r="A8205" s="2" t="s">
        <v>274</v>
      </c>
      <c r="F8205" s="27" t="n">
        <f aca="false">Assumptions!$C$55</f>
        <v>250</v>
      </c>
      <c r="G8205" s="16" t="n">
        <f aca="false">G8194+G8201+G8199-G8200-G8202-G8203</f>
        <v>250</v>
      </c>
      <c r="H8205" s="16" t="n">
        <f aca="false">H8194+H8201+H8199-H8200-H8202-H8203</f>
        <v>250</v>
      </c>
      <c r="I8205" s="16" t="n">
        <f aca="false">I8194+I8201+I8199-I8200-I8202-I8203</f>
        <v>250</v>
      </c>
      <c r="J8205" s="16" t="n">
        <f aca="false">J8194+J8201+J8199-J8200-J8202-J8203</f>
        <v>250</v>
      </c>
      <c r="K8205" s="16" t="n">
        <f aca="false">K8194+K8201+K8199-K8200-K8202-K8203</f>
        <v>250</v>
      </c>
    </row>
    <row r="8206" customFormat="false" ht="15" hidden="false" customHeight="false" outlineLevel="0" collapsed="false">
      <c r="A8206" s="23" t="s">
        <v>277</v>
      </c>
      <c r="B8206" s="24"/>
      <c r="C8206" s="24"/>
      <c r="D8206" s="24"/>
      <c r="E8206" s="24"/>
      <c r="F8206" s="24"/>
      <c r="G8206" s="24"/>
      <c r="H8206" s="24"/>
      <c r="I8206" s="24"/>
      <c r="J8206" s="24"/>
      <c r="K8206" s="24"/>
    </row>
    <row r="8207" customFormat="false" ht="15" hidden="false" customHeight="false" outlineLevel="0" collapsed="false">
      <c r="A8207" s="5" t="s">
        <v>264</v>
      </c>
      <c r="G8207" s="25" t="n">
        <f aca="false">F8218</f>
        <v>300</v>
      </c>
      <c r="H8207" s="25" t="n">
        <f aca="false">G8218</f>
        <v>300</v>
      </c>
      <c r="I8207" s="25" t="n">
        <f aca="false">H8218</f>
        <v>300</v>
      </c>
      <c r="J8207" s="25" t="n">
        <f aca="false">I8218</f>
        <v>300</v>
      </c>
      <c r="K8207" s="25" t="n">
        <f aca="false">J8218</f>
        <v>300</v>
      </c>
    </row>
    <row r="8208" customFormat="false" ht="15" hidden="false" customHeight="false" outlineLevel="0" collapsed="false">
      <c r="A8208" s="5" t="s">
        <v>265</v>
      </c>
      <c r="G8208" s="20" t="n">
        <f aca="false">IF(G8132=Assumptions!$K$56,1,0)</f>
        <v>0</v>
      </c>
      <c r="H8208" s="20" t="n">
        <f aca="false">IF(H8132=Assumptions!$K$56,1,0)</f>
        <v>1</v>
      </c>
      <c r="I8208" s="20" t="n">
        <f aca="false">IF(I8132=Assumptions!$K$56,1,0)</f>
        <v>0</v>
      </c>
      <c r="J8208" s="20" t="n">
        <f aca="false">IF(J8132=Assumptions!$K$56,1,0)</f>
        <v>0</v>
      </c>
      <c r="K8208" s="20" t="n">
        <f aca="false">IF(K8132=Assumptions!$K$56,1,0)</f>
        <v>0</v>
      </c>
    </row>
    <row r="8210" customFormat="false" ht="15" hidden="false" customHeight="false" outlineLevel="0" collapsed="false">
      <c r="A8210" s="5" t="s">
        <v>266</v>
      </c>
      <c r="G8210" s="30" t="n">
        <f aca="false">IF(Assumptions!$I$56=1,MAX(G8158,Assumptions!$G$56)+Assumptions!$F$56+$C$8159,Assumptions!$E$56)</f>
        <v>0.075</v>
      </c>
      <c r="H8210" s="30" t="n">
        <f aca="false">IF(G8323=1,$C$8160,IF(Assumptions!$I$56=1,MAX(H8158,Assumptions!$G$56)+Assumptions!$F$56+$C$8159,Assumptions!$E$56))</f>
        <v>0.075</v>
      </c>
      <c r="I8210" s="30" t="n">
        <f aca="false">IF(H8323=1,$C$8160,IF(Assumptions!$I$56=1,MAX(I8158,Assumptions!$G$56)+Assumptions!$F$56+$C$8159,Assumptions!$E$56))</f>
        <v>0.075</v>
      </c>
      <c r="J8210" s="30" t="n">
        <f aca="false">IF(I8323=1,$C$8160,IF(Assumptions!$I$56=1,MAX(J8158,Assumptions!$G$56)+Assumptions!$F$56+$C$8159,Assumptions!$E$56))</f>
        <v>0.075</v>
      </c>
      <c r="K8210" s="30" t="n">
        <f aca="false">IF(J8323=1,$C$8160,IF(Assumptions!$I$56=1,MAX(K8158,Assumptions!$G$56)+Assumptions!$F$56+$C$8159,Assumptions!$E$56))</f>
        <v>0.075</v>
      </c>
    </row>
    <row r="8211" customFormat="false" ht="15" hidden="false" customHeight="false" outlineLevel="0" collapsed="false">
      <c r="A8211" s="5" t="s">
        <v>267</v>
      </c>
      <c r="G8211" s="25" t="n">
        <f aca="false">G8207*G8210</f>
        <v>22.5</v>
      </c>
      <c r="H8211" s="25" t="n">
        <f aca="false">H8207*H8210</f>
        <v>22.5</v>
      </c>
      <c r="I8211" s="25" t="n">
        <f aca="false">I8207*I8210</f>
        <v>22.5</v>
      </c>
      <c r="J8211" s="25" t="n">
        <f aca="false">J8207*J8210</f>
        <v>22.5</v>
      </c>
      <c r="K8211" s="25" t="n">
        <f aca="false">K8207*K8210</f>
        <v>22.5</v>
      </c>
    </row>
    <row r="8212" customFormat="false" ht="15" hidden="false" customHeight="false" outlineLevel="0" collapsed="false">
      <c r="A8212" s="5" t="s">
        <v>268</v>
      </c>
      <c r="G8212" s="25" t="n">
        <f aca="false">G8207*Assumptions!$H$56</f>
        <v>0</v>
      </c>
      <c r="H8212" s="25" t="n">
        <f aca="false">H8207*Assumptions!$H$56</f>
        <v>0</v>
      </c>
      <c r="I8212" s="25" t="n">
        <f aca="false">I8207*Assumptions!$H$56</f>
        <v>0</v>
      </c>
      <c r="J8212" s="25" t="n">
        <f aca="false">J8207*Assumptions!$H$56</f>
        <v>0</v>
      </c>
      <c r="K8212" s="25" t="n">
        <f aca="false">K8207*Assumptions!$H$56</f>
        <v>0</v>
      </c>
    </row>
    <row r="8213" customFormat="false" ht="15" hidden="false" customHeight="false" outlineLevel="0" collapsed="false">
      <c r="A8213" s="5" t="s">
        <v>269</v>
      </c>
      <c r="G8213" s="25" t="n">
        <f aca="false">MIN(G8207,Assumptions!$L$56*Assumptions!$C$56)</f>
        <v>0</v>
      </c>
      <c r="H8213" s="25" t="n">
        <f aca="false">MIN(H8207,Assumptions!$L$56*Assumptions!$C$56)</f>
        <v>0</v>
      </c>
      <c r="I8213" s="25" t="n">
        <f aca="false">MIN(I8207,Assumptions!$L$56*Assumptions!$C$56)</f>
        <v>0</v>
      </c>
      <c r="J8213" s="25" t="n">
        <f aca="false">MIN(J8207,Assumptions!$L$56*Assumptions!$C$56)</f>
        <v>0</v>
      </c>
      <c r="K8213" s="25" t="n">
        <f aca="false">MIN(K8207,Assumptions!$L$56*Assumptions!$C$56)</f>
        <v>0</v>
      </c>
    </row>
    <row r="8214" customFormat="false" ht="15" hidden="false" customHeight="false" outlineLevel="0" collapsed="false">
      <c r="A8214" s="5" t="s">
        <v>270</v>
      </c>
      <c r="G8214" s="25" t="n">
        <f aca="false">IF(AND(Assumptions!$P$56=1,G8132&lt;Assumptions!$K$56),MIN(MAX(0,-G8246),MAX(0,Assumptions!$D$56-G8207)),0)</f>
        <v>0</v>
      </c>
      <c r="H8214" s="25" t="n">
        <f aca="false">IF(AND(Assumptions!$P$56=1,OR(H8132&lt;Assumptions!$K$56,G8323=1)),MIN(MAX(0,-H8246),MAX(0,Assumptions!$D$56-H8207)),0)</f>
        <v>0</v>
      </c>
      <c r="I8214" s="25" t="n">
        <f aca="false">IF(AND(Assumptions!$P$56=1,OR(I8132&lt;Assumptions!$K$56,H8323=1)),MIN(MAX(0,-I8246),MAX(0,Assumptions!$D$56-I8207)),0)</f>
        <v>0</v>
      </c>
      <c r="J8214" s="25" t="n">
        <f aca="false">IF(AND(Assumptions!$P$56=1,OR(J8132&lt;Assumptions!$K$56,I8323=1)),MIN(MAX(0,-J8246),MAX(0,Assumptions!$D$56-J8207)),0)</f>
        <v>0</v>
      </c>
      <c r="K8214" s="25" t="n">
        <f aca="false">IF(AND(Assumptions!$P$56=1,OR(K8132&lt;Assumptions!$K$56,J8323=1)),MIN(MAX(0,-K8246),MAX(0,Assumptions!$D$56-K8207)),0)</f>
        <v>0</v>
      </c>
    </row>
    <row r="8215" customFormat="false" ht="15" hidden="false" customHeight="false" outlineLevel="0" collapsed="false">
      <c r="A8215" s="5" t="s">
        <v>271</v>
      </c>
      <c r="G8215" s="25" t="n">
        <f aca="false">G8208*MIN(G8207-G8213+G8212,MAX(0,G8248-Assumptions!$C$12*G8166-G8176-G8189-G8202))</f>
        <v>0</v>
      </c>
      <c r="H8215" s="25" t="n">
        <f aca="false">H8208*MIN(H8207-H8213+H8212,MAX(0,H8248-Assumptions!$C$12*H8166-H8176-H8189-H8202))</f>
        <v>0</v>
      </c>
      <c r="I8215" s="25" t="n">
        <f aca="false">I8208*MIN(I8207-I8213+I8212,MAX(0,I8248-Assumptions!$C$12*I8166-I8176-I8189-I8202))</f>
        <v>0</v>
      </c>
      <c r="J8215" s="25" t="n">
        <f aca="false">J8208*MIN(J8207-J8213+J8212,MAX(0,J8248-Assumptions!$C$12*J8166-J8176-J8189-J8202))</f>
        <v>0</v>
      </c>
      <c r="K8215" s="25" t="n">
        <f aca="false">K8208*MIN(K8207-K8213+K8212,MAX(0,K8248-Assumptions!$C$12*K8166-K8176-K8189-K8202))</f>
        <v>0</v>
      </c>
    </row>
    <row r="8216" customFormat="false" ht="15" hidden="false" customHeight="false" outlineLevel="0" collapsed="false">
      <c r="A8216" s="5" t="s">
        <v>272</v>
      </c>
      <c r="G8216" s="25" t="n">
        <f aca="false">Assumptions!$N$56*MIN(G8207+G8214+G8212-G8213-G8215,MAX(0,G8252-G8177-G8190-G8203))</f>
        <v>0</v>
      </c>
      <c r="H8216" s="25" t="n">
        <f aca="false">Assumptions!$N$56*MIN(H8207+H8214+H8212-H8213-H8215,MAX(0,H8252-H8177-H8190-H8203))</f>
        <v>0</v>
      </c>
      <c r="I8216" s="25" t="n">
        <f aca="false">Assumptions!$N$56*MIN(I8207+I8214+I8212-I8213-I8215,MAX(0,I8252-I8177-I8190-I8203))</f>
        <v>0</v>
      </c>
      <c r="J8216" s="25" t="n">
        <f aca="false">Assumptions!$N$56*MIN(J8207+J8214+J8212-J8213-J8215,MAX(0,J8252-J8177-J8190-J8203))</f>
        <v>0</v>
      </c>
      <c r="K8216" s="25" t="n">
        <f aca="false">Assumptions!$N$56*MIN(K8207+K8214+K8212-K8213-K8215,MAX(0,K8252-K8177-K8190-K8203))</f>
        <v>0</v>
      </c>
    </row>
    <row r="8217" customFormat="false" ht="15" hidden="false" customHeight="false" outlineLevel="0" collapsed="false">
      <c r="A8217" s="5" t="s">
        <v>273</v>
      </c>
      <c r="G8217" s="25" t="n">
        <f aca="false">G8208*(1-G8166)*(G8207-G8213+G8212-G8215)</f>
        <v>0</v>
      </c>
      <c r="H8217" s="25" t="n">
        <f aca="false">H8208*(1-H8166)*(H8207-H8213+H8212-H8215)</f>
        <v>300</v>
      </c>
      <c r="I8217" s="25" t="n">
        <f aca="false">I8208*(1-I8166)*(I8207-I8213+I8212-I8215)</f>
        <v>0</v>
      </c>
      <c r="J8217" s="25" t="n">
        <f aca="false">J8208*(1-J8166)*(J8207-J8213+J8212-J8215)</f>
        <v>0</v>
      </c>
      <c r="K8217" s="25" t="n">
        <f aca="false">K8208*(1-K8166)*(K8207-K8213+K8212-K8215)</f>
        <v>0</v>
      </c>
    </row>
    <row r="8218" customFormat="false" ht="15" hidden="false" customHeight="false" outlineLevel="0" collapsed="false">
      <c r="A8218" s="2" t="s">
        <v>274</v>
      </c>
      <c r="F8218" s="27" t="n">
        <f aca="false">Assumptions!$C$56</f>
        <v>300</v>
      </c>
      <c r="G8218" s="16" t="n">
        <f aca="false">G8207+G8214+G8212-G8213-G8215-G8216</f>
        <v>300</v>
      </c>
      <c r="H8218" s="16" t="n">
        <f aca="false">H8207+H8214+H8212-H8213-H8215-H8216</f>
        <v>300</v>
      </c>
      <c r="I8218" s="16" t="n">
        <f aca="false">I8207+I8214+I8212-I8213-I8215-I8216</f>
        <v>300</v>
      </c>
      <c r="J8218" s="16" t="n">
        <f aca="false">J8207+J8214+J8212-J8213-J8215-J8216</f>
        <v>300</v>
      </c>
      <c r="K8218" s="16" t="n">
        <f aca="false">K8207+K8214+K8212-K8213-K8215-K8216</f>
        <v>300</v>
      </c>
    </row>
    <row r="8219" customFormat="false" ht="15" hidden="false" customHeight="false" outlineLevel="0" collapsed="false">
      <c r="A8219" s="23" t="s">
        <v>278</v>
      </c>
      <c r="B8219" s="24"/>
      <c r="C8219" s="24"/>
      <c r="D8219" s="24"/>
      <c r="E8219" s="24"/>
      <c r="F8219" s="24"/>
      <c r="G8219" s="24"/>
      <c r="H8219" s="24"/>
      <c r="I8219" s="24"/>
      <c r="J8219" s="24"/>
      <c r="K8219" s="24"/>
    </row>
    <row r="8220" customFormat="false" ht="15" hidden="false" customHeight="false" outlineLevel="0" collapsed="false">
      <c r="A8220" s="2" t="s">
        <v>279</v>
      </c>
      <c r="F8220" s="16" t="n">
        <f aca="false">F8179+F8192+F8205+F8218</f>
        <v>1250</v>
      </c>
      <c r="G8220" s="16" t="n">
        <f aca="false">G8179+G8192+G8205+G8218</f>
        <v>1255.6568</v>
      </c>
      <c r="H8220" s="16" t="n">
        <f aca="false">H8179+H8192+H8205+H8218</f>
        <v>1250.4568</v>
      </c>
      <c r="I8220" s="16" t="n">
        <f aca="false">I8179+I8192+I8205+I8218</f>
        <v>1245.2568</v>
      </c>
      <c r="J8220" s="16" t="n">
        <f aca="false">J8179+J8192+J8205+J8218</f>
        <v>1240.0568</v>
      </c>
      <c r="K8220" s="16" t="n">
        <f aca="false">K8179+K8192+K8205+K8218</f>
        <v>1234.8568</v>
      </c>
    </row>
    <row r="8221" customFormat="false" ht="15" hidden="false" customHeight="false" outlineLevel="0" collapsed="false">
      <c r="A8221" s="5" t="s">
        <v>280</v>
      </c>
      <c r="G8221" s="25" t="n">
        <f aca="false">G8169*Assumptions!$C$53+G8182*Assumptions!$C$54+G8195*Assumptions!$C$55+G8208*Assumptions!$C$56</f>
        <v>0</v>
      </c>
      <c r="H8221" s="25" t="n">
        <f aca="false">H8169*Assumptions!$C$53+H8182*Assumptions!$C$54+H8195*Assumptions!$C$55+H8208*Assumptions!$C$56</f>
        <v>480</v>
      </c>
      <c r="I8221" s="25" t="n">
        <f aca="false">I8169*Assumptions!$C$53+I8182*Assumptions!$C$54+I8195*Assumptions!$C$55+I8208*Assumptions!$C$56</f>
        <v>520</v>
      </c>
      <c r="J8221" s="25" t="n">
        <f aca="false">J8169*Assumptions!$C$53+J8182*Assumptions!$C$54+J8195*Assumptions!$C$55+J8208*Assumptions!$C$56</f>
        <v>250</v>
      </c>
      <c r="K8221" s="25" t="n">
        <f aca="false">K8169*Assumptions!$C$53+K8182*Assumptions!$C$54+K8195*Assumptions!$C$55+K8208*Assumptions!$C$56</f>
        <v>0</v>
      </c>
    </row>
    <row r="8222" customFormat="false" ht="15" hidden="false" customHeight="false" outlineLevel="0" collapsed="false">
      <c r="A8222" s="23" t="s">
        <v>281</v>
      </c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</row>
    <row r="8223" customFormat="false" ht="15" hidden="false" customHeight="false" outlineLevel="0" collapsed="false">
      <c r="A8223" s="5" t="s">
        <v>282</v>
      </c>
      <c r="C8223" s="25" t="n">
        <f aca="false">SUMPRODUCT($G$8169:$K$8169,$G$8168:$K$8168-$G$8174:$K$8174+$G$8173:$K$8173)</f>
        <v>190.8568</v>
      </c>
    </row>
    <row r="8224" customFormat="false" ht="15" hidden="false" customHeight="false" outlineLevel="0" collapsed="false">
      <c r="A8224" s="5" t="s">
        <v>283</v>
      </c>
      <c r="C8224" s="25" t="n">
        <f aca="false">SUMPRODUCT($G$8169:$K$8169,$G$8176:$K$8176)</f>
        <v>0</v>
      </c>
    </row>
    <row r="8225" customFormat="false" ht="15" hidden="false" customHeight="false" outlineLevel="0" collapsed="false">
      <c r="A8225" s="5" t="s">
        <v>284</v>
      </c>
      <c r="C8225" s="5" t="str">
        <f aca="false">IF(SUM($G$8169:$K$8169)=0,"n/a (beyond horizon)",IF(SUMPRODUCT($G$8169:$K$8169,$G$8166:$K$8166)&gt;0,"REFINANCING PASS","REFINANCING FAILURE"))</f>
        <v>REFINANCING FAILURE</v>
      </c>
    </row>
    <row r="8226" customFormat="false" ht="15" hidden="false" customHeight="false" outlineLevel="0" collapsed="false">
      <c r="A8226" s="5" t="s">
        <v>285</v>
      </c>
      <c r="C8226" s="5" t="str">
        <f aca="false">IF(SUM($G$8169:$K$8169)=0,"n/a",IF(C8224&gt;=C8223-0.001,"Repaid from cash",IF(SUMPRODUCT($G$8169:$K$8169,$G$8166:$K$8166)&gt;0,IF(C8224&gt;0,"Partly repaid; remainder refinanced","Refinanced"),IF(SUM($G$8178:$K$8178)&gt;0.001,IF(C8224&gt;0,"Partial repayment; PAYMENT DEFAULT","PAYMENT DEFAULT"),"Repaid from cash"))))</f>
        <v>PAYMENT DEFAULT</v>
      </c>
    </row>
    <row r="8227" customFormat="false" ht="15" hidden="false" customHeight="false" outlineLevel="0" collapsed="false">
      <c r="A8227" s="5" t="s">
        <v>286</v>
      </c>
      <c r="C8227" s="25" t="n">
        <f aca="false">SUMPRODUCT($G$8182:$K$8182,$G$8181:$K$8181-$G$8187:$K$8187+$G$8186:$K$8186)</f>
        <v>504.4</v>
      </c>
    </row>
    <row r="8228" customFormat="false" ht="15" hidden="false" customHeight="false" outlineLevel="0" collapsed="false">
      <c r="A8228" s="5" t="s">
        <v>287</v>
      </c>
      <c r="C8228" s="25" t="n">
        <f aca="false">SUMPRODUCT($G$8182:$K$8182,$G$8189:$K$8189)</f>
        <v>0</v>
      </c>
    </row>
    <row r="8229" customFormat="false" ht="15" hidden="false" customHeight="false" outlineLevel="0" collapsed="false">
      <c r="A8229" s="5" t="s">
        <v>288</v>
      </c>
      <c r="C8229" s="5" t="str">
        <f aca="false">IF(SUM($G$8182:$K$8182)=0,"n/a (beyond horizon)",IF(SUMPRODUCT($G$8182:$K$8182,$G$8166:$K$8166)&gt;0,"REFINANCING PASS","REFINANCING FAILURE"))</f>
        <v>REFINANCING FAILURE</v>
      </c>
    </row>
    <row r="8230" customFormat="false" ht="15" hidden="false" customHeight="false" outlineLevel="0" collapsed="false">
      <c r="A8230" s="5" t="s">
        <v>289</v>
      </c>
      <c r="C8230" s="5" t="str">
        <f aca="false">IF(SUM($G$8182:$K$8182)=0,"n/a",IF(C8228&gt;=C8227-0.001,"Repaid from cash",IF(SUMPRODUCT($G$8182:$K$8182,$G$8166:$K$8166)&gt;0,IF(C8228&gt;0,"Partly repaid; remainder refinanced","Refinanced"),IF(SUM($G$8191:$K$8191)&gt;0.001,IF(C8228&gt;0,"Partial repayment; PAYMENT DEFAULT","PAYMENT DEFAULT"),"Repaid from cash"))))</f>
        <v>PAYMENT DEFAULT</v>
      </c>
    </row>
    <row r="8231" customFormat="false" ht="15" hidden="false" customHeight="false" outlineLevel="0" collapsed="false">
      <c r="A8231" s="5" t="s">
        <v>290</v>
      </c>
      <c r="C8231" s="25" t="n">
        <f aca="false">SUMPRODUCT($G$8195:$K$8195,$G$8194:$K$8194-$G$8200:$K$8200+$G$8199:$K$8199)</f>
        <v>250</v>
      </c>
    </row>
    <row r="8232" customFormat="false" ht="15" hidden="false" customHeight="false" outlineLevel="0" collapsed="false">
      <c r="A8232" s="5" t="s">
        <v>291</v>
      </c>
      <c r="C8232" s="25" t="n">
        <f aca="false">SUMPRODUCT($G$8195:$K$8195,$G$8202:$K$8202)</f>
        <v>0</v>
      </c>
    </row>
    <row r="8233" customFormat="false" ht="15" hidden="false" customHeight="false" outlineLevel="0" collapsed="false">
      <c r="A8233" s="5" t="s">
        <v>292</v>
      </c>
      <c r="C8233" s="5" t="str">
        <f aca="false">IF(SUM($G$8195:$K$8195)=0,"n/a (beyond horizon)",IF(SUMPRODUCT($G$8195:$K$8195,$G$8166:$K$8166)&gt;0,"REFINANCING PASS","REFINANCING FAILURE"))</f>
        <v>REFINANCING FAILURE</v>
      </c>
    </row>
    <row r="8234" customFormat="false" ht="15" hidden="false" customHeight="false" outlineLevel="0" collapsed="false">
      <c r="A8234" s="5" t="s">
        <v>293</v>
      </c>
      <c r="C8234" s="5" t="str">
        <f aca="false">IF(SUM($G$8195:$K$8195)=0,"n/a",IF(C8232&gt;=C8231-0.001,"Repaid from cash",IF(SUMPRODUCT($G$8195:$K$8195,$G$8166:$K$8166)&gt;0,IF(C8232&gt;0,"Partly repaid; remainder refinanced","Refinanced"),IF(SUM($G$8204:$K$8204)&gt;0.001,IF(C8232&gt;0,"Partial repayment; PAYMENT DEFAULT","PAYMENT DEFAULT"),"Repaid from cash"))))</f>
        <v>PAYMENT DEFAULT</v>
      </c>
    </row>
    <row r="8235" customFormat="false" ht="15" hidden="false" customHeight="false" outlineLevel="0" collapsed="false">
      <c r="A8235" s="5" t="s">
        <v>294</v>
      </c>
      <c r="C8235" s="25" t="n">
        <f aca="false">SUMPRODUCT($G$8208:$K$8208,$G$8207:$K$8207-$G$8213:$K$8213+$G$8212:$K$8212)</f>
        <v>300</v>
      </c>
    </row>
    <row r="8236" customFormat="false" ht="15" hidden="false" customHeight="false" outlineLevel="0" collapsed="false">
      <c r="A8236" s="5" t="s">
        <v>295</v>
      </c>
      <c r="C8236" s="25" t="n">
        <f aca="false">SUMPRODUCT($G$8208:$K$8208,$G$8215:$K$8215)</f>
        <v>0</v>
      </c>
    </row>
    <row r="8237" customFormat="false" ht="15" hidden="false" customHeight="false" outlineLevel="0" collapsed="false">
      <c r="A8237" s="5" t="s">
        <v>296</v>
      </c>
      <c r="C8237" s="5" t="str">
        <f aca="false">IF(SUM($G$8208:$K$8208)=0,"n/a (beyond horizon)",IF(SUMPRODUCT($G$8208:$K$8208,$G$8166:$K$8166)&gt;0,"REFINANCING PASS","REFINANCING FAILURE"))</f>
        <v>REFINANCING FAILURE</v>
      </c>
    </row>
    <row r="8238" customFormat="false" ht="15" hidden="false" customHeight="false" outlineLevel="0" collapsed="false">
      <c r="A8238" s="5" t="s">
        <v>297</v>
      </c>
      <c r="C8238" s="5" t="str">
        <f aca="false">IF(SUM($G$8208:$K$8208)=0,"n/a",IF(C8236&gt;=C8235-0.001,"Repaid from cash",IF(SUMPRODUCT($G$8208:$K$8208,$G$8166:$K$8166)&gt;0,IF(C8236&gt;0,"Partly repaid; remainder refinanced","Refinanced"),IF(SUM($G$8217:$K$8217)&gt;0.001,IF(C8236&gt;0,"Partial repayment; PAYMENT DEFAULT","PAYMENT DEFAULT"),"Repaid from cash"))))</f>
        <v>PAYMENT DEFAULT</v>
      </c>
    </row>
    <row r="8239" customFormat="false" ht="15" hidden="false" customHeight="false" outlineLevel="0" collapsed="false">
      <c r="A8239" s="5" t="s">
        <v>298</v>
      </c>
      <c r="C8239" s="20" t="n">
        <f aca="false">IF(C8225="REFINANCING FAILURE",1,0)+IF(C8229="REFINANCING FAILURE",1,0)+IF(C8233="REFINANCING FAILURE",1,0)+IF(C8237="REFINANCING FAILURE",1,0)</f>
        <v>4</v>
      </c>
    </row>
    <row r="8241" customFormat="false" ht="15" hidden="false" customHeight="false" outlineLevel="0" collapsed="false">
      <c r="A8241" s="23" t="s">
        <v>300</v>
      </c>
      <c r="B8241" s="24"/>
      <c r="C8241" s="24"/>
      <c r="D8241" s="24"/>
      <c r="E8241" s="24"/>
      <c r="F8241" s="24"/>
      <c r="G8241" s="24"/>
      <c r="H8241" s="24"/>
      <c r="I8241" s="24"/>
      <c r="J8241" s="24"/>
      <c r="K8241" s="24"/>
    </row>
    <row r="8242" customFormat="false" ht="15" hidden="false" customHeight="false" outlineLevel="0" collapsed="false">
      <c r="A8242" s="5" t="s">
        <v>260</v>
      </c>
      <c r="G8242" s="25" t="n">
        <f aca="false">F8254</f>
        <v>45</v>
      </c>
      <c r="H8242" s="25" t="n">
        <f aca="false">G8254</f>
        <v>0</v>
      </c>
      <c r="I8242" s="25" t="n">
        <f aca="false">H8254</f>
        <v>-97.1553292</v>
      </c>
      <c r="J8242" s="25" t="n">
        <f aca="false">I8254</f>
        <v>-194.698425392</v>
      </c>
      <c r="K8242" s="25" t="n">
        <f aca="false">J8254</f>
        <v>-286.20878111344</v>
      </c>
    </row>
    <row r="8243" customFormat="false" ht="15" hidden="false" customHeight="false" outlineLevel="0" collapsed="false">
      <c r="A8243" s="5" t="s">
        <v>301</v>
      </c>
      <c r="G8243" s="25" t="n">
        <f aca="false">G8155</f>
        <v>-50.6568</v>
      </c>
      <c r="H8243" s="25" t="n">
        <f aca="false">H8155</f>
        <v>-91.9553292</v>
      </c>
      <c r="I8243" s="25" t="n">
        <f aca="false">I8155</f>
        <v>-92.343096192</v>
      </c>
      <c r="J8243" s="25" t="n">
        <f aca="false">J8155</f>
        <v>-86.31035572144</v>
      </c>
      <c r="K8243" s="25" t="n">
        <f aca="false">K8155</f>
        <v>-82.78871217656</v>
      </c>
    </row>
    <row r="8244" customFormat="false" ht="15" hidden="false" customHeight="false" outlineLevel="0" collapsed="false">
      <c r="A8244" s="5" t="s">
        <v>302</v>
      </c>
      <c r="G8244" s="25" t="n">
        <f aca="false">CHOOSE($C$8125,Assumptions!$G$68,Assumptions!$G$87,Assumptions!$G$106)</f>
        <v>0</v>
      </c>
      <c r="H8244" s="25" t="n">
        <f aca="false">CHOOSE($C$8125,Assumptions!$H$68,Assumptions!$H$87,Assumptions!$H$106)</f>
        <v>0</v>
      </c>
      <c r="I8244" s="25" t="n">
        <f aca="false">CHOOSE($C$8125,Assumptions!$I$68,Assumptions!$I$87,Assumptions!$I$106)</f>
        <v>0</v>
      </c>
      <c r="J8244" s="25" t="n">
        <f aca="false">CHOOSE($C$8125,Assumptions!$J$68,Assumptions!$J$87,Assumptions!$J$106)</f>
        <v>0</v>
      </c>
      <c r="K8244" s="25" t="n">
        <f aca="false">CHOOSE($C$8125,Assumptions!$K$68,Assumptions!$K$87,Assumptions!$K$106)</f>
        <v>0</v>
      </c>
    </row>
    <row r="8245" customFormat="false" ht="15" hidden="false" customHeight="false" outlineLevel="0" collapsed="false">
      <c r="A8245" s="5" t="s">
        <v>303</v>
      </c>
      <c r="G8245" s="25" t="n">
        <f aca="false">G8174+G8187+G8200+G8213</f>
        <v>5.2</v>
      </c>
      <c r="H8245" s="25" t="n">
        <f aca="false">H8174+H8187+H8200+H8213</f>
        <v>5.2</v>
      </c>
      <c r="I8245" s="25" t="n">
        <f aca="false">I8174+I8187+I8200+I8213</f>
        <v>5.2</v>
      </c>
      <c r="J8245" s="25" t="n">
        <f aca="false">J8174+J8187+J8200+J8213</f>
        <v>5.2</v>
      </c>
      <c r="K8245" s="25" t="n">
        <f aca="false">K8174+K8187+K8200+K8213</f>
        <v>5.2</v>
      </c>
    </row>
    <row r="8246" customFormat="false" ht="15" hidden="false" customHeight="false" outlineLevel="0" collapsed="false">
      <c r="A8246" s="2" t="s">
        <v>304</v>
      </c>
      <c r="G8246" s="16" t="n">
        <f aca="false">G8242+G8243+G8244-G8245</f>
        <v>-10.8568</v>
      </c>
      <c r="H8246" s="16" t="n">
        <f aca="false">H8242+H8243+H8244-H8245</f>
        <v>-97.1553292</v>
      </c>
      <c r="I8246" s="16" t="n">
        <f aca="false">I8242+I8243+I8244-I8245</f>
        <v>-194.698425392</v>
      </c>
      <c r="J8246" s="16" t="n">
        <f aca="false">J8242+J8243+J8244-J8245</f>
        <v>-286.20878111344</v>
      </c>
      <c r="K8246" s="16" t="n">
        <f aca="false">K8242+K8243+K8244-K8245</f>
        <v>-374.19749329</v>
      </c>
    </row>
    <row r="8247" customFormat="false" ht="15" hidden="false" customHeight="false" outlineLevel="0" collapsed="false">
      <c r="A8247" s="5" t="s">
        <v>305</v>
      </c>
      <c r="G8247" s="25" t="n">
        <f aca="false">G8175+G8188+G8201+G8214</f>
        <v>10.8568</v>
      </c>
      <c r="H8247" s="25" t="n">
        <f aca="false">H8175+H8188+H8201+H8214</f>
        <v>0</v>
      </c>
      <c r="I8247" s="25" t="n">
        <f aca="false">I8175+I8188+I8201+I8214</f>
        <v>0</v>
      </c>
      <c r="J8247" s="25" t="n">
        <f aca="false">J8175+J8188+J8201+J8214</f>
        <v>0</v>
      </c>
      <c r="K8247" s="25" t="n">
        <f aca="false">K8175+K8188+K8201+K8214</f>
        <v>0</v>
      </c>
    </row>
    <row r="8248" customFormat="false" ht="15" hidden="false" customHeight="false" outlineLevel="0" collapsed="false">
      <c r="A8248" s="2" t="s">
        <v>306</v>
      </c>
      <c r="G8248" s="16" t="n">
        <f aca="false">G8246+G8247</f>
        <v>0</v>
      </c>
      <c r="H8248" s="16" t="n">
        <f aca="false">H8246+H8247</f>
        <v>-97.1553292</v>
      </c>
      <c r="I8248" s="16" t="n">
        <f aca="false">I8246+I8247</f>
        <v>-194.698425392</v>
      </c>
      <c r="J8248" s="16" t="n">
        <f aca="false">J8246+J8247</f>
        <v>-286.20878111344</v>
      </c>
      <c r="K8248" s="16" t="n">
        <f aca="false">K8246+K8247</f>
        <v>-374.19749329</v>
      </c>
    </row>
    <row r="8249" customFormat="false" ht="15" hidden="false" customHeight="false" outlineLevel="0" collapsed="false">
      <c r="A8249" s="5" t="s">
        <v>307</v>
      </c>
      <c r="G8249" s="25" t="n">
        <f aca="false">G8176+G8189+G8202+G8215</f>
        <v>0</v>
      </c>
      <c r="H8249" s="25" t="n">
        <f aca="false">H8176+H8189+H8202+H8215</f>
        <v>0</v>
      </c>
      <c r="I8249" s="25" t="n">
        <f aca="false">I8176+I8189+I8202+I8215</f>
        <v>0</v>
      </c>
      <c r="J8249" s="25" t="n">
        <f aca="false">J8176+J8189+J8202+J8215</f>
        <v>0</v>
      </c>
      <c r="K8249" s="25" t="n">
        <f aca="false">K8176+K8189+K8202+K8215</f>
        <v>0</v>
      </c>
    </row>
    <row r="8250" customFormat="false" ht="15" hidden="false" customHeight="false" outlineLevel="0" collapsed="false">
      <c r="A8250" s="2" t="s">
        <v>308</v>
      </c>
      <c r="G8250" s="16" t="n">
        <f aca="false">G8248-G8249</f>
        <v>0</v>
      </c>
      <c r="H8250" s="16" t="n">
        <f aca="false">H8248-H8249</f>
        <v>-97.1553292</v>
      </c>
      <c r="I8250" s="16" t="n">
        <f aca="false">I8248-I8249</f>
        <v>-194.698425392</v>
      </c>
      <c r="J8250" s="16" t="n">
        <f aca="false">J8248-J8249</f>
        <v>-286.20878111344</v>
      </c>
      <c r="K8250" s="16" t="n">
        <f aca="false">K8248-K8249</f>
        <v>-374.19749329</v>
      </c>
    </row>
    <row r="8251" customFormat="false" ht="15" hidden="false" customHeight="false" outlineLevel="0" collapsed="false">
      <c r="A8251" s="5" t="s">
        <v>309</v>
      </c>
      <c r="G8251" s="25" t="n">
        <f aca="false">MAX(0,-G8250)</f>
        <v>-0</v>
      </c>
      <c r="H8251" s="25" t="n">
        <f aca="false">MAX(0,-H8250)</f>
        <v>97.1553292</v>
      </c>
      <c r="I8251" s="25" t="n">
        <f aca="false">MAX(0,-I8250)</f>
        <v>194.698425392</v>
      </c>
      <c r="J8251" s="25" t="n">
        <f aca="false">MAX(0,-J8250)</f>
        <v>286.20878111344</v>
      </c>
      <c r="K8251" s="25" t="n">
        <f aca="false">MAX(0,-K8250)</f>
        <v>374.19749329</v>
      </c>
    </row>
    <row r="8252" customFormat="false" ht="15" hidden="false" customHeight="false" outlineLevel="0" collapsed="false">
      <c r="A8252" s="5" t="s">
        <v>310</v>
      </c>
      <c r="G8252" s="25" t="n">
        <f aca="false">MAX(0,G8250-Assumptions!$C$12)*Assumptions!$C$13</f>
        <v>0</v>
      </c>
      <c r="H8252" s="25" t="n">
        <f aca="false">MAX(0,H8250-Assumptions!$C$12)*Assumptions!$C$13</f>
        <v>0</v>
      </c>
      <c r="I8252" s="25" t="n">
        <f aca="false">MAX(0,I8250-Assumptions!$C$12)*Assumptions!$C$13</f>
        <v>0</v>
      </c>
      <c r="J8252" s="25" t="n">
        <f aca="false">MAX(0,J8250-Assumptions!$C$12)*Assumptions!$C$13</f>
        <v>0</v>
      </c>
      <c r="K8252" s="25" t="n">
        <f aca="false">MAX(0,K8250-Assumptions!$C$12)*Assumptions!$C$13</f>
        <v>0</v>
      </c>
    </row>
    <row r="8253" customFormat="false" ht="15" hidden="false" customHeight="false" outlineLevel="0" collapsed="false">
      <c r="A8253" s="5" t="s">
        <v>311</v>
      </c>
      <c r="G8253" s="25" t="n">
        <f aca="false">G8177+G8190+G8203+G8216</f>
        <v>0</v>
      </c>
      <c r="H8253" s="25" t="n">
        <f aca="false">H8177+H8190+H8203+H8216</f>
        <v>0</v>
      </c>
      <c r="I8253" s="25" t="n">
        <f aca="false">I8177+I8190+I8203+I8216</f>
        <v>0</v>
      </c>
      <c r="J8253" s="25" t="n">
        <f aca="false">J8177+J8190+J8203+J8216</f>
        <v>0</v>
      </c>
      <c r="K8253" s="25" t="n">
        <f aca="false">K8177+K8190+K8203+K8216</f>
        <v>0</v>
      </c>
    </row>
    <row r="8254" customFormat="false" ht="15" hidden="false" customHeight="false" outlineLevel="0" collapsed="false">
      <c r="A8254" s="2" t="s">
        <v>312</v>
      </c>
      <c r="F8254" s="27" t="n">
        <f aca="false">Assumptions!$C$11</f>
        <v>45</v>
      </c>
      <c r="G8254" s="16" t="n">
        <f aca="false">G8250-G8253</f>
        <v>0</v>
      </c>
      <c r="H8254" s="16" t="n">
        <f aca="false">H8250-H8253</f>
        <v>-97.1553292</v>
      </c>
      <c r="I8254" s="16" t="n">
        <f aca="false">I8250-I8253</f>
        <v>-194.698425392</v>
      </c>
      <c r="J8254" s="16" t="n">
        <f aca="false">J8250-J8253</f>
        <v>-286.20878111344</v>
      </c>
      <c r="K8254" s="16" t="n">
        <f aca="false">K8250-K8253</f>
        <v>-374.19749329</v>
      </c>
    </row>
    <row r="8255" customFormat="false" ht="15" hidden="false" customHeight="false" outlineLevel="0" collapsed="false">
      <c r="A8255" s="5" t="s">
        <v>313</v>
      </c>
      <c r="G8255" s="25" t="n">
        <f aca="false">G8178+G8191+G8204+G8217</f>
        <v>0</v>
      </c>
      <c r="H8255" s="25" t="n">
        <f aca="false">H8178+H8191+H8204+H8217</f>
        <v>490.8568</v>
      </c>
      <c r="I8255" s="25" t="n">
        <f aca="false">I8178+I8191+I8204+I8217</f>
        <v>504.4</v>
      </c>
      <c r="J8255" s="25" t="n">
        <f aca="false">J8178+J8191+J8204+J8217</f>
        <v>250</v>
      </c>
      <c r="K8255" s="25" t="n">
        <f aca="false">K8178+K8191+K8204+K8217</f>
        <v>0</v>
      </c>
    </row>
    <row r="8256" customFormat="false" ht="15" hidden="false" customHeight="false" outlineLevel="0" collapsed="false">
      <c r="A8256" s="5" t="s">
        <v>314</v>
      </c>
      <c r="G8256" s="20" t="n">
        <f aca="false">IF(OR(G8251&gt;0.001,G8255&gt;0.001),1,0)</f>
        <v>0</v>
      </c>
      <c r="H8256" s="20" t="n">
        <f aca="false">IF(OR(H8251&gt;0.001,H8255&gt;0.001),1,0)</f>
        <v>1</v>
      </c>
      <c r="I8256" s="20" t="n">
        <f aca="false">IF(OR(I8251&gt;0.001,I8255&gt;0.001),1,0)</f>
        <v>1</v>
      </c>
      <c r="J8256" s="20" t="n">
        <f aca="false">IF(OR(J8251&gt;0.001,J8255&gt;0.001),1,0)</f>
        <v>1</v>
      </c>
      <c r="K8256" s="20" t="n">
        <f aca="false">IF(OR(K8251&gt;0.001,K8255&gt;0.001),1,0)</f>
        <v>1</v>
      </c>
    </row>
    <row r="8257" customFormat="false" ht="15" hidden="false" customHeight="false" outlineLevel="0" collapsed="false">
      <c r="A8257" s="5" t="s">
        <v>315</v>
      </c>
      <c r="G8257" s="20" t="n">
        <f aca="false">IF(G8256=1,1,0)</f>
        <v>0</v>
      </c>
      <c r="H8257" s="20" t="n">
        <f aca="false">IF(AND(H8256=1,SUM($G$8256:G8256)=0),1,0)</f>
        <v>1</v>
      </c>
      <c r="I8257" s="20" t="n">
        <f aca="false">IF(AND(I8256=1,SUM($G$8256:H8256)=0),1,0)</f>
        <v>0</v>
      </c>
      <c r="J8257" s="20" t="n">
        <f aca="false">IF(AND(J8256=1,SUM($G$8256:I8256)=0),1,0)</f>
        <v>0</v>
      </c>
      <c r="K8257" s="20" t="n">
        <f aca="false">IF(AND(K8256=1,SUM($G$8256:J8256)=0),1,0)</f>
        <v>0</v>
      </c>
    </row>
    <row r="8258" customFormat="false" ht="15" hidden="false" customHeight="false" outlineLevel="0" collapsed="false">
      <c r="A8258" s="5" t="s">
        <v>316</v>
      </c>
      <c r="G8258" s="25" t="n">
        <f aca="false">(G8220-F8220)-(G8247+G8147-G8245-G8249-G8253)</f>
        <v>-4.88498130835069E-014</v>
      </c>
      <c r="H8258" s="25" t="n">
        <f aca="false">(H8220-G8220)-(H8247+H8147-H8245-H8249-H8253)</f>
        <v>-4.52970994047064E-014</v>
      </c>
      <c r="I8258" s="25" t="n">
        <f aca="false">(I8220-H8220)-(I8247+I8147-I8245-I8249-I8253)</f>
        <v>1.82076576038526E-013</v>
      </c>
      <c r="J8258" s="25" t="n">
        <f aca="false">(J8220-I8220)-(J8247+J8147-J8245-J8249-J8253)</f>
        <v>-4.52970994047064E-014</v>
      </c>
      <c r="K8258" s="25" t="n">
        <f aca="false">(K8220-J8220)-(K8247+K8147-K8245-K8249-K8253)</f>
        <v>-4.52970994047064E-014</v>
      </c>
    </row>
    <row r="8260" customFormat="false" ht="15" hidden="false" customHeight="false" outlineLevel="0" collapsed="false">
      <c r="A8260" s="23" t="s">
        <v>318</v>
      </c>
      <c r="B8260" s="24"/>
      <c r="C8260" s="24"/>
      <c r="D8260" s="24"/>
      <c r="E8260" s="24"/>
      <c r="F8260" s="24"/>
      <c r="G8260" s="24"/>
      <c r="H8260" s="24"/>
      <c r="I8260" s="24"/>
      <c r="J8260" s="24"/>
      <c r="K8260" s="24"/>
    </row>
    <row r="8261" customFormat="false" ht="15" hidden="false" customHeight="false" outlineLevel="0" collapsed="false">
      <c r="A8261" s="5" t="s">
        <v>319</v>
      </c>
      <c r="G8261" s="25" t="n">
        <f aca="false">G8220</f>
        <v>1255.6568</v>
      </c>
      <c r="H8261" s="25" t="n">
        <f aca="false">H8220</f>
        <v>1250.4568</v>
      </c>
      <c r="I8261" s="25" t="n">
        <f aca="false">I8220</f>
        <v>1245.2568</v>
      </c>
      <c r="J8261" s="25" t="n">
        <f aca="false">J8220</f>
        <v>1240.0568</v>
      </c>
      <c r="K8261" s="25" t="n">
        <f aca="false">K8220</f>
        <v>1234.8568</v>
      </c>
    </row>
    <row r="8262" customFormat="false" ht="15" hidden="false" customHeight="false" outlineLevel="0" collapsed="false">
      <c r="A8262" s="5" t="s">
        <v>320</v>
      </c>
      <c r="G8262" s="25" t="n">
        <f aca="false">Assumptions!$O$53*G8179+Assumptions!$O$54*G8192+Assumptions!$O$55*G8205+Assumptions!$O$56*G8218</f>
        <v>955.6568</v>
      </c>
      <c r="H8262" s="25" t="n">
        <f aca="false">Assumptions!$O$53*H8179+Assumptions!$O$54*H8192+Assumptions!$O$55*H8205+Assumptions!$O$56*H8218</f>
        <v>950.4568</v>
      </c>
      <c r="I8262" s="25" t="n">
        <f aca="false">Assumptions!$O$53*I8179+Assumptions!$O$54*I8192+Assumptions!$O$55*I8205+Assumptions!$O$56*I8218</f>
        <v>945.2568</v>
      </c>
      <c r="J8262" s="25" t="n">
        <f aca="false">Assumptions!$O$53*J8179+Assumptions!$O$54*J8192+Assumptions!$O$55*J8205+Assumptions!$O$56*J8218</f>
        <v>940.0568</v>
      </c>
      <c r="K8262" s="25" t="n">
        <f aca="false">Assumptions!$O$53*K8179+Assumptions!$O$54*K8192+Assumptions!$O$55*K8205+Assumptions!$O$56*K8218</f>
        <v>934.8568</v>
      </c>
    </row>
    <row r="8263" customFormat="false" ht="15" hidden="false" customHeight="false" outlineLevel="0" collapsed="false">
      <c r="A8263" s="5" t="s">
        <v>321</v>
      </c>
      <c r="G8263" s="25" t="n">
        <f aca="false">G8261-G8254</f>
        <v>1255.6568</v>
      </c>
      <c r="H8263" s="25" t="n">
        <f aca="false">H8261-H8254</f>
        <v>1347.6121292</v>
      </c>
      <c r="I8263" s="25" t="n">
        <f aca="false">I8261-I8254</f>
        <v>1439.955225392</v>
      </c>
      <c r="J8263" s="25" t="n">
        <f aca="false">J8261-J8254</f>
        <v>1526.26558111344</v>
      </c>
      <c r="K8263" s="25" t="n">
        <f aca="false">K8261-K8254</f>
        <v>1609.05429329</v>
      </c>
    </row>
    <row r="8264" customFormat="false" ht="15" hidden="false" customHeight="false" outlineLevel="0" collapsed="false">
      <c r="A8264" s="5" t="s">
        <v>322</v>
      </c>
      <c r="G8264" s="31" t="n">
        <f aca="false">IF(G8142&gt;0,G8261/G8142,0)</f>
        <v>18.1852740122813</v>
      </c>
      <c r="H8264" s="31" t="n">
        <f aca="false">IF(H8142&gt;0,H8261/H8142,0)</f>
        <v>32.0077131194005</v>
      </c>
      <c r="I8264" s="31" t="n">
        <f aca="false">IF(I8142&gt;0,I8261/I8142,0)</f>
        <v>28.2456568100704</v>
      </c>
      <c r="J8264" s="31" t="n">
        <f aca="false">IF(J8142&gt;0,J8261/J8142,0)</f>
        <v>26.1863085723089</v>
      </c>
      <c r="K8264" s="31" t="n">
        <f aca="false">IF(K8142&gt;0,K8261/K8142,0)</f>
        <v>25.0117155866253</v>
      </c>
    </row>
    <row r="8265" customFormat="false" ht="15" hidden="false" customHeight="false" outlineLevel="0" collapsed="false">
      <c r="A8265" s="5" t="s">
        <v>323</v>
      </c>
      <c r="G8265" s="31" t="n">
        <f aca="false">IF(G8142&gt;0,G8263/G8142,0)</f>
        <v>18.1852740122813</v>
      </c>
      <c r="H8265" s="31" t="n">
        <f aca="false">IF(H8142&gt;0,H8263/H8142,0)</f>
        <v>34.4945802427225</v>
      </c>
      <c r="I8265" s="31" t="n">
        <f aca="false">IF(I8142&gt;0,I8263/I8142,0)</f>
        <v>32.661922519347</v>
      </c>
      <c r="J8265" s="31" t="n">
        <f aca="false">IF(J8142&gt;0,J8263/J8142,0)</f>
        <v>32.230186125612</v>
      </c>
      <c r="K8265" s="31" t="n">
        <f aca="false">IF(K8142&gt;0,K8263/K8142,0)</f>
        <v>32.5909922083337</v>
      </c>
    </row>
    <row r="8266" customFormat="false" ht="15" hidden="false" customHeight="false" outlineLevel="0" collapsed="false">
      <c r="A8266" s="5" t="s">
        <v>324</v>
      </c>
      <c r="G8266" s="31" t="n">
        <f aca="false">IF(G8146&gt;0,G8142/G8146,0)</f>
        <v>0.533024548402038</v>
      </c>
      <c r="H8266" s="31" t="n">
        <f aca="false">IF(H8146&gt;0,H8142/H8146,0)</f>
        <v>0.304597891013397</v>
      </c>
      <c r="I8266" s="31" t="n">
        <f aca="false">IF(I8146&gt;0,I8142/I8146,0)</f>
        <v>0.350152463135091</v>
      </c>
      <c r="J8266" s="31" t="n">
        <f aca="false">IF(J8146&gt;0,J8142/J8146,0)</f>
        <v>0.377875562894255</v>
      </c>
      <c r="K8266" s="31" t="n">
        <f aca="false">IF(K8146&gt;0,K8142/K8146,0)</f>
        <v>0.395818184522291</v>
      </c>
    </row>
    <row r="8267" customFormat="false" ht="15" hidden="false" customHeight="false" outlineLevel="0" collapsed="false">
      <c r="A8267" s="5" t="s">
        <v>325</v>
      </c>
      <c r="G8267" s="31" t="n">
        <f aca="false">IF(G8146&gt;0,G8145/G8146,0)</f>
        <v>0.197980546549328</v>
      </c>
      <c r="H8267" s="31" t="n">
        <f aca="false">IF(H8146&gt;0,H8145/H8146,0)</f>
        <v>0.0132433865657998</v>
      </c>
      <c r="I8267" s="31" t="n">
        <f aca="false">IF(I8146&gt;0,I8145/I8146,0)</f>
        <v>0.0845195600670911</v>
      </c>
      <c r="J8267" s="31" t="n">
        <f aca="false">IF(J8146&gt;0,J8145/J8146,0)</f>
        <v>0.140353780503581</v>
      </c>
      <c r="K8267" s="31" t="n">
        <f aca="false">IF(K8146&gt;0,K8145/K8146,0)</f>
        <v>0.183427939168866</v>
      </c>
    </row>
    <row r="8268" customFormat="false" ht="15" hidden="false" customHeight="false" outlineLevel="0" collapsed="false">
      <c r="A8268" s="5" t="s">
        <v>182</v>
      </c>
      <c r="G8268" s="21" t="n">
        <f aca="false">IF(G8261&gt;0,G8155/G8261,0)</f>
        <v>-0.0403428707589526</v>
      </c>
      <c r="H8268" s="21" t="n">
        <f aca="false">IF(H8261&gt;0,H8155/H8261,0)</f>
        <v>-0.073537389856251</v>
      </c>
      <c r="I8268" s="21" t="n">
        <f aca="false">IF(I8261&gt;0,I8155/I8261,0)</f>
        <v>-0.0741558658358661</v>
      </c>
      <c r="J8268" s="21" t="n">
        <f aca="false">IF(J8261&gt;0,J8155/J8261,0)</f>
        <v>-0.0696019373640304</v>
      </c>
      <c r="K8268" s="21" t="n">
        <f aca="false">IF(K8261&gt;0,K8155/K8261,0)</f>
        <v>-0.0670431682253035</v>
      </c>
    </row>
    <row r="8269" customFormat="false" ht="15" hidden="false" customHeight="false" outlineLevel="0" collapsed="false">
      <c r="A8269" s="5" t="s">
        <v>326</v>
      </c>
      <c r="G8269" s="31" t="n">
        <f aca="false">IF(G8146+G8245&gt;0,(G8142-G8153-G8150)/(G8146+G8245),0)</f>
        <v>0.23426450942556</v>
      </c>
      <c r="H8269" s="31" t="n">
        <f aca="false">IF(H8146+H8245&gt;0,(H8142-H8153-H8150)/(H8146+H8245),0)</f>
        <v>0.0509095201270317</v>
      </c>
      <c r="I8269" s="31" t="n">
        <f aca="false">IF(I8146+I8245&gt;0,(I8142-I8153-I8150)/(I8146+I8245),0)</f>
        <v>0.115953320857503</v>
      </c>
      <c r="J8269" s="31" t="n">
        <f aca="false">IF(J8146+J8245&gt;0,(J8142-J8153-J8150)/(J8146+J8245),0)</f>
        <v>0.165860889817031</v>
      </c>
      <c r="K8269" s="31" t="n">
        <f aca="false">IF(K8146+K8245&gt;0,(K8142-K8153-K8150)/(K8146+K8245),0)</f>
        <v>0.203890179726423</v>
      </c>
    </row>
    <row r="8270" customFormat="false" ht="15" hidden="false" customHeight="false" outlineLevel="0" collapsed="false">
      <c r="A8270" s="5" t="s">
        <v>327</v>
      </c>
      <c r="G8270" s="25" t="n">
        <f aca="false">MAX(0,G8254)+Assumptions!$P$53*MAX(0,Assumptions!$D$53-G8179)+Assumptions!$P$54*MAX(0,Assumptions!$D$54-G8192)+Assumptions!$P$55*MAX(0,Assumptions!$D$55-G8205)+Assumptions!$P$56*MAX(0,Assumptions!$D$56-G8218)</f>
        <v>109.1432</v>
      </c>
      <c r="H8270" s="25" t="n">
        <f aca="false">MAX(0,H8254)+Assumptions!$P$53*MAX(0,Assumptions!$D$53-H8179)+Assumptions!$P$54*MAX(0,Assumptions!$D$54-H8192)+Assumptions!$P$55*MAX(0,Assumptions!$D$55-H8205)+Assumptions!$P$56*MAX(0,Assumptions!$D$56-H8218)</f>
        <v>109.1432</v>
      </c>
      <c r="I8270" s="25" t="n">
        <f aca="false">MAX(0,I8254)+Assumptions!$P$53*MAX(0,Assumptions!$D$53-I8179)+Assumptions!$P$54*MAX(0,Assumptions!$D$54-I8192)+Assumptions!$P$55*MAX(0,Assumptions!$D$55-I8205)+Assumptions!$P$56*MAX(0,Assumptions!$D$56-I8218)</f>
        <v>109.1432</v>
      </c>
      <c r="J8270" s="25" t="n">
        <f aca="false">MAX(0,J8254)+Assumptions!$P$53*MAX(0,Assumptions!$D$53-J8179)+Assumptions!$P$54*MAX(0,Assumptions!$D$54-J8192)+Assumptions!$P$55*MAX(0,Assumptions!$D$55-J8205)+Assumptions!$P$56*MAX(0,Assumptions!$D$56-J8218)</f>
        <v>109.1432</v>
      </c>
      <c r="K8270" s="25" t="n">
        <f aca="false">MAX(0,K8254)+Assumptions!$P$53*MAX(0,Assumptions!$D$53-K8179)+Assumptions!$P$54*MAX(0,Assumptions!$D$54-K8192)+Assumptions!$P$55*MAX(0,Assumptions!$D$55-K8205)+Assumptions!$P$56*MAX(0,Assumptions!$D$56-K8218)</f>
        <v>109.1432</v>
      </c>
    </row>
    <row r="8271" customFormat="false" ht="15" hidden="false" customHeight="false" outlineLevel="0" collapsed="false">
      <c r="A8271" s="5" t="s">
        <v>328</v>
      </c>
      <c r="G8271" s="21" t="n">
        <f aca="false">IF(G8261&gt;0,G8261/(G8261+MAX(0,G8142*CHOOSE($C$8125,Assumptions!$C$76,Assumptions!$C$95,Assumptions!$C$114)-G8263)),0)</f>
        <v>1</v>
      </c>
      <c r="H8271" s="21" t="n">
        <f aca="false">IF(H8261&gt;0,H8261/(H8261+MAX(0,H8142*CHOOSE($C$8125,Assumptions!$C$76,Assumptions!$C$95,Assumptions!$C$114)-H8263)),0)</f>
        <v>1</v>
      </c>
      <c r="I8271" s="21" t="n">
        <f aca="false">IF(I8261&gt;0,I8261/(I8261+MAX(0,I8142*CHOOSE($C$8125,Assumptions!$C$76,Assumptions!$C$95,Assumptions!$C$114)-I8263)),0)</f>
        <v>1</v>
      </c>
      <c r="J8271" s="21" t="n">
        <f aca="false">IF(J8261&gt;0,J8261/(J8261+MAX(0,J8142*CHOOSE($C$8125,Assumptions!$C$76,Assumptions!$C$95,Assumptions!$C$114)-J8263)),0)</f>
        <v>1</v>
      </c>
      <c r="K8271" s="21" t="n">
        <f aca="false">IF(K8261&gt;0,K8261/(K8261+MAX(0,K8142*CHOOSE($C$8125,Assumptions!$C$76,Assumptions!$C$95,Assumptions!$C$114)-K8263)),0)</f>
        <v>1</v>
      </c>
    </row>
    <row r="8272" customFormat="false" ht="15" hidden="false" customHeight="false" outlineLevel="0" collapsed="false">
      <c r="A8272" s="5" t="s">
        <v>329</v>
      </c>
      <c r="G8272" s="21" t="n">
        <f aca="false">IF(G8261&gt;0,MAX(0,G8254)/G8261,0)</f>
        <v>0</v>
      </c>
      <c r="H8272" s="21" t="n">
        <f aca="false">IF(H8261&gt;0,MAX(0,H8254)/H8261,0)</f>
        <v>0</v>
      </c>
      <c r="I8272" s="21" t="n">
        <f aca="false">IF(I8261&gt;0,MAX(0,I8254)/I8261,0)</f>
        <v>0</v>
      </c>
      <c r="J8272" s="21" t="n">
        <f aca="false">IF(J8261&gt;0,MAX(0,J8254)/J8261,0)</f>
        <v>0</v>
      </c>
      <c r="K8272" s="21" t="n">
        <f aca="false">IF(K8261&gt;0,MAX(0,K8254)/K8261,0)</f>
        <v>0</v>
      </c>
    </row>
    <row r="8273" customFormat="false" ht="15" hidden="false" customHeight="false" outlineLevel="0" collapsed="false">
      <c r="A8273" s="5" t="s">
        <v>330</v>
      </c>
      <c r="G8273" s="25" t="n">
        <f aca="false">Assumptions!$C$27*(1-CHOOSE($C$8125,Assumptions!$C$79,Assumptions!$C$98,Assumptions!$C$117))</f>
        <v>884</v>
      </c>
      <c r="H8273" s="25" t="n">
        <f aca="false">Assumptions!$C$27*(1-CHOOSE($C$8125,Assumptions!$C$79,Assumptions!$C$98,Assumptions!$C$117))</f>
        <v>884</v>
      </c>
      <c r="I8273" s="25" t="n">
        <f aca="false">Assumptions!$C$27*(1-CHOOSE($C$8125,Assumptions!$C$79,Assumptions!$C$98,Assumptions!$C$117))</f>
        <v>884</v>
      </c>
      <c r="J8273" s="25" t="n">
        <f aca="false">Assumptions!$C$27*(1-CHOOSE($C$8125,Assumptions!$C$79,Assumptions!$C$98,Assumptions!$C$117))</f>
        <v>884</v>
      </c>
      <c r="K8273" s="25" t="n">
        <f aca="false">Assumptions!$C$27*(1-CHOOSE($C$8125,Assumptions!$C$79,Assumptions!$C$98,Assumptions!$C$117))</f>
        <v>884</v>
      </c>
    </row>
    <row r="8274" customFormat="false" ht="15" hidden="false" customHeight="false" outlineLevel="0" collapsed="false">
      <c r="A8274" s="23" t="s">
        <v>331</v>
      </c>
      <c r="B8274" s="24"/>
      <c r="C8274" s="24"/>
      <c r="D8274" s="24"/>
      <c r="E8274" s="24"/>
      <c r="F8274" s="24"/>
      <c r="G8274" s="24"/>
      <c r="H8274" s="24"/>
      <c r="I8274" s="24"/>
      <c r="J8274" s="24"/>
      <c r="K8274" s="24"/>
    </row>
    <row r="8275" customFormat="false" ht="15" hidden="false" customHeight="false" outlineLevel="0" collapsed="false">
      <c r="A8275" s="23" t="s">
        <v>332</v>
      </c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</row>
    <row r="8276" customFormat="false" ht="15" hidden="false" customHeight="false" outlineLevel="0" collapsed="false">
      <c r="A8276" s="5" t="s">
        <v>333</v>
      </c>
      <c r="G8276" s="31" t="n">
        <f aca="false">IF(G8142&gt;0,G8263/G8142,99)</f>
        <v>18.1852740122813</v>
      </c>
      <c r="H8276" s="31" t="n">
        <f aca="false">IF(H8142&gt;0,H8263/H8142,99)</f>
        <v>34.4945802427225</v>
      </c>
      <c r="I8276" s="31" t="n">
        <f aca="false">IF(I8142&gt;0,I8263/I8142,99)</f>
        <v>32.661922519347</v>
      </c>
      <c r="J8276" s="31" t="n">
        <f aca="false">IF(J8142&gt;0,J8263/J8142,99)</f>
        <v>32.230186125612</v>
      </c>
      <c r="K8276" s="31" t="n">
        <f aca="false">IF(K8142&gt;0,K8263/K8142,99)</f>
        <v>32.5909922083337</v>
      </c>
    </row>
    <row r="8277" customFormat="false" ht="15" hidden="false" customHeight="false" outlineLevel="0" collapsed="false">
      <c r="A8277" s="5" t="s">
        <v>334</v>
      </c>
      <c r="G8277" s="32" t="n">
        <f aca="false">Assumptions!$G$61</f>
        <v>8.5</v>
      </c>
      <c r="H8277" s="32" t="n">
        <f aca="false">Assumptions!$H$61</f>
        <v>8.5</v>
      </c>
      <c r="I8277" s="32" t="n">
        <f aca="false">Assumptions!$I$61</f>
        <v>8.5</v>
      </c>
      <c r="J8277" s="32" t="n">
        <f aca="false">Assumptions!$J$61</f>
        <v>8.5</v>
      </c>
      <c r="K8277" s="32" t="n">
        <f aca="false">Assumptions!$K$61</f>
        <v>8.5</v>
      </c>
    </row>
    <row r="8278" customFormat="false" ht="15" hidden="false" customHeight="false" outlineLevel="0" collapsed="false">
      <c r="A8278" s="5" t="s">
        <v>335</v>
      </c>
      <c r="G8278" s="31" t="n">
        <f aca="false">G8277-G8276</f>
        <v>-9.68527401228131</v>
      </c>
      <c r="H8278" s="31" t="n">
        <f aca="false">H8277-H8276</f>
        <v>-25.9945802427225</v>
      </c>
      <c r="I8278" s="31" t="n">
        <f aca="false">I8277-I8276</f>
        <v>-24.161922519347</v>
      </c>
      <c r="J8278" s="31" t="n">
        <f aca="false">J8277-J8276</f>
        <v>-23.730186125612</v>
      </c>
      <c r="K8278" s="31" t="n">
        <f aca="false">K8277-K8276</f>
        <v>-24.0909922083337</v>
      </c>
    </row>
    <row r="8279" customFormat="false" ht="15" hidden="false" customHeight="false" outlineLevel="0" collapsed="false">
      <c r="A8279" s="5" t="s">
        <v>336</v>
      </c>
      <c r="G8279" s="21" t="n">
        <f aca="false">IF(G8277=0,0,G8278/ABS(G8277))</f>
        <v>-1.13944400144486</v>
      </c>
      <c r="H8279" s="21" t="n">
        <f aca="false">IF(H8277=0,0,H8278/ABS(H8277))</f>
        <v>-3.05818591090853</v>
      </c>
      <c r="I8279" s="21" t="n">
        <f aca="false">IF(I8277=0,0,I8278/ABS(I8277))</f>
        <v>-2.84257911992317</v>
      </c>
      <c r="J8279" s="21" t="n">
        <f aca="false">IF(J8277=0,0,J8278/ABS(J8277))</f>
        <v>-2.79178660301318</v>
      </c>
      <c r="K8279" s="21" t="n">
        <f aca="false">IF(K8277=0,0,K8278/ABS(K8277))</f>
        <v>-2.83423437745102</v>
      </c>
    </row>
    <row r="8280" customFormat="false" ht="15" hidden="false" customHeight="false" outlineLevel="0" collapsed="false">
      <c r="A8280" s="5" t="s">
        <v>337</v>
      </c>
      <c r="G8280" s="20" t="n">
        <f aca="false">IF(G8278&lt;0,1,0)</f>
        <v>1</v>
      </c>
      <c r="H8280" s="20" t="n">
        <f aca="false">IF(H8278&lt;0,1,0)</f>
        <v>1</v>
      </c>
      <c r="I8280" s="20" t="n">
        <f aca="false">IF(I8278&lt;0,1,0)</f>
        <v>1</v>
      </c>
      <c r="J8280" s="20" t="n">
        <f aca="false">IF(J8278&lt;0,1,0)</f>
        <v>1</v>
      </c>
      <c r="K8280" s="20" t="n">
        <f aca="false">IF(K8278&lt;0,1,0)</f>
        <v>1</v>
      </c>
    </row>
    <row r="8281" customFormat="false" ht="15" hidden="false" customHeight="false" outlineLevel="0" collapsed="false">
      <c r="A8281" s="5" t="s">
        <v>338</v>
      </c>
      <c r="C8281" s="20" t="n">
        <f aca="false">IFERROR(INDEX($G$8132:$K$8132,MATCH(1,$G$8280:$K$8280,0)),0)</f>
        <v>2026</v>
      </c>
    </row>
    <row r="8282" customFormat="false" ht="15" hidden="false" customHeight="false" outlineLevel="0" collapsed="false">
      <c r="A8282" s="5" t="s">
        <v>339</v>
      </c>
      <c r="C8282" s="21" t="n">
        <f aca="false">MIN($G$8279:$K$8279)</f>
        <v>-3.05818591090853</v>
      </c>
    </row>
    <row r="8283" customFormat="false" ht="15" hidden="false" customHeight="false" outlineLevel="0" collapsed="false">
      <c r="A8283" s="5" t="s">
        <v>340</v>
      </c>
      <c r="G8283" s="20" t="n">
        <f aca="false">G8280</f>
        <v>1</v>
      </c>
      <c r="H8283" s="20" t="n">
        <f aca="false">H8280</f>
        <v>1</v>
      </c>
      <c r="I8283" s="20" t="n">
        <f aca="false">I8280</f>
        <v>1</v>
      </c>
      <c r="J8283" s="20" t="n">
        <f aca="false">J8280</f>
        <v>1</v>
      </c>
      <c r="K8283" s="20" t="n">
        <f aca="false">K8280</f>
        <v>1</v>
      </c>
    </row>
    <row r="8284" customFormat="false" ht="15" hidden="false" customHeight="false" outlineLevel="0" collapsed="false">
      <c r="A8284" s="5" t="s">
        <v>341</v>
      </c>
      <c r="C8284" s="20" t="n">
        <f aca="false">SUM($G$8283:$K$8283)</f>
        <v>5</v>
      </c>
    </row>
    <row r="8285" customFormat="false" ht="15" hidden="false" customHeight="false" outlineLevel="0" collapsed="false">
      <c r="A8285" s="5" t="s">
        <v>342</v>
      </c>
      <c r="C8285" s="21" t="n">
        <f aca="false">MIN(C8282)</f>
        <v>-3.05818591090853</v>
      </c>
    </row>
    <row r="8287" customFormat="false" ht="15" hidden="false" customHeight="false" outlineLevel="0" collapsed="false">
      <c r="A8287" s="23" t="s">
        <v>444</v>
      </c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</row>
    <row r="8288" customFormat="false" ht="15" hidden="false" customHeight="false" outlineLevel="0" collapsed="false">
      <c r="A8288" s="5" t="s">
        <v>445</v>
      </c>
      <c r="G8288" s="20" t="n">
        <f aca="false">IF($C$8289=1,G8257,IF(G8142=MIN($G$8142:$K$8142),1,0))</f>
        <v>0</v>
      </c>
      <c r="H8288" s="20" t="n">
        <f aca="false">IF($C$8289=1,H8257,IF(AND(H8142=MIN($G$8142:$K$8142),SUM($G$8288:G8288)=0),1,0))</f>
        <v>1</v>
      </c>
      <c r="I8288" s="20" t="n">
        <f aca="false">IF($C$8289=1,I8257,IF(AND(I8142=MIN($G$8142:$K$8142),SUM($G$8288:H8288)=0),1,0))</f>
        <v>0</v>
      </c>
      <c r="J8288" s="20" t="n">
        <f aca="false">IF($C$8289=1,J8257,IF(AND(J8142=MIN($G$8142:$K$8142),SUM($G$8288:I8288)=0),1,0))</f>
        <v>0</v>
      </c>
      <c r="K8288" s="20" t="n">
        <f aca="false">IF($C$8289=1,K8257,IF(AND(K8142=MIN($G$8142:$K$8142),SUM($G$8288:J8288)=0),1,0))</f>
        <v>0</v>
      </c>
    </row>
    <row r="8289" customFormat="false" ht="15" hidden="false" customHeight="false" outlineLevel="0" collapsed="false">
      <c r="A8289" s="5" t="s">
        <v>446</v>
      </c>
      <c r="C8289" s="20" t="n">
        <f aca="false">IF(SUM($G$8257:$K$8257)&gt;0,1,0)</f>
        <v>1</v>
      </c>
    </row>
    <row r="8290" customFormat="false" ht="15" hidden="false" customHeight="false" outlineLevel="0" collapsed="false">
      <c r="A8290" s="5" t="s">
        <v>447</v>
      </c>
      <c r="C8290" s="20" t="n">
        <f aca="false">SUMPRODUCT($G$8288:$K$8288,$G$8132:$K$8132)</f>
        <v>2027</v>
      </c>
    </row>
    <row r="8291" customFormat="false" ht="15" hidden="false" customHeight="false" outlineLevel="0" collapsed="false">
      <c r="A8291" s="5" t="s">
        <v>448</v>
      </c>
      <c r="C8291" s="25" t="n">
        <f aca="false">SUMPRODUCT($G$8288:$K$8288,$G$8142:$K$8142)</f>
        <v>39.0673584</v>
      </c>
    </row>
    <row r="8292" customFormat="false" ht="15" hidden="false" customHeight="false" outlineLevel="0" collapsed="false">
      <c r="A8292" s="5" t="s">
        <v>449</v>
      </c>
      <c r="C8292" s="25" t="n">
        <f aca="false">MAX(0,SUMPRODUCT($G$8288:$K$8288,$G$8254:$K$8254))</f>
        <v>0</v>
      </c>
    </row>
    <row r="8293" customFormat="false" ht="15" hidden="false" customHeight="false" outlineLevel="0" collapsed="false">
      <c r="A8293" s="5" t="s">
        <v>450</v>
      </c>
      <c r="C8293" s="25" t="n">
        <f aca="false">(CHOOSE($C$8125,Assumptions!$C$78,Assumptions!$C$97,Assumptions!$C$116)+$C$8129)*C8291</f>
        <v>156.2694336</v>
      </c>
    </row>
    <row r="8294" customFormat="false" ht="15" hidden="false" customHeight="false" outlineLevel="0" collapsed="false">
      <c r="A8294" s="5" t="s">
        <v>451</v>
      </c>
      <c r="C8294" s="25" t="n">
        <f aca="false">Assumptions!$C$27*(1-CHOOSE($C$8125,Assumptions!$C$79,Assumptions!$C$98,Assumptions!$C$117))*CHOOSE($C$8125,Assumptions!$C$80,Assumptions!$C$99,Assumptions!$C$118)</f>
        <v>530.4</v>
      </c>
    </row>
    <row r="8295" customFormat="false" ht="15" hidden="false" customHeight="false" outlineLevel="0" collapsed="false">
      <c r="A8295" s="5" t="s">
        <v>452</v>
      </c>
      <c r="C8295" s="25" t="n">
        <f aca="false">MAX(C8293,C8294)+C8292</f>
        <v>530.4</v>
      </c>
    </row>
    <row r="8296" customFormat="false" ht="15" hidden="false" customHeight="false" outlineLevel="0" collapsed="false">
      <c r="A8296" s="2" t="s">
        <v>453</v>
      </c>
      <c r="C8296" s="16" t="n">
        <f aca="false">IF(ISNUMBER(Assumptions!$C$14),Assumptions!$C$14,C8295)</f>
        <v>530.4</v>
      </c>
    </row>
    <row r="8297" customFormat="false" ht="15" hidden="false" customHeight="false" outlineLevel="0" collapsed="false">
      <c r="A8297" s="5" t="s">
        <v>454</v>
      </c>
      <c r="C8297" s="25" t="n">
        <f aca="false">C8296*Assumptions!$C$15</f>
        <v>21.216</v>
      </c>
    </row>
    <row r="8298" customFormat="false" ht="15" hidden="false" customHeight="false" outlineLevel="0" collapsed="false">
      <c r="A8298" s="2" t="s">
        <v>455</v>
      </c>
      <c r="C8298" s="16" t="n">
        <f aca="false">C8296-C8297</f>
        <v>509.184</v>
      </c>
    </row>
    <row r="8299" customFormat="false" ht="15" hidden="false" customHeight="false" outlineLevel="0" collapsed="false">
      <c r="A8299" s="23" t="s">
        <v>456</v>
      </c>
      <c r="B8299" s="24"/>
      <c r="C8299" s="24"/>
      <c r="D8299" s="24"/>
      <c r="E8299" s="24"/>
      <c r="F8299" s="24"/>
      <c r="G8299" s="24"/>
      <c r="H8299" s="24"/>
      <c r="I8299" s="24"/>
      <c r="J8299" s="24"/>
      <c r="K8299" s="24"/>
    </row>
    <row r="8300" customFormat="false" ht="15" hidden="false" customHeight="false" outlineLevel="0" collapsed="false">
      <c r="A8300" s="5" t="s">
        <v>457</v>
      </c>
      <c r="C8300" s="25" t="n">
        <f aca="false">SUMPRODUCT($G$8288:$K$8288,$G$8179:$K$8179)*(1+SUMPRODUCT($G$8288:$K$8288,$G$8171:$K$8171)*Assumptions!$C$16/12)</f>
        <v>195.5566487</v>
      </c>
    </row>
    <row r="8301" customFormat="false" ht="15" hidden="false" customHeight="false" outlineLevel="0" collapsed="false">
      <c r="A8301" s="5" t="s">
        <v>458</v>
      </c>
      <c r="C8301" s="25" t="n">
        <f aca="false">SUMPRODUCT($G$8288:$K$8288,$G$8192:$K$8192)*(1+SUMPRODUCT($G$8288:$K$8288,$G$8184:$K$8184)*Assumptions!$C$16/12)</f>
        <v>524.3147</v>
      </c>
    </row>
    <row r="8302" customFormat="false" ht="15" hidden="false" customHeight="false" outlineLevel="0" collapsed="false">
      <c r="A8302" s="5" t="s">
        <v>459</v>
      </c>
      <c r="C8302" s="25" t="n">
        <f aca="false">SUMPRODUCT($G$8288:$K$8288,$G$8205:$K$8205)*(1+SUMPRODUCT($G$8288:$K$8288,$G$8197:$K$8197)*Assumptions!$C$16/12)</f>
        <v>256.875</v>
      </c>
    </row>
    <row r="8303" customFormat="false" ht="15" hidden="false" customHeight="false" outlineLevel="0" collapsed="false">
      <c r="A8303" s="5" t="s">
        <v>460</v>
      </c>
      <c r="C8303" s="25" t="n">
        <f aca="false">SUMPRODUCT($G$8288:$K$8288,$G$8218:$K$8218)*(1+SUMPRODUCT($G$8288:$K$8288,$G$8210:$K$8210)*Assumptions!$C$16/12)</f>
        <v>305.625</v>
      </c>
    </row>
    <row r="8304" customFormat="false" ht="15" hidden="false" customHeight="false" outlineLevel="0" collapsed="false">
      <c r="A8304" s="23" t="s">
        <v>461</v>
      </c>
      <c r="B8304" s="24"/>
      <c r="C8304" s="24"/>
      <c r="D8304" s="24"/>
      <c r="E8304" s="24"/>
      <c r="F8304" s="24"/>
      <c r="G8304" s="24"/>
      <c r="H8304" s="24"/>
      <c r="I8304" s="24"/>
      <c r="J8304" s="24"/>
      <c r="K8304" s="24"/>
    </row>
    <row r="8305" customFormat="false" ht="15" hidden="false" customHeight="false" outlineLevel="0" collapsed="false">
      <c r="A8305" s="5" t="s">
        <v>457</v>
      </c>
      <c r="C8305" s="26" t="n">
        <f aca="false">Assumptions!$M$53</f>
        <v>1</v>
      </c>
    </row>
    <row r="8306" customFormat="false" ht="15" hidden="false" customHeight="false" outlineLevel="0" collapsed="false">
      <c r="A8306" s="5" t="s">
        <v>458</v>
      </c>
      <c r="C8306" s="26" t="n">
        <f aca="false">Assumptions!$M$54</f>
        <v>2</v>
      </c>
    </row>
    <row r="8307" customFormat="false" ht="15" hidden="false" customHeight="false" outlineLevel="0" collapsed="false">
      <c r="A8307" s="5" t="s">
        <v>459</v>
      </c>
      <c r="C8307" s="26" t="n">
        <f aca="false">Assumptions!$M$55</f>
        <v>3</v>
      </c>
    </row>
    <row r="8308" customFormat="false" ht="15" hidden="false" customHeight="false" outlineLevel="0" collapsed="false">
      <c r="A8308" s="5" t="s">
        <v>460</v>
      </c>
      <c r="C8308" s="26" t="n">
        <f aca="false">Assumptions!$M$56</f>
        <v>4</v>
      </c>
    </row>
    <row r="8309" customFormat="false" ht="15" hidden="false" customHeight="false" outlineLevel="0" collapsed="false">
      <c r="A8309" s="23" t="s">
        <v>462</v>
      </c>
      <c r="B8309" s="24"/>
      <c r="C8309" s="24"/>
      <c r="D8309" s="24"/>
      <c r="E8309" s="24"/>
      <c r="F8309" s="24"/>
      <c r="G8309" s="24"/>
      <c r="H8309" s="24"/>
      <c r="I8309" s="24"/>
      <c r="J8309" s="24"/>
      <c r="K8309" s="24"/>
    </row>
    <row r="8310" customFormat="false" ht="15" hidden="false" customHeight="false" outlineLevel="0" collapsed="false">
      <c r="A8310" s="5" t="s">
        <v>457</v>
      </c>
      <c r="C8310" s="34" t="n">
        <f aca="false">Assumptions!$Q$53</f>
        <v>0</v>
      </c>
    </row>
    <row r="8311" customFormat="false" ht="15" hidden="false" customHeight="false" outlineLevel="0" collapsed="false">
      <c r="A8311" s="5" t="s">
        <v>458</v>
      </c>
      <c r="C8311" s="34" t="n">
        <f aca="false">Assumptions!$Q$54</f>
        <v>0</v>
      </c>
    </row>
    <row r="8312" customFormat="false" ht="15" hidden="false" customHeight="false" outlineLevel="0" collapsed="false">
      <c r="A8312" s="5" t="s">
        <v>459</v>
      </c>
      <c r="C8312" s="34" t="n">
        <f aca="false">Assumptions!$Q$55</f>
        <v>0</v>
      </c>
    </row>
    <row r="8313" customFormat="false" ht="15" hidden="false" customHeight="false" outlineLevel="0" collapsed="false">
      <c r="A8313" s="5" t="s">
        <v>460</v>
      </c>
      <c r="C8313" s="34" t="n">
        <f aca="false">Assumptions!$Q$56</f>
        <v>0</v>
      </c>
    </row>
    <row r="8314" customFormat="false" ht="15" hidden="false" customHeight="false" outlineLevel="0" collapsed="false">
      <c r="A8314" s="23" t="s">
        <v>463</v>
      </c>
      <c r="B8314" s="24"/>
      <c r="C8314" s="24"/>
      <c r="D8314" s="24"/>
      <c r="E8314" s="24"/>
      <c r="F8314" s="24"/>
      <c r="G8314" s="24"/>
      <c r="H8314" s="24"/>
      <c r="I8314" s="24"/>
      <c r="J8314" s="24"/>
      <c r="K8314" s="24"/>
    </row>
    <row r="8315" customFormat="false" ht="15" hidden="false" customHeight="false" outlineLevel="0" collapsed="false">
      <c r="A8315" s="5" t="s">
        <v>457</v>
      </c>
      <c r="C8315" s="25" t="n">
        <f aca="false">IF(C8310&gt;0,MIN(C8300,C8310*$C$8298),0)</f>
        <v>0</v>
      </c>
    </row>
    <row r="8316" customFormat="false" ht="15" hidden="false" customHeight="false" outlineLevel="0" collapsed="false">
      <c r="A8316" s="5" t="s">
        <v>458</v>
      </c>
      <c r="C8316" s="25" t="n">
        <f aca="false">IF(C8311&gt;0,MIN(C8301,C8311*$C$8298),0)</f>
        <v>0</v>
      </c>
    </row>
    <row r="8317" customFormat="false" ht="15" hidden="false" customHeight="false" outlineLevel="0" collapsed="false">
      <c r="A8317" s="5" t="s">
        <v>459</v>
      </c>
      <c r="C8317" s="25" t="n">
        <f aca="false">IF(C8312&gt;0,MIN(C8302,C8312*$C$8298),0)</f>
        <v>0</v>
      </c>
    </row>
    <row r="8318" customFormat="false" ht="15" hidden="false" customHeight="false" outlineLevel="0" collapsed="false">
      <c r="A8318" s="5" t="s">
        <v>460</v>
      </c>
      <c r="C8318" s="25" t="n">
        <f aca="false">IF(C8313&gt;0,MIN(C8303,C8313*$C$8298),0)</f>
        <v>0</v>
      </c>
    </row>
    <row r="8319" customFormat="false" ht="15" hidden="false" customHeight="false" outlineLevel="0" collapsed="false">
      <c r="A8319" s="23" t="s">
        <v>464</v>
      </c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</row>
    <row r="8320" customFormat="false" ht="15" hidden="false" customHeight="false" outlineLevel="0" collapsed="false">
      <c r="A8320" s="5" t="s">
        <v>457</v>
      </c>
      <c r="C8320" s="25" t="n">
        <f aca="false">IF(C8310&gt;0,C8300-C8315,0)</f>
        <v>0</v>
      </c>
      <c r="G8320" s="20" t="n">
        <f aca="false">IF(AND(G8169=1,G8166=1),1,0)</f>
        <v>0</v>
      </c>
      <c r="H8320" s="20" t="n">
        <f aca="false">IF(G8320=1,1,IF(AND(H8169=1,H8166=1),1,0))</f>
        <v>0</v>
      </c>
      <c r="I8320" s="20" t="n">
        <f aca="false">IF(H8320=1,1,IF(AND(I8169=1,I8166=1),1,0))</f>
        <v>0</v>
      </c>
      <c r="J8320" s="20" t="n">
        <f aca="false">IF(I8320=1,1,IF(AND(J8169=1,J8166=1),1,0))</f>
        <v>0</v>
      </c>
      <c r="K8320" s="20" t="n">
        <f aca="false">IF(J8320=1,1,IF(AND(K8169=1,K8166=1),1,0))</f>
        <v>0</v>
      </c>
    </row>
    <row r="8321" customFormat="false" ht="15" hidden="false" customHeight="false" outlineLevel="0" collapsed="false">
      <c r="A8321" s="5" t="s">
        <v>458</v>
      </c>
      <c r="C8321" s="25" t="n">
        <f aca="false">IF(C8311&gt;0,C8301-C8316,0)</f>
        <v>0</v>
      </c>
      <c r="G8321" s="20" t="n">
        <f aca="false">IF(AND(G8182=1,G8166=1),1,0)</f>
        <v>0</v>
      </c>
      <c r="H8321" s="20" t="n">
        <f aca="false">IF(G8321=1,1,IF(AND(H8182=1,H8166=1),1,0))</f>
        <v>0</v>
      </c>
      <c r="I8321" s="20" t="n">
        <f aca="false">IF(H8321=1,1,IF(AND(I8182=1,I8166=1),1,0))</f>
        <v>0</v>
      </c>
      <c r="J8321" s="20" t="n">
        <f aca="false">IF(I8321=1,1,IF(AND(J8182=1,J8166=1),1,0))</f>
        <v>0</v>
      </c>
      <c r="K8321" s="20" t="n">
        <f aca="false">IF(J8321=1,1,IF(AND(K8182=1,K8166=1),1,0))</f>
        <v>0</v>
      </c>
    </row>
    <row r="8322" customFormat="false" ht="15" hidden="false" customHeight="false" outlineLevel="0" collapsed="false">
      <c r="A8322" s="5" t="s">
        <v>459</v>
      </c>
      <c r="C8322" s="25" t="n">
        <f aca="false">IF(C8312&gt;0,C8302-C8317,0)</f>
        <v>0</v>
      </c>
      <c r="G8322" s="20" t="n">
        <f aca="false">IF(AND(G8195=1,G8166=1),1,0)</f>
        <v>0</v>
      </c>
      <c r="H8322" s="20" t="n">
        <f aca="false">IF(G8322=1,1,IF(AND(H8195=1,H8166=1),1,0))</f>
        <v>0</v>
      </c>
      <c r="I8322" s="20" t="n">
        <f aca="false">IF(H8322=1,1,IF(AND(I8195=1,I8166=1),1,0))</f>
        <v>0</v>
      </c>
      <c r="J8322" s="20" t="n">
        <f aca="false">IF(I8322=1,1,IF(AND(J8195=1,J8166=1),1,0))</f>
        <v>0</v>
      </c>
      <c r="K8322" s="20" t="n">
        <f aca="false">IF(J8322=1,1,IF(AND(K8195=1,K8166=1),1,0))</f>
        <v>0</v>
      </c>
    </row>
    <row r="8323" customFormat="false" ht="15" hidden="false" customHeight="false" outlineLevel="0" collapsed="false">
      <c r="A8323" s="5" t="s">
        <v>460</v>
      </c>
      <c r="C8323" s="25" t="n">
        <f aca="false">IF(C8313&gt;0,C8303-C8318,0)</f>
        <v>0</v>
      </c>
      <c r="G8323" s="20" t="n">
        <f aca="false">IF(AND(G8208=1,G8166=1),1,0)</f>
        <v>0</v>
      </c>
      <c r="H8323" s="20" t="n">
        <f aca="false">IF(G8323=1,1,IF(AND(H8208=1,H8166=1),1,0))</f>
        <v>0</v>
      </c>
      <c r="I8323" s="20" t="n">
        <f aca="false">IF(H8323=1,1,IF(AND(I8208=1,I8166=1),1,0))</f>
        <v>0</v>
      </c>
      <c r="J8323" s="20" t="n">
        <f aca="false">IF(I8323=1,1,IF(AND(J8208=1,J8166=1),1,0))</f>
        <v>0</v>
      </c>
      <c r="K8323" s="20" t="n">
        <f aca="false">IF(J8323=1,1,IF(AND(K8208=1,K8166=1),1,0))</f>
        <v>0</v>
      </c>
    </row>
    <row r="8324" customFormat="false" ht="15" hidden="false" customHeight="false" outlineLevel="0" collapsed="false">
      <c r="A8324" s="23" t="s">
        <v>465</v>
      </c>
      <c r="B8324" s="24"/>
      <c r="C8324" s="24"/>
      <c r="D8324" s="24"/>
      <c r="E8324" s="24"/>
      <c r="F8324" s="24"/>
      <c r="G8324" s="24"/>
      <c r="H8324" s="24"/>
      <c r="I8324" s="24"/>
      <c r="J8324" s="24"/>
      <c r="K8324" s="24"/>
    </row>
    <row r="8325" customFormat="false" ht="15" hidden="false" customHeight="false" outlineLevel="0" collapsed="false">
      <c r="A8325" s="5" t="s">
        <v>457</v>
      </c>
      <c r="C8325" s="25" t="n">
        <f aca="false">IF(C8310&gt;0,C8320,C8300)</f>
        <v>195.5566487</v>
      </c>
    </row>
    <row r="8326" customFormat="false" ht="15" hidden="false" customHeight="false" outlineLevel="0" collapsed="false">
      <c r="A8326" s="5" t="s">
        <v>458</v>
      </c>
      <c r="C8326" s="25" t="n">
        <f aca="false">IF(C8311&gt;0,C8321,C8301)</f>
        <v>524.3147</v>
      </c>
    </row>
    <row r="8327" customFormat="false" ht="15" hidden="false" customHeight="false" outlineLevel="0" collapsed="false">
      <c r="A8327" s="5" t="s">
        <v>459</v>
      </c>
      <c r="C8327" s="25" t="n">
        <f aca="false">IF(C8312&gt;0,C8322,C8302)</f>
        <v>256.875</v>
      </c>
    </row>
    <row r="8328" customFormat="false" ht="15" hidden="false" customHeight="false" outlineLevel="0" collapsed="false">
      <c r="A8328" s="5" t="s">
        <v>460</v>
      </c>
      <c r="C8328" s="25" t="n">
        <f aca="false">IF(C8313&gt;0,C8323,C8303)</f>
        <v>305.625</v>
      </c>
    </row>
    <row r="8329" customFormat="false" ht="15" hidden="false" customHeight="false" outlineLevel="0" collapsed="false">
      <c r="A8329" s="23" t="s">
        <v>466</v>
      </c>
      <c r="B8329" s="24"/>
      <c r="C8329" s="24"/>
      <c r="D8329" s="24"/>
      <c r="E8329" s="24"/>
      <c r="F8329" s="24"/>
      <c r="G8329" s="24"/>
      <c r="H8329" s="24"/>
      <c r="I8329" s="24"/>
      <c r="J8329" s="24"/>
      <c r="K8329" s="24"/>
    </row>
    <row r="8330" customFormat="false" ht="15" hidden="false" customHeight="false" outlineLevel="0" collapsed="false">
      <c r="A8330" s="5" t="s">
        <v>457</v>
      </c>
      <c r="C8330" s="20" t="n">
        <f aca="false">IF(C8310&gt;0,Assumptions!$C$17,C8305)</f>
        <v>1</v>
      </c>
    </row>
    <row r="8331" customFormat="false" ht="15" hidden="false" customHeight="false" outlineLevel="0" collapsed="false">
      <c r="A8331" s="5" t="s">
        <v>458</v>
      </c>
      <c r="C8331" s="20" t="n">
        <f aca="false">IF(C8311&gt;0,Assumptions!$C$17,C8306)</f>
        <v>2</v>
      </c>
    </row>
    <row r="8332" customFormat="false" ht="15" hidden="false" customHeight="false" outlineLevel="0" collapsed="false">
      <c r="A8332" s="5" t="s">
        <v>459</v>
      </c>
      <c r="C8332" s="20" t="n">
        <f aca="false">IF(C8312&gt;0,Assumptions!$C$17,C8307)</f>
        <v>3</v>
      </c>
    </row>
    <row r="8333" customFormat="false" ht="15" hidden="false" customHeight="false" outlineLevel="0" collapsed="false">
      <c r="A8333" s="5" t="s">
        <v>460</v>
      </c>
      <c r="C8333" s="20" t="n">
        <f aca="false">IF(C8313&gt;0,Assumptions!$C$17,C8308)</f>
        <v>4</v>
      </c>
    </row>
    <row r="8334" customFormat="false" ht="15" hidden="false" customHeight="false" outlineLevel="0" collapsed="false">
      <c r="A8334" s="23" t="s">
        <v>467</v>
      </c>
      <c r="B8334" s="24"/>
      <c r="C8334" s="24"/>
      <c r="D8334" s="24"/>
      <c r="E8334" s="24"/>
      <c r="F8334" s="24"/>
      <c r="G8334" s="24"/>
      <c r="H8334" s="24"/>
      <c r="I8334" s="24"/>
      <c r="J8334" s="24"/>
      <c r="K8334" s="24"/>
    </row>
    <row r="8335" customFormat="false" ht="15" hidden="false" customHeight="false" outlineLevel="0" collapsed="false">
      <c r="A8335" s="5" t="s">
        <v>457</v>
      </c>
      <c r="C8335" s="25" t="n">
        <f aca="false">SUMPRODUCT(($C$8330:$C$8333&lt;C8330)*$C$8325:$C$8328)</f>
        <v>0</v>
      </c>
    </row>
    <row r="8336" customFormat="false" ht="15" hidden="false" customHeight="false" outlineLevel="0" collapsed="false">
      <c r="A8336" s="5" t="s">
        <v>458</v>
      </c>
      <c r="C8336" s="25" t="n">
        <f aca="false">SUMPRODUCT(($C$8330:$C$8333&lt;C8331)*$C$8325:$C$8328)</f>
        <v>195.5566487</v>
      </c>
    </row>
    <row r="8337" customFormat="false" ht="15" hidden="false" customHeight="false" outlineLevel="0" collapsed="false">
      <c r="A8337" s="5" t="s">
        <v>459</v>
      </c>
      <c r="C8337" s="25" t="n">
        <f aca="false">SUMPRODUCT(($C$8330:$C$8333&lt;C8332)*$C$8325:$C$8328)</f>
        <v>719.8713487</v>
      </c>
    </row>
    <row r="8338" customFormat="false" ht="15" hidden="false" customHeight="false" outlineLevel="0" collapsed="false">
      <c r="A8338" s="5" t="s">
        <v>460</v>
      </c>
      <c r="C8338" s="25" t="n">
        <f aca="false">SUMPRODUCT(($C$8330:$C$8333&lt;C8333)*$C$8325:$C$8328)</f>
        <v>976.7463487</v>
      </c>
    </row>
    <row r="8339" customFormat="false" ht="15" hidden="false" customHeight="false" outlineLevel="0" collapsed="false">
      <c r="A8339" s="23" t="s">
        <v>468</v>
      </c>
      <c r="B8339" s="24"/>
      <c r="C8339" s="24"/>
      <c r="D8339" s="24"/>
      <c r="E8339" s="24"/>
      <c r="F8339" s="24"/>
      <c r="G8339" s="24"/>
      <c r="H8339" s="24"/>
      <c r="I8339" s="24"/>
      <c r="J8339" s="24"/>
      <c r="K8339" s="24"/>
    </row>
    <row r="8340" customFormat="false" ht="15" hidden="false" customHeight="false" outlineLevel="0" collapsed="false">
      <c r="A8340" s="5" t="s">
        <v>457</v>
      </c>
      <c r="C8340" s="25" t="n">
        <f aca="false">SUMPRODUCT(($C$8330:$C$8333=C8330)*$C$8325:$C$8328)</f>
        <v>195.5566487</v>
      </c>
    </row>
    <row r="8341" customFormat="false" ht="15" hidden="false" customHeight="false" outlineLevel="0" collapsed="false">
      <c r="A8341" s="5" t="s">
        <v>458</v>
      </c>
      <c r="C8341" s="25" t="n">
        <f aca="false">SUMPRODUCT(($C$8330:$C$8333=C8331)*$C$8325:$C$8328)</f>
        <v>524.3147</v>
      </c>
    </row>
    <row r="8342" customFormat="false" ht="15" hidden="false" customHeight="false" outlineLevel="0" collapsed="false">
      <c r="A8342" s="5" t="s">
        <v>459</v>
      </c>
      <c r="C8342" s="25" t="n">
        <f aca="false">SUMPRODUCT(($C$8330:$C$8333=C8332)*$C$8325:$C$8328)</f>
        <v>256.875</v>
      </c>
    </row>
    <row r="8343" customFormat="false" ht="15" hidden="false" customHeight="false" outlineLevel="0" collapsed="false">
      <c r="A8343" s="5" t="s">
        <v>460</v>
      </c>
      <c r="C8343" s="25" t="n">
        <f aca="false">SUMPRODUCT(($C$8330:$C$8333=C8333)*$C$8325:$C$8328)</f>
        <v>305.625</v>
      </c>
    </row>
    <row r="8344" customFormat="false" ht="15" hidden="false" customHeight="false" outlineLevel="0" collapsed="false">
      <c r="A8344" s="23" t="s">
        <v>469</v>
      </c>
      <c r="B8344" s="24"/>
      <c r="C8344" s="24"/>
      <c r="D8344" s="24"/>
      <c r="E8344" s="24"/>
      <c r="F8344" s="24"/>
      <c r="G8344" s="24"/>
      <c r="H8344" s="24"/>
      <c r="I8344" s="24"/>
      <c r="J8344" s="24"/>
      <c r="K8344" s="24"/>
    </row>
    <row r="8345" customFormat="false" ht="15" hidden="false" customHeight="false" outlineLevel="0" collapsed="false">
      <c r="A8345" s="5" t="s">
        <v>457</v>
      </c>
      <c r="C8345" s="25" t="n">
        <f aca="false">IF(C8340=0,0,C8325/C8340*MAX(0,MIN(C8340,$C$8298-SUM($C$8315:$C$8318)-C8335)))</f>
        <v>195.5566487</v>
      </c>
    </row>
    <row r="8346" customFormat="false" ht="15" hidden="false" customHeight="false" outlineLevel="0" collapsed="false">
      <c r="A8346" s="5" t="s">
        <v>458</v>
      </c>
      <c r="C8346" s="25" t="n">
        <f aca="false">IF(C8341=0,0,C8326/C8341*MAX(0,MIN(C8341,$C$8298-SUM($C$8315:$C$8318)-C8336)))</f>
        <v>313.6273513</v>
      </c>
    </row>
    <row r="8347" customFormat="false" ht="15" hidden="false" customHeight="false" outlineLevel="0" collapsed="false">
      <c r="A8347" s="5" t="s">
        <v>459</v>
      </c>
      <c r="C8347" s="25" t="n">
        <f aca="false">IF(C8342=0,0,C8327/C8342*MAX(0,MIN(C8342,$C$8298-SUM($C$8315:$C$8318)-C8337)))</f>
        <v>0</v>
      </c>
    </row>
    <row r="8348" customFormat="false" ht="15" hidden="false" customHeight="false" outlineLevel="0" collapsed="false">
      <c r="A8348" s="5" t="s">
        <v>460</v>
      </c>
      <c r="C8348" s="25" t="n">
        <f aca="false">IF(C8343=0,0,C8328/C8343*MAX(0,MIN(C8343,$C$8298-SUM($C$8315:$C$8318)-C8338)))</f>
        <v>0</v>
      </c>
    </row>
    <row r="8349" customFormat="false" ht="15" hidden="false" customHeight="false" outlineLevel="0" collapsed="false">
      <c r="A8349" s="23" t="s">
        <v>470</v>
      </c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</row>
    <row r="8350" customFormat="false" ht="15" hidden="false" customHeight="false" outlineLevel="0" collapsed="false">
      <c r="A8350" s="2" t="s">
        <v>457</v>
      </c>
      <c r="C8350" s="16" t="n">
        <f aca="false">C8315+C8345</f>
        <v>195.5566487</v>
      </c>
    </row>
    <row r="8351" customFormat="false" ht="15" hidden="false" customHeight="false" outlineLevel="0" collapsed="false">
      <c r="A8351" s="2" t="s">
        <v>458</v>
      </c>
      <c r="C8351" s="16" t="n">
        <f aca="false">C8316+C8346</f>
        <v>313.6273513</v>
      </c>
    </row>
    <row r="8352" customFormat="false" ht="15" hidden="false" customHeight="false" outlineLevel="0" collapsed="false">
      <c r="A8352" s="2" t="s">
        <v>459</v>
      </c>
      <c r="C8352" s="16" t="n">
        <f aca="false">C8317+C8347</f>
        <v>0</v>
      </c>
    </row>
    <row r="8353" customFormat="false" ht="15" hidden="false" customHeight="false" outlineLevel="0" collapsed="false">
      <c r="A8353" s="2" t="s">
        <v>460</v>
      </c>
      <c r="C8353" s="16" t="n">
        <f aca="false">C8318+C8348</f>
        <v>0</v>
      </c>
    </row>
    <row r="8354" customFormat="false" ht="15" hidden="false" customHeight="false" outlineLevel="0" collapsed="false">
      <c r="A8354" s="23" t="s">
        <v>471</v>
      </c>
      <c r="B8354" s="24"/>
      <c r="C8354" s="24"/>
      <c r="D8354" s="24"/>
      <c r="E8354" s="24"/>
      <c r="F8354" s="24"/>
      <c r="G8354" s="24"/>
      <c r="H8354" s="24"/>
      <c r="I8354" s="24"/>
      <c r="J8354" s="24"/>
      <c r="K8354" s="24"/>
    </row>
    <row r="8355" customFormat="false" ht="15" hidden="false" customHeight="false" outlineLevel="0" collapsed="false">
      <c r="A8355" s="5" t="s">
        <v>457</v>
      </c>
      <c r="C8355" s="21" t="n">
        <f aca="false">IF(C8300=0,1,C8350/C8300)</f>
        <v>1</v>
      </c>
    </row>
    <row r="8356" customFormat="false" ht="15" hidden="false" customHeight="false" outlineLevel="0" collapsed="false">
      <c r="A8356" s="5" t="s">
        <v>458</v>
      </c>
      <c r="C8356" s="21" t="n">
        <f aca="false">IF(C8301=0,1,C8351/C8301)</f>
        <v>0.598166237376141</v>
      </c>
    </row>
    <row r="8357" customFormat="false" ht="15" hidden="false" customHeight="false" outlineLevel="0" collapsed="false">
      <c r="A8357" s="5" t="s">
        <v>459</v>
      </c>
      <c r="C8357" s="21" t="n">
        <f aca="false">IF(C8302=0,1,C8352/C8302)</f>
        <v>0</v>
      </c>
    </row>
    <row r="8358" customFormat="false" ht="15" hidden="false" customHeight="false" outlineLevel="0" collapsed="false">
      <c r="A8358" s="5" t="s">
        <v>460</v>
      </c>
      <c r="C8358" s="21" t="n">
        <f aca="false">IF(C8303=0,1,C8353/C8303)</f>
        <v>0</v>
      </c>
    </row>
    <row r="8359" customFormat="false" ht="15" hidden="false" customHeight="false" outlineLevel="0" collapsed="false">
      <c r="A8359" s="23" t="s">
        <v>472</v>
      </c>
      <c r="B8359" s="24"/>
      <c r="C8359" s="24"/>
      <c r="D8359" s="24"/>
      <c r="E8359" s="24"/>
      <c r="F8359" s="24"/>
      <c r="G8359" s="24"/>
      <c r="H8359" s="24"/>
      <c r="I8359" s="24"/>
      <c r="J8359" s="24"/>
      <c r="K8359" s="24"/>
    </row>
    <row r="8360" customFormat="false" ht="15" hidden="false" customHeight="false" outlineLevel="0" collapsed="false">
      <c r="A8360" s="5" t="s">
        <v>457</v>
      </c>
      <c r="C8360" s="25" t="n">
        <f aca="false">C8300-C8350</f>
        <v>0</v>
      </c>
    </row>
    <row r="8361" customFormat="false" ht="15" hidden="false" customHeight="false" outlineLevel="0" collapsed="false">
      <c r="A8361" s="5" t="s">
        <v>458</v>
      </c>
      <c r="C8361" s="25" t="n">
        <f aca="false">C8301-C8351</f>
        <v>210.6873487</v>
      </c>
    </row>
    <row r="8362" customFormat="false" ht="15" hidden="false" customHeight="false" outlineLevel="0" collapsed="false">
      <c r="A8362" s="5" t="s">
        <v>459</v>
      </c>
      <c r="C8362" s="25" t="n">
        <f aca="false">C8302-C8352</f>
        <v>256.875</v>
      </c>
    </row>
    <row r="8363" customFormat="false" ht="15" hidden="false" customHeight="false" outlineLevel="0" collapsed="false">
      <c r="A8363" s="5" t="s">
        <v>460</v>
      </c>
      <c r="C8363" s="25" t="n">
        <f aca="false">C8303-C8353</f>
        <v>305.625</v>
      </c>
    </row>
    <row r="8364" customFormat="false" ht="15" hidden="false" customHeight="false" outlineLevel="0" collapsed="false">
      <c r="A8364" s="23" t="s">
        <v>473</v>
      </c>
      <c r="B8364" s="24"/>
      <c r="C8364" s="24"/>
      <c r="D8364" s="24"/>
      <c r="E8364" s="24"/>
      <c r="F8364" s="24"/>
      <c r="G8364" s="24"/>
      <c r="H8364" s="24"/>
      <c r="I8364" s="24"/>
      <c r="J8364" s="24"/>
      <c r="K8364" s="24"/>
    </row>
    <row r="8365" customFormat="false" ht="15" hidden="false" customHeight="false" outlineLevel="0" collapsed="false">
      <c r="A8365" s="5" t="s">
        <v>457</v>
      </c>
      <c r="C8365" s="21" t="n">
        <f aca="false">IF(C8300=0,0,C8360/C8300)</f>
        <v>0</v>
      </c>
    </row>
    <row r="8366" customFormat="false" ht="15" hidden="false" customHeight="false" outlineLevel="0" collapsed="false">
      <c r="A8366" s="5" t="s">
        <v>458</v>
      </c>
      <c r="C8366" s="21" t="n">
        <f aca="false">IF(C8301=0,0,C8361/C8301)</f>
        <v>0.401833762623859</v>
      </c>
    </row>
    <row r="8367" customFormat="false" ht="15" hidden="false" customHeight="false" outlineLevel="0" collapsed="false">
      <c r="A8367" s="5" t="s">
        <v>459</v>
      </c>
      <c r="C8367" s="21" t="n">
        <f aca="false">IF(C8302=0,0,C8362/C8302)</f>
        <v>1</v>
      </c>
    </row>
    <row r="8368" customFormat="false" ht="15" hidden="false" customHeight="false" outlineLevel="0" collapsed="false">
      <c r="A8368" s="5" t="s">
        <v>460</v>
      </c>
      <c r="C8368" s="21" t="n">
        <f aca="false">IF(C8303=0,0,C8363/C8303)</f>
        <v>1</v>
      </c>
    </row>
    <row r="8369" customFormat="false" ht="15" hidden="false" customHeight="false" outlineLevel="0" collapsed="false">
      <c r="A8369" s="2" t="s">
        <v>474</v>
      </c>
      <c r="C8369" s="16" t="n">
        <f aca="false">MAX(0,$C$8298-SUM($C$8315:$C$8318)-SUM($C$8325:$C$8328))</f>
        <v>0</v>
      </c>
    </row>
    <row r="8370" customFormat="false" ht="15" hidden="false" customHeight="false" outlineLevel="0" collapsed="false">
      <c r="A8370" s="5" t="s">
        <v>475</v>
      </c>
      <c r="C8370" s="25" t="n">
        <f aca="false">SUM($C$8350:$C$8353)+C8369+C8297-C8296</f>
        <v>0</v>
      </c>
    </row>
    <row r="8372" customFormat="false" ht="15" hidden="false" customHeight="false" outlineLevel="0" collapsed="false">
      <c r="A8372" s="23" t="s">
        <v>478</v>
      </c>
      <c r="B8372" s="24"/>
      <c r="C8372" s="24"/>
      <c r="D8372" s="24"/>
      <c r="E8372" s="24"/>
      <c r="F8372" s="24"/>
      <c r="G8372" s="24"/>
      <c r="H8372" s="24"/>
      <c r="I8372" s="24"/>
      <c r="J8372" s="24"/>
      <c r="K8372" s="24"/>
    </row>
    <row r="8373" customFormat="false" ht="15" hidden="false" customHeight="false" outlineLevel="0" collapsed="false">
      <c r="A8373" s="5" t="s">
        <v>479</v>
      </c>
      <c r="C8373" s="26" t="n">
        <f aca="false">Assumptions!$C$30</f>
        <v>2</v>
      </c>
    </row>
    <row r="8374" customFormat="false" ht="15" hidden="false" customHeight="false" outlineLevel="0" collapsed="false">
      <c r="A8374" s="5" t="s">
        <v>480</v>
      </c>
      <c r="C8374" s="28" t="n">
        <f aca="false">Assumptions!$C$31</f>
        <v>100</v>
      </c>
    </row>
    <row r="8375" customFormat="false" ht="15" hidden="false" customHeight="false" outlineLevel="0" collapsed="false">
      <c r="A8375" s="5" t="s">
        <v>481</v>
      </c>
      <c r="C8375" s="39" t="n">
        <f aca="false">Assumptions!$C$32</f>
        <v>78</v>
      </c>
    </row>
    <row r="8376" customFormat="false" ht="15" hidden="false" customHeight="false" outlineLevel="0" collapsed="false">
      <c r="A8376" s="5" t="s">
        <v>482</v>
      </c>
      <c r="C8376" s="25" t="n">
        <f aca="false">C8374*C8375/100*(1+Assumptions!$C$33)</f>
        <v>78.39</v>
      </c>
    </row>
    <row r="8377" customFormat="false" ht="15" hidden="false" customHeight="false" outlineLevel="0" collapsed="false">
      <c r="A8377" s="5" t="s">
        <v>483</v>
      </c>
      <c r="C8377" s="26" t="n">
        <f aca="false">Assumptions!$C$34</f>
        <v>2</v>
      </c>
    </row>
    <row r="8378" customFormat="false" ht="15" hidden="false" customHeight="false" outlineLevel="0" collapsed="false">
      <c r="A8378" s="5" t="s">
        <v>484</v>
      </c>
      <c r="C8378" s="20" t="n">
        <f aca="false">IF(C8289=1,SUMPRODUCT($G$8257:$K$8257,$G$8133:$K$8133),0)</f>
        <v>2</v>
      </c>
    </row>
    <row r="8379" customFormat="false" ht="15" hidden="false" customHeight="false" outlineLevel="0" collapsed="false">
      <c r="A8379" s="5" t="s">
        <v>485</v>
      </c>
      <c r="C8379" s="21" t="n">
        <f aca="false">IFERROR(C8374/CHOOSE(C8373,SUMPRODUCT($G$8288:$K$8288,$G$8179:$K$8179),SUMPRODUCT($G$8288:$K$8288,$G$8192:$K$8192),SUMPRODUCT($G$8288:$K$8288,$G$8205:$K$8205),SUMPRODUCT($G$8288:$K$8288,$G$8218:$K$8218)),0)</f>
        <v>0.196232339089482</v>
      </c>
    </row>
    <row r="8380" customFormat="false" ht="15" hidden="false" customHeight="false" outlineLevel="0" collapsed="false">
      <c r="A8380" s="5" t="s">
        <v>486</v>
      </c>
      <c r="C8380" s="25" t="n">
        <f aca="false">CHOOSE(C8373,C8350,C8351,C8352,C8353)*C8379</f>
        <v>61.5438287480377</v>
      </c>
    </row>
    <row r="8381" customFormat="false" ht="15" hidden="false" customHeight="false" outlineLevel="0" collapsed="false">
      <c r="A8381" s="5" t="s">
        <v>487</v>
      </c>
      <c r="C8381" s="21" t="n">
        <f aca="false">CHOOSE(C8373,C8355,C8356,C8357,C8358)</f>
        <v>0.598166237376141</v>
      </c>
    </row>
    <row r="8382" customFormat="false" ht="15" hidden="false" customHeight="false" outlineLevel="0" collapsed="false">
      <c r="A8382" s="5" t="s">
        <v>488</v>
      </c>
      <c r="C8382" s="20" t="n">
        <f aca="false">IF(C8289=1,C8378,C8377)</f>
        <v>2</v>
      </c>
    </row>
    <row r="8383" customFormat="false" ht="15" hidden="false" customHeight="false" outlineLevel="0" collapsed="false">
      <c r="A8383" s="5" t="s">
        <v>489</v>
      </c>
      <c r="C8383" s="33" t="n">
        <f aca="false">CHOOSE($C$8125,Assumptions!$C$77,Assumptions!$C$96,Assumptions!$C$115)</f>
        <v>90</v>
      </c>
    </row>
    <row r="8384" customFormat="false" ht="15" hidden="false" customHeight="false" outlineLevel="0" collapsed="false">
      <c r="A8384" s="5" t="s">
        <v>490</v>
      </c>
      <c r="C8384" s="25" t="n">
        <f aca="false">INDEX($G$8142:$K$8142,C8377)*CHOOSE($C$8125,Assumptions!$C$76,Assumptions!$C$95,Assumptions!$C$114)+MAX(0,INDEX($G$8254:$K$8254,C8377))</f>
        <v>195.336792</v>
      </c>
    </row>
    <row r="8385" customFormat="false" ht="15" hidden="false" customHeight="false" outlineLevel="0" collapsed="false">
      <c r="A8385" s="23" t="s">
        <v>491</v>
      </c>
      <c r="B8385" s="24"/>
      <c r="C8385" s="24"/>
      <c r="D8385" s="24"/>
      <c r="E8385" s="24"/>
      <c r="F8385" s="24"/>
      <c r="G8385" s="24"/>
      <c r="H8385" s="24"/>
      <c r="I8385" s="24"/>
      <c r="J8385" s="24"/>
      <c r="K8385" s="24"/>
    </row>
    <row r="8386" customFormat="false" ht="15" hidden="false" customHeight="false" outlineLevel="0" collapsed="false">
      <c r="A8386" s="5" t="s">
        <v>457</v>
      </c>
      <c r="C8386" s="25" t="n">
        <f aca="false">INDEX($G$8179:$K$8179,C8377)</f>
        <v>190.8568</v>
      </c>
    </row>
    <row r="8387" customFormat="false" ht="15" hidden="false" customHeight="false" outlineLevel="0" collapsed="false">
      <c r="A8387" s="5" t="s">
        <v>458</v>
      </c>
      <c r="C8387" s="25" t="n">
        <f aca="false">INDEX($G$8192:$K$8192,C8377)</f>
        <v>509.6</v>
      </c>
    </row>
    <row r="8388" customFormat="false" ht="15" hidden="false" customHeight="false" outlineLevel="0" collapsed="false">
      <c r="A8388" s="5" t="s">
        <v>459</v>
      </c>
      <c r="C8388" s="25" t="n">
        <f aca="false">INDEX($G$8205:$K$8205,C8377)</f>
        <v>250</v>
      </c>
    </row>
    <row r="8389" customFormat="false" ht="15" hidden="false" customHeight="false" outlineLevel="0" collapsed="false">
      <c r="A8389" s="5" t="s">
        <v>460</v>
      </c>
      <c r="C8389" s="25" t="n">
        <f aca="false">INDEX($G$8218:$K$8218,C8377)</f>
        <v>300</v>
      </c>
    </row>
    <row r="8390" customFormat="false" ht="15" hidden="false" customHeight="false" outlineLevel="0" collapsed="false">
      <c r="A8390" s="23" t="s">
        <v>461</v>
      </c>
      <c r="B8390" s="24"/>
      <c r="C8390" s="24"/>
      <c r="D8390" s="24"/>
      <c r="E8390" s="24"/>
      <c r="F8390" s="24"/>
      <c r="G8390" s="24"/>
      <c r="H8390" s="24"/>
      <c r="I8390" s="24"/>
      <c r="J8390" s="24"/>
      <c r="K8390" s="24"/>
    </row>
    <row r="8391" customFormat="false" ht="15" hidden="false" customHeight="false" outlineLevel="0" collapsed="false">
      <c r="A8391" s="5" t="s">
        <v>457</v>
      </c>
      <c r="C8391" s="26" t="n">
        <f aca="false">Assumptions!$M$53</f>
        <v>1</v>
      </c>
    </row>
    <row r="8392" customFormat="false" ht="15" hidden="false" customHeight="false" outlineLevel="0" collapsed="false">
      <c r="A8392" s="5" t="s">
        <v>458</v>
      </c>
      <c r="C8392" s="26" t="n">
        <f aca="false">Assumptions!$M$54</f>
        <v>2</v>
      </c>
    </row>
    <row r="8393" customFormat="false" ht="15" hidden="false" customHeight="false" outlineLevel="0" collapsed="false">
      <c r="A8393" s="5" t="s">
        <v>459</v>
      </c>
      <c r="C8393" s="26" t="n">
        <f aca="false">Assumptions!$M$55</f>
        <v>3</v>
      </c>
    </row>
    <row r="8394" customFormat="false" ht="15" hidden="false" customHeight="false" outlineLevel="0" collapsed="false">
      <c r="A8394" s="5" t="s">
        <v>460</v>
      </c>
      <c r="C8394" s="26" t="n">
        <f aca="false">Assumptions!$M$56</f>
        <v>4</v>
      </c>
    </row>
    <row r="8395" customFormat="false" ht="15" hidden="false" customHeight="false" outlineLevel="0" collapsed="false">
      <c r="A8395" s="23" t="s">
        <v>462</v>
      </c>
      <c r="B8395" s="24"/>
      <c r="C8395" s="24"/>
      <c r="D8395" s="24"/>
      <c r="E8395" s="24"/>
      <c r="F8395" s="24"/>
      <c r="G8395" s="24"/>
      <c r="H8395" s="24"/>
      <c r="I8395" s="24"/>
      <c r="J8395" s="24"/>
      <c r="K8395" s="24"/>
    </row>
    <row r="8396" customFormat="false" ht="15" hidden="false" customHeight="false" outlineLevel="0" collapsed="false">
      <c r="A8396" s="5" t="s">
        <v>457</v>
      </c>
      <c r="C8396" s="34" t="n">
        <f aca="false">Assumptions!$Q$53</f>
        <v>0</v>
      </c>
    </row>
    <row r="8397" customFormat="false" ht="15" hidden="false" customHeight="false" outlineLevel="0" collapsed="false">
      <c r="A8397" s="5" t="s">
        <v>458</v>
      </c>
      <c r="C8397" s="34" t="n">
        <f aca="false">Assumptions!$Q$54</f>
        <v>0</v>
      </c>
    </row>
    <row r="8398" customFormat="false" ht="15" hidden="false" customHeight="false" outlineLevel="0" collapsed="false">
      <c r="A8398" s="5" t="s">
        <v>459</v>
      </c>
      <c r="C8398" s="34" t="n">
        <f aca="false">Assumptions!$Q$55</f>
        <v>0</v>
      </c>
    </row>
    <row r="8399" customFormat="false" ht="15" hidden="false" customHeight="false" outlineLevel="0" collapsed="false">
      <c r="A8399" s="5" t="s">
        <v>460</v>
      </c>
      <c r="C8399" s="34" t="n">
        <f aca="false">Assumptions!$Q$56</f>
        <v>0</v>
      </c>
    </row>
    <row r="8400" customFormat="false" ht="15" hidden="false" customHeight="false" outlineLevel="0" collapsed="false">
      <c r="A8400" s="23" t="s">
        <v>463</v>
      </c>
      <c r="B8400" s="24"/>
      <c r="C8400" s="24"/>
      <c r="D8400" s="24"/>
      <c r="E8400" s="24"/>
      <c r="F8400" s="24"/>
      <c r="G8400" s="24"/>
      <c r="H8400" s="24"/>
      <c r="I8400" s="24"/>
      <c r="J8400" s="24"/>
      <c r="K8400" s="24"/>
    </row>
    <row r="8401" customFormat="false" ht="15" hidden="false" customHeight="false" outlineLevel="0" collapsed="false">
      <c r="A8401" s="5" t="s">
        <v>457</v>
      </c>
      <c r="C8401" s="25" t="n">
        <f aca="false">IF(C8396&gt;0,MIN(C8386,C8396*$C$8384),0)</f>
        <v>0</v>
      </c>
    </row>
    <row r="8402" customFormat="false" ht="15" hidden="false" customHeight="false" outlineLevel="0" collapsed="false">
      <c r="A8402" s="5" t="s">
        <v>458</v>
      </c>
      <c r="C8402" s="25" t="n">
        <f aca="false">IF(C8397&gt;0,MIN(C8387,C8397*$C$8384),0)</f>
        <v>0</v>
      </c>
    </row>
    <row r="8403" customFormat="false" ht="15" hidden="false" customHeight="false" outlineLevel="0" collapsed="false">
      <c r="A8403" s="5" t="s">
        <v>459</v>
      </c>
      <c r="C8403" s="25" t="n">
        <f aca="false">IF(C8398&gt;0,MIN(C8388,C8398*$C$8384),0)</f>
        <v>0</v>
      </c>
    </row>
    <row r="8404" customFormat="false" ht="15" hidden="false" customHeight="false" outlineLevel="0" collapsed="false">
      <c r="A8404" s="5" t="s">
        <v>460</v>
      </c>
      <c r="C8404" s="25" t="n">
        <f aca="false">IF(C8399&gt;0,MIN(C8389,C8399*$C$8384),0)</f>
        <v>0</v>
      </c>
    </row>
    <row r="8405" customFormat="false" ht="15" hidden="false" customHeight="false" outlineLevel="0" collapsed="false">
      <c r="A8405" s="23" t="s">
        <v>464</v>
      </c>
      <c r="B8405" s="24"/>
      <c r="C8405" s="24"/>
      <c r="D8405" s="24"/>
      <c r="E8405" s="24"/>
      <c r="F8405" s="24"/>
      <c r="G8405" s="24"/>
      <c r="H8405" s="24"/>
      <c r="I8405" s="24"/>
      <c r="J8405" s="24"/>
      <c r="K8405" s="24"/>
    </row>
    <row r="8406" customFormat="false" ht="15" hidden="false" customHeight="false" outlineLevel="0" collapsed="false">
      <c r="A8406" s="5" t="s">
        <v>457</v>
      </c>
      <c r="C8406" s="25" t="n">
        <f aca="false">IF(C8396&gt;0,C8386-C8401,0)</f>
        <v>0</v>
      </c>
    </row>
    <row r="8407" customFormat="false" ht="15" hidden="false" customHeight="false" outlineLevel="0" collapsed="false">
      <c r="A8407" s="5" t="s">
        <v>458</v>
      </c>
      <c r="C8407" s="25" t="n">
        <f aca="false">IF(C8397&gt;0,C8387-C8402,0)</f>
        <v>0</v>
      </c>
    </row>
    <row r="8408" customFormat="false" ht="15" hidden="false" customHeight="false" outlineLevel="0" collapsed="false">
      <c r="A8408" s="5" t="s">
        <v>459</v>
      </c>
      <c r="C8408" s="25" t="n">
        <f aca="false">IF(C8398&gt;0,C8388-C8403,0)</f>
        <v>0</v>
      </c>
    </row>
    <row r="8409" customFormat="false" ht="15" hidden="false" customHeight="false" outlineLevel="0" collapsed="false">
      <c r="A8409" s="5" t="s">
        <v>460</v>
      </c>
      <c r="C8409" s="25" t="n">
        <f aca="false">IF(C8399&gt;0,C8389-C8404,0)</f>
        <v>0</v>
      </c>
    </row>
    <row r="8410" customFormat="false" ht="15" hidden="false" customHeight="false" outlineLevel="0" collapsed="false">
      <c r="A8410" s="23" t="s">
        <v>465</v>
      </c>
      <c r="B8410" s="24"/>
      <c r="C8410" s="24"/>
      <c r="D8410" s="24"/>
      <c r="E8410" s="24"/>
      <c r="F8410" s="24"/>
      <c r="G8410" s="24"/>
      <c r="H8410" s="24"/>
      <c r="I8410" s="24"/>
      <c r="J8410" s="24"/>
      <c r="K8410" s="24"/>
    </row>
    <row r="8411" customFormat="false" ht="15" hidden="false" customHeight="false" outlineLevel="0" collapsed="false">
      <c r="A8411" s="5" t="s">
        <v>457</v>
      </c>
      <c r="C8411" s="25" t="n">
        <f aca="false">IF(C8396&gt;0,C8406,C8386)</f>
        <v>190.8568</v>
      </c>
    </row>
    <row r="8412" customFormat="false" ht="15" hidden="false" customHeight="false" outlineLevel="0" collapsed="false">
      <c r="A8412" s="5" t="s">
        <v>458</v>
      </c>
      <c r="C8412" s="25" t="n">
        <f aca="false">IF(C8397&gt;0,C8407,C8387)</f>
        <v>509.6</v>
      </c>
    </row>
    <row r="8413" customFormat="false" ht="15" hidden="false" customHeight="false" outlineLevel="0" collapsed="false">
      <c r="A8413" s="5" t="s">
        <v>459</v>
      </c>
      <c r="C8413" s="25" t="n">
        <f aca="false">IF(C8398&gt;0,C8408,C8388)</f>
        <v>250</v>
      </c>
    </row>
    <row r="8414" customFormat="false" ht="15" hidden="false" customHeight="false" outlineLevel="0" collapsed="false">
      <c r="A8414" s="5" t="s">
        <v>460</v>
      </c>
      <c r="C8414" s="25" t="n">
        <f aca="false">IF(C8399&gt;0,C8409,C8389)</f>
        <v>300</v>
      </c>
    </row>
    <row r="8415" customFormat="false" ht="15" hidden="false" customHeight="false" outlineLevel="0" collapsed="false">
      <c r="A8415" s="23" t="s">
        <v>466</v>
      </c>
      <c r="B8415" s="24"/>
      <c r="C8415" s="24"/>
      <c r="D8415" s="24"/>
      <c r="E8415" s="24"/>
      <c r="F8415" s="24"/>
      <c r="G8415" s="24"/>
      <c r="H8415" s="24"/>
      <c r="I8415" s="24"/>
      <c r="J8415" s="24"/>
      <c r="K8415" s="24"/>
    </row>
    <row r="8416" customFormat="false" ht="15" hidden="false" customHeight="false" outlineLevel="0" collapsed="false">
      <c r="A8416" s="5" t="s">
        <v>457</v>
      </c>
      <c r="C8416" s="20" t="n">
        <f aca="false">IF(C8396&gt;0,Assumptions!$C$17,C8391)</f>
        <v>1</v>
      </c>
    </row>
    <row r="8417" customFormat="false" ht="15" hidden="false" customHeight="false" outlineLevel="0" collapsed="false">
      <c r="A8417" s="5" t="s">
        <v>458</v>
      </c>
      <c r="C8417" s="20" t="n">
        <f aca="false">IF(C8397&gt;0,Assumptions!$C$17,C8392)</f>
        <v>2</v>
      </c>
    </row>
    <row r="8418" customFormat="false" ht="15" hidden="false" customHeight="false" outlineLevel="0" collapsed="false">
      <c r="A8418" s="5" t="s">
        <v>459</v>
      </c>
      <c r="C8418" s="20" t="n">
        <f aca="false">IF(C8398&gt;0,Assumptions!$C$17,C8393)</f>
        <v>3</v>
      </c>
    </row>
    <row r="8419" customFormat="false" ht="15" hidden="false" customHeight="false" outlineLevel="0" collapsed="false">
      <c r="A8419" s="5" t="s">
        <v>460</v>
      </c>
      <c r="C8419" s="20" t="n">
        <f aca="false">IF(C8399&gt;0,Assumptions!$C$17,C8394)</f>
        <v>4</v>
      </c>
    </row>
    <row r="8420" customFormat="false" ht="15" hidden="false" customHeight="false" outlineLevel="0" collapsed="false">
      <c r="A8420" s="23" t="s">
        <v>467</v>
      </c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</row>
    <row r="8421" customFormat="false" ht="15" hidden="false" customHeight="false" outlineLevel="0" collapsed="false">
      <c r="A8421" s="5" t="s">
        <v>457</v>
      </c>
      <c r="C8421" s="25" t="n">
        <f aca="false">SUMPRODUCT(($C$8416:$C$8419&lt;C8416)*$C$8411:$C$8414)</f>
        <v>0</v>
      </c>
    </row>
    <row r="8422" customFormat="false" ht="15" hidden="false" customHeight="false" outlineLevel="0" collapsed="false">
      <c r="A8422" s="5" t="s">
        <v>458</v>
      </c>
      <c r="C8422" s="25" t="n">
        <f aca="false">SUMPRODUCT(($C$8416:$C$8419&lt;C8417)*$C$8411:$C$8414)</f>
        <v>190.8568</v>
      </c>
    </row>
    <row r="8423" customFormat="false" ht="15" hidden="false" customHeight="false" outlineLevel="0" collapsed="false">
      <c r="A8423" s="5" t="s">
        <v>459</v>
      </c>
      <c r="C8423" s="25" t="n">
        <f aca="false">SUMPRODUCT(($C$8416:$C$8419&lt;C8418)*$C$8411:$C$8414)</f>
        <v>700.4568</v>
      </c>
    </row>
    <row r="8424" customFormat="false" ht="15" hidden="false" customHeight="false" outlineLevel="0" collapsed="false">
      <c r="A8424" s="5" t="s">
        <v>460</v>
      </c>
      <c r="C8424" s="25" t="n">
        <f aca="false">SUMPRODUCT(($C$8416:$C$8419&lt;C8419)*$C$8411:$C$8414)</f>
        <v>950.4568</v>
      </c>
    </row>
    <row r="8425" customFormat="false" ht="15" hidden="false" customHeight="false" outlineLevel="0" collapsed="false">
      <c r="A8425" s="23" t="s">
        <v>468</v>
      </c>
      <c r="B8425" s="24"/>
      <c r="C8425" s="24"/>
      <c r="D8425" s="24"/>
      <c r="E8425" s="24"/>
      <c r="F8425" s="24"/>
      <c r="G8425" s="24"/>
      <c r="H8425" s="24"/>
      <c r="I8425" s="24"/>
      <c r="J8425" s="24"/>
      <c r="K8425" s="24"/>
    </row>
    <row r="8426" customFormat="false" ht="15" hidden="false" customHeight="false" outlineLevel="0" collapsed="false">
      <c r="A8426" s="5" t="s">
        <v>457</v>
      </c>
      <c r="C8426" s="25" t="n">
        <f aca="false">SUMPRODUCT(($C$8416:$C$8419=C8416)*$C$8411:$C$8414)</f>
        <v>190.8568</v>
      </c>
    </row>
    <row r="8427" customFormat="false" ht="15" hidden="false" customHeight="false" outlineLevel="0" collapsed="false">
      <c r="A8427" s="5" t="s">
        <v>458</v>
      </c>
      <c r="C8427" s="25" t="n">
        <f aca="false">SUMPRODUCT(($C$8416:$C$8419=C8417)*$C$8411:$C$8414)</f>
        <v>509.6</v>
      </c>
    </row>
    <row r="8428" customFormat="false" ht="15" hidden="false" customHeight="false" outlineLevel="0" collapsed="false">
      <c r="A8428" s="5" t="s">
        <v>459</v>
      </c>
      <c r="C8428" s="25" t="n">
        <f aca="false">SUMPRODUCT(($C$8416:$C$8419=C8418)*$C$8411:$C$8414)</f>
        <v>250</v>
      </c>
    </row>
    <row r="8429" customFormat="false" ht="15" hidden="false" customHeight="false" outlineLevel="0" collapsed="false">
      <c r="A8429" s="5" t="s">
        <v>460</v>
      </c>
      <c r="C8429" s="25" t="n">
        <f aca="false">SUMPRODUCT(($C$8416:$C$8419=C8419)*$C$8411:$C$8414)</f>
        <v>300</v>
      </c>
    </row>
    <row r="8430" customFormat="false" ht="15" hidden="false" customHeight="false" outlineLevel="0" collapsed="false">
      <c r="A8430" s="23" t="s">
        <v>469</v>
      </c>
      <c r="B8430" s="24"/>
      <c r="C8430" s="24"/>
      <c r="D8430" s="24"/>
      <c r="E8430" s="24"/>
      <c r="F8430" s="24"/>
      <c r="G8430" s="24"/>
      <c r="H8430" s="24"/>
      <c r="I8430" s="24"/>
      <c r="J8430" s="24"/>
      <c r="K8430" s="24"/>
    </row>
    <row r="8431" customFormat="false" ht="15" hidden="false" customHeight="false" outlineLevel="0" collapsed="false">
      <c r="A8431" s="5" t="s">
        <v>457</v>
      </c>
      <c r="C8431" s="25" t="n">
        <f aca="false">IF(C8426=0,0,C8411/C8426*MAX(0,MIN(C8426,$C$8384-SUM($C$8401:$C$8404)-C8421)))</f>
        <v>190.8568</v>
      </c>
    </row>
    <row r="8432" customFormat="false" ht="15" hidden="false" customHeight="false" outlineLevel="0" collapsed="false">
      <c r="A8432" s="5" t="s">
        <v>458</v>
      </c>
      <c r="C8432" s="25" t="n">
        <f aca="false">IF(C8427=0,0,C8412/C8427*MAX(0,MIN(C8427,$C$8384-SUM($C$8401:$C$8404)-C8422)))</f>
        <v>4.47999199999993</v>
      </c>
    </row>
    <row r="8433" customFormat="false" ht="15" hidden="false" customHeight="false" outlineLevel="0" collapsed="false">
      <c r="A8433" s="5" t="s">
        <v>459</v>
      </c>
      <c r="C8433" s="25" t="n">
        <f aca="false">IF(C8428=0,0,C8413/C8428*MAX(0,MIN(C8428,$C$8384-SUM($C$8401:$C$8404)-C8423)))</f>
        <v>0</v>
      </c>
    </row>
    <row r="8434" customFormat="false" ht="15" hidden="false" customHeight="false" outlineLevel="0" collapsed="false">
      <c r="A8434" s="5" t="s">
        <v>460</v>
      </c>
      <c r="C8434" s="25" t="n">
        <f aca="false">IF(C8429=0,0,C8414/C8429*MAX(0,MIN(C8429,$C$8384-SUM($C$8401:$C$8404)-C8424)))</f>
        <v>0</v>
      </c>
    </row>
    <row r="8435" customFormat="false" ht="15" hidden="false" customHeight="false" outlineLevel="0" collapsed="false">
      <c r="A8435" s="23" t="s">
        <v>470</v>
      </c>
      <c r="B8435" s="24"/>
      <c r="C8435" s="24"/>
      <c r="D8435" s="24"/>
      <c r="E8435" s="24"/>
      <c r="F8435" s="24"/>
      <c r="G8435" s="24"/>
      <c r="H8435" s="24"/>
      <c r="I8435" s="24"/>
      <c r="J8435" s="24"/>
      <c r="K8435" s="24"/>
    </row>
    <row r="8436" customFormat="false" ht="15" hidden="false" customHeight="false" outlineLevel="0" collapsed="false">
      <c r="A8436" s="2" t="s">
        <v>457</v>
      </c>
      <c r="C8436" s="16" t="n">
        <f aca="false">C8401+C8431</f>
        <v>190.8568</v>
      </c>
    </row>
    <row r="8437" customFormat="false" ht="15" hidden="false" customHeight="false" outlineLevel="0" collapsed="false">
      <c r="A8437" s="2" t="s">
        <v>458</v>
      </c>
      <c r="C8437" s="16" t="n">
        <f aca="false">C8402+C8432</f>
        <v>4.47999199999993</v>
      </c>
    </row>
    <row r="8438" customFormat="false" ht="15" hidden="false" customHeight="false" outlineLevel="0" collapsed="false">
      <c r="A8438" s="2" t="s">
        <v>459</v>
      </c>
      <c r="C8438" s="16" t="n">
        <f aca="false">C8403+C8433</f>
        <v>0</v>
      </c>
    </row>
    <row r="8439" customFormat="false" ht="15" hidden="false" customHeight="false" outlineLevel="0" collapsed="false">
      <c r="A8439" s="2" t="s">
        <v>460</v>
      </c>
      <c r="C8439" s="16" t="n">
        <f aca="false">C8404+C8434</f>
        <v>0</v>
      </c>
    </row>
    <row r="8440" customFormat="false" ht="15" hidden="false" customHeight="false" outlineLevel="0" collapsed="false">
      <c r="A8440" s="23" t="s">
        <v>471</v>
      </c>
      <c r="B8440" s="24"/>
      <c r="C8440" s="24"/>
      <c r="D8440" s="24"/>
      <c r="E8440" s="24"/>
      <c r="F8440" s="24"/>
      <c r="G8440" s="24"/>
      <c r="H8440" s="24"/>
      <c r="I8440" s="24"/>
      <c r="J8440" s="24"/>
      <c r="K8440" s="24"/>
    </row>
    <row r="8441" customFormat="false" ht="15" hidden="false" customHeight="false" outlineLevel="0" collapsed="false">
      <c r="A8441" s="5" t="s">
        <v>457</v>
      </c>
      <c r="C8441" s="21" t="n">
        <f aca="false">IF(C8386=0,1,C8436/C8386)</f>
        <v>1</v>
      </c>
    </row>
    <row r="8442" customFormat="false" ht="15" hidden="false" customHeight="false" outlineLevel="0" collapsed="false">
      <c r="A8442" s="5" t="s">
        <v>458</v>
      </c>
      <c r="C8442" s="21" t="n">
        <f aca="false">IF(C8387=0,1,C8437/C8387)</f>
        <v>0.00879119309262152</v>
      </c>
    </row>
    <row r="8443" customFormat="false" ht="15" hidden="false" customHeight="false" outlineLevel="0" collapsed="false">
      <c r="A8443" s="5" t="s">
        <v>459</v>
      </c>
      <c r="C8443" s="21" t="n">
        <f aca="false">IF(C8388=0,1,C8438/C8388)</f>
        <v>0</v>
      </c>
    </row>
    <row r="8444" customFormat="false" ht="15" hidden="false" customHeight="false" outlineLevel="0" collapsed="false">
      <c r="A8444" s="5" t="s">
        <v>460</v>
      </c>
      <c r="C8444" s="21" t="n">
        <f aca="false">IF(C8389=0,1,C8439/C8389)</f>
        <v>0</v>
      </c>
    </row>
    <row r="8445" customFormat="false" ht="15" hidden="false" customHeight="false" outlineLevel="0" collapsed="false">
      <c r="A8445" s="23" t="s">
        <v>472</v>
      </c>
      <c r="B8445" s="24"/>
      <c r="C8445" s="24"/>
      <c r="D8445" s="24"/>
      <c r="E8445" s="24"/>
      <c r="F8445" s="24"/>
      <c r="G8445" s="24"/>
      <c r="H8445" s="24"/>
      <c r="I8445" s="24"/>
      <c r="J8445" s="24"/>
      <c r="K8445" s="24"/>
    </row>
    <row r="8446" customFormat="false" ht="15" hidden="false" customHeight="false" outlineLevel="0" collapsed="false">
      <c r="A8446" s="5" t="s">
        <v>457</v>
      </c>
      <c r="C8446" s="25" t="n">
        <f aca="false">C8386-C8436</f>
        <v>0</v>
      </c>
    </row>
    <row r="8447" customFormat="false" ht="15" hidden="false" customHeight="false" outlineLevel="0" collapsed="false">
      <c r="A8447" s="5" t="s">
        <v>458</v>
      </c>
      <c r="C8447" s="25" t="n">
        <f aca="false">C8387-C8437</f>
        <v>505.120008</v>
      </c>
    </row>
    <row r="8448" customFormat="false" ht="15" hidden="false" customHeight="false" outlineLevel="0" collapsed="false">
      <c r="A8448" s="5" t="s">
        <v>459</v>
      </c>
      <c r="C8448" s="25" t="n">
        <f aca="false">C8388-C8438</f>
        <v>250</v>
      </c>
    </row>
    <row r="8449" customFormat="false" ht="15" hidden="false" customHeight="false" outlineLevel="0" collapsed="false">
      <c r="A8449" s="5" t="s">
        <v>460</v>
      </c>
      <c r="C8449" s="25" t="n">
        <f aca="false">C8389-C8439</f>
        <v>300</v>
      </c>
    </row>
    <row r="8450" customFormat="false" ht="15" hidden="false" customHeight="false" outlineLevel="0" collapsed="false">
      <c r="A8450" s="23" t="s">
        <v>473</v>
      </c>
      <c r="B8450" s="24"/>
      <c r="C8450" s="24"/>
      <c r="D8450" s="24"/>
      <c r="E8450" s="24"/>
      <c r="F8450" s="24"/>
      <c r="G8450" s="24"/>
      <c r="H8450" s="24"/>
      <c r="I8450" s="24"/>
      <c r="J8450" s="24"/>
      <c r="K8450" s="24"/>
    </row>
    <row r="8451" customFormat="false" ht="15" hidden="false" customHeight="false" outlineLevel="0" collapsed="false">
      <c r="A8451" s="5" t="s">
        <v>457</v>
      </c>
      <c r="C8451" s="21" t="n">
        <f aca="false">IF(C8386=0,0,C8446/C8386)</f>
        <v>0</v>
      </c>
    </row>
    <row r="8452" customFormat="false" ht="15" hidden="false" customHeight="false" outlineLevel="0" collapsed="false">
      <c r="A8452" s="5" t="s">
        <v>458</v>
      </c>
      <c r="C8452" s="21" t="n">
        <f aca="false">IF(C8387=0,0,C8447/C8387)</f>
        <v>0.991208806907378</v>
      </c>
    </row>
    <row r="8453" customFormat="false" ht="15" hidden="false" customHeight="false" outlineLevel="0" collapsed="false">
      <c r="A8453" s="5" t="s">
        <v>459</v>
      </c>
      <c r="C8453" s="21" t="n">
        <f aca="false">IF(C8388=0,0,C8448/C8388)</f>
        <v>1</v>
      </c>
    </row>
    <row r="8454" customFormat="false" ht="15" hidden="false" customHeight="false" outlineLevel="0" collapsed="false">
      <c r="A8454" s="5" t="s">
        <v>460</v>
      </c>
      <c r="C8454" s="21" t="n">
        <f aca="false">IF(C8389=0,0,C8449/C8389)</f>
        <v>1</v>
      </c>
    </row>
    <row r="8455" customFormat="false" ht="15" hidden="false" customHeight="false" outlineLevel="0" collapsed="false">
      <c r="A8455" s="2" t="s">
        <v>474</v>
      </c>
      <c r="C8455" s="16" t="n">
        <f aca="false">MAX(0,$C$8384-SUM($C$8401:$C$8404)-SUM($C$8411:$C$8414))</f>
        <v>0</v>
      </c>
    </row>
    <row r="8456" customFormat="false" ht="15" hidden="false" customHeight="false" outlineLevel="0" collapsed="false">
      <c r="A8456" s="5" t="s">
        <v>492</v>
      </c>
      <c r="C8456" s="33" t="n">
        <f aca="false">MIN(C8383,100*CHOOSE(C8373,C8441,C8442,C8443,C8444))</f>
        <v>0.879119309262152</v>
      </c>
    </row>
    <row r="8457" customFormat="false" ht="15" hidden="false" customHeight="false" outlineLevel="0" collapsed="false">
      <c r="A8457" s="5" t="s">
        <v>493</v>
      </c>
      <c r="C8457" s="20" t="n">
        <f aca="false">IF(C8289=1,C8378+Assumptions!$C$36,C8377)</f>
        <v>3</v>
      </c>
    </row>
    <row r="8458" customFormat="false" ht="15" hidden="false" customHeight="false" outlineLevel="0" collapsed="false">
      <c r="A8458" s="23" t="s">
        <v>494</v>
      </c>
      <c r="B8458" s="24"/>
      <c r="C8458" s="24"/>
      <c r="D8458" s="24"/>
      <c r="E8458" s="24"/>
      <c r="F8458" s="24"/>
      <c r="G8458" s="24"/>
      <c r="H8458" s="24"/>
      <c r="I8458" s="24"/>
      <c r="J8458" s="24"/>
      <c r="K8458" s="24"/>
    </row>
    <row r="8459" customFormat="false" ht="15" hidden="false" customHeight="false" outlineLevel="0" collapsed="false">
      <c r="A8459" s="5" t="s">
        <v>495</v>
      </c>
      <c r="C8459" s="20" t="n">
        <f aca="false">COLUMN()-COLUMN($C$1)</f>
        <v>0</v>
      </c>
      <c r="D8459" s="20" t="n">
        <f aca="false">COLUMN()-COLUMN($C$1)</f>
        <v>1</v>
      </c>
      <c r="E8459" s="20" t="n">
        <f aca="false">COLUMN()-COLUMN($C$1)</f>
        <v>2</v>
      </c>
      <c r="F8459" s="20" t="n">
        <f aca="false">COLUMN()-COLUMN($C$1)</f>
        <v>3</v>
      </c>
      <c r="G8459" s="20" t="n">
        <f aca="false">COLUMN()-COLUMN($C$1)</f>
        <v>4</v>
      </c>
      <c r="H8459" s="20" t="n">
        <f aca="false">COLUMN()-COLUMN($C$1)</f>
        <v>5</v>
      </c>
      <c r="I8459" s="20" t="n">
        <f aca="false">COLUMN()-COLUMN($C$1)</f>
        <v>6</v>
      </c>
    </row>
    <row r="8460" customFormat="false" ht="15" hidden="false" customHeight="false" outlineLevel="0" collapsed="false">
      <c r="A8460" s="5" t="s">
        <v>496</v>
      </c>
      <c r="D8460" s="30" t="n">
        <f aca="false">CHOOSE($C$8373,G8171,G8184,G8197,G8210)</f>
        <v>0.118</v>
      </c>
      <c r="E8460" s="30" t="n">
        <f aca="false">CHOOSE($C$8373,H8171,H8184,H8197,H8210)</f>
        <v>0.1155</v>
      </c>
      <c r="F8460" s="30" t="n">
        <f aca="false">CHOOSE($C$8373,I8171,I8184,I8197,I8210)</f>
        <v>0.113</v>
      </c>
      <c r="G8460" s="30" t="n">
        <f aca="false">CHOOSE($C$8373,J8171,J8184,J8197,J8210)</f>
        <v>0.113</v>
      </c>
      <c r="H8460" s="30" t="n">
        <f aca="false">CHOOSE($C$8373,K8171,K8184,K8197,K8210)</f>
        <v>0.113</v>
      </c>
    </row>
    <row r="8461" customFormat="false" ht="15" hidden="false" customHeight="false" outlineLevel="0" collapsed="false">
      <c r="A8461" s="5" t="s">
        <v>497</v>
      </c>
      <c r="D8461" s="25" t="n">
        <f aca="false">IF(D8459&lt;=$C$8382,$C$8374*D8460,0)</f>
        <v>11.8</v>
      </c>
      <c r="E8461" s="25" t="n">
        <f aca="false">IF(E8459&lt;=$C$8382,$C$8374*E8460,0)</f>
        <v>11.55</v>
      </c>
      <c r="F8461" s="25" t="n">
        <f aca="false">IF(F8459&lt;=$C$8382,$C$8374*F8460,0)</f>
        <v>0</v>
      </c>
      <c r="G8461" s="25" t="n">
        <f aca="false">IF(G8459&lt;=$C$8382,$C$8374*G8460,0)</f>
        <v>0</v>
      </c>
      <c r="H8461" s="25" t="n">
        <f aca="false">IF(H8459&lt;=$C$8382,$C$8374*H8460,0)</f>
        <v>0</v>
      </c>
    </row>
    <row r="8462" customFormat="false" ht="15" hidden="false" customHeight="false" outlineLevel="0" collapsed="false">
      <c r="A8462" s="5" t="s">
        <v>498</v>
      </c>
      <c r="D8462" s="25" t="n">
        <f aca="false">IF(AND($C$8289=0,D8459=$C$8377),$C$8374*$C$8456/100,0)+IF(AND($C$8289=1,D8459=$C$8457),$C$8380,0)</f>
        <v>0</v>
      </c>
      <c r="E8462" s="25" t="n">
        <f aca="false">IF(AND($C$8289=0,E8459=$C$8377),$C$8374*$C$8456/100,0)+IF(AND($C$8289=1,E8459=$C$8457),$C$8380,0)</f>
        <v>0</v>
      </c>
      <c r="F8462" s="25" t="n">
        <f aca="false">IF(AND($C$8289=0,F8459=$C$8377),$C$8374*$C$8456/100,0)+IF(AND($C$8289=1,F8459=$C$8457),$C$8380,0)</f>
        <v>61.5438287480377</v>
      </c>
      <c r="G8462" s="25" t="n">
        <f aca="false">IF(AND($C$8289=0,G8459=$C$8377),$C$8374*$C$8456/100,0)+IF(AND($C$8289=1,G8459=$C$8457),$C$8380,0)</f>
        <v>0</v>
      </c>
      <c r="H8462" s="25" t="n">
        <f aca="false">IF(AND($C$8289=0,H8459=$C$8377),$C$8374*$C$8456/100,0)+IF(AND($C$8289=1,H8459=$C$8457),$C$8380,0)</f>
        <v>0</v>
      </c>
      <c r="I8462" s="25" t="n">
        <f aca="false">IF(AND($C$8289=0,I8459=$C$8377),$C$8374*$C$8456/100,0)+IF(AND($C$8289=1,I8459=$C$8457),$C$8380,0)</f>
        <v>0</v>
      </c>
    </row>
    <row r="8463" customFormat="false" ht="15" hidden="false" customHeight="false" outlineLevel="0" collapsed="false">
      <c r="A8463" s="2" t="s">
        <v>499</v>
      </c>
      <c r="C8463" s="16" t="n">
        <f aca="false">-$C$8376</f>
        <v>-78.39</v>
      </c>
      <c r="D8463" s="16" t="n">
        <f aca="false">D8461+D8462</f>
        <v>11.8</v>
      </c>
      <c r="E8463" s="16" t="n">
        <f aca="false">E8461+E8462</f>
        <v>11.55</v>
      </c>
      <c r="F8463" s="16" t="n">
        <f aca="false">F8461+F8462</f>
        <v>61.5438287480377</v>
      </c>
      <c r="G8463" s="16" t="n">
        <f aca="false">G8461+G8462</f>
        <v>0</v>
      </c>
      <c r="H8463" s="16" t="n">
        <f aca="false">H8461+H8462</f>
        <v>0</v>
      </c>
      <c r="I8463" s="16" t="n">
        <f aca="false">I8461+I8462</f>
        <v>0</v>
      </c>
    </row>
    <row r="8464" customFormat="false" ht="15" hidden="false" customHeight="false" outlineLevel="0" collapsed="false">
      <c r="A8464" s="5" t="s">
        <v>500</v>
      </c>
      <c r="C8464" s="25" t="n">
        <f aca="false">SUM($C$8461:$I$8461)</f>
        <v>23.35</v>
      </c>
    </row>
    <row r="8465" customFormat="false" ht="15" hidden="false" customHeight="false" outlineLevel="0" collapsed="false">
      <c r="A8465" s="5" t="s">
        <v>501</v>
      </c>
      <c r="C8465" s="25" t="n">
        <f aca="false">SUM($C$8462:$I$8462)</f>
        <v>61.5438287480377</v>
      </c>
    </row>
    <row r="8466" customFormat="false" ht="15" hidden="false" customHeight="false" outlineLevel="0" collapsed="false">
      <c r="A8466" s="5" t="s">
        <v>502</v>
      </c>
      <c r="C8466" s="25" t="n">
        <f aca="false">C8464+C8465</f>
        <v>84.8938287480377</v>
      </c>
    </row>
    <row r="8467" customFormat="false" ht="15" hidden="false" customHeight="false" outlineLevel="0" collapsed="false">
      <c r="A8467" s="5" t="s">
        <v>503</v>
      </c>
      <c r="C8467" s="25" t="n">
        <f aca="false">C8465-C8374*C8375/100</f>
        <v>-16.4561712519623</v>
      </c>
    </row>
    <row r="8468" customFormat="false" ht="15" hidden="false" customHeight="false" outlineLevel="0" collapsed="false">
      <c r="A8468" s="5" t="s">
        <v>504</v>
      </c>
      <c r="C8468" s="25" t="n">
        <f aca="false">C8466-C8376</f>
        <v>6.50382874803769</v>
      </c>
    </row>
    <row r="8469" customFormat="false" ht="15" hidden="false" customHeight="false" outlineLevel="0" collapsed="false">
      <c r="A8469" s="2" t="s">
        <v>385</v>
      </c>
      <c r="C8469" s="43" t="n">
        <f aca="false">C8466/C8376</f>
        <v>1.08296758193695</v>
      </c>
    </row>
    <row r="8470" customFormat="false" ht="15" hidden="false" customHeight="false" outlineLevel="0" collapsed="false">
      <c r="A8470" s="2" t="s">
        <v>384</v>
      </c>
      <c r="C8470" s="41" t="n">
        <f aca="false">IF(C8466&lt;=0,-1,IFERROR(IRR($C$8463:$I$8463,MAX(-0.9,C8469^(1/C8457)-1)),IRR($C$8463:$I$8463,0.1)))</f>
        <v>0.031402519952042</v>
      </c>
    </row>
    <row r="8471" customFormat="false" ht="15" hidden="false" customHeight="false" outlineLevel="0" collapsed="false">
      <c r="A8471" s="5" t="s">
        <v>505</v>
      </c>
      <c r="C8471" s="31" t="n">
        <f aca="false">MAX($G$8265:$K$8265)</f>
        <v>34.4945802427225</v>
      </c>
    </row>
    <row r="8472" customFormat="false" ht="15" hidden="false" customHeight="false" outlineLevel="0" collapsed="false">
      <c r="A8472" s="5" t="s">
        <v>506</v>
      </c>
      <c r="C8472" s="31" t="n">
        <f aca="false">MIN($G$8266:$K$8266)</f>
        <v>0.304597891013397</v>
      </c>
    </row>
    <row r="8473" customFormat="false" ht="15" hidden="false" customHeight="false" outlineLevel="0" collapsed="false">
      <c r="A8473" s="5" t="s">
        <v>507</v>
      </c>
      <c r="C8473" s="25" t="n">
        <f aca="false">SUM($G$8155:$K$8155)</f>
        <v>-404.05429329</v>
      </c>
    </row>
    <row r="8477" customFormat="false" ht="15" hidden="false" customHeight="false" outlineLevel="0" collapsed="false">
      <c r="A8477" s="9" t="s">
        <v>650</v>
      </c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</row>
    <row r="8478" customFormat="false" ht="15" hidden="false" customHeight="false" outlineLevel="0" collapsed="false">
      <c r="A8478" s="5" t="s">
        <v>622</v>
      </c>
      <c r="C8478" s="11" t="n">
        <v>2</v>
      </c>
    </row>
    <row r="8479" customFormat="false" ht="15" hidden="false" customHeight="false" outlineLevel="0" collapsed="false">
      <c r="A8479" s="5" t="s">
        <v>623</v>
      </c>
      <c r="C8479" s="29" t="n">
        <f aca="false">Sensitivities!$A$41</f>
        <v>-0.05</v>
      </c>
    </row>
    <row r="8480" customFormat="false" ht="15" hidden="false" customHeight="false" outlineLevel="0" collapsed="false">
      <c r="A8480" s="5" t="s">
        <v>624</v>
      </c>
      <c r="C8480" s="18" t="n">
        <v>0</v>
      </c>
    </row>
    <row r="8481" customFormat="false" ht="15" hidden="false" customHeight="false" outlineLevel="0" collapsed="false">
      <c r="A8481" s="5" t="s">
        <v>625</v>
      </c>
      <c r="C8481" s="18" t="n">
        <v>0</v>
      </c>
    </row>
    <row r="8482" customFormat="false" ht="15" hidden="false" customHeight="false" outlineLevel="0" collapsed="false">
      <c r="A8482" s="5" t="s">
        <v>626</v>
      </c>
      <c r="C8482" s="15" t="n">
        <v>0</v>
      </c>
    </row>
    <row r="8484" customFormat="false" ht="15" hidden="false" customHeight="false" outlineLevel="0" collapsed="false">
      <c r="A8484" s="23" t="s">
        <v>237</v>
      </c>
      <c r="B8484" s="24"/>
      <c r="C8484" s="24"/>
      <c r="D8484" s="24"/>
      <c r="E8484" s="24"/>
      <c r="F8484" s="24"/>
      <c r="G8484" s="24"/>
      <c r="H8484" s="24"/>
      <c r="I8484" s="24"/>
      <c r="J8484" s="24"/>
      <c r="K8484" s="24"/>
    </row>
    <row r="8485" customFormat="false" ht="15" hidden="false" customHeight="false" outlineLevel="0" collapsed="false">
      <c r="A8485" s="5" t="s">
        <v>238</v>
      </c>
      <c r="F8485" s="26" t="n">
        <f aca="false">Assumptions!$C$6</f>
        <v>2025</v>
      </c>
      <c r="G8485" s="20" t="n">
        <f aca="false">F8485+1</f>
        <v>2026</v>
      </c>
      <c r="H8485" s="20" t="n">
        <f aca="false">G8485+1</f>
        <v>2027</v>
      </c>
      <c r="I8485" s="20" t="n">
        <f aca="false">H8485+1</f>
        <v>2028</v>
      </c>
      <c r="J8485" s="20" t="n">
        <f aca="false">I8485+1</f>
        <v>2029</v>
      </c>
      <c r="K8485" s="20" t="n">
        <f aca="false">J8485+1</f>
        <v>2030</v>
      </c>
    </row>
    <row r="8486" customFormat="false" ht="15" hidden="false" customHeight="false" outlineLevel="0" collapsed="false">
      <c r="A8486" s="5" t="s">
        <v>239</v>
      </c>
      <c r="G8486" s="20" t="n">
        <f aca="false">G8485-Assumptions!$C$6</f>
        <v>1</v>
      </c>
      <c r="H8486" s="20" t="n">
        <f aca="false">H8485-Assumptions!$C$6</f>
        <v>2</v>
      </c>
      <c r="I8486" s="20" t="n">
        <f aca="false">I8485-Assumptions!$C$6</f>
        <v>3</v>
      </c>
      <c r="J8486" s="20" t="n">
        <f aca="false">J8485-Assumptions!$C$6</f>
        <v>4</v>
      </c>
      <c r="K8486" s="20" t="n">
        <f aca="false">K8485-Assumptions!$C$6</f>
        <v>5</v>
      </c>
    </row>
    <row r="8487" customFormat="false" ht="15" hidden="false" customHeight="false" outlineLevel="0" collapsed="false">
      <c r="A8487" s="5" t="s">
        <v>149</v>
      </c>
      <c r="G8487" s="21" t="n">
        <f aca="false">CHOOSE($C$8478,Assumptions!$G$65,Assumptions!$G$84,Assumptions!$G$103)+$C$8479</f>
        <v>-0.128</v>
      </c>
      <c r="H8487" s="21" t="n">
        <f aca="false">CHOOSE($C$8478,Assumptions!$H$65,Assumptions!$H$84,Assumptions!$H$103)+$C$8479</f>
        <v>-0.089</v>
      </c>
      <c r="I8487" s="21" t="n">
        <f aca="false">CHOOSE($C$8478,Assumptions!$I$65,Assumptions!$I$84,Assumptions!$I$103)+$C$8479</f>
        <v>-0.055</v>
      </c>
      <c r="J8487" s="21" t="n">
        <f aca="false">CHOOSE($C$8478,Assumptions!$J$65,Assumptions!$J$84,Assumptions!$J$103)+$C$8479</f>
        <v>-0.06</v>
      </c>
      <c r="K8487" s="21" t="n">
        <f aca="false">CHOOSE($C$8478,Assumptions!$K$65,Assumptions!$K$84,Assumptions!$K$103)+$C$8479</f>
        <v>-0.06</v>
      </c>
    </row>
    <row r="8488" customFormat="false" ht="15" hidden="false" customHeight="false" outlineLevel="0" collapsed="false">
      <c r="A8488" s="5" t="s">
        <v>150</v>
      </c>
      <c r="G8488" s="21" t="n">
        <f aca="false">CHOOSE($C$8478,Assumptions!$G$66,Assumptions!$G$85,Assumptions!$G$104)</f>
        <v>0.33</v>
      </c>
      <c r="H8488" s="21" t="n">
        <f aca="false">CHOOSE($C$8478,Assumptions!$H$66,Assumptions!$H$85,Assumptions!$H$104)</f>
        <v>0.318</v>
      </c>
      <c r="I8488" s="21" t="n">
        <f aca="false">CHOOSE($C$8478,Assumptions!$I$66,Assumptions!$I$85,Assumptions!$I$104)</f>
        <v>0.324</v>
      </c>
      <c r="J8488" s="21" t="n">
        <f aca="false">CHOOSE($C$8478,Assumptions!$J$66,Assumptions!$J$85,Assumptions!$J$104)</f>
        <v>0.33</v>
      </c>
      <c r="K8488" s="21" t="n">
        <f aca="false">CHOOSE($C$8478,Assumptions!$K$66,Assumptions!$K$85,Assumptions!$K$104)</f>
        <v>0.336</v>
      </c>
    </row>
    <row r="8489" customFormat="false" ht="15" hidden="false" customHeight="false" outlineLevel="0" collapsed="false">
      <c r="A8489" s="5" t="s">
        <v>151</v>
      </c>
      <c r="G8489" s="21" t="n">
        <f aca="false">CHOOSE($C$8478,Assumptions!$G$67,Assumptions!$G$86,Assumptions!$G$105)+$C$8480</f>
        <v>0.035</v>
      </c>
      <c r="H8489" s="21" t="n">
        <f aca="false">CHOOSE($C$8478,Assumptions!$H$67,Assumptions!$H$86,Assumptions!$H$105)+$C$8480</f>
        <v>0.023</v>
      </c>
      <c r="I8489" s="21" t="n">
        <f aca="false">CHOOSE($C$8478,Assumptions!$I$67,Assumptions!$I$86,Assumptions!$I$105)+$C$8480</f>
        <v>0.029</v>
      </c>
      <c r="J8489" s="21" t="n">
        <f aca="false">CHOOSE($C$8478,Assumptions!$J$67,Assumptions!$J$86,Assumptions!$J$105)+$C$8480</f>
        <v>0.035</v>
      </c>
      <c r="K8489" s="21" t="n">
        <f aca="false">CHOOSE($C$8478,Assumptions!$K$67,Assumptions!$K$86,Assumptions!$K$105)+$C$8480</f>
        <v>0.041</v>
      </c>
    </row>
    <row r="8490" customFormat="false" ht="15" hidden="false" customHeight="false" outlineLevel="0" collapsed="false">
      <c r="A8490" s="23" t="s">
        <v>240</v>
      </c>
      <c r="B8490" s="24"/>
      <c r="C8490" s="24"/>
      <c r="D8490" s="24"/>
      <c r="E8490" s="24"/>
      <c r="F8490" s="24"/>
      <c r="G8490" s="24"/>
      <c r="H8490" s="24"/>
      <c r="I8490" s="24"/>
      <c r="J8490" s="24"/>
      <c r="K8490" s="24"/>
    </row>
    <row r="8491" customFormat="false" ht="15" hidden="false" customHeight="false" outlineLevel="0" collapsed="false">
      <c r="A8491" s="2" t="s">
        <v>207</v>
      </c>
      <c r="F8491" s="27" t="n">
        <f aca="false">'Historical Financials'!E17</f>
        <v>2400</v>
      </c>
      <c r="G8491" s="16" t="n">
        <f aca="false">F8491*(1+G8487)</f>
        <v>2092.8</v>
      </c>
      <c r="H8491" s="16" t="n">
        <f aca="false">G8491*(1+H8487)</f>
        <v>1906.5408</v>
      </c>
      <c r="I8491" s="16" t="n">
        <f aca="false">H8491*(1+I8487)</f>
        <v>1801.681056</v>
      </c>
      <c r="J8491" s="16" t="n">
        <f aca="false">I8491*(1+J8487)</f>
        <v>1693.58019264</v>
      </c>
      <c r="K8491" s="16" t="n">
        <f aca="false">J8491*(1+K8487)</f>
        <v>1591.9653810816</v>
      </c>
    </row>
    <row r="8492" customFormat="false" ht="15" hidden="false" customHeight="false" outlineLevel="0" collapsed="false">
      <c r="A8492" s="5" t="s">
        <v>217</v>
      </c>
      <c r="G8492" s="25" t="n">
        <f aca="false">G8491*(1-G8488)</f>
        <v>1402.176</v>
      </c>
      <c r="H8492" s="25" t="n">
        <f aca="false">H8491*(1-H8488)</f>
        <v>1300.2608256</v>
      </c>
      <c r="I8492" s="25" t="n">
        <f aca="false">I8491*(1-I8488)</f>
        <v>1217.936393856</v>
      </c>
      <c r="J8492" s="25" t="n">
        <f aca="false">J8491*(1-J8488)</f>
        <v>1134.6987290688</v>
      </c>
      <c r="K8492" s="25" t="n">
        <f aca="false">K8491*(1-K8488)</f>
        <v>1057.06501303818</v>
      </c>
    </row>
    <row r="8493" customFormat="false" ht="15" hidden="false" customHeight="false" outlineLevel="0" collapsed="false">
      <c r="A8493" s="2" t="s">
        <v>218</v>
      </c>
      <c r="G8493" s="16" t="n">
        <f aca="false">G8491-G8492</f>
        <v>690.624</v>
      </c>
      <c r="H8493" s="16" t="n">
        <f aca="false">H8491-H8492</f>
        <v>606.2799744</v>
      </c>
      <c r="I8493" s="16" t="n">
        <f aca="false">I8491-I8492</f>
        <v>583.744662144</v>
      </c>
      <c r="J8493" s="16" t="n">
        <f aca="false">J8491-J8492</f>
        <v>558.8814635712</v>
      </c>
      <c r="K8493" s="16" t="n">
        <f aca="false">K8491-K8492</f>
        <v>534.900368043418</v>
      </c>
    </row>
    <row r="8494" customFormat="false" ht="15" hidden="false" customHeight="false" outlineLevel="0" collapsed="false">
      <c r="A8494" s="5" t="s">
        <v>241</v>
      </c>
      <c r="G8494" s="25" t="n">
        <f aca="false">G8493-G8495</f>
        <v>617.376</v>
      </c>
      <c r="H8494" s="25" t="n">
        <f aca="false">H8493-H8495</f>
        <v>562.429536</v>
      </c>
      <c r="I8494" s="25" t="n">
        <f aca="false">I8493-I8495</f>
        <v>531.49591152</v>
      </c>
      <c r="J8494" s="25" t="n">
        <f aca="false">J8493-J8495</f>
        <v>499.6061568288</v>
      </c>
      <c r="K8494" s="25" t="n">
        <f aca="false">K8493-K8495</f>
        <v>469.629787419072</v>
      </c>
    </row>
    <row r="8495" customFormat="false" ht="15" hidden="false" customHeight="false" outlineLevel="0" collapsed="false">
      <c r="A8495" s="2" t="s">
        <v>242</v>
      </c>
      <c r="G8495" s="16" t="n">
        <f aca="false">G8491*G8489</f>
        <v>73.248</v>
      </c>
      <c r="H8495" s="16" t="n">
        <f aca="false">H8491*H8489</f>
        <v>43.8504384</v>
      </c>
      <c r="I8495" s="16" t="n">
        <f aca="false">I8491*I8489</f>
        <v>52.248750624</v>
      </c>
      <c r="J8495" s="16" t="n">
        <f aca="false">J8491*J8489</f>
        <v>59.2753067424</v>
      </c>
      <c r="K8495" s="16" t="n">
        <f aca="false">K8491*K8489</f>
        <v>65.2705806243456</v>
      </c>
    </row>
    <row r="8496" customFormat="false" ht="15" hidden="false" customHeight="false" outlineLevel="0" collapsed="false">
      <c r="A8496" s="5" t="s">
        <v>243</v>
      </c>
      <c r="G8496" s="25" t="n">
        <f aca="false">G8491*'Historical Financials'!E22/'Historical Financials'!E17</f>
        <v>46.0416</v>
      </c>
      <c r="H8496" s="25" t="n">
        <f aca="false">H8491*'Historical Financials'!E22/'Historical Financials'!E17</f>
        <v>41.9438976</v>
      </c>
      <c r="I8496" s="25" t="n">
        <f aca="false">I8491*'Historical Financials'!E22/'Historical Financials'!E17</f>
        <v>39.636983232</v>
      </c>
      <c r="J8496" s="25" t="n">
        <f aca="false">J8491*'Historical Financials'!E22/'Historical Financials'!E17</f>
        <v>37.25876423808</v>
      </c>
      <c r="K8496" s="25" t="n">
        <f aca="false">K8491*'Historical Financials'!E22/'Historical Financials'!E17</f>
        <v>35.0232383837952</v>
      </c>
    </row>
    <row r="8497" customFormat="false" ht="15" hidden="false" customHeight="false" outlineLevel="0" collapsed="false">
      <c r="A8497" s="5" t="s">
        <v>244</v>
      </c>
      <c r="G8497" s="25" t="n">
        <f aca="false">G8491*'Historical Financials'!E23/'Historical Financials'!E17</f>
        <v>0</v>
      </c>
      <c r="H8497" s="25" t="n">
        <f aca="false">H8491*'Historical Financials'!E23/'Historical Financials'!E17</f>
        <v>0</v>
      </c>
      <c r="I8497" s="25" t="n">
        <f aca="false">I8491*'Historical Financials'!E23/'Historical Financials'!E17</f>
        <v>0</v>
      </c>
      <c r="J8497" s="25" t="n">
        <f aca="false">J8491*'Historical Financials'!E23/'Historical Financials'!E17</f>
        <v>0</v>
      </c>
      <c r="K8497" s="25" t="n">
        <f aca="false">K8491*'Historical Financials'!E23/'Historical Financials'!E17</f>
        <v>0</v>
      </c>
    </row>
    <row r="8498" customFormat="false" ht="15" hidden="false" customHeight="false" outlineLevel="0" collapsed="false">
      <c r="A8498" s="2" t="s">
        <v>245</v>
      </c>
      <c r="G8498" s="16" t="n">
        <f aca="false">G8495-G8496-G8497</f>
        <v>27.2064</v>
      </c>
      <c r="H8498" s="16" t="n">
        <f aca="false">H8495-H8496-H8497</f>
        <v>1.90654079999999</v>
      </c>
      <c r="I8498" s="16" t="n">
        <f aca="false">I8495-I8496-I8497</f>
        <v>12.611767392</v>
      </c>
      <c r="J8498" s="16" t="n">
        <f aca="false">J8495-J8496-J8497</f>
        <v>22.01654250432</v>
      </c>
      <c r="K8498" s="16" t="n">
        <f aca="false">K8495-K8496-K8497</f>
        <v>30.2473422405504</v>
      </c>
    </row>
    <row r="8499" customFormat="false" ht="15" hidden="false" customHeight="false" outlineLevel="0" collapsed="false">
      <c r="A8499" s="5" t="s">
        <v>246</v>
      </c>
      <c r="G8499" s="25" t="n">
        <f aca="false">G8525+G8538+G8551+G8564</f>
        <v>129.54</v>
      </c>
      <c r="H8499" s="25" t="n">
        <f aca="false">H8525+H8538+H8551+H8564</f>
        <v>129.5117148</v>
      </c>
      <c r="I8499" s="25" t="n">
        <f aca="false">I8525+I8538+I8551+I8564</f>
        <v>127.1281728</v>
      </c>
      <c r="J8499" s="25" t="n">
        <f aca="false">J8525+J8538+J8551+J8564</f>
        <v>126.5405728</v>
      </c>
      <c r="K8499" s="25" t="n">
        <f aca="false">K8525+K8538+K8551+K8564</f>
        <v>125.9529728</v>
      </c>
    </row>
    <row r="8500" customFormat="false" ht="15" hidden="false" customHeight="false" outlineLevel="0" collapsed="false">
      <c r="A8500" s="5" t="s">
        <v>247</v>
      </c>
      <c r="G8500" s="25" t="n">
        <f aca="false">G8526+G8539+G8552+G8565</f>
        <v>0</v>
      </c>
      <c r="H8500" s="25" t="n">
        <f aca="false">H8526+H8539+H8552+H8565</f>
        <v>0</v>
      </c>
      <c r="I8500" s="25" t="n">
        <f aca="false">I8526+I8539+I8552+I8565</f>
        <v>0</v>
      </c>
      <c r="J8500" s="25" t="n">
        <f aca="false">J8526+J8539+J8552+J8565</f>
        <v>0</v>
      </c>
      <c r="K8500" s="25" t="n">
        <f aca="false">K8526+K8539+K8552+K8565</f>
        <v>0</v>
      </c>
    </row>
    <row r="8501" customFormat="false" ht="15" hidden="false" customHeight="false" outlineLevel="0" collapsed="false">
      <c r="A8501" s="5" t="s">
        <v>212</v>
      </c>
      <c r="G8501" s="25" t="n">
        <f aca="false">G8499+G8500</f>
        <v>129.54</v>
      </c>
      <c r="H8501" s="25" t="n">
        <f aca="false">H8499+H8500</f>
        <v>129.5117148</v>
      </c>
      <c r="I8501" s="25" t="n">
        <f aca="false">I8499+I8500</f>
        <v>127.1281728</v>
      </c>
      <c r="J8501" s="25" t="n">
        <f aca="false">J8499+J8500</f>
        <v>126.5405728</v>
      </c>
      <c r="K8501" s="25" t="n">
        <f aca="false">K8499+K8500</f>
        <v>125.9529728</v>
      </c>
    </row>
    <row r="8502" customFormat="false" ht="15" hidden="false" customHeight="false" outlineLevel="0" collapsed="false">
      <c r="A8502" s="2" t="s">
        <v>223</v>
      </c>
      <c r="G8502" s="16" t="n">
        <f aca="false">G8498-G8501</f>
        <v>-102.3336</v>
      </c>
      <c r="H8502" s="16" t="n">
        <f aca="false">H8498-H8501</f>
        <v>-127.605174</v>
      </c>
      <c r="I8502" s="16" t="n">
        <f aca="false">I8498-I8501</f>
        <v>-114.516405408</v>
      </c>
      <c r="J8502" s="16" t="n">
        <f aca="false">J8498-J8501</f>
        <v>-104.52403029568</v>
      </c>
      <c r="K8502" s="16" t="n">
        <f aca="false">K8498-K8501</f>
        <v>-95.7056305594496</v>
      </c>
    </row>
    <row r="8503" customFormat="false" ht="15" hidden="false" customHeight="false" outlineLevel="0" collapsed="false">
      <c r="A8503" s="5" t="s">
        <v>213</v>
      </c>
      <c r="G8503" s="25" t="n">
        <f aca="false">MAX(0,G8502)*Assumptions!$C$9</f>
        <v>0</v>
      </c>
      <c r="H8503" s="25" t="n">
        <f aca="false">MAX(0,H8502)*Assumptions!$C$9</f>
        <v>0</v>
      </c>
      <c r="I8503" s="25" t="n">
        <f aca="false">MAX(0,I8502)*Assumptions!$C$9</f>
        <v>0</v>
      </c>
      <c r="J8503" s="25" t="n">
        <f aca="false">MAX(0,J8502)*Assumptions!$C$9</f>
        <v>0</v>
      </c>
      <c r="K8503" s="25" t="n">
        <f aca="false">MAX(0,K8502)*Assumptions!$C$9</f>
        <v>0</v>
      </c>
    </row>
    <row r="8504" customFormat="false" ht="15" hidden="false" customHeight="false" outlineLevel="0" collapsed="false">
      <c r="A8504" s="2" t="s">
        <v>248</v>
      </c>
      <c r="G8504" s="16" t="n">
        <f aca="false">G8502-G8503</f>
        <v>-102.3336</v>
      </c>
      <c r="H8504" s="16" t="n">
        <f aca="false">H8502-H8503</f>
        <v>-127.605174</v>
      </c>
      <c r="I8504" s="16" t="n">
        <f aca="false">I8502-I8503</f>
        <v>-114.516405408</v>
      </c>
      <c r="J8504" s="16" t="n">
        <f aca="false">J8502-J8503</f>
        <v>-104.52403029568</v>
      </c>
      <c r="K8504" s="16" t="n">
        <f aca="false">K8502-K8503</f>
        <v>-95.7056305594496</v>
      </c>
    </row>
    <row r="8505" customFormat="false" ht="15" hidden="false" customHeight="false" outlineLevel="0" collapsed="false">
      <c r="A8505" s="23" t="s">
        <v>249</v>
      </c>
      <c r="B8505" s="24"/>
      <c r="C8505" s="24"/>
      <c r="D8505" s="24"/>
      <c r="E8505" s="24"/>
      <c r="F8505" s="24"/>
      <c r="G8505" s="24"/>
      <c r="H8505" s="24"/>
      <c r="I8505" s="24"/>
      <c r="J8505" s="24"/>
      <c r="K8505" s="24"/>
    </row>
    <row r="8506" customFormat="false" ht="15" hidden="false" customHeight="false" outlineLevel="0" collapsed="false">
      <c r="A8506" s="5" t="s">
        <v>153</v>
      </c>
      <c r="G8506" s="25" t="n">
        <f aca="false">G8491*CHOOSE($C$8478,Assumptions!$C$69,Assumptions!$C$88,Assumptions!$C$107)</f>
        <v>39.7632</v>
      </c>
      <c r="H8506" s="25" t="n">
        <f aca="false">H8491*CHOOSE($C$8478,Assumptions!$C$69,Assumptions!$C$88,Assumptions!$C$107)</f>
        <v>36.2242752</v>
      </c>
      <c r="I8506" s="25" t="n">
        <f aca="false">I8491*CHOOSE($C$8478,Assumptions!$C$69,Assumptions!$C$88,Assumptions!$C$107)</f>
        <v>34.231940064</v>
      </c>
      <c r="J8506" s="25" t="n">
        <f aca="false">J8491*CHOOSE($C$8478,Assumptions!$C$69,Assumptions!$C$88,Assumptions!$C$107)</f>
        <v>32.17802366016</v>
      </c>
      <c r="K8506" s="25" t="n">
        <f aca="false">K8491*CHOOSE($C$8478,Assumptions!$C$69,Assumptions!$C$88,Assumptions!$C$107)</f>
        <v>30.2473422405504</v>
      </c>
    </row>
    <row r="8507" customFormat="false" ht="15" hidden="false" customHeight="false" outlineLevel="0" collapsed="false">
      <c r="A8507" s="5" t="s">
        <v>250</v>
      </c>
      <c r="G8507" s="25" t="n">
        <f aca="false">CHOOSE($C$8478,Assumptions!$C$70,Assumptions!$C$89,Assumptions!$C$108)*(G8491-F8491)+CHOOSE($C$8478,Assumptions!$C$71,Assumptions!$C$90,Assumptions!$C$109)*G8491</f>
        <v>-32.6784</v>
      </c>
      <c r="H8507" s="25" t="n">
        <f aca="false">CHOOSE($C$8478,Assumptions!$C$70,Assumptions!$C$89,Assumptions!$C$108)*(H8491-G8491)+CHOOSE($C$8478,Assumptions!$C$71,Assumptions!$C$90,Assumptions!$C$109)*H8491</f>
        <v>-18.5380224</v>
      </c>
      <c r="I8507" s="25" t="n">
        <f aca="false">CHOOSE($C$8478,Assumptions!$C$70,Assumptions!$C$89,Assumptions!$C$108)*(I8491-H8491)+CHOOSE($C$8478,Assumptions!$C$71,Assumptions!$C$90,Assumptions!$C$109)*I8491</f>
        <v>-8.97980716800001</v>
      </c>
      <c r="J8507" s="25" t="n">
        <f aca="false">CHOOSE($C$8478,Assumptions!$C$70,Assumptions!$C$89,Assumptions!$C$108)*(J8491-I8491)+CHOOSE($C$8478,Assumptions!$C$71,Assumptions!$C$90,Assumptions!$C$109)*J8491</f>
        <v>-9.58494321792002</v>
      </c>
      <c r="K8507" s="25" t="n">
        <f aca="false">CHOOSE($C$8478,Assumptions!$C$70,Assumptions!$C$89,Assumptions!$C$108)*(K8491-J8491)+CHOOSE($C$8478,Assumptions!$C$71,Assumptions!$C$90,Assumptions!$C$109)*K8491</f>
        <v>-9.00984662484481</v>
      </c>
    </row>
    <row r="8508" customFormat="false" ht="15" hidden="false" customHeight="false" outlineLevel="0" collapsed="false">
      <c r="A8508" s="2" t="s">
        <v>251</v>
      </c>
      <c r="G8508" s="16" t="n">
        <f aca="false">G8504+G8496+G8497+G8500-G8506-G8507</f>
        <v>-63.3768</v>
      </c>
      <c r="H8508" s="16" t="n">
        <f aca="false">H8504+H8496+H8497+H8500-H8506-H8507</f>
        <v>-103.3475292</v>
      </c>
      <c r="I8508" s="16" t="n">
        <f aca="false">I8504+I8496+I8497+I8500-I8506-I8507</f>
        <v>-100.131555072</v>
      </c>
      <c r="J8508" s="16" t="n">
        <f aca="false">J8504+J8496+J8497+J8500-J8506-J8507</f>
        <v>-89.85834649984</v>
      </c>
      <c r="K8508" s="16" t="n">
        <f aca="false">K8504+K8496+K8497+K8500-K8506-K8507</f>
        <v>-81.91988779136</v>
      </c>
    </row>
    <row r="8510" customFormat="false" ht="15" hidden="false" customHeight="false" outlineLevel="0" collapsed="false">
      <c r="A8510" s="23" t="s">
        <v>253</v>
      </c>
      <c r="B8510" s="24"/>
      <c r="C8510" s="24"/>
      <c r="D8510" s="24"/>
      <c r="E8510" s="24"/>
      <c r="F8510" s="24"/>
      <c r="G8510" s="24"/>
      <c r="H8510" s="24"/>
      <c r="I8510" s="24"/>
      <c r="J8510" s="24"/>
      <c r="K8510" s="24"/>
    </row>
    <row r="8511" customFormat="false" ht="15" hidden="false" customHeight="false" outlineLevel="0" collapsed="false">
      <c r="A8511" s="5" t="s">
        <v>254</v>
      </c>
      <c r="G8511" s="29" t="n">
        <f aca="false">Assumptions!$G$49</f>
        <v>0.0425</v>
      </c>
      <c r="H8511" s="29" t="n">
        <f aca="false">Assumptions!$H$49</f>
        <v>0.04</v>
      </c>
      <c r="I8511" s="29" t="n">
        <f aca="false">Assumptions!$I$49</f>
        <v>0.0375</v>
      </c>
      <c r="J8511" s="29" t="n">
        <f aca="false">Assumptions!$J$49</f>
        <v>0.0375</v>
      </c>
      <c r="K8511" s="29" t="n">
        <f aca="false">Assumptions!$K$49</f>
        <v>0.0375</v>
      </c>
    </row>
    <row r="8512" customFormat="false" ht="15" hidden="false" customHeight="false" outlineLevel="0" collapsed="false">
      <c r="A8512" s="5" t="s">
        <v>255</v>
      </c>
      <c r="C8512" s="30" t="n">
        <f aca="false">CHOOSE($C$8478,Assumptions!$C$72,Assumptions!$C$91,Assumptions!$C$110)+$C$8481</f>
        <v>0.015</v>
      </c>
    </row>
    <row r="8513" customFormat="false" ht="15" hidden="false" customHeight="false" outlineLevel="0" collapsed="false">
      <c r="A8513" s="5" t="s">
        <v>256</v>
      </c>
      <c r="C8513" s="30" t="n">
        <f aca="false">CHOOSE($C$8478,Assumptions!$C$73,Assumptions!$C$92,Assumptions!$C$111)</f>
        <v>0.135</v>
      </c>
    </row>
    <row r="8514" customFormat="false" ht="15" hidden="false" customHeight="false" outlineLevel="0" collapsed="false">
      <c r="A8514" s="5" t="s">
        <v>257</v>
      </c>
      <c r="C8514" s="31" t="n">
        <f aca="false">CHOOSE($C$8478,Assumptions!$C$74,Assumptions!$C$93,Assumptions!$C$112)</f>
        <v>5.5</v>
      </c>
    </row>
    <row r="8515" customFormat="false" ht="15" hidden="false" customHeight="false" outlineLevel="0" collapsed="false">
      <c r="A8515" s="5" t="s">
        <v>258</v>
      </c>
      <c r="C8515" s="31" t="n">
        <f aca="false">CHOOSE($C$8478,Assumptions!$C$75,Assumptions!$C$94,Assumptions!$C$113)</f>
        <v>1.8</v>
      </c>
    </row>
    <row r="8516" customFormat="false" ht="15" hidden="false" customHeight="false" outlineLevel="0" collapsed="false">
      <c r="A8516" s="5" t="s">
        <v>259</v>
      </c>
      <c r="G8516" s="25" t="n">
        <f aca="false">G8521+G8534+G8547+G8560</f>
        <v>1250</v>
      </c>
      <c r="H8516" s="25" t="n">
        <f aca="false">H8521+H8534+H8547+H8560</f>
        <v>1268.3768</v>
      </c>
      <c r="I8516" s="25" t="n">
        <f aca="false">I8521+I8534+I8547+I8560</f>
        <v>1263.1768</v>
      </c>
      <c r="J8516" s="25" t="n">
        <f aca="false">J8521+J8534+J8547+J8560</f>
        <v>1257.9768</v>
      </c>
      <c r="K8516" s="25" t="n">
        <f aca="false">K8521+K8534+K8547+K8560</f>
        <v>1252.7768</v>
      </c>
    </row>
    <row r="8517" customFormat="false" ht="15" hidden="false" customHeight="false" outlineLevel="0" collapsed="false">
      <c r="A8517" s="5" t="s">
        <v>260</v>
      </c>
      <c r="G8517" s="25" t="n">
        <f aca="false">F8607</f>
        <v>45</v>
      </c>
      <c r="H8517" s="25" t="n">
        <f aca="false">G8607</f>
        <v>0</v>
      </c>
      <c r="I8517" s="25" t="n">
        <f aca="false">H8607</f>
        <v>-108.5475292</v>
      </c>
      <c r="J8517" s="25" t="n">
        <f aca="false">I8607</f>
        <v>-213.879084272</v>
      </c>
      <c r="K8517" s="25" t="n">
        <f aca="false">J8607</f>
        <v>-308.93743077184</v>
      </c>
    </row>
    <row r="8518" customFormat="false" ht="15" hidden="false" customHeight="false" outlineLevel="0" collapsed="false">
      <c r="A8518" s="5" t="s">
        <v>261</v>
      </c>
      <c r="G8518" s="25" t="n">
        <f aca="false">G8521*IF(G8522=1,$C$8513,IF(Assumptions!$I$53=1,MAX(G8511,Assumptions!$G$53)+Assumptions!$F$53+$C$8512,Assumptions!$E$53))+G8534*IF(G8535=1,$C$8513,IF(Assumptions!$I$54=1,MAX(G8511,Assumptions!$G$54)+Assumptions!$F$54+$C$8512,Assumptions!$E$54))+G8547*IF(G8548=1,$C$8513,IF(Assumptions!$I$55=1,MAX(G8511,Assumptions!$G$55)+Assumptions!$F$55+$C$8512,Assumptions!$E$55))+G8560*IF(G8561=1,$C$8513,IF(Assumptions!$I$56=1,MAX(G8511,Assumptions!$G$56)+Assumptions!$F$56+$C$8512,Assumptions!$E$56))</f>
        <v>129.54</v>
      </c>
      <c r="H8518" s="25" t="n">
        <f aca="false">H8521*IF(OR(H8522=1,G8673=1),$C$8513,IF(Assumptions!$I$53=1,MAX(H8511,Assumptions!$G$53)+Assumptions!$F$53+$C$8512,Assumptions!$E$53))+H8534*IF(OR(H8535=1,G8674=1),$C$8513,IF(Assumptions!$I$54=1,MAX(H8511,Assumptions!$G$54)+Assumptions!$F$54+$C$8512,Assumptions!$E$54))+H8547*IF(OR(H8548=1,G8675=1),$C$8513,IF(Assumptions!$I$55=1,MAX(H8511,Assumptions!$G$55)+Assumptions!$F$55+$C$8512,Assumptions!$E$55))+H8560*IF(OR(H8561=1,G8676=1),$C$8513,IF(Assumptions!$I$56=1,MAX(H8511,Assumptions!$G$56)+Assumptions!$F$56+$C$8512,Assumptions!$E$56))</f>
        <v>154.942268</v>
      </c>
      <c r="I8518" s="25" t="n">
        <f aca="false">I8521*IF(OR(I8522=1,H8673=1),$C$8513,IF(Assumptions!$I$53=1,MAX(I8511,Assumptions!$G$53)+Assumptions!$F$53+$C$8512,Assumptions!$E$53))+I8534*IF(OR(I8535=1,H8674=1),$C$8513,IF(Assumptions!$I$54=1,MAX(I8511,Assumptions!$G$54)+Assumptions!$F$54+$C$8512,Assumptions!$E$54))+I8547*IF(OR(I8548=1,H8675=1),$C$8513,IF(Assumptions!$I$55=1,MAX(I8511,Assumptions!$G$55)+Assumptions!$F$55+$C$8512,Assumptions!$E$55))+I8560*IF(OR(I8561=1,H8676=1),$C$8513,IF(Assumptions!$I$56=1,MAX(I8511,Assumptions!$G$56)+Assumptions!$F$56+$C$8512,Assumptions!$E$56))</f>
        <v>138.3393728</v>
      </c>
      <c r="J8518" s="25" t="n">
        <f aca="false">J8521*IF(OR(J8522=1,I8673=1),$C$8513,IF(Assumptions!$I$53=1,MAX(J8511,Assumptions!$G$53)+Assumptions!$F$53+$C$8512,Assumptions!$E$53))+J8534*IF(OR(J8535=1,I8674=1),$C$8513,IF(Assumptions!$I$54=1,MAX(J8511,Assumptions!$G$54)+Assumptions!$F$54+$C$8512,Assumptions!$E$54))+J8547*IF(OR(J8548=1,I8675=1),$C$8513,IF(Assumptions!$I$55=1,MAX(J8511,Assumptions!$G$55)+Assumptions!$F$55+$C$8512,Assumptions!$E$55))+J8560*IF(OR(J8561=1,I8676=1),$C$8513,IF(Assumptions!$I$56=1,MAX(J8511,Assumptions!$G$56)+Assumptions!$F$56+$C$8512,Assumptions!$E$56))</f>
        <v>132.7905728</v>
      </c>
      <c r="K8518" s="25" t="n">
        <f aca="false">K8521*IF(OR(K8522=1,J8673=1),$C$8513,IF(Assumptions!$I$53=1,MAX(K8511,Assumptions!$G$53)+Assumptions!$F$53+$C$8512,Assumptions!$E$53))+K8534*IF(OR(K8535=1,J8674=1),$C$8513,IF(Assumptions!$I$54=1,MAX(K8511,Assumptions!$G$54)+Assumptions!$F$54+$C$8512,Assumptions!$E$54))+K8547*IF(OR(K8548=1,J8675=1),$C$8513,IF(Assumptions!$I$55=1,MAX(K8511,Assumptions!$G$55)+Assumptions!$F$55+$C$8512,Assumptions!$E$55))+K8560*IF(OR(K8561=1,J8676=1),$C$8513,IF(Assumptions!$I$56=1,MAX(K8511,Assumptions!$G$56)+Assumptions!$F$56+$C$8512,Assumptions!$E$56))</f>
        <v>125.9529728</v>
      </c>
    </row>
    <row r="8519" customFormat="false" ht="15" hidden="false" customHeight="false" outlineLevel="0" collapsed="false">
      <c r="A8519" s="5" t="s">
        <v>262</v>
      </c>
      <c r="G8519" s="20" t="n">
        <f aca="false">IF(G8495&lt;=0,0,IF(AND((G8516-G8517)/G8495&lt;=$C$8514,G8495/G8518&gt;=$C$8515),1,0))</f>
        <v>0</v>
      </c>
      <c r="H8519" s="20" t="n">
        <f aca="false">IF(H8495&lt;=0,0,IF(AND((H8516-H8517)/H8495&lt;=$C$8514,H8495/H8518&gt;=$C$8515),1,0))</f>
        <v>0</v>
      </c>
      <c r="I8519" s="20" t="n">
        <f aca="false">IF(I8495&lt;=0,0,IF(AND((I8516-I8517)/I8495&lt;=$C$8514,I8495/I8518&gt;=$C$8515),1,0))</f>
        <v>0</v>
      </c>
      <c r="J8519" s="20" t="n">
        <f aca="false">IF(J8495&lt;=0,0,IF(AND((J8516-J8517)/J8495&lt;=$C$8514,J8495/J8518&gt;=$C$8515),1,0))</f>
        <v>0</v>
      </c>
      <c r="K8519" s="20" t="n">
        <f aca="false">IF(K8495&lt;=0,0,IF(AND((K8516-K8517)/K8495&lt;=$C$8514,K8495/K8518&gt;=$C$8515),1,0))</f>
        <v>0</v>
      </c>
    </row>
    <row r="8520" customFormat="false" ht="15" hidden="false" customHeight="false" outlineLevel="0" collapsed="false">
      <c r="A8520" s="23" t="s">
        <v>263</v>
      </c>
      <c r="B8520" s="24"/>
      <c r="C8520" s="24"/>
      <c r="D8520" s="24"/>
      <c r="E8520" s="24"/>
      <c r="F8520" s="24"/>
      <c r="G8520" s="24"/>
      <c r="H8520" s="24"/>
      <c r="I8520" s="24"/>
      <c r="J8520" s="24"/>
      <c r="K8520" s="24"/>
    </row>
    <row r="8521" customFormat="false" ht="15" hidden="false" customHeight="false" outlineLevel="0" collapsed="false">
      <c r="A8521" s="5" t="s">
        <v>264</v>
      </c>
      <c r="G8521" s="25" t="n">
        <f aca="false">F8532</f>
        <v>180</v>
      </c>
      <c r="H8521" s="25" t="n">
        <f aca="false">G8532</f>
        <v>203.5768</v>
      </c>
      <c r="I8521" s="25" t="n">
        <f aca="false">H8532</f>
        <v>203.5768</v>
      </c>
      <c r="J8521" s="25" t="n">
        <f aca="false">I8532</f>
        <v>203.5768</v>
      </c>
      <c r="K8521" s="25" t="n">
        <f aca="false">J8532</f>
        <v>203.5768</v>
      </c>
    </row>
    <row r="8522" customFormat="false" ht="15" hidden="false" customHeight="false" outlineLevel="0" collapsed="false">
      <c r="A8522" s="5" t="s">
        <v>265</v>
      </c>
      <c r="G8522" s="20" t="n">
        <f aca="false">IF(G8485=Assumptions!$K$53,1,0)</f>
        <v>0</v>
      </c>
      <c r="H8522" s="20" t="n">
        <f aca="false">IF(H8485=Assumptions!$K$53,1,0)</f>
        <v>1</v>
      </c>
      <c r="I8522" s="20" t="n">
        <f aca="false">IF(I8485=Assumptions!$K$53,1,0)</f>
        <v>0</v>
      </c>
      <c r="J8522" s="20" t="n">
        <f aca="false">IF(J8485=Assumptions!$K$53,1,0)</f>
        <v>0</v>
      </c>
      <c r="K8522" s="20" t="n">
        <f aca="false">IF(K8485=Assumptions!$K$53,1,0)</f>
        <v>0</v>
      </c>
    </row>
    <row r="8524" customFormat="false" ht="15" hidden="false" customHeight="false" outlineLevel="0" collapsed="false">
      <c r="A8524" s="5" t="s">
        <v>266</v>
      </c>
      <c r="G8524" s="30" t="n">
        <f aca="false">IF(Assumptions!$I$53=1,MAX(G8511,Assumptions!$G$53)+Assumptions!$F$53+$C$8512,Assumptions!$E$53)</f>
        <v>0.101</v>
      </c>
      <c r="H8524" s="30" t="n">
        <f aca="false">IF(G8673=1,$C$8513,IF(Assumptions!$I$53=1,MAX(H8511,Assumptions!$G$53)+Assumptions!$F$53+$C$8512,Assumptions!$E$53))</f>
        <v>0.0985</v>
      </c>
      <c r="I8524" s="30" t="n">
        <f aca="false">IF(H8673=1,$C$8513,IF(Assumptions!$I$53=1,MAX(I8511,Assumptions!$G$53)+Assumptions!$F$53+$C$8512,Assumptions!$E$53))</f>
        <v>0.096</v>
      </c>
      <c r="J8524" s="30" t="n">
        <f aca="false">IF(I8673=1,$C$8513,IF(Assumptions!$I$53=1,MAX(J8511,Assumptions!$G$53)+Assumptions!$F$53+$C$8512,Assumptions!$E$53))</f>
        <v>0.096</v>
      </c>
      <c r="K8524" s="30" t="n">
        <f aca="false">IF(J8673=1,$C$8513,IF(Assumptions!$I$53=1,MAX(K8511,Assumptions!$G$53)+Assumptions!$F$53+$C$8512,Assumptions!$E$53))</f>
        <v>0.096</v>
      </c>
    </row>
    <row r="8525" customFormat="false" ht="15" hidden="false" customHeight="false" outlineLevel="0" collapsed="false">
      <c r="A8525" s="5" t="s">
        <v>267</v>
      </c>
      <c r="G8525" s="25" t="n">
        <f aca="false">G8521*G8524</f>
        <v>18.18</v>
      </c>
      <c r="H8525" s="25" t="n">
        <f aca="false">H8521*H8524</f>
        <v>20.0523148</v>
      </c>
      <c r="I8525" s="25" t="n">
        <f aca="false">I8521*I8524</f>
        <v>19.5433728</v>
      </c>
      <c r="J8525" s="25" t="n">
        <f aca="false">J8521*J8524</f>
        <v>19.5433728</v>
      </c>
      <c r="K8525" s="25" t="n">
        <f aca="false">K8521*K8524</f>
        <v>19.5433728</v>
      </c>
    </row>
    <row r="8526" customFormat="false" ht="15" hidden="false" customHeight="false" outlineLevel="0" collapsed="false">
      <c r="A8526" s="5" t="s">
        <v>268</v>
      </c>
      <c r="G8526" s="25" t="n">
        <f aca="false">G8521*Assumptions!$H$53</f>
        <v>0</v>
      </c>
      <c r="H8526" s="25" t="n">
        <f aca="false">H8521*Assumptions!$H$53</f>
        <v>0</v>
      </c>
      <c r="I8526" s="25" t="n">
        <f aca="false">I8521*Assumptions!$H$53</f>
        <v>0</v>
      </c>
      <c r="J8526" s="25" t="n">
        <f aca="false">J8521*Assumptions!$H$53</f>
        <v>0</v>
      </c>
      <c r="K8526" s="25" t="n">
        <f aca="false">K8521*Assumptions!$H$53</f>
        <v>0</v>
      </c>
    </row>
    <row r="8527" customFormat="false" ht="15" hidden="false" customHeight="false" outlineLevel="0" collapsed="false">
      <c r="A8527" s="5" t="s">
        <v>269</v>
      </c>
      <c r="G8527" s="25" t="n">
        <f aca="false">MIN(G8521,Assumptions!$L$53*Assumptions!$C$53)</f>
        <v>0</v>
      </c>
      <c r="H8527" s="25" t="n">
        <f aca="false">MIN(H8521,Assumptions!$L$53*Assumptions!$C$53)</f>
        <v>0</v>
      </c>
      <c r="I8527" s="25" t="n">
        <f aca="false">MIN(I8521,Assumptions!$L$53*Assumptions!$C$53)</f>
        <v>0</v>
      </c>
      <c r="J8527" s="25" t="n">
        <f aca="false">MIN(J8521,Assumptions!$L$53*Assumptions!$C$53)</f>
        <v>0</v>
      </c>
      <c r="K8527" s="25" t="n">
        <f aca="false">MIN(K8521,Assumptions!$L$53*Assumptions!$C$53)</f>
        <v>0</v>
      </c>
    </row>
    <row r="8528" customFormat="false" ht="15" hidden="false" customHeight="false" outlineLevel="0" collapsed="false">
      <c r="A8528" s="5" t="s">
        <v>270</v>
      </c>
      <c r="G8528" s="25" t="n">
        <f aca="false">IF(AND(Assumptions!$P$53=1,G8485&lt;Assumptions!$K$53),MIN(MAX(0,-G8599),MAX(0,Assumptions!$D$53-G8521)),0)</f>
        <v>23.5768</v>
      </c>
      <c r="H8528" s="25" t="n">
        <f aca="false">IF(AND(Assumptions!$P$53=1,OR(H8485&lt;Assumptions!$K$53,G8673=1)),MIN(MAX(0,-H8599),MAX(0,Assumptions!$D$53-H8521)),0)</f>
        <v>0</v>
      </c>
      <c r="I8528" s="25" t="n">
        <f aca="false">IF(AND(Assumptions!$P$53=1,OR(I8485&lt;Assumptions!$K$53,H8673=1)),MIN(MAX(0,-I8599),MAX(0,Assumptions!$D$53-I8521)),0)</f>
        <v>0</v>
      </c>
      <c r="J8528" s="25" t="n">
        <f aca="false">IF(AND(Assumptions!$P$53=1,OR(J8485&lt;Assumptions!$K$53,I8673=1)),MIN(MAX(0,-J8599),MAX(0,Assumptions!$D$53-J8521)),0)</f>
        <v>0</v>
      </c>
      <c r="K8528" s="25" t="n">
        <f aca="false">IF(AND(Assumptions!$P$53=1,OR(K8485&lt;Assumptions!$K$53,J8673=1)),MIN(MAX(0,-K8599),MAX(0,Assumptions!$D$53-K8521)),0)</f>
        <v>0</v>
      </c>
    </row>
    <row r="8529" customFormat="false" ht="15" hidden="false" customHeight="false" outlineLevel="0" collapsed="false">
      <c r="A8529" s="5" t="s">
        <v>271</v>
      </c>
      <c r="G8529" s="25" t="n">
        <f aca="false">G8522*MIN(G8521-G8527+G8526,MAX(0,G8601-Assumptions!$C$12*G8519))</f>
        <v>0</v>
      </c>
      <c r="H8529" s="25" t="n">
        <f aca="false">H8522*MIN(H8521-H8527+H8526,MAX(0,H8601-Assumptions!$C$12*H8519))</f>
        <v>0</v>
      </c>
      <c r="I8529" s="25" t="n">
        <f aca="false">I8522*MIN(I8521-I8527+I8526,MAX(0,I8601-Assumptions!$C$12*I8519))</f>
        <v>0</v>
      </c>
      <c r="J8529" s="25" t="n">
        <f aca="false">J8522*MIN(J8521-J8527+J8526,MAX(0,J8601-Assumptions!$C$12*J8519))</f>
        <v>0</v>
      </c>
      <c r="K8529" s="25" t="n">
        <f aca="false">K8522*MIN(K8521-K8527+K8526,MAX(0,K8601-Assumptions!$C$12*K8519))</f>
        <v>0</v>
      </c>
    </row>
    <row r="8530" customFormat="false" ht="15" hidden="false" customHeight="false" outlineLevel="0" collapsed="false">
      <c r="A8530" s="5" t="s">
        <v>272</v>
      </c>
      <c r="G8530" s="25" t="n">
        <f aca="false">Assumptions!$N$53*MIN(G8521+G8528+G8526-G8527-G8529,MAX(0,G8605))</f>
        <v>0</v>
      </c>
      <c r="H8530" s="25" t="n">
        <f aca="false">Assumptions!$N$53*MIN(H8521+H8528+H8526-H8527-H8529,MAX(0,H8605))</f>
        <v>0</v>
      </c>
      <c r="I8530" s="25" t="n">
        <f aca="false">Assumptions!$N$53*MIN(I8521+I8528+I8526-I8527-I8529,MAX(0,I8605))</f>
        <v>0</v>
      </c>
      <c r="J8530" s="25" t="n">
        <f aca="false">Assumptions!$N$53*MIN(J8521+J8528+J8526-J8527-J8529,MAX(0,J8605))</f>
        <v>0</v>
      </c>
      <c r="K8530" s="25" t="n">
        <f aca="false">Assumptions!$N$53*MIN(K8521+K8528+K8526-K8527-K8529,MAX(0,K8605))</f>
        <v>0</v>
      </c>
    </row>
    <row r="8531" customFormat="false" ht="15" hidden="false" customHeight="false" outlineLevel="0" collapsed="false">
      <c r="A8531" s="5" t="s">
        <v>273</v>
      </c>
      <c r="G8531" s="25" t="n">
        <f aca="false">G8522*(1-G8519)*(G8521-G8527+G8526-G8529)</f>
        <v>0</v>
      </c>
      <c r="H8531" s="25" t="n">
        <f aca="false">H8522*(1-H8519)*(H8521-H8527+H8526-H8529)</f>
        <v>203.5768</v>
      </c>
      <c r="I8531" s="25" t="n">
        <f aca="false">I8522*(1-I8519)*(I8521-I8527+I8526-I8529)</f>
        <v>0</v>
      </c>
      <c r="J8531" s="25" t="n">
        <f aca="false">J8522*(1-J8519)*(J8521-J8527+J8526-J8529)</f>
        <v>0</v>
      </c>
      <c r="K8531" s="25" t="n">
        <f aca="false">K8522*(1-K8519)*(K8521-K8527+K8526-K8529)</f>
        <v>0</v>
      </c>
    </row>
    <row r="8532" customFormat="false" ht="15" hidden="false" customHeight="false" outlineLevel="0" collapsed="false">
      <c r="A8532" s="2" t="s">
        <v>274</v>
      </c>
      <c r="F8532" s="27" t="n">
        <f aca="false">Assumptions!$C$53</f>
        <v>180</v>
      </c>
      <c r="G8532" s="16" t="n">
        <f aca="false">G8521+G8528+G8526-G8527-G8529-G8530</f>
        <v>203.5768</v>
      </c>
      <c r="H8532" s="16" t="n">
        <f aca="false">H8521+H8528+H8526-H8527-H8529-H8530</f>
        <v>203.5768</v>
      </c>
      <c r="I8532" s="16" t="n">
        <f aca="false">I8521+I8528+I8526-I8527-I8529-I8530</f>
        <v>203.5768</v>
      </c>
      <c r="J8532" s="16" t="n">
        <f aca="false">J8521+J8528+J8526-J8527-J8529-J8530</f>
        <v>203.5768</v>
      </c>
      <c r="K8532" s="16" t="n">
        <f aca="false">K8521+K8528+K8526-K8527-K8529-K8530</f>
        <v>203.5768</v>
      </c>
    </row>
    <row r="8533" customFormat="false" ht="15" hidden="false" customHeight="false" outlineLevel="0" collapsed="false">
      <c r="A8533" s="23" t="s">
        <v>275</v>
      </c>
      <c r="B8533" s="24"/>
      <c r="C8533" s="24"/>
      <c r="D8533" s="24"/>
      <c r="E8533" s="24"/>
      <c r="F8533" s="24"/>
      <c r="G8533" s="24"/>
      <c r="H8533" s="24"/>
      <c r="I8533" s="24"/>
      <c r="J8533" s="24"/>
      <c r="K8533" s="24"/>
    </row>
    <row r="8534" customFormat="false" ht="15" hidden="false" customHeight="false" outlineLevel="0" collapsed="false">
      <c r="A8534" s="5" t="s">
        <v>264</v>
      </c>
      <c r="G8534" s="25" t="n">
        <f aca="false">F8545</f>
        <v>520</v>
      </c>
      <c r="H8534" s="25" t="n">
        <f aca="false">G8545</f>
        <v>514.8</v>
      </c>
      <c r="I8534" s="25" t="n">
        <f aca="false">H8545</f>
        <v>509.6</v>
      </c>
      <c r="J8534" s="25" t="n">
        <f aca="false">I8545</f>
        <v>504.4</v>
      </c>
      <c r="K8534" s="25" t="n">
        <f aca="false">J8545</f>
        <v>499.2</v>
      </c>
    </row>
    <row r="8535" customFormat="false" ht="15" hidden="false" customHeight="false" outlineLevel="0" collapsed="false">
      <c r="A8535" s="5" t="s">
        <v>265</v>
      </c>
      <c r="G8535" s="20" t="n">
        <f aca="false">IF(G8485=Assumptions!$K$54,1,0)</f>
        <v>0</v>
      </c>
      <c r="H8535" s="20" t="n">
        <f aca="false">IF(H8485=Assumptions!$K$54,1,0)</f>
        <v>0</v>
      </c>
      <c r="I8535" s="20" t="n">
        <f aca="false">IF(I8485=Assumptions!$K$54,1,0)</f>
        <v>1</v>
      </c>
      <c r="J8535" s="20" t="n">
        <f aca="false">IF(J8485=Assumptions!$K$54,1,0)</f>
        <v>0</v>
      </c>
      <c r="K8535" s="20" t="n">
        <f aca="false">IF(K8485=Assumptions!$K$54,1,0)</f>
        <v>0</v>
      </c>
    </row>
    <row r="8537" customFormat="false" ht="15" hidden="false" customHeight="false" outlineLevel="0" collapsed="false">
      <c r="A8537" s="5" t="s">
        <v>266</v>
      </c>
      <c r="G8537" s="30" t="n">
        <f aca="false">IF(Assumptions!$I$54=1,MAX(G8511,Assumptions!$G$54)+Assumptions!$F$54+$C$8512,Assumptions!$E$54)</f>
        <v>0.118</v>
      </c>
      <c r="H8537" s="30" t="n">
        <f aca="false">IF(G8674=1,$C$8513,IF(Assumptions!$I$54=1,MAX(H8511,Assumptions!$G$54)+Assumptions!$F$54+$C$8512,Assumptions!$E$54))</f>
        <v>0.1155</v>
      </c>
      <c r="I8537" s="30" t="n">
        <f aca="false">IF(H8674=1,$C$8513,IF(Assumptions!$I$54=1,MAX(I8511,Assumptions!$G$54)+Assumptions!$F$54+$C$8512,Assumptions!$E$54))</f>
        <v>0.113</v>
      </c>
      <c r="J8537" s="30" t="n">
        <f aca="false">IF(I8674=1,$C$8513,IF(Assumptions!$I$54=1,MAX(J8511,Assumptions!$G$54)+Assumptions!$F$54+$C$8512,Assumptions!$E$54))</f>
        <v>0.113</v>
      </c>
      <c r="K8537" s="30" t="n">
        <f aca="false">IF(J8674=1,$C$8513,IF(Assumptions!$I$54=1,MAX(K8511,Assumptions!$G$54)+Assumptions!$F$54+$C$8512,Assumptions!$E$54))</f>
        <v>0.113</v>
      </c>
    </row>
    <row r="8538" customFormat="false" ht="15" hidden="false" customHeight="false" outlineLevel="0" collapsed="false">
      <c r="A8538" s="5" t="s">
        <v>267</v>
      </c>
      <c r="G8538" s="25" t="n">
        <f aca="false">G8534*G8537</f>
        <v>61.36</v>
      </c>
      <c r="H8538" s="25" t="n">
        <f aca="false">H8534*H8537</f>
        <v>59.4594</v>
      </c>
      <c r="I8538" s="25" t="n">
        <f aca="false">I8534*I8537</f>
        <v>57.5848</v>
      </c>
      <c r="J8538" s="25" t="n">
        <f aca="false">J8534*J8537</f>
        <v>56.9972</v>
      </c>
      <c r="K8538" s="25" t="n">
        <f aca="false">K8534*K8537</f>
        <v>56.4096</v>
      </c>
    </row>
    <row r="8539" customFormat="false" ht="15" hidden="false" customHeight="false" outlineLevel="0" collapsed="false">
      <c r="A8539" s="5" t="s">
        <v>268</v>
      </c>
      <c r="G8539" s="25" t="n">
        <f aca="false">G8534*Assumptions!$H$54</f>
        <v>0</v>
      </c>
      <c r="H8539" s="25" t="n">
        <f aca="false">H8534*Assumptions!$H$54</f>
        <v>0</v>
      </c>
      <c r="I8539" s="25" t="n">
        <f aca="false">I8534*Assumptions!$H$54</f>
        <v>0</v>
      </c>
      <c r="J8539" s="25" t="n">
        <f aca="false">J8534*Assumptions!$H$54</f>
        <v>0</v>
      </c>
      <c r="K8539" s="25" t="n">
        <f aca="false">K8534*Assumptions!$H$54</f>
        <v>0</v>
      </c>
    </row>
    <row r="8540" customFormat="false" ht="15" hidden="false" customHeight="false" outlineLevel="0" collapsed="false">
      <c r="A8540" s="5" t="s">
        <v>269</v>
      </c>
      <c r="G8540" s="25" t="n">
        <f aca="false">MIN(G8534,Assumptions!$L$54*Assumptions!$C$54)</f>
        <v>5.2</v>
      </c>
      <c r="H8540" s="25" t="n">
        <f aca="false">MIN(H8534,Assumptions!$L$54*Assumptions!$C$54)</f>
        <v>5.2</v>
      </c>
      <c r="I8540" s="25" t="n">
        <f aca="false">MIN(I8534,Assumptions!$L$54*Assumptions!$C$54)</f>
        <v>5.2</v>
      </c>
      <c r="J8540" s="25" t="n">
        <f aca="false">MIN(J8534,Assumptions!$L$54*Assumptions!$C$54)</f>
        <v>5.2</v>
      </c>
      <c r="K8540" s="25" t="n">
        <f aca="false">MIN(K8534,Assumptions!$L$54*Assumptions!$C$54)</f>
        <v>5.2</v>
      </c>
    </row>
    <row r="8541" customFormat="false" ht="15" hidden="false" customHeight="false" outlineLevel="0" collapsed="false">
      <c r="A8541" s="5" t="s">
        <v>270</v>
      </c>
      <c r="G8541" s="25" t="n">
        <f aca="false">IF(AND(Assumptions!$P$54=1,G8485&lt;Assumptions!$K$54),MIN(MAX(0,-G8599),MAX(0,Assumptions!$D$54-G8534)),0)</f>
        <v>0</v>
      </c>
      <c r="H8541" s="25" t="n">
        <f aca="false">IF(AND(Assumptions!$P$54=1,OR(H8485&lt;Assumptions!$K$54,G8674=1)),MIN(MAX(0,-H8599),MAX(0,Assumptions!$D$54-H8534)),0)</f>
        <v>0</v>
      </c>
      <c r="I8541" s="25" t="n">
        <f aca="false">IF(AND(Assumptions!$P$54=1,OR(I8485&lt;Assumptions!$K$54,H8674=1)),MIN(MAX(0,-I8599),MAX(0,Assumptions!$D$54-I8534)),0)</f>
        <v>0</v>
      </c>
      <c r="J8541" s="25" t="n">
        <f aca="false">IF(AND(Assumptions!$P$54=1,OR(J8485&lt;Assumptions!$K$54,I8674=1)),MIN(MAX(0,-J8599),MAX(0,Assumptions!$D$54-J8534)),0)</f>
        <v>0</v>
      </c>
      <c r="K8541" s="25" t="n">
        <f aca="false">IF(AND(Assumptions!$P$54=1,OR(K8485&lt;Assumptions!$K$54,J8674=1)),MIN(MAX(0,-K8599),MAX(0,Assumptions!$D$54-K8534)),0)</f>
        <v>0</v>
      </c>
    </row>
    <row r="8542" customFormat="false" ht="15" hidden="false" customHeight="false" outlineLevel="0" collapsed="false">
      <c r="A8542" s="5" t="s">
        <v>271</v>
      </c>
      <c r="G8542" s="25" t="n">
        <f aca="false">G8535*MIN(G8534-G8540+G8539,MAX(0,G8601-Assumptions!$C$12*G8519-G8529))</f>
        <v>0</v>
      </c>
      <c r="H8542" s="25" t="n">
        <f aca="false">H8535*MIN(H8534-H8540+H8539,MAX(0,H8601-Assumptions!$C$12*H8519-H8529))</f>
        <v>0</v>
      </c>
      <c r="I8542" s="25" t="n">
        <f aca="false">I8535*MIN(I8534-I8540+I8539,MAX(0,I8601-Assumptions!$C$12*I8519-I8529))</f>
        <v>0</v>
      </c>
      <c r="J8542" s="25" t="n">
        <f aca="false">J8535*MIN(J8534-J8540+J8539,MAX(0,J8601-Assumptions!$C$12*J8519-J8529))</f>
        <v>0</v>
      </c>
      <c r="K8542" s="25" t="n">
        <f aca="false">K8535*MIN(K8534-K8540+K8539,MAX(0,K8601-Assumptions!$C$12*K8519-K8529))</f>
        <v>0</v>
      </c>
    </row>
    <row r="8543" customFormat="false" ht="15" hidden="false" customHeight="false" outlineLevel="0" collapsed="false">
      <c r="A8543" s="5" t="s">
        <v>272</v>
      </c>
      <c r="G8543" s="25" t="n">
        <f aca="false">Assumptions!$N$54*MIN(G8534+G8541+G8539-G8540-G8542,MAX(0,G8605-G8530))</f>
        <v>0</v>
      </c>
      <c r="H8543" s="25" t="n">
        <f aca="false">Assumptions!$N$54*MIN(H8534+H8541+H8539-H8540-H8542,MAX(0,H8605-H8530))</f>
        <v>0</v>
      </c>
      <c r="I8543" s="25" t="n">
        <f aca="false">Assumptions!$N$54*MIN(I8534+I8541+I8539-I8540-I8542,MAX(0,I8605-I8530))</f>
        <v>0</v>
      </c>
      <c r="J8543" s="25" t="n">
        <f aca="false">Assumptions!$N$54*MIN(J8534+J8541+J8539-J8540-J8542,MAX(0,J8605-J8530))</f>
        <v>0</v>
      </c>
      <c r="K8543" s="25" t="n">
        <f aca="false">Assumptions!$N$54*MIN(K8534+K8541+K8539-K8540-K8542,MAX(0,K8605-K8530))</f>
        <v>0</v>
      </c>
    </row>
    <row r="8544" customFormat="false" ht="15" hidden="false" customHeight="false" outlineLevel="0" collapsed="false">
      <c r="A8544" s="5" t="s">
        <v>273</v>
      </c>
      <c r="G8544" s="25" t="n">
        <f aca="false">G8535*(1-G8519)*(G8534-G8540+G8539-G8542)</f>
        <v>0</v>
      </c>
      <c r="H8544" s="25" t="n">
        <f aca="false">H8535*(1-H8519)*(H8534-H8540+H8539-H8542)</f>
        <v>0</v>
      </c>
      <c r="I8544" s="25" t="n">
        <f aca="false">I8535*(1-I8519)*(I8534-I8540+I8539-I8542)</f>
        <v>504.4</v>
      </c>
      <c r="J8544" s="25" t="n">
        <f aca="false">J8535*(1-J8519)*(J8534-J8540+J8539-J8542)</f>
        <v>0</v>
      </c>
      <c r="K8544" s="25" t="n">
        <f aca="false">K8535*(1-K8519)*(K8534-K8540+K8539-K8542)</f>
        <v>0</v>
      </c>
    </row>
    <row r="8545" customFormat="false" ht="15" hidden="false" customHeight="false" outlineLevel="0" collapsed="false">
      <c r="A8545" s="2" t="s">
        <v>274</v>
      </c>
      <c r="F8545" s="27" t="n">
        <f aca="false">Assumptions!$C$54</f>
        <v>520</v>
      </c>
      <c r="G8545" s="16" t="n">
        <f aca="false">G8534+G8541+G8539-G8540-G8542-G8543</f>
        <v>514.8</v>
      </c>
      <c r="H8545" s="16" t="n">
        <f aca="false">H8534+H8541+H8539-H8540-H8542-H8543</f>
        <v>509.6</v>
      </c>
      <c r="I8545" s="16" t="n">
        <f aca="false">I8534+I8541+I8539-I8540-I8542-I8543</f>
        <v>504.4</v>
      </c>
      <c r="J8545" s="16" t="n">
        <f aca="false">J8534+J8541+J8539-J8540-J8542-J8543</f>
        <v>499.2</v>
      </c>
      <c r="K8545" s="16" t="n">
        <f aca="false">K8534+K8541+K8539-K8540-K8542-K8543</f>
        <v>494</v>
      </c>
    </row>
    <row r="8546" customFormat="false" ht="15" hidden="false" customHeight="false" outlineLevel="0" collapsed="false">
      <c r="A8546" s="23" t="s">
        <v>276</v>
      </c>
      <c r="B8546" s="24"/>
      <c r="C8546" s="24"/>
      <c r="D8546" s="24"/>
      <c r="E8546" s="24"/>
      <c r="F8546" s="24"/>
      <c r="G8546" s="24"/>
      <c r="H8546" s="24"/>
      <c r="I8546" s="24"/>
      <c r="J8546" s="24"/>
      <c r="K8546" s="24"/>
    </row>
    <row r="8547" customFormat="false" ht="15" hidden="false" customHeight="false" outlineLevel="0" collapsed="false">
      <c r="A8547" s="5" t="s">
        <v>264</v>
      </c>
      <c r="G8547" s="25" t="n">
        <f aca="false">F8558</f>
        <v>250</v>
      </c>
      <c r="H8547" s="25" t="n">
        <f aca="false">G8558</f>
        <v>250</v>
      </c>
      <c r="I8547" s="25" t="n">
        <f aca="false">H8558</f>
        <v>250</v>
      </c>
      <c r="J8547" s="25" t="n">
        <f aca="false">I8558</f>
        <v>250</v>
      </c>
      <c r="K8547" s="25" t="n">
        <f aca="false">J8558</f>
        <v>250</v>
      </c>
    </row>
    <row r="8548" customFormat="false" ht="15" hidden="false" customHeight="false" outlineLevel="0" collapsed="false">
      <c r="A8548" s="5" t="s">
        <v>265</v>
      </c>
      <c r="G8548" s="20" t="n">
        <f aca="false">IF(G8485=Assumptions!$K$55,1,0)</f>
        <v>0</v>
      </c>
      <c r="H8548" s="20" t="n">
        <f aca="false">IF(H8485=Assumptions!$K$55,1,0)</f>
        <v>0</v>
      </c>
      <c r="I8548" s="20" t="n">
        <f aca="false">IF(I8485=Assumptions!$K$55,1,0)</f>
        <v>0</v>
      </c>
      <c r="J8548" s="20" t="n">
        <f aca="false">IF(J8485=Assumptions!$K$55,1,0)</f>
        <v>1</v>
      </c>
      <c r="K8548" s="20" t="n">
        <f aca="false">IF(K8485=Assumptions!$K$55,1,0)</f>
        <v>0</v>
      </c>
    </row>
    <row r="8550" customFormat="false" ht="15" hidden="false" customHeight="false" outlineLevel="0" collapsed="false">
      <c r="A8550" s="5" t="s">
        <v>266</v>
      </c>
      <c r="G8550" s="30" t="n">
        <f aca="false">IF(Assumptions!$I$55=1,MAX(G8511,Assumptions!$G$55)+Assumptions!$F$55+$C$8512,Assumptions!$E$55)</f>
        <v>0.11</v>
      </c>
      <c r="H8550" s="30" t="n">
        <f aca="false">IF(G8675=1,$C$8513,IF(Assumptions!$I$55=1,MAX(H8511,Assumptions!$G$55)+Assumptions!$F$55+$C$8512,Assumptions!$E$55))</f>
        <v>0.11</v>
      </c>
      <c r="I8550" s="30" t="n">
        <f aca="false">IF(H8675=1,$C$8513,IF(Assumptions!$I$55=1,MAX(I8511,Assumptions!$G$55)+Assumptions!$F$55+$C$8512,Assumptions!$E$55))</f>
        <v>0.11</v>
      </c>
      <c r="J8550" s="30" t="n">
        <f aca="false">IF(I8675=1,$C$8513,IF(Assumptions!$I$55=1,MAX(J8511,Assumptions!$G$55)+Assumptions!$F$55+$C$8512,Assumptions!$E$55))</f>
        <v>0.11</v>
      </c>
      <c r="K8550" s="30" t="n">
        <f aca="false">IF(J8675=1,$C$8513,IF(Assumptions!$I$55=1,MAX(K8511,Assumptions!$G$55)+Assumptions!$F$55+$C$8512,Assumptions!$E$55))</f>
        <v>0.11</v>
      </c>
    </row>
    <row r="8551" customFormat="false" ht="15" hidden="false" customHeight="false" outlineLevel="0" collapsed="false">
      <c r="A8551" s="5" t="s">
        <v>267</v>
      </c>
      <c r="G8551" s="25" t="n">
        <f aca="false">G8547*G8550</f>
        <v>27.5</v>
      </c>
      <c r="H8551" s="25" t="n">
        <f aca="false">H8547*H8550</f>
        <v>27.5</v>
      </c>
      <c r="I8551" s="25" t="n">
        <f aca="false">I8547*I8550</f>
        <v>27.5</v>
      </c>
      <c r="J8551" s="25" t="n">
        <f aca="false">J8547*J8550</f>
        <v>27.5</v>
      </c>
      <c r="K8551" s="25" t="n">
        <f aca="false">K8547*K8550</f>
        <v>27.5</v>
      </c>
    </row>
    <row r="8552" customFormat="false" ht="15" hidden="false" customHeight="false" outlineLevel="0" collapsed="false">
      <c r="A8552" s="5" t="s">
        <v>268</v>
      </c>
      <c r="G8552" s="25" t="n">
        <f aca="false">G8547*Assumptions!$H$55</f>
        <v>0</v>
      </c>
      <c r="H8552" s="25" t="n">
        <f aca="false">H8547*Assumptions!$H$55</f>
        <v>0</v>
      </c>
      <c r="I8552" s="25" t="n">
        <f aca="false">I8547*Assumptions!$H$55</f>
        <v>0</v>
      </c>
      <c r="J8552" s="25" t="n">
        <f aca="false">J8547*Assumptions!$H$55</f>
        <v>0</v>
      </c>
      <c r="K8552" s="25" t="n">
        <f aca="false">K8547*Assumptions!$H$55</f>
        <v>0</v>
      </c>
    </row>
    <row r="8553" customFormat="false" ht="15" hidden="false" customHeight="false" outlineLevel="0" collapsed="false">
      <c r="A8553" s="5" t="s">
        <v>269</v>
      </c>
      <c r="G8553" s="25" t="n">
        <f aca="false">MIN(G8547,Assumptions!$L$55*Assumptions!$C$55)</f>
        <v>0</v>
      </c>
      <c r="H8553" s="25" t="n">
        <f aca="false">MIN(H8547,Assumptions!$L$55*Assumptions!$C$55)</f>
        <v>0</v>
      </c>
      <c r="I8553" s="25" t="n">
        <f aca="false">MIN(I8547,Assumptions!$L$55*Assumptions!$C$55)</f>
        <v>0</v>
      </c>
      <c r="J8553" s="25" t="n">
        <f aca="false">MIN(J8547,Assumptions!$L$55*Assumptions!$C$55)</f>
        <v>0</v>
      </c>
      <c r="K8553" s="25" t="n">
        <f aca="false">MIN(K8547,Assumptions!$L$55*Assumptions!$C$55)</f>
        <v>0</v>
      </c>
    </row>
    <row r="8554" customFormat="false" ht="15" hidden="false" customHeight="false" outlineLevel="0" collapsed="false">
      <c r="A8554" s="5" t="s">
        <v>270</v>
      </c>
      <c r="G8554" s="25" t="n">
        <f aca="false">IF(AND(Assumptions!$P$55=1,G8485&lt;Assumptions!$K$55),MIN(MAX(0,-G8599),MAX(0,Assumptions!$D$55-G8547)),0)</f>
        <v>0</v>
      </c>
      <c r="H8554" s="25" t="n">
        <f aca="false">IF(AND(Assumptions!$P$55=1,OR(H8485&lt;Assumptions!$K$55,G8675=1)),MIN(MAX(0,-H8599),MAX(0,Assumptions!$D$55-H8547)),0)</f>
        <v>0</v>
      </c>
      <c r="I8554" s="25" t="n">
        <f aca="false">IF(AND(Assumptions!$P$55=1,OR(I8485&lt;Assumptions!$K$55,H8675=1)),MIN(MAX(0,-I8599),MAX(0,Assumptions!$D$55-I8547)),0)</f>
        <v>0</v>
      </c>
      <c r="J8554" s="25" t="n">
        <f aca="false">IF(AND(Assumptions!$P$55=1,OR(J8485&lt;Assumptions!$K$55,I8675=1)),MIN(MAX(0,-J8599),MAX(0,Assumptions!$D$55-J8547)),0)</f>
        <v>0</v>
      </c>
      <c r="K8554" s="25" t="n">
        <f aca="false">IF(AND(Assumptions!$P$55=1,OR(K8485&lt;Assumptions!$K$55,J8675=1)),MIN(MAX(0,-K8599),MAX(0,Assumptions!$D$55-K8547)),0)</f>
        <v>0</v>
      </c>
    </row>
    <row r="8555" customFormat="false" ht="15" hidden="false" customHeight="false" outlineLevel="0" collapsed="false">
      <c r="A8555" s="5" t="s">
        <v>271</v>
      </c>
      <c r="G8555" s="25" t="n">
        <f aca="false">G8548*MIN(G8547-G8553+G8552,MAX(0,G8601-Assumptions!$C$12*G8519-G8529-G8542))</f>
        <v>0</v>
      </c>
      <c r="H8555" s="25" t="n">
        <f aca="false">H8548*MIN(H8547-H8553+H8552,MAX(0,H8601-Assumptions!$C$12*H8519-H8529-H8542))</f>
        <v>0</v>
      </c>
      <c r="I8555" s="25" t="n">
        <f aca="false">I8548*MIN(I8547-I8553+I8552,MAX(0,I8601-Assumptions!$C$12*I8519-I8529-I8542))</f>
        <v>0</v>
      </c>
      <c r="J8555" s="25" t="n">
        <f aca="false">J8548*MIN(J8547-J8553+J8552,MAX(0,J8601-Assumptions!$C$12*J8519-J8529-J8542))</f>
        <v>0</v>
      </c>
      <c r="K8555" s="25" t="n">
        <f aca="false">K8548*MIN(K8547-K8553+K8552,MAX(0,K8601-Assumptions!$C$12*K8519-K8529-K8542))</f>
        <v>0</v>
      </c>
    </row>
    <row r="8556" customFormat="false" ht="15" hidden="false" customHeight="false" outlineLevel="0" collapsed="false">
      <c r="A8556" s="5" t="s">
        <v>272</v>
      </c>
      <c r="G8556" s="25" t="n">
        <f aca="false">Assumptions!$N$55*MIN(G8547+G8554+G8552-G8553-G8555,MAX(0,G8605-G8530-G8543))</f>
        <v>0</v>
      </c>
      <c r="H8556" s="25" t="n">
        <f aca="false">Assumptions!$N$55*MIN(H8547+H8554+H8552-H8553-H8555,MAX(0,H8605-H8530-H8543))</f>
        <v>0</v>
      </c>
      <c r="I8556" s="25" t="n">
        <f aca="false">Assumptions!$N$55*MIN(I8547+I8554+I8552-I8553-I8555,MAX(0,I8605-I8530-I8543))</f>
        <v>0</v>
      </c>
      <c r="J8556" s="25" t="n">
        <f aca="false">Assumptions!$N$55*MIN(J8547+J8554+J8552-J8553-J8555,MAX(0,J8605-J8530-J8543))</f>
        <v>0</v>
      </c>
      <c r="K8556" s="25" t="n">
        <f aca="false">Assumptions!$N$55*MIN(K8547+K8554+K8552-K8553-K8555,MAX(0,K8605-K8530-K8543))</f>
        <v>0</v>
      </c>
    </row>
    <row r="8557" customFormat="false" ht="15" hidden="false" customHeight="false" outlineLevel="0" collapsed="false">
      <c r="A8557" s="5" t="s">
        <v>273</v>
      </c>
      <c r="G8557" s="25" t="n">
        <f aca="false">G8548*(1-G8519)*(G8547-G8553+G8552-G8555)</f>
        <v>0</v>
      </c>
      <c r="H8557" s="25" t="n">
        <f aca="false">H8548*(1-H8519)*(H8547-H8553+H8552-H8555)</f>
        <v>0</v>
      </c>
      <c r="I8557" s="25" t="n">
        <f aca="false">I8548*(1-I8519)*(I8547-I8553+I8552-I8555)</f>
        <v>0</v>
      </c>
      <c r="J8557" s="25" t="n">
        <f aca="false">J8548*(1-J8519)*(J8547-J8553+J8552-J8555)</f>
        <v>250</v>
      </c>
      <c r="K8557" s="25" t="n">
        <f aca="false">K8548*(1-K8519)*(K8547-K8553+K8552-K8555)</f>
        <v>0</v>
      </c>
    </row>
    <row r="8558" customFormat="false" ht="15" hidden="false" customHeight="false" outlineLevel="0" collapsed="false">
      <c r="A8558" s="2" t="s">
        <v>274</v>
      </c>
      <c r="F8558" s="27" t="n">
        <f aca="false">Assumptions!$C$55</f>
        <v>250</v>
      </c>
      <c r="G8558" s="16" t="n">
        <f aca="false">G8547+G8554+G8552-G8553-G8555-G8556</f>
        <v>250</v>
      </c>
      <c r="H8558" s="16" t="n">
        <f aca="false">H8547+H8554+H8552-H8553-H8555-H8556</f>
        <v>250</v>
      </c>
      <c r="I8558" s="16" t="n">
        <f aca="false">I8547+I8554+I8552-I8553-I8555-I8556</f>
        <v>250</v>
      </c>
      <c r="J8558" s="16" t="n">
        <f aca="false">J8547+J8554+J8552-J8553-J8555-J8556</f>
        <v>250</v>
      </c>
      <c r="K8558" s="16" t="n">
        <f aca="false">K8547+K8554+K8552-K8553-K8555-K8556</f>
        <v>250</v>
      </c>
    </row>
    <row r="8559" customFormat="false" ht="15" hidden="false" customHeight="false" outlineLevel="0" collapsed="false">
      <c r="A8559" s="23" t="s">
        <v>277</v>
      </c>
      <c r="B8559" s="24"/>
      <c r="C8559" s="24"/>
      <c r="D8559" s="24"/>
      <c r="E8559" s="24"/>
      <c r="F8559" s="24"/>
      <c r="G8559" s="24"/>
      <c r="H8559" s="24"/>
      <c r="I8559" s="24"/>
      <c r="J8559" s="24"/>
      <c r="K8559" s="24"/>
    </row>
    <row r="8560" customFormat="false" ht="15" hidden="false" customHeight="false" outlineLevel="0" collapsed="false">
      <c r="A8560" s="5" t="s">
        <v>264</v>
      </c>
      <c r="G8560" s="25" t="n">
        <f aca="false">F8571</f>
        <v>300</v>
      </c>
      <c r="H8560" s="25" t="n">
        <f aca="false">G8571</f>
        <v>300</v>
      </c>
      <c r="I8560" s="25" t="n">
        <f aca="false">H8571</f>
        <v>300</v>
      </c>
      <c r="J8560" s="25" t="n">
        <f aca="false">I8571</f>
        <v>300</v>
      </c>
      <c r="K8560" s="25" t="n">
        <f aca="false">J8571</f>
        <v>300</v>
      </c>
    </row>
    <row r="8561" customFormat="false" ht="15" hidden="false" customHeight="false" outlineLevel="0" collapsed="false">
      <c r="A8561" s="5" t="s">
        <v>265</v>
      </c>
      <c r="G8561" s="20" t="n">
        <f aca="false">IF(G8485=Assumptions!$K$56,1,0)</f>
        <v>0</v>
      </c>
      <c r="H8561" s="20" t="n">
        <f aca="false">IF(H8485=Assumptions!$K$56,1,0)</f>
        <v>1</v>
      </c>
      <c r="I8561" s="20" t="n">
        <f aca="false">IF(I8485=Assumptions!$K$56,1,0)</f>
        <v>0</v>
      </c>
      <c r="J8561" s="20" t="n">
        <f aca="false">IF(J8485=Assumptions!$K$56,1,0)</f>
        <v>0</v>
      </c>
      <c r="K8561" s="20" t="n">
        <f aca="false">IF(K8485=Assumptions!$K$56,1,0)</f>
        <v>0</v>
      </c>
    </row>
    <row r="8563" customFormat="false" ht="15" hidden="false" customHeight="false" outlineLevel="0" collapsed="false">
      <c r="A8563" s="5" t="s">
        <v>266</v>
      </c>
      <c r="G8563" s="30" t="n">
        <f aca="false">IF(Assumptions!$I$56=1,MAX(G8511,Assumptions!$G$56)+Assumptions!$F$56+$C$8512,Assumptions!$E$56)</f>
        <v>0.075</v>
      </c>
      <c r="H8563" s="30" t="n">
        <f aca="false">IF(G8676=1,$C$8513,IF(Assumptions!$I$56=1,MAX(H8511,Assumptions!$G$56)+Assumptions!$F$56+$C$8512,Assumptions!$E$56))</f>
        <v>0.075</v>
      </c>
      <c r="I8563" s="30" t="n">
        <f aca="false">IF(H8676=1,$C$8513,IF(Assumptions!$I$56=1,MAX(I8511,Assumptions!$G$56)+Assumptions!$F$56+$C$8512,Assumptions!$E$56))</f>
        <v>0.075</v>
      </c>
      <c r="J8563" s="30" t="n">
        <f aca="false">IF(I8676=1,$C$8513,IF(Assumptions!$I$56=1,MAX(J8511,Assumptions!$G$56)+Assumptions!$F$56+$C$8512,Assumptions!$E$56))</f>
        <v>0.075</v>
      </c>
      <c r="K8563" s="30" t="n">
        <f aca="false">IF(J8676=1,$C$8513,IF(Assumptions!$I$56=1,MAX(K8511,Assumptions!$G$56)+Assumptions!$F$56+$C$8512,Assumptions!$E$56))</f>
        <v>0.075</v>
      </c>
    </row>
    <row r="8564" customFormat="false" ht="15" hidden="false" customHeight="false" outlineLevel="0" collapsed="false">
      <c r="A8564" s="5" t="s">
        <v>267</v>
      </c>
      <c r="G8564" s="25" t="n">
        <f aca="false">G8560*G8563</f>
        <v>22.5</v>
      </c>
      <c r="H8564" s="25" t="n">
        <f aca="false">H8560*H8563</f>
        <v>22.5</v>
      </c>
      <c r="I8564" s="25" t="n">
        <f aca="false">I8560*I8563</f>
        <v>22.5</v>
      </c>
      <c r="J8564" s="25" t="n">
        <f aca="false">J8560*J8563</f>
        <v>22.5</v>
      </c>
      <c r="K8564" s="25" t="n">
        <f aca="false">K8560*K8563</f>
        <v>22.5</v>
      </c>
    </row>
    <row r="8565" customFormat="false" ht="15" hidden="false" customHeight="false" outlineLevel="0" collapsed="false">
      <c r="A8565" s="5" t="s">
        <v>268</v>
      </c>
      <c r="G8565" s="25" t="n">
        <f aca="false">G8560*Assumptions!$H$56</f>
        <v>0</v>
      </c>
      <c r="H8565" s="25" t="n">
        <f aca="false">H8560*Assumptions!$H$56</f>
        <v>0</v>
      </c>
      <c r="I8565" s="25" t="n">
        <f aca="false">I8560*Assumptions!$H$56</f>
        <v>0</v>
      </c>
      <c r="J8565" s="25" t="n">
        <f aca="false">J8560*Assumptions!$H$56</f>
        <v>0</v>
      </c>
      <c r="K8565" s="25" t="n">
        <f aca="false">K8560*Assumptions!$H$56</f>
        <v>0</v>
      </c>
    </row>
    <row r="8566" customFormat="false" ht="15" hidden="false" customHeight="false" outlineLevel="0" collapsed="false">
      <c r="A8566" s="5" t="s">
        <v>269</v>
      </c>
      <c r="G8566" s="25" t="n">
        <f aca="false">MIN(G8560,Assumptions!$L$56*Assumptions!$C$56)</f>
        <v>0</v>
      </c>
      <c r="H8566" s="25" t="n">
        <f aca="false">MIN(H8560,Assumptions!$L$56*Assumptions!$C$56)</f>
        <v>0</v>
      </c>
      <c r="I8566" s="25" t="n">
        <f aca="false">MIN(I8560,Assumptions!$L$56*Assumptions!$C$56)</f>
        <v>0</v>
      </c>
      <c r="J8566" s="25" t="n">
        <f aca="false">MIN(J8560,Assumptions!$L$56*Assumptions!$C$56)</f>
        <v>0</v>
      </c>
      <c r="K8566" s="25" t="n">
        <f aca="false">MIN(K8560,Assumptions!$L$56*Assumptions!$C$56)</f>
        <v>0</v>
      </c>
    </row>
    <row r="8567" customFormat="false" ht="15" hidden="false" customHeight="false" outlineLevel="0" collapsed="false">
      <c r="A8567" s="5" t="s">
        <v>270</v>
      </c>
      <c r="G8567" s="25" t="n">
        <f aca="false">IF(AND(Assumptions!$P$56=1,G8485&lt;Assumptions!$K$56),MIN(MAX(0,-G8599),MAX(0,Assumptions!$D$56-G8560)),0)</f>
        <v>0</v>
      </c>
      <c r="H8567" s="25" t="n">
        <f aca="false">IF(AND(Assumptions!$P$56=1,OR(H8485&lt;Assumptions!$K$56,G8676=1)),MIN(MAX(0,-H8599),MAX(0,Assumptions!$D$56-H8560)),0)</f>
        <v>0</v>
      </c>
      <c r="I8567" s="25" t="n">
        <f aca="false">IF(AND(Assumptions!$P$56=1,OR(I8485&lt;Assumptions!$K$56,H8676=1)),MIN(MAX(0,-I8599),MAX(0,Assumptions!$D$56-I8560)),0)</f>
        <v>0</v>
      </c>
      <c r="J8567" s="25" t="n">
        <f aca="false">IF(AND(Assumptions!$P$56=1,OR(J8485&lt;Assumptions!$K$56,I8676=1)),MIN(MAX(0,-J8599),MAX(0,Assumptions!$D$56-J8560)),0)</f>
        <v>0</v>
      </c>
      <c r="K8567" s="25" t="n">
        <f aca="false">IF(AND(Assumptions!$P$56=1,OR(K8485&lt;Assumptions!$K$56,J8676=1)),MIN(MAX(0,-K8599),MAX(0,Assumptions!$D$56-K8560)),0)</f>
        <v>0</v>
      </c>
    </row>
    <row r="8568" customFormat="false" ht="15" hidden="false" customHeight="false" outlineLevel="0" collapsed="false">
      <c r="A8568" s="5" t="s">
        <v>271</v>
      </c>
      <c r="G8568" s="25" t="n">
        <f aca="false">G8561*MIN(G8560-G8566+G8565,MAX(0,G8601-Assumptions!$C$12*G8519-G8529-G8542-G8555))</f>
        <v>0</v>
      </c>
      <c r="H8568" s="25" t="n">
        <f aca="false">H8561*MIN(H8560-H8566+H8565,MAX(0,H8601-Assumptions!$C$12*H8519-H8529-H8542-H8555))</f>
        <v>0</v>
      </c>
      <c r="I8568" s="25" t="n">
        <f aca="false">I8561*MIN(I8560-I8566+I8565,MAX(0,I8601-Assumptions!$C$12*I8519-I8529-I8542-I8555))</f>
        <v>0</v>
      </c>
      <c r="J8568" s="25" t="n">
        <f aca="false">J8561*MIN(J8560-J8566+J8565,MAX(0,J8601-Assumptions!$C$12*J8519-J8529-J8542-J8555))</f>
        <v>0</v>
      </c>
      <c r="K8568" s="25" t="n">
        <f aca="false">K8561*MIN(K8560-K8566+K8565,MAX(0,K8601-Assumptions!$C$12*K8519-K8529-K8542-K8555))</f>
        <v>0</v>
      </c>
    </row>
    <row r="8569" customFormat="false" ht="15" hidden="false" customHeight="false" outlineLevel="0" collapsed="false">
      <c r="A8569" s="5" t="s">
        <v>272</v>
      </c>
      <c r="G8569" s="25" t="n">
        <f aca="false">Assumptions!$N$56*MIN(G8560+G8567+G8565-G8566-G8568,MAX(0,G8605-G8530-G8543-G8556))</f>
        <v>0</v>
      </c>
      <c r="H8569" s="25" t="n">
        <f aca="false">Assumptions!$N$56*MIN(H8560+H8567+H8565-H8566-H8568,MAX(0,H8605-H8530-H8543-H8556))</f>
        <v>0</v>
      </c>
      <c r="I8569" s="25" t="n">
        <f aca="false">Assumptions!$N$56*MIN(I8560+I8567+I8565-I8566-I8568,MAX(0,I8605-I8530-I8543-I8556))</f>
        <v>0</v>
      </c>
      <c r="J8569" s="25" t="n">
        <f aca="false">Assumptions!$N$56*MIN(J8560+J8567+J8565-J8566-J8568,MAX(0,J8605-J8530-J8543-J8556))</f>
        <v>0</v>
      </c>
      <c r="K8569" s="25" t="n">
        <f aca="false">Assumptions!$N$56*MIN(K8560+K8567+K8565-K8566-K8568,MAX(0,K8605-K8530-K8543-K8556))</f>
        <v>0</v>
      </c>
    </row>
    <row r="8570" customFormat="false" ht="15" hidden="false" customHeight="false" outlineLevel="0" collapsed="false">
      <c r="A8570" s="5" t="s">
        <v>273</v>
      </c>
      <c r="G8570" s="25" t="n">
        <f aca="false">G8561*(1-G8519)*(G8560-G8566+G8565-G8568)</f>
        <v>0</v>
      </c>
      <c r="H8570" s="25" t="n">
        <f aca="false">H8561*(1-H8519)*(H8560-H8566+H8565-H8568)</f>
        <v>300</v>
      </c>
      <c r="I8570" s="25" t="n">
        <f aca="false">I8561*(1-I8519)*(I8560-I8566+I8565-I8568)</f>
        <v>0</v>
      </c>
      <c r="J8570" s="25" t="n">
        <f aca="false">J8561*(1-J8519)*(J8560-J8566+J8565-J8568)</f>
        <v>0</v>
      </c>
      <c r="K8570" s="25" t="n">
        <f aca="false">K8561*(1-K8519)*(K8560-K8566+K8565-K8568)</f>
        <v>0</v>
      </c>
    </row>
    <row r="8571" customFormat="false" ht="15" hidden="false" customHeight="false" outlineLevel="0" collapsed="false">
      <c r="A8571" s="2" t="s">
        <v>274</v>
      </c>
      <c r="F8571" s="27" t="n">
        <f aca="false">Assumptions!$C$56</f>
        <v>300</v>
      </c>
      <c r="G8571" s="16" t="n">
        <f aca="false">G8560+G8567+G8565-G8566-G8568-G8569</f>
        <v>300</v>
      </c>
      <c r="H8571" s="16" t="n">
        <f aca="false">H8560+H8567+H8565-H8566-H8568-H8569</f>
        <v>300</v>
      </c>
      <c r="I8571" s="16" t="n">
        <f aca="false">I8560+I8567+I8565-I8566-I8568-I8569</f>
        <v>300</v>
      </c>
      <c r="J8571" s="16" t="n">
        <f aca="false">J8560+J8567+J8565-J8566-J8568-J8569</f>
        <v>300</v>
      </c>
      <c r="K8571" s="16" t="n">
        <f aca="false">K8560+K8567+K8565-K8566-K8568-K8569</f>
        <v>300</v>
      </c>
    </row>
    <row r="8572" customFormat="false" ht="15" hidden="false" customHeight="false" outlineLevel="0" collapsed="false">
      <c r="A8572" s="23" t="s">
        <v>278</v>
      </c>
      <c r="B8572" s="24"/>
      <c r="C8572" s="24"/>
      <c r="D8572" s="24"/>
      <c r="E8572" s="24"/>
      <c r="F8572" s="24"/>
      <c r="G8572" s="24"/>
      <c r="H8572" s="24"/>
      <c r="I8572" s="24"/>
      <c r="J8572" s="24"/>
      <c r="K8572" s="24"/>
    </row>
    <row r="8573" customFormat="false" ht="15" hidden="false" customHeight="false" outlineLevel="0" collapsed="false">
      <c r="A8573" s="2" t="s">
        <v>279</v>
      </c>
      <c r="F8573" s="16" t="n">
        <f aca="false">F8532+F8545+F8558+F8571</f>
        <v>1250</v>
      </c>
      <c r="G8573" s="16" t="n">
        <f aca="false">G8532+G8545+G8558+G8571</f>
        <v>1268.3768</v>
      </c>
      <c r="H8573" s="16" t="n">
        <f aca="false">H8532+H8545+H8558+H8571</f>
        <v>1263.1768</v>
      </c>
      <c r="I8573" s="16" t="n">
        <f aca="false">I8532+I8545+I8558+I8571</f>
        <v>1257.9768</v>
      </c>
      <c r="J8573" s="16" t="n">
        <f aca="false">J8532+J8545+J8558+J8571</f>
        <v>1252.7768</v>
      </c>
      <c r="K8573" s="16" t="n">
        <f aca="false">K8532+K8545+K8558+K8571</f>
        <v>1247.5768</v>
      </c>
    </row>
    <row r="8574" customFormat="false" ht="15" hidden="false" customHeight="false" outlineLevel="0" collapsed="false">
      <c r="A8574" s="5" t="s">
        <v>280</v>
      </c>
      <c r="G8574" s="25" t="n">
        <f aca="false">G8522*Assumptions!$C$53+G8535*Assumptions!$C$54+G8548*Assumptions!$C$55+G8561*Assumptions!$C$56</f>
        <v>0</v>
      </c>
      <c r="H8574" s="25" t="n">
        <f aca="false">H8522*Assumptions!$C$53+H8535*Assumptions!$C$54+H8548*Assumptions!$C$55+H8561*Assumptions!$C$56</f>
        <v>480</v>
      </c>
      <c r="I8574" s="25" t="n">
        <f aca="false">I8522*Assumptions!$C$53+I8535*Assumptions!$C$54+I8548*Assumptions!$C$55+I8561*Assumptions!$C$56</f>
        <v>520</v>
      </c>
      <c r="J8574" s="25" t="n">
        <f aca="false">J8522*Assumptions!$C$53+J8535*Assumptions!$C$54+J8548*Assumptions!$C$55+J8561*Assumptions!$C$56</f>
        <v>250</v>
      </c>
      <c r="K8574" s="25" t="n">
        <f aca="false">K8522*Assumptions!$C$53+K8535*Assumptions!$C$54+K8548*Assumptions!$C$55+K8561*Assumptions!$C$56</f>
        <v>0</v>
      </c>
    </row>
    <row r="8575" customFormat="false" ht="15" hidden="false" customHeight="false" outlineLevel="0" collapsed="false">
      <c r="A8575" s="23" t="s">
        <v>281</v>
      </c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</row>
    <row r="8576" customFormat="false" ht="15" hidden="false" customHeight="false" outlineLevel="0" collapsed="false">
      <c r="A8576" s="5" t="s">
        <v>282</v>
      </c>
      <c r="C8576" s="25" t="n">
        <f aca="false">SUMPRODUCT($G$8522:$K$8522,$G$8521:$K$8521-$G$8527:$K$8527+$G$8526:$K$8526)</f>
        <v>203.5768</v>
      </c>
    </row>
    <row r="8577" customFormat="false" ht="15" hidden="false" customHeight="false" outlineLevel="0" collapsed="false">
      <c r="A8577" s="5" t="s">
        <v>283</v>
      </c>
      <c r="C8577" s="25" t="n">
        <f aca="false">SUMPRODUCT($G$8522:$K$8522,$G$8529:$K$8529)</f>
        <v>0</v>
      </c>
    </row>
    <row r="8578" customFormat="false" ht="15" hidden="false" customHeight="false" outlineLevel="0" collapsed="false">
      <c r="A8578" s="5" t="s">
        <v>284</v>
      </c>
      <c r="C8578" s="5" t="str">
        <f aca="false">IF(SUM($G$8522:$K$8522)=0,"n/a (beyond horizon)",IF(SUMPRODUCT($G$8522:$K$8522,$G$8519:$K$8519)&gt;0,"REFINANCING PASS","REFINANCING FAILURE"))</f>
        <v>REFINANCING FAILURE</v>
      </c>
    </row>
    <row r="8579" customFormat="false" ht="15" hidden="false" customHeight="false" outlineLevel="0" collapsed="false">
      <c r="A8579" s="5" t="s">
        <v>285</v>
      </c>
      <c r="C8579" s="5" t="str">
        <f aca="false">IF(SUM($G$8522:$K$8522)=0,"n/a",IF(C8577&gt;=C8576-0.001,"Repaid from cash",IF(SUMPRODUCT($G$8522:$K$8522,$G$8519:$K$8519)&gt;0,IF(C8577&gt;0,"Partly repaid; remainder refinanced","Refinanced"),IF(SUM($G$8531:$K$8531)&gt;0.001,IF(C8577&gt;0,"Partial repayment; PAYMENT DEFAULT","PAYMENT DEFAULT"),"Repaid from cash"))))</f>
        <v>PAYMENT DEFAULT</v>
      </c>
    </row>
    <row r="8580" customFormat="false" ht="15" hidden="false" customHeight="false" outlineLevel="0" collapsed="false">
      <c r="A8580" s="5" t="s">
        <v>286</v>
      </c>
      <c r="C8580" s="25" t="n">
        <f aca="false">SUMPRODUCT($G$8535:$K$8535,$G$8534:$K$8534-$G$8540:$K$8540+$G$8539:$K$8539)</f>
        <v>504.4</v>
      </c>
    </row>
    <row r="8581" customFormat="false" ht="15" hidden="false" customHeight="false" outlineLevel="0" collapsed="false">
      <c r="A8581" s="5" t="s">
        <v>287</v>
      </c>
      <c r="C8581" s="25" t="n">
        <f aca="false">SUMPRODUCT($G$8535:$K$8535,$G$8542:$K$8542)</f>
        <v>0</v>
      </c>
    </row>
    <row r="8582" customFormat="false" ht="15" hidden="false" customHeight="false" outlineLevel="0" collapsed="false">
      <c r="A8582" s="5" t="s">
        <v>288</v>
      </c>
      <c r="C8582" s="5" t="str">
        <f aca="false">IF(SUM($G$8535:$K$8535)=0,"n/a (beyond horizon)",IF(SUMPRODUCT($G$8535:$K$8535,$G$8519:$K$8519)&gt;0,"REFINANCING PASS","REFINANCING FAILURE"))</f>
        <v>REFINANCING FAILURE</v>
      </c>
    </row>
    <row r="8583" customFormat="false" ht="15" hidden="false" customHeight="false" outlineLevel="0" collapsed="false">
      <c r="A8583" s="5" t="s">
        <v>289</v>
      </c>
      <c r="C8583" s="5" t="str">
        <f aca="false">IF(SUM($G$8535:$K$8535)=0,"n/a",IF(C8581&gt;=C8580-0.001,"Repaid from cash",IF(SUMPRODUCT($G$8535:$K$8535,$G$8519:$K$8519)&gt;0,IF(C8581&gt;0,"Partly repaid; remainder refinanced","Refinanced"),IF(SUM($G$8544:$K$8544)&gt;0.001,IF(C8581&gt;0,"Partial repayment; PAYMENT DEFAULT","PAYMENT DEFAULT"),"Repaid from cash"))))</f>
        <v>PAYMENT DEFAULT</v>
      </c>
    </row>
    <row r="8584" customFormat="false" ht="15" hidden="false" customHeight="false" outlineLevel="0" collapsed="false">
      <c r="A8584" s="5" t="s">
        <v>290</v>
      </c>
      <c r="C8584" s="25" t="n">
        <f aca="false">SUMPRODUCT($G$8548:$K$8548,$G$8547:$K$8547-$G$8553:$K$8553+$G$8552:$K$8552)</f>
        <v>250</v>
      </c>
    </row>
    <row r="8585" customFormat="false" ht="15" hidden="false" customHeight="false" outlineLevel="0" collapsed="false">
      <c r="A8585" s="5" t="s">
        <v>291</v>
      </c>
      <c r="C8585" s="25" t="n">
        <f aca="false">SUMPRODUCT($G$8548:$K$8548,$G$8555:$K$8555)</f>
        <v>0</v>
      </c>
    </row>
    <row r="8586" customFormat="false" ht="15" hidden="false" customHeight="false" outlineLevel="0" collapsed="false">
      <c r="A8586" s="5" t="s">
        <v>292</v>
      </c>
      <c r="C8586" s="5" t="str">
        <f aca="false">IF(SUM($G$8548:$K$8548)=0,"n/a (beyond horizon)",IF(SUMPRODUCT($G$8548:$K$8548,$G$8519:$K$8519)&gt;0,"REFINANCING PASS","REFINANCING FAILURE"))</f>
        <v>REFINANCING FAILURE</v>
      </c>
    </row>
    <row r="8587" customFormat="false" ht="15" hidden="false" customHeight="false" outlineLevel="0" collapsed="false">
      <c r="A8587" s="5" t="s">
        <v>293</v>
      </c>
      <c r="C8587" s="5" t="str">
        <f aca="false">IF(SUM($G$8548:$K$8548)=0,"n/a",IF(C8585&gt;=C8584-0.001,"Repaid from cash",IF(SUMPRODUCT($G$8548:$K$8548,$G$8519:$K$8519)&gt;0,IF(C8585&gt;0,"Partly repaid; remainder refinanced","Refinanced"),IF(SUM($G$8557:$K$8557)&gt;0.001,IF(C8585&gt;0,"Partial repayment; PAYMENT DEFAULT","PAYMENT DEFAULT"),"Repaid from cash"))))</f>
        <v>PAYMENT DEFAULT</v>
      </c>
    </row>
    <row r="8588" customFormat="false" ht="15" hidden="false" customHeight="false" outlineLevel="0" collapsed="false">
      <c r="A8588" s="5" t="s">
        <v>294</v>
      </c>
      <c r="C8588" s="25" t="n">
        <f aca="false">SUMPRODUCT($G$8561:$K$8561,$G$8560:$K$8560-$G$8566:$K$8566+$G$8565:$K$8565)</f>
        <v>300</v>
      </c>
    </row>
    <row r="8589" customFormat="false" ht="15" hidden="false" customHeight="false" outlineLevel="0" collapsed="false">
      <c r="A8589" s="5" t="s">
        <v>295</v>
      </c>
      <c r="C8589" s="25" t="n">
        <f aca="false">SUMPRODUCT($G$8561:$K$8561,$G$8568:$K$8568)</f>
        <v>0</v>
      </c>
    </row>
    <row r="8590" customFormat="false" ht="15" hidden="false" customHeight="false" outlineLevel="0" collapsed="false">
      <c r="A8590" s="5" t="s">
        <v>296</v>
      </c>
      <c r="C8590" s="5" t="str">
        <f aca="false">IF(SUM($G$8561:$K$8561)=0,"n/a (beyond horizon)",IF(SUMPRODUCT($G$8561:$K$8561,$G$8519:$K$8519)&gt;0,"REFINANCING PASS","REFINANCING FAILURE"))</f>
        <v>REFINANCING FAILURE</v>
      </c>
    </row>
    <row r="8591" customFormat="false" ht="15" hidden="false" customHeight="false" outlineLevel="0" collapsed="false">
      <c r="A8591" s="5" t="s">
        <v>297</v>
      </c>
      <c r="C8591" s="5" t="str">
        <f aca="false">IF(SUM($G$8561:$K$8561)=0,"n/a",IF(C8589&gt;=C8588-0.001,"Repaid from cash",IF(SUMPRODUCT($G$8561:$K$8561,$G$8519:$K$8519)&gt;0,IF(C8589&gt;0,"Partly repaid; remainder refinanced","Refinanced"),IF(SUM($G$8570:$K$8570)&gt;0.001,IF(C8589&gt;0,"Partial repayment; PAYMENT DEFAULT","PAYMENT DEFAULT"),"Repaid from cash"))))</f>
        <v>PAYMENT DEFAULT</v>
      </c>
    </row>
    <row r="8592" customFormat="false" ht="15" hidden="false" customHeight="false" outlineLevel="0" collapsed="false">
      <c r="A8592" s="5" t="s">
        <v>298</v>
      </c>
      <c r="C8592" s="20" t="n">
        <f aca="false">IF(C8578="REFINANCING FAILURE",1,0)+IF(C8582="REFINANCING FAILURE",1,0)+IF(C8586="REFINANCING FAILURE",1,0)+IF(C8590="REFINANCING FAILURE",1,0)</f>
        <v>4</v>
      </c>
    </row>
    <row r="8594" customFormat="false" ht="15" hidden="false" customHeight="false" outlineLevel="0" collapsed="false">
      <c r="A8594" s="23" t="s">
        <v>300</v>
      </c>
      <c r="B8594" s="24"/>
      <c r="C8594" s="24"/>
      <c r="D8594" s="24"/>
      <c r="E8594" s="24"/>
      <c r="F8594" s="24"/>
      <c r="G8594" s="24"/>
      <c r="H8594" s="24"/>
      <c r="I8594" s="24"/>
      <c r="J8594" s="24"/>
      <c r="K8594" s="24"/>
    </row>
    <row r="8595" customFormat="false" ht="15" hidden="false" customHeight="false" outlineLevel="0" collapsed="false">
      <c r="A8595" s="5" t="s">
        <v>260</v>
      </c>
      <c r="G8595" s="25" t="n">
        <f aca="false">F8607</f>
        <v>45</v>
      </c>
      <c r="H8595" s="25" t="n">
        <f aca="false">G8607</f>
        <v>0</v>
      </c>
      <c r="I8595" s="25" t="n">
        <f aca="false">H8607</f>
        <v>-108.5475292</v>
      </c>
      <c r="J8595" s="25" t="n">
        <f aca="false">I8607</f>
        <v>-213.879084272</v>
      </c>
      <c r="K8595" s="25" t="n">
        <f aca="false">J8607</f>
        <v>-308.93743077184</v>
      </c>
    </row>
    <row r="8596" customFormat="false" ht="15" hidden="false" customHeight="false" outlineLevel="0" collapsed="false">
      <c r="A8596" s="5" t="s">
        <v>301</v>
      </c>
      <c r="G8596" s="25" t="n">
        <f aca="false">G8508</f>
        <v>-63.3768</v>
      </c>
      <c r="H8596" s="25" t="n">
        <f aca="false">H8508</f>
        <v>-103.3475292</v>
      </c>
      <c r="I8596" s="25" t="n">
        <f aca="false">I8508</f>
        <v>-100.131555072</v>
      </c>
      <c r="J8596" s="25" t="n">
        <f aca="false">J8508</f>
        <v>-89.85834649984</v>
      </c>
      <c r="K8596" s="25" t="n">
        <f aca="false">K8508</f>
        <v>-81.91988779136</v>
      </c>
    </row>
    <row r="8597" customFormat="false" ht="15" hidden="false" customHeight="false" outlineLevel="0" collapsed="false">
      <c r="A8597" s="5" t="s">
        <v>302</v>
      </c>
      <c r="G8597" s="25" t="n">
        <f aca="false">CHOOSE($C$8478,Assumptions!$G$68,Assumptions!$G$87,Assumptions!$G$106)</f>
        <v>0</v>
      </c>
      <c r="H8597" s="25" t="n">
        <f aca="false">CHOOSE($C$8478,Assumptions!$H$68,Assumptions!$H$87,Assumptions!$H$106)</f>
        <v>0</v>
      </c>
      <c r="I8597" s="25" t="n">
        <f aca="false">CHOOSE($C$8478,Assumptions!$I$68,Assumptions!$I$87,Assumptions!$I$106)</f>
        <v>0</v>
      </c>
      <c r="J8597" s="25" t="n">
        <f aca="false">CHOOSE($C$8478,Assumptions!$J$68,Assumptions!$J$87,Assumptions!$J$106)</f>
        <v>0</v>
      </c>
      <c r="K8597" s="25" t="n">
        <f aca="false">CHOOSE($C$8478,Assumptions!$K$68,Assumptions!$K$87,Assumptions!$K$106)</f>
        <v>0</v>
      </c>
    </row>
    <row r="8598" customFormat="false" ht="15" hidden="false" customHeight="false" outlineLevel="0" collapsed="false">
      <c r="A8598" s="5" t="s">
        <v>303</v>
      </c>
      <c r="G8598" s="25" t="n">
        <f aca="false">G8527+G8540+G8553+G8566</f>
        <v>5.2</v>
      </c>
      <c r="H8598" s="25" t="n">
        <f aca="false">H8527+H8540+H8553+H8566</f>
        <v>5.2</v>
      </c>
      <c r="I8598" s="25" t="n">
        <f aca="false">I8527+I8540+I8553+I8566</f>
        <v>5.2</v>
      </c>
      <c r="J8598" s="25" t="n">
        <f aca="false">J8527+J8540+J8553+J8566</f>
        <v>5.2</v>
      </c>
      <c r="K8598" s="25" t="n">
        <f aca="false">K8527+K8540+K8553+K8566</f>
        <v>5.2</v>
      </c>
    </row>
    <row r="8599" customFormat="false" ht="15" hidden="false" customHeight="false" outlineLevel="0" collapsed="false">
      <c r="A8599" s="2" t="s">
        <v>304</v>
      </c>
      <c r="G8599" s="16" t="n">
        <f aca="false">G8595+G8596+G8597-G8598</f>
        <v>-23.5768</v>
      </c>
      <c r="H8599" s="16" t="n">
        <f aca="false">H8595+H8596+H8597-H8598</f>
        <v>-108.5475292</v>
      </c>
      <c r="I8599" s="16" t="n">
        <f aca="false">I8595+I8596+I8597-I8598</f>
        <v>-213.879084272</v>
      </c>
      <c r="J8599" s="16" t="n">
        <f aca="false">J8595+J8596+J8597-J8598</f>
        <v>-308.93743077184</v>
      </c>
      <c r="K8599" s="16" t="n">
        <f aca="false">K8595+K8596+K8597-K8598</f>
        <v>-396.0573185632</v>
      </c>
    </row>
    <row r="8600" customFormat="false" ht="15" hidden="false" customHeight="false" outlineLevel="0" collapsed="false">
      <c r="A8600" s="5" t="s">
        <v>305</v>
      </c>
      <c r="G8600" s="25" t="n">
        <f aca="false">G8528+G8541+G8554+G8567</f>
        <v>23.5768</v>
      </c>
      <c r="H8600" s="25" t="n">
        <f aca="false">H8528+H8541+H8554+H8567</f>
        <v>0</v>
      </c>
      <c r="I8600" s="25" t="n">
        <f aca="false">I8528+I8541+I8554+I8567</f>
        <v>0</v>
      </c>
      <c r="J8600" s="25" t="n">
        <f aca="false">J8528+J8541+J8554+J8567</f>
        <v>0</v>
      </c>
      <c r="K8600" s="25" t="n">
        <f aca="false">K8528+K8541+K8554+K8567</f>
        <v>0</v>
      </c>
    </row>
    <row r="8601" customFormat="false" ht="15" hidden="false" customHeight="false" outlineLevel="0" collapsed="false">
      <c r="A8601" s="2" t="s">
        <v>306</v>
      </c>
      <c r="G8601" s="16" t="n">
        <f aca="false">G8599+G8600</f>
        <v>0</v>
      </c>
      <c r="H8601" s="16" t="n">
        <f aca="false">H8599+H8600</f>
        <v>-108.5475292</v>
      </c>
      <c r="I8601" s="16" t="n">
        <f aca="false">I8599+I8600</f>
        <v>-213.879084272</v>
      </c>
      <c r="J8601" s="16" t="n">
        <f aca="false">J8599+J8600</f>
        <v>-308.93743077184</v>
      </c>
      <c r="K8601" s="16" t="n">
        <f aca="false">K8599+K8600</f>
        <v>-396.0573185632</v>
      </c>
    </row>
    <row r="8602" customFormat="false" ht="15" hidden="false" customHeight="false" outlineLevel="0" collapsed="false">
      <c r="A8602" s="5" t="s">
        <v>307</v>
      </c>
      <c r="G8602" s="25" t="n">
        <f aca="false">G8529+G8542+G8555+G8568</f>
        <v>0</v>
      </c>
      <c r="H8602" s="25" t="n">
        <f aca="false">H8529+H8542+H8555+H8568</f>
        <v>0</v>
      </c>
      <c r="I8602" s="25" t="n">
        <f aca="false">I8529+I8542+I8555+I8568</f>
        <v>0</v>
      </c>
      <c r="J8602" s="25" t="n">
        <f aca="false">J8529+J8542+J8555+J8568</f>
        <v>0</v>
      </c>
      <c r="K8602" s="25" t="n">
        <f aca="false">K8529+K8542+K8555+K8568</f>
        <v>0</v>
      </c>
    </row>
    <row r="8603" customFormat="false" ht="15" hidden="false" customHeight="false" outlineLevel="0" collapsed="false">
      <c r="A8603" s="2" t="s">
        <v>308</v>
      </c>
      <c r="G8603" s="16" t="n">
        <f aca="false">G8601-G8602</f>
        <v>0</v>
      </c>
      <c r="H8603" s="16" t="n">
        <f aca="false">H8601-H8602</f>
        <v>-108.5475292</v>
      </c>
      <c r="I8603" s="16" t="n">
        <f aca="false">I8601-I8602</f>
        <v>-213.879084272</v>
      </c>
      <c r="J8603" s="16" t="n">
        <f aca="false">J8601-J8602</f>
        <v>-308.93743077184</v>
      </c>
      <c r="K8603" s="16" t="n">
        <f aca="false">K8601-K8602</f>
        <v>-396.0573185632</v>
      </c>
    </row>
    <row r="8604" customFormat="false" ht="15" hidden="false" customHeight="false" outlineLevel="0" collapsed="false">
      <c r="A8604" s="5" t="s">
        <v>309</v>
      </c>
      <c r="G8604" s="25" t="n">
        <f aca="false">MAX(0,-G8603)</f>
        <v>-0</v>
      </c>
      <c r="H8604" s="25" t="n">
        <f aca="false">MAX(0,-H8603)</f>
        <v>108.5475292</v>
      </c>
      <c r="I8604" s="25" t="n">
        <f aca="false">MAX(0,-I8603)</f>
        <v>213.879084272</v>
      </c>
      <c r="J8604" s="25" t="n">
        <f aca="false">MAX(0,-J8603)</f>
        <v>308.93743077184</v>
      </c>
      <c r="K8604" s="25" t="n">
        <f aca="false">MAX(0,-K8603)</f>
        <v>396.0573185632</v>
      </c>
    </row>
    <row r="8605" customFormat="false" ht="15" hidden="false" customHeight="false" outlineLevel="0" collapsed="false">
      <c r="A8605" s="5" t="s">
        <v>310</v>
      </c>
      <c r="G8605" s="25" t="n">
        <f aca="false">MAX(0,G8603-Assumptions!$C$12)*Assumptions!$C$13</f>
        <v>0</v>
      </c>
      <c r="H8605" s="25" t="n">
        <f aca="false">MAX(0,H8603-Assumptions!$C$12)*Assumptions!$C$13</f>
        <v>0</v>
      </c>
      <c r="I8605" s="25" t="n">
        <f aca="false">MAX(0,I8603-Assumptions!$C$12)*Assumptions!$C$13</f>
        <v>0</v>
      </c>
      <c r="J8605" s="25" t="n">
        <f aca="false">MAX(0,J8603-Assumptions!$C$12)*Assumptions!$C$13</f>
        <v>0</v>
      </c>
      <c r="K8605" s="25" t="n">
        <f aca="false">MAX(0,K8603-Assumptions!$C$12)*Assumptions!$C$13</f>
        <v>0</v>
      </c>
    </row>
    <row r="8606" customFormat="false" ht="15" hidden="false" customHeight="false" outlineLevel="0" collapsed="false">
      <c r="A8606" s="5" t="s">
        <v>311</v>
      </c>
      <c r="G8606" s="25" t="n">
        <f aca="false">G8530+G8543+G8556+G8569</f>
        <v>0</v>
      </c>
      <c r="H8606" s="25" t="n">
        <f aca="false">H8530+H8543+H8556+H8569</f>
        <v>0</v>
      </c>
      <c r="I8606" s="25" t="n">
        <f aca="false">I8530+I8543+I8556+I8569</f>
        <v>0</v>
      </c>
      <c r="J8606" s="25" t="n">
        <f aca="false">J8530+J8543+J8556+J8569</f>
        <v>0</v>
      </c>
      <c r="K8606" s="25" t="n">
        <f aca="false">K8530+K8543+K8556+K8569</f>
        <v>0</v>
      </c>
    </row>
    <row r="8607" customFormat="false" ht="15" hidden="false" customHeight="false" outlineLevel="0" collapsed="false">
      <c r="A8607" s="2" t="s">
        <v>312</v>
      </c>
      <c r="F8607" s="27" t="n">
        <f aca="false">Assumptions!$C$11</f>
        <v>45</v>
      </c>
      <c r="G8607" s="16" t="n">
        <f aca="false">G8603-G8606</f>
        <v>0</v>
      </c>
      <c r="H8607" s="16" t="n">
        <f aca="false">H8603-H8606</f>
        <v>-108.5475292</v>
      </c>
      <c r="I8607" s="16" t="n">
        <f aca="false">I8603-I8606</f>
        <v>-213.879084272</v>
      </c>
      <c r="J8607" s="16" t="n">
        <f aca="false">J8603-J8606</f>
        <v>-308.93743077184</v>
      </c>
      <c r="K8607" s="16" t="n">
        <f aca="false">K8603-K8606</f>
        <v>-396.0573185632</v>
      </c>
    </row>
    <row r="8608" customFormat="false" ht="15" hidden="false" customHeight="false" outlineLevel="0" collapsed="false">
      <c r="A8608" s="5" t="s">
        <v>313</v>
      </c>
      <c r="G8608" s="25" t="n">
        <f aca="false">G8531+G8544+G8557+G8570</f>
        <v>0</v>
      </c>
      <c r="H8608" s="25" t="n">
        <f aca="false">H8531+H8544+H8557+H8570</f>
        <v>503.5768</v>
      </c>
      <c r="I8608" s="25" t="n">
        <f aca="false">I8531+I8544+I8557+I8570</f>
        <v>504.4</v>
      </c>
      <c r="J8608" s="25" t="n">
        <f aca="false">J8531+J8544+J8557+J8570</f>
        <v>250</v>
      </c>
      <c r="K8608" s="25" t="n">
        <f aca="false">K8531+K8544+K8557+K8570</f>
        <v>0</v>
      </c>
    </row>
    <row r="8609" customFormat="false" ht="15" hidden="false" customHeight="false" outlineLevel="0" collapsed="false">
      <c r="A8609" s="5" t="s">
        <v>314</v>
      </c>
      <c r="G8609" s="20" t="n">
        <f aca="false">IF(OR(G8604&gt;0.001,G8608&gt;0.001),1,0)</f>
        <v>0</v>
      </c>
      <c r="H8609" s="20" t="n">
        <f aca="false">IF(OR(H8604&gt;0.001,H8608&gt;0.001),1,0)</f>
        <v>1</v>
      </c>
      <c r="I8609" s="20" t="n">
        <f aca="false">IF(OR(I8604&gt;0.001,I8608&gt;0.001),1,0)</f>
        <v>1</v>
      </c>
      <c r="J8609" s="20" t="n">
        <f aca="false">IF(OR(J8604&gt;0.001,J8608&gt;0.001),1,0)</f>
        <v>1</v>
      </c>
      <c r="K8609" s="20" t="n">
        <f aca="false">IF(OR(K8604&gt;0.001,K8608&gt;0.001),1,0)</f>
        <v>1</v>
      </c>
    </row>
    <row r="8610" customFormat="false" ht="15" hidden="false" customHeight="false" outlineLevel="0" collapsed="false">
      <c r="A8610" s="5" t="s">
        <v>315</v>
      </c>
      <c r="G8610" s="20" t="n">
        <f aca="false">IF(G8609=1,1,0)</f>
        <v>0</v>
      </c>
      <c r="H8610" s="20" t="n">
        <f aca="false">IF(AND(H8609=1,SUM($G$8609:G8609)=0),1,0)</f>
        <v>1</v>
      </c>
      <c r="I8610" s="20" t="n">
        <f aca="false">IF(AND(I8609=1,SUM($G$8609:H8609)=0),1,0)</f>
        <v>0</v>
      </c>
      <c r="J8610" s="20" t="n">
        <f aca="false">IF(AND(J8609=1,SUM($G$8609:I8609)=0),1,0)</f>
        <v>0</v>
      </c>
      <c r="K8610" s="20" t="n">
        <f aca="false">IF(AND(K8609=1,SUM($G$8609:J8609)=0),1,0)</f>
        <v>0</v>
      </c>
    </row>
    <row r="8611" customFormat="false" ht="15" hidden="false" customHeight="false" outlineLevel="0" collapsed="false">
      <c r="A8611" s="5" t="s">
        <v>316</v>
      </c>
      <c r="G8611" s="25" t="n">
        <f aca="false">(G8573-F8573)-(G8600+G8500-G8598-G8602-G8606)</f>
        <v>0</v>
      </c>
      <c r="H8611" s="25" t="n">
        <f aca="false">(H8573-G8573)-(H8600+H8500-H8598-H8602-H8606)</f>
        <v>-4.52970994047064E-014</v>
      </c>
      <c r="I8611" s="25" t="n">
        <f aca="false">(I8573-H8573)-(I8600+I8500-I8598-I8602-I8606)</f>
        <v>-4.52970994047064E-014</v>
      </c>
      <c r="J8611" s="25" t="n">
        <f aca="false">(J8573-I8573)-(J8600+J8500-J8598-J8602-J8606)</f>
        <v>1.82076576038526E-013</v>
      </c>
      <c r="K8611" s="25" t="n">
        <f aca="false">(K8573-J8573)-(K8600+K8500-K8598-K8602-K8606)</f>
        <v>-4.52970994047064E-014</v>
      </c>
    </row>
    <row r="8613" customFormat="false" ht="15" hidden="false" customHeight="false" outlineLevel="0" collapsed="false">
      <c r="A8613" s="23" t="s">
        <v>318</v>
      </c>
      <c r="B8613" s="24"/>
      <c r="C8613" s="24"/>
      <c r="D8613" s="24"/>
      <c r="E8613" s="24"/>
      <c r="F8613" s="24"/>
      <c r="G8613" s="24"/>
      <c r="H8613" s="24"/>
      <c r="I8613" s="24"/>
      <c r="J8613" s="24"/>
      <c r="K8613" s="24"/>
    </row>
    <row r="8614" customFormat="false" ht="15" hidden="false" customHeight="false" outlineLevel="0" collapsed="false">
      <c r="A8614" s="5" t="s">
        <v>319</v>
      </c>
      <c r="G8614" s="25" t="n">
        <f aca="false">G8573</f>
        <v>1268.3768</v>
      </c>
      <c r="H8614" s="25" t="n">
        <f aca="false">H8573</f>
        <v>1263.1768</v>
      </c>
      <c r="I8614" s="25" t="n">
        <f aca="false">I8573</f>
        <v>1257.9768</v>
      </c>
      <c r="J8614" s="25" t="n">
        <f aca="false">J8573</f>
        <v>1252.7768</v>
      </c>
      <c r="K8614" s="25" t="n">
        <f aca="false">K8573</f>
        <v>1247.5768</v>
      </c>
    </row>
    <row r="8615" customFormat="false" ht="15" hidden="false" customHeight="false" outlineLevel="0" collapsed="false">
      <c r="A8615" s="5" t="s">
        <v>320</v>
      </c>
      <c r="G8615" s="25" t="n">
        <f aca="false">Assumptions!$O$53*G8532+Assumptions!$O$54*G8545+Assumptions!$O$55*G8558+Assumptions!$O$56*G8571</f>
        <v>968.3768</v>
      </c>
      <c r="H8615" s="25" t="n">
        <f aca="false">Assumptions!$O$53*H8532+Assumptions!$O$54*H8545+Assumptions!$O$55*H8558+Assumptions!$O$56*H8571</f>
        <v>963.1768</v>
      </c>
      <c r="I8615" s="25" t="n">
        <f aca="false">Assumptions!$O$53*I8532+Assumptions!$O$54*I8545+Assumptions!$O$55*I8558+Assumptions!$O$56*I8571</f>
        <v>957.9768</v>
      </c>
      <c r="J8615" s="25" t="n">
        <f aca="false">Assumptions!$O$53*J8532+Assumptions!$O$54*J8545+Assumptions!$O$55*J8558+Assumptions!$O$56*J8571</f>
        <v>952.7768</v>
      </c>
      <c r="K8615" s="25" t="n">
        <f aca="false">Assumptions!$O$53*K8532+Assumptions!$O$54*K8545+Assumptions!$O$55*K8558+Assumptions!$O$56*K8571</f>
        <v>947.5768</v>
      </c>
    </row>
    <row r="8616" customFormat="false" ht="15" hidden="false" customHeight="false" outlineLevel="0" collapsed="false">
      <c r="A8616" s="5" t="s">
        <v>321</v>
      </c>
      <c r="G8616" s="25" t="n">
        <f aca="false">G8614-G8607</f>
        <v>1268.3768</v>
      </c>
      <c r="H8616" s="25" t="n">
        <f aca="false">H8614-H8607</f>
        <v>1371.7243292</v>
      </c>
      <c r="I8616" s="25" t="n">
        <f aca="false">I8614-I8607</f>
        <v>1471.855884272</v>
      </c>
      <c r="J8616" s="25" t="n">
        <f aca="false">J8614-J8607</f>
        <v>1561.71423077184</v>
      </c>
      <c r="K8616" s="25" t="n">
        <f aca="false">K8614-K8607</f>
        <v>1643.6341185632</v>
      </c>
    </row>
    <row r="8617" customFormat="false" ht="15" hidden="false" customHeight="false" outlineLevel="0" collapsed="false">
      <c r="A8617" s="5" t="s">
        <v>322</v>
      </c>
      <c r="G8617" s="31" t="n">
        <f aca="false">IF(G8495&gt;0,G8614/G8495,0)</f>
        <v>17.3161970292704</v>
      </c>
      <c r="H8617" s="31" t="n">
        <f aca="false">IF(H8495&gt;0,H8614/H8495,0)</f>
        <v>28.8064805299643</v>
      </c>
      <c r="I8617" s="31" t="n">
        <f aca="false">IF(I8495&gt;0,I8614/I8495,0)</f>
        <v>24.0766867145367</v>
      </c>
      <c r="J8617" s="31" t="n">
        <f aca="false">IF(J8495&gt;0,J8614/J8495,0)</f>
        <v>21.1348851460921</v>
      </c>
      <c r="K8617" s="31" t="n">
        <f aca="false">IF(K8495&gt;0,K8614/K8495,0)</f>
        <v>19.1139221999606</v>
      </c>
    </row>
    <row r="8618" customFormat="false" ht="15" hidden="false" customHeight="false" outlineLevel="0" collapsed="false">
      <c r="A8618" s="5" t="s">
        <v>323</v>
      </c>
      <c r="G8618" s="31" t="n">
        <f aca="false">IF(G8495&gt;0,G8616/G8495,0)</f>
        <v>17.3161970292704</v>
      </c>
      <c r="H8618" s="31" t="n">
        <f aca="false">IF(H8495&gt;0,H8616/H8495,0)</f>
        <v>31.2818840415516</v>
      </c>
      <c r="I8618" s="31" t="n">
        <f aca="false">IF(I8495&gt;0,I8616/I8495,0)</f>
        <v>28.1701641990252</v>
      </c>
      <c r="J8618" s="31" t="n">
        <f aca="false">IF(J8495&gt;0,J8616/J8495,0)</f>
        <v>26.3467928990865</v>
      </c>
      <c r="K8618" s="31" t="n">
        <f aca="false">IF(K8495&gt;0,K8616/K8495,0)</f>
        <v>25.1818522654621</v>
      </c>
    </row>
    <row r="8619" customFormat="false" ht="15" hidden="false" customHeight="false" outlineLevel="0" collapsed="false">
      <c r="A8619" s="5" t="s">
        <v>324</v>
      </c>
      <c r="G8619" s="31" t="n">
        <f aca="false">IF(G8499&gt;0,G8495/G8499,0)</f>
        <v>0.56544696618805</v>
      </c>
      <c r="H8619" s="31" t="n">
        <f aca="false">IF(H8499&gt;0,H8495/H8499,0)</f>
        <v>0.338582795137232</v>
      </c>
      <c r="I8619" s="31" t="n">
        <f aca="false">IF(I8499&gt;0,I8495/I8499,0)</f>
        <v>0.410992697159256</v>
      </c>
      <c r="J8619" s="31" t="n">
        <f aca="false">IF(J8499&gt;0,J8495/J8499,0)</f>
        <v>0.468429258938837</v>
      </c>
      <c r="K8619" s="31" t="n">
        <f aca="false">IF(K8499&gt;0,K8495/K8499,0)</f>
        <v>0.518213895022457</v>
      </c>
    </row>
    <row r="8620" customFormat="false" ht="15" hidden="false" customHeight="false" outlineLevel="0" collapsed="false">
      <c r="A8620" s="5" t="s">
        <v>325</v>
      </c>
      <c r="G8620" s="31" t="n">
        <f aca="false">IF(G8499&gt;0,G8498/G8499,0)</f>
        <v>0.210023158869847</v>
      </c>
      <c r="H8620" s="31" t="n">
        <f aca="false">IF(H8499&gt;0,H8498/H8499,0)</f>
        <v>0.014720991092923</v>
      </c>
      <c r="I8620" s="31" t="n">
        <f aca="false">IF(I8499&gt;0,I8498/I8499,0)</f>
        <v>0.0992051337970618</v>
      </c>
      <c r="J8620" s="31" t="n">
        <f aca="false">IF(J8499&gt;0,J8498/J8499,0)</f>
        <v>0.173988010462997</v>
      </c>
      <c r="K8620" s="31" t="n">
        <f aca="false">IF(K8499&gt;0,K8498/K8499,0)</f>
        <v>0.240147902571382</v>
      </c>
    </row>
    <row r="8621" customFormat="false" ht="15" hidden="false" customHeight="false" outlineLevel="0" collapsed="false">
      <c r="A8621" s="5" t="s">
        <v>182</v>
      </c>
      <c r="G8621" s="21" t="n">
        <f aca="false">IF(G8614&gt;0,G8508/G8614,0)</f>
        <v>-0.0499668552751832</v>
      </c>
      <c r="H8621" s="21" t="n">
        <f aca="false">IF(H8614&gt;0,H8508/H8614,0)</f>
        <v>-0.081815569443644</v>
      </c>
      <c r="I8621" s="21" t="n">
        <f aca="false">IF(I8614&gt;0,I8508/I8614,0)</f>
        <v>-0.0795972986719628</v>
      </c>
      <c r="J8621" s="21" t="n">
        <f aca="false">IF(J8614&gt;0,J8508/J8614,0)</f>
        <v>-0.0717273392194364</v>
      </c>
      <c r="K8621" s="21" t="n">
        <f aca="false">IF(K8614&gt;0,K8508/K8614,0)</f>
        <v>-0.0656632022905203</v>
      </c>
    </row>
    <row r="8622" customFormat="false" ht="15" hidden="false" customHeight="false" outlineLevel="0" collapsed="false">
      <c r="A8622" s="5" t="s">
        <v>326</v>
      </c>
      <c r="G8622" s="31" t="n">
        <f aca="false">IF(G8499+G8598&gt;0,(G8495-G8506-G8503)/(G8499+G8598),0)</f>
        <v>0.248514175449013</v>
      </c>
      <c r="H8622" s="31" t="n">
        <f aca="false">IF(H8499+H8598&gt;0,(H8495-H8506-H8503)/(H8499+H8598),0)</f>
        <v>0.0566109874803553</v>
      </c>
      <c r="I8622" s="31" t="n">
        <f aca="false">IF(I8499+I8598&gt;0,(I8495-I8506-I8503)/(I8499+I8598),0)</f>
        <v>0.136152492540122</v>
      </c>
      <c r="J8622" s="31" t="n">
        <f aca="false">IF(J8499+J8598&gt;0,(J8495-J8506-J8503)/(J8499+J8598),0)</f>
        <v>0.205686695497957</v>
      </c>
      <c r="K8622" s="31" t="n">
        <f aca="false">IF(K8499+K8598&gt;0,(K8495-K8506-K8503)/(K8499+K8598),0)</f>
        <v>0.26704113247363</v>
      </c>
    </row>
    <row r="8623" customFormat="false" ht="15" hidden="false" customHeight="false" outlineLevel="0" collapsed="false">
      <c r="A8623" s="5" t="s">
        <v>327</v>
      </c>
      <c r="G8623" s="25" t="n">
        <f aca="false">MAX(0,G8607)+Assumptions!$P$53*MAX(0,Assumptions!$D$53-G8532)+Assumptions!$P$54*MAX(0,Assumptions!$D$54-G8545)+Assumptions!$P$55*MAX(0,Assumptions!$D$55-G8558)+Assumptions!$P$56*MAX(0,Assumptions!$D$56-G8571)</f>
        <v>96.4232</v>
      </c>
      <c r="H8623" s="25" t="n">
        <f aca="false">MAX(0,H8607)+Assumptions!$P$53*MAX(0,Assumptions!$D$53-H8532)+Assumptions!$P$54*MAX(0,Assumptions!$D$54-H8545)+Assumptions!$P$55*MAX(0,Assumptions!$D$55-H8558)+Assumptions!$P$56*MAX(0,Assumptions!$D$56-H8571)</f>
        <v>96.4232</v>
      </c>
      <c r="I8623" s="25" t="n">
        <f aca="false">MAX(0,I8607)+Assumptions!$P$53*MAX(0,Assumptions!$D$53-I8532)+Assumptions!$P$54*MAX(0,Assumptions!$D$54-I8545)+Assumptions!$P$55*MAX(0,Assumptions!$D$55-I8558)+Assumptions!$P$56*MAX(0,Assumptions!$D$56-I8571)</f>
        <v>96.4232</v>
      </c>
      <c r="J8623" s="25" t="n">
        <f aca="false">MAX(0,J8607)+Assumptions!$P$53*MAX(0,Assumptions!$D$53-J8532)+Assumptions!$P$54*MAX(0,Assumptions!$D$54-J8545)+Assumptions!$P$55*MAX(0,Assumptions!$D$55-J8558)+Assumptions!$P$56*MAX(0,Assumptions!$D$56-J8571)</f>
        <v>96.4232</v>
      </c>
      <c r="K8623" s="25" t="n">
        <f aca="false">MAX(0,K8607)+Assumptions!$P$53*MAX(0,Assumptions!$D$53-K8532)+Assumptions!$P$54*MAX(0,Assumptions!$D$54-K8545)+Assumptions!$P$55*MAX(0,Assumptions!$D$55-K8558)+Assumptions!$P$56*MAX(0,Assumptions!$D$56-K8571)</f>
        <v>96.4232</v>
      </c>
    </row>
    <row r="8624" customFormat="false" ht="15" hidden="false" customHeight="false" outlineLevel="0" collapsed="false">
      <c r="A8624" s="5" t="s">
        <v>328</v>
      </c>
      <c r="G8624" s="21" t="n">
        <f aca="false">IF(G8614&gt;0,G8614/(G8614+MAX(0,G8495*CHOOSE($C$8478,Assumptions!$C$76,Assumptions!$C$95,Assumptions!$C$114)-G8616)),0)</f>
        <v>1</v>
      </c>
      <c r="H8624" s="21" t="n">
        <f aca="false">IF(H8614&gt;0,H8614/(H8614+MAX(0,H8495*CHOOSE($C$8478,Assumptions!$C$76,Assumptions!$C$95,Assumptions!$C$114)-H8616)),0)</f>
        <v>1</v>
      </c>
      <c r="I8624" s="21" t="n">
        <f aca="false">IF(I8614&gt;0,I8614/(I8614+MAX(0,I8495*CHOOSE($C$8478,Assumptions!$C$76,Assumptions!$C$95,Assumptions!$C$114)-I8616)),0)</f>
        <v>1</v>
      </c>
      <c r="J8624" s="21" t="n">
        <f aca="false">IF(J8614&gt;0,J8614/(J8614+MAX(0,J8495*CHOOSE($C$8478,Assumptions!$C$76,Assumptions!$C$95,Assumptions!$C$114)-J8616)),0)</f>
        <v>1</v>
      </c>
      <c r="K8624" s="21" t="n">
        <f aca="false">IF(K8614&gt;0,K8614/(K8614+MAX(0,K8495*CHOOSE($C$8478,Assumptions!$C$76,Assumptions!$C$95,Assumptions!$C$114)-K8616)),0)</f>
        <v>1</v>
      </c>
    </row>
    <row r="8625" customFormat="false" ht="15" hidden="false" customHeight="false" outlineLevel="0" collapsed="false">
      <c r="A8625" s="5" t="s">
        <v>329</v>
      </c>
      <c r="G8625" s="21" t="n">
        <f aca="false">IF(G8614&gt;0,MAX(0,G8607)/G8614,0)</f>
        <v>0</v>
      </c>
      <c r="H8625" s="21" t="n">
        <f aca="false">IF(H8614&gt;0,MAX(0,H8607)/H8614,0)</f>
        <v>0</v>
      </c>
      <c r="I8625" s="21" t="n">
        <f aca="false">IF(I8614&gt;0,MAX(0,I8607)/I8614,0)</f>
        <v>0</v>
      </c>
      <c r="J8625" s="21" t="n">
        <f aca="false">IF(J8614&gt;0,MAX(0,J8607)/J8614,0)</f>
        <v>0</v>
      </c>
      <c r="K8625" s="21" t="n">
        <f aca="false">IF(K8614&gt;0,MAX(0,K8607)/K8614,0)</f>
        <v>0</v>
      </c>
    </row>
    <row r="8626" customFormat="false" ht="15" hidden="false" customHeight="false" outlineLevel="0" collapsed="false">
      <c r="A8626" s="5" t="s">
        <v>330</v>
      </c>
      <c r="G8626" s="25" t="n">
        <f aca="false">Assumptions!$C$27*(1-CHOOSE($C$8478,Assumptions!$C$79,Assumptions!$C$98,Assumptions!$C$117))</f>
        <v>884</v>
      </c>
      <c r="H8626" s="25" t="n">
        <f aca="false">Assumptions!$C$27*(1-CHOOSE($C$8478,Assumptions!$C$79,Assumptions!$C$98,Assumptions!$C$117))</f>
        <v>884</v>
      </c>
      <c r="I8626" s="25" t="n">
        <f aca="false">Assumptions!$C$27*(1-CHOOSE($C$8478,Assumptions!$C$79,Assumptions!$C$98,Assumptions!$C$117))</f>
        <v>884</v>
      </c>
      <c r="J8626" s="25" t="n">
        <f aca="false">Assumptions!$C$27*(1-CHOOSE($C$8478,Assumptions!$C$79,Assumptions!$C$98,Assumptions!$C$117))</f>
        <v>884</v>
      </c>
      <c r="K8626" s="25" t="n">
        <f aca="false">Assumptions!$C$27*(1-CHOOSE($C$8478,Assumptions!$C$79,Assumptions!$C$98,Assumptions!$C$117))</f>
        <v>884</v>
      </c>
    </row>
    <row r="8627" customFormat="false" ht="15" hidden="false" customHeight="false" outlineLevel="0" collapsed="false">
      <c r="A8627" s="23" t="s">
        <v>331</v>
      </c>
      <c r="B8627" s="24"/>
      <c r="C8627" s="24"/>
      <c r="D8627" s="24"/>
      <c r="E8627" s="24"/>
      <c r="F8627" s="24"/>
      <c r="G8627" s="24"/>
      <c r="H8627" s="24"/>
      <c r="I8627" s="24"/>
      <c r="J8627" s="24"/>
      <c r="K8627" s="24"/>
    </row>
    <row r="8628" customFormat="false" ht="15" hidden="false" customHeight="false" outlineLevel="0" collapsed="false">
      <c r="A8628" s="23" t="s">
        <v>332</v>
      </c>
      <c r="B8628" s="24"/>
      <c r="C8628" s="24"/>
      <c r="D8628" s="24"/>
      <c r="E8628" s="24"/>
      <c r="F8628" s="24"/>
      <c r="G8628" s="24"/>
      <c r="H8628" s="24"/>
      <c r="I8628" s="24"/>
      <c r="J8628" s="24"/>
      <c r="K8628" s="24"/>
    </row>
    <row r="8629" customFormat="false" ht="15" hidden="false" customHeight="false" outlineLevel="0" collapsed="false">
      <c r="A8629" s="5" t="s">
        <v>333</v>
      </c>
      <c r="G8629" s="31" t="n">
        <f aca="false">IF(G8495&gt;0,G8616/G8495,99)</f>
        <v>17.3161970292704</v>
      </c>
      <c r="H8629" s="31" t="n">
        <f aca="false">IF(H8495&gt;0,H8616/H8495,99)</f>
        <v>31.2818840415516</v>
      </c>
      <c r="I8629" s="31" t="n">
        <f aca="false">IF(I8495&gt;0,I8616/I8495,99)</f>
        <v>28.1701641990252</v>
      </c>
      <c r="J8629" s="31" t="n">
        <f aca="false">IF(J8495&gt;0,J8616/J8495,99)</f>
        <v>26.3467928990865</v>
      </c>
      <c r="K8629" s="31" t="n">
        <f aca="false">IF(K8495&gt;0,K8616/K8495,99)</f>
        <v>25.1818522654621</v>
      </c>
    </row>
    <row r="8630" customFormat="false" ht="15" hidden="false" customHeight="false" outlineLevel="0" collapsed="false">
      <c r="A8630" s="5" t="s">
        <v>334</v>
      </c>
      <c r="G8630" s="32" t="n">
        <f aca="false">Assumptions!$G$61</f>
        <v>8.5</v>
      </c>
      <c r="H8630" s="32" t="n">
        <f aca="false">Assumptions!$H$61</f>
        <v>8.5</v>
      </c>
      <c r="I8630" s="32" t="n">
        <f aca="false">Assumptions!$I$61</f>
        <v>8.5</v>
      </c>
      <c r="J8630" s="32" t="n">
        <f aca="false">Assumptions!$J$61</f>
        <v>8.5</v>
      </c>
      <c r="K8630" s="32" t="n">
        <f aca="false">Assumptions!$K$61</f>
        <v>8.5</v>
      </c>
    </row>
    <row r="8631" customFormat="false" ht="15" hidden="false" customHeight="false" outlineLevel="0" collapsed="false">
      <c r="A8631" s="5" t="s">
        <v>335</v>
      </c>
      <c r="G8631" s="31" t="n">
        <f aca="false">G8630-G8629</f>
        <v>-8.81619702927042</v>
      </c>
      <c r="H8631" s="31" t="n">
        <f aca="false">H8630-H8629</f>
        <v>-22.7818840415516</v>
      </c>
      <c r="I8631" s="31" t="n">
        <f aca="false">I8630-I8629</f>
        <v>-19.6701641990252</v>
      </c>
      <c r="J8631" s="31" t="n">
        <f aca="false">J8630-J8629</f>
        <v>-17.8467928990865</v>
      </c>
      <c r="K8631" s="31" t="n">
        <f aca="false">K8630-K8629</f>
        <v>-16.6818522654621</v>
      </c>
    </row>
    <row r="8632" customFormat="false" ht="15" hidden="false" customHeight="false" outlineLevel="0" collapsed="false">
      <c r="A8632" s="5" t="s">
        <v>336</v>
      </c>
      <c r="G8632" s="21" t="n">
        <f aca="false">IF(G8630=0,0,G8631/ABS(G8630))</f>
        <v>-1.0371996505024</v>
      </c>
      <c r="H8632" s="21" t="n">
        <f aca="false">IF(H8630=0,0,H8631/ABS(H8630))</f>
        <v>-2.68022165194724</v>
      </c>
      <c r="I8632" s="21" t="n">
        <f aca="false">IF(I8630=0,0,I8631/ABS(I8630))</f>
        <v>-2.3141369645912</v>
      </c>
      <c r="J8632" s="21" t="n">
        <f aca="false">IF(J8630=0,0,J8631/ABS(J8630))</f>
        <v>-2.09962269401018</v>
      </c>
      <c r="K8632" s="21" t="n">
        <f aca="false">IF(K8630=0,0,K8631/ABS(K8630))</f>
        <v>-1.96257085476024</v>
      </c>
    </row>
    <row r="8633" customFormat="false" ht="15" hidden="false" customHeight="false" outlineLevel="0" collapsed="false">
      <c r="A8633" s="5" t="s">
        <v>337</v>
      </c>
      <c r="G8633" s="20" t="n">
        <f aca="false">IF(G8631&lt;0,1,0)</f>
        <v>1</v>
      </c>
      <c r="H8633" s="20" t="n">
        <f aca="false">IF(H8631&lt;0,1,0)</f>
        <v>1</v>
      </c>
      <c r="I8633" s="20" t="n">
        <f aca="false">IF(I8631&lt;0,1,0)</f>
        <v>1</v>
      </c>
      <c r="J8633" s="20" t="n">
        <f aca="false">IF(J8631&lt;0,1,0)</f>
        <v>1</v>
      </c>
      <c r="K8633" s="20" t="n">
        <f aca="false">IF(K8631&lt;0,1,0)</f>
        <v>1</v>
      </c>
    </row>
    <row r="8634" customFormat="false" ht="15" hidden="false" customHeight="false" outlineLevel="0" collapsed="false">
      <c r="A8634" s="5" t="s">
        <v>338</v>
      </c>
      <c r="C8634" s="20" t="n">
        <f aca="false">IFERROR(INDEX($G$8485:$K$8485,MATCH(1,$G$8633:$K$8633,0)),0)</f>
        <v>2026</v>
      </c>
    </row>
    <row r="8635" customFormat="false" ht="15" hidden="false" customHeight="false" outlineLevel="0" collapsed="false">
      <c r="A8635" s="5" t="s">
        <v>339</v>
      </c>
      <c r="C8635" s="21" t="n">
        <f aca="false">MIN($G$8632:$K$8632)</f>
        <v>-2.68022165194724</v>
      </c>
    </row>
    <row r="8636" customFormat="false" ht="15" hidden="false" customHeight="false" outlineLevel="0" collapsed="false">
      <c r="A8636" s="5" t="s">
        <v>340</v>
      </c>
      <c r="G8636" s="20" t="n">
        <f aca="false">G8633</f>
        <v>1</v>
      </c>
      <c r="H8636" s="20" t="n">
        <f aca="false">H8633</f>
        <v>1</v>
      </c>
      <c r="I8636" s="20" t="n">
        <f aca="false">I8633</f>
        <v>1</v>
      </c>
      <c r="J8636" s="20" t="n">
        <f aca="false">J8633</f>
        <v>1</v>
      </c>
      <c r="K8636" s="20" t="n">
        <f aca="false">K8633</f>
        <v>1</v>
      </c>
    </row>
    <row r="8637" customFormat="false" ht="15" hidden="false" customHeight="false" outlineLevel="0" collapsed="false">
      <c r="A8637" s="5" t="s">
        <v>341</v>
      </c>
      <c r="C8637" s="20" t="n">
        <f aca="false">SUM($G$8636:$K$8636)</f>
        <v>5</v>
      </c>
    </row>
    <row r="8638" customFormat="false" ht="15" hidden="false" customHeight="false" outlineLevel="0" collapsed="false">
      <c r="A8638" s="5" t="s">
        <v>342</v>
      </c>
      <c r="C8638" s="21" t="n">
        <f aca="false">MIN(C8635)</f>
        <v>-2.68022165194724</v>
      </c>
    </row>
    <row r="8640" customFormat="false" ht="15" hidden="false" customHeight="false" outlineLevel="0" collapsed="false">
      <c r="A8640" s="23" t="s">
        <v>444</v>
      </c>
      <c r="B8640" s="24"/>
      <c r="C8640" s="24"/>
      <c r="D8640" s="24"/>
      <c r="E8640" s="24"/>
      <c r="F8640" s="24"/>
      <c r="G8640" s="24"/>
      <c r="H8640" s="24"/>
      <c r="I8640" s="24"/>
      <c r="J8640" s="24"/>
      <c r="K8640" s="24"/>
    </row>
    <row r="8641" customFormat="false" ht="15" hidden="false" customHeight="false" outlineLevel="0" collapsed="false">
      <c r="A8641" s="5" t="s">
        <v>445</v>
      </c>
      <c r="G8641" s="20" t="n">
        <f aca="false">IF($C$8642=1,G8610,IF(G8495=MIN($G$8495:$K$8495),1,0))</f>
        <v>0</v>
      </c>
      <c r="H8641" s="20" t="n">
        <f aca="false">IF($C$8642=1,H8610,IF(AND(H8495=MIN($G$8495:$K$8495),SUM($G$8641:G8641)=0),1,0))</f>
        <v>1</v>
      </c>
      <c r="I8641" s="20" t="n">
        <f aca="false">IF($C$8642=1,I8610,IF(AND(I8495=MIN($G$8495:$K$8495),SUM($G$8641:H8641)=0),1,0))</f>
        <v>0</v>
      </c>
      <c r="J8641" s="20" t="n">
        <f aca="false">IF($C$8642=1,J8610,IF(AND(J8495=MIN($G$8495:$K$8495),SUM($G$8641:I8641)=0),1,0))</f>
        <v>0</v>
      </c>
      <c r="K8641" s="20" t="n">
        <f aca="false">IF($C$8642=1,K8610,IF(AND(K8495=MIN($G$8495:$K$8495),SUM($G$8641:J8641)=0),1,0))</f>
        <v>0</v>
      </c>
    </row>
    <row r="8642" customFormat="false" ht="15" hidden="false" customHeight="false" outlineLevel="0" collapsed="false">
      <c r="A8642" s="5" t="s">
        <v>446</v>
      </c>
      <c r="C8642" s="20" t="n">
        <f aca="false">IF(SUM($G$8610:$K$8610)&gt;0,1,0)</f>
        <v>1</v>
      </c>
    </row>
    <row r="8643" customFormat="false" ht="15" hidden="false" customHeight="false" outlineLevel="0" collapsed="false">
      <c r="A8643" s="5" t="s">
        <v>447</v>
      </c>
      <c r="C8643" s="20" t="n">
        <f aca="false">SUMPRODUCT($G$8641:$K$8641,$G$8485:$K$8485)</f>
        <v>2027</v>
      </c>
    </row>
    <row r="8644" customFormat="false" ht="15" hidden="false" customHeight="false" outlineLevel="0" collapsed="false">
      <c r="A8644" s="5" t="s">
        <v>448</v>
      </c>
      <c r="C8644" s="25" t="n">
        <f aca="false">SUMPRODUCT($G$8641:$K$8641,$G$8495:$K$8495)</f>
        <v>43.8504384</v>
      </c>
    </row>
    <row r="8645" customFormat="false" ht="15" hidden="false" customHeight="false" outlineLevel="0" collapsed="false">
      <c r="A8645" s="5" t="s">
        <v>449</v>
      </c>
      <c r="C8645" s="25" t="n">
        <f aca="false">MAX(0,SUMPRODUCT($G$8641:$K$8641,$G$8607:$K$8607))</f>
        <v>0</v>
      </c>
    </row>
    <row r="8646" customFormat="false" ht="15" hidden="false" customHeight="false" outlineLevel="0" collapsed="false">
      <c r="A8646" s="5" t="s">
        <v>450</v>
      </c>
      <c r="C8646" s="25" t="n">
        <f aca="false">(CHOOSE($C$8478,Assumptions!$C$78,Assumptions!$C$97,Assumptions!$C$116)+$C$8482)*C8644</f>
        <v>175.4017536</v>
      </c>
    </row>
    <row r="8647" customFormat="false" ht="15" hidden="false" customHeight="false" outlineLevel="0" collapsed="false">
      <c r="A8647" s="5" t="s">
        <v>451</v>
      </c>
      <c r="C8647" s="25" t="n">
        <f aca="false">Assumptions!$C$27*(1-CHOOSE($C$8478,Assumptions!$C$79,Assumptions!$C$98,Assumptions!$C$117))*CHOOSE($C$8478,Assumptions!$C$80,Assumptions!$C$99,Assumptions!$C$118)</f>
        <v>530.4</v>
      </c>
    </row>
    <row r="8648" customFormat="false" ht="15" hidden="false" customHeight="false" outlineLevel="0" collapsed="false">
      <c r="A8648" s="5" t="s">
        <v>452</v>
      </c>
      <c r="C8648" s="25" t="n">
        <f aca="false">MAX(C8646,C8647)+C8645</f>
        <v>530.4</v>
      </c>
    </row>
    <row r="8649" customFormat="false" ht="15" hidden="false" customHeight="false" outlineLevel="0" collapsed="false">
      <c r="A8649" s="2" t="s">
        <v>453</v>
      </c>
      <c r="C8649" s="16" t="n">
        <f aca="false">IF(ISNUMBER(Assumptions!$C$14),Assumptions!$C$14,C8648)</f>
        <v>530.4</v>
      </c>
    </row>
    <row r="8650" customFormat="false" ht="15" hidden="false" customHeight="false" outlineLevel="0" collapsed="false">
      <c r="A8650" s="5" t="s">
        <v>454</v>
      </c>
      <c r="C8650" s="25" t="n">
        <f aca="false">C8649*Assumptions!$C$15</f>
        <v>21.216</v>
      </c>
    </row>
    <row r="8651" customFormat="false" ht="15" hidden="false" customHeight="false" outlineLevel="0" collapsed="false">
      <c r="A8651" s="2" t="s">
        <v>455</v>
      </c>
      <c r="C8651" s="16" t="n">
        <f aca="false">C8649-C8650</f>
        <v>509.184</v>
      </c>
    </row>
    <row r="8652" customFormat="false" ht="15" hidden="false" customHeight="false" outlineLevel="0" collapsed="false">
      <c r="A8652" s="23" t="s">
        <v>456</v>
      </c>
      <c r="B8652" s="24"/>
      <c r="C8652" s="24"/>
      <c r="D8652" s="24"/>
      <c r="E8652" s="24"/>
      <c r="F8652" s="24"/>
      <c r="G8652" s="24"/>
      <c r="H8652" s="24"/>
      <c r="I8652" s="24"/>
      <c r="J8652" s="24"/>
      <c r="K8652" s="24"/>
    </row>
    <row r="8653" customFormat="false" ht="15" hidden="false" customHeight="false" outlineLevel="0" collapsed="false">
      <c r="A8653" s="5" t="s">
        <v>457</v>
      </c>
      <c r="C8653" s="25" t="n">
        <f aca="false">SUMPRODUCT($G$8641:$K$8641,$G$8532:$K$8532)*(1+SUMPRODUCT($G$8641:$K$8641,$G$8524:$K$8524)*Assumptions!$C$16/12)</f>
        <v>208.5898787</v>
      </c>
    </row>
    <row r="8654" customFormat="false" ht="15" hidden="false" customHeight="false" outlineLevel="0" collapsed="false">
      <c r="A8654" s="5" t="s">
        <v>458</v>
      </c>
      <c r="C8654" s="25" t="n">
        <f aca="false">SUMPRODUCT($G$8641:$K$8641,$G$8545:$K$8545)*(1+SUMPRODUCT($G$8641:$K$8641,$G$8537:$K$8537)*Assumptions!$C$16/12)</f>
        <v>524.3147</v>
      </c>
    </row>
    <row r="8655" customFormat="false" ht="15" hidden="false" customHeight="false" outlineLevel="0" collapsed="false">
      <c r="A8655" s="5" t="s">
        <v>459</v>
      </c>
      <c r="C8655" s="25" t="n">
        <f aca="false">SUMPRODUCT($G$8641:$K$8641,$G$8558:$K$8558)*(1+SUMPRODUCT($G$8641:$K$8641,$G$8550:$K$8550)*Assumptions!$C$16/12)</f>
        <v>256.875</v>
      </c>
    </row>
    <row r="8656" customFormat="false" ht="15" hidden="false" customHeight="false" outlineLevel="0" collapsed="false">
      <c r="A8656" s="5" t="s">
        <v>460</v>
      </c>
      <c r="C8656" s="25" t="n">
        <f aca="false">SUMPRODUCT($G$8641:$K$8641,$G$8571:$K$8571)*(1+SUMPRODUCT($G$8641:$K$8641,$G$8563:$K$8563)*Assumptions!$C$16/12)</f>
        <v>305.625</v>
      </c>
    </row>
    <row r="8657" customFormat="false" ht="15" hidden="false" customHeight="false" outlineLevel="0" collapsed="false">
      <c r="A8657" s="23" t="s">
        <v>461</v>
      </c>
      <c r="B8657" s="24"/>
      <c r="C8657" s="24"/>
      <c r="D8657" s="24"/>
      <c r="E8657" s="24"/>
      <c r="F8657" s="24"/>
      <c r="G8657" s="24"/>
      <c r="H8657" s="24"/>
      <c r="I8657" s="24"/>
      <c r="J8657" s="24"/>
      <c r="K8657" s="24"/>
    </row>
    <row r="8658" customFormat="false" ht="15" hidden="false" customHeight="false" outlineLevel="0" collapsed="false">
      <c r="A8658" s="5" t="s">
        <v>457</v>
      </c>
      <c r="C8658" s="26" t="n">
        <f aca="false">Assumptions!$M$53</f>
        <v>1</v>
      </c>
    </row>
    <row r="8659" customFormat="false" ht="15" hidden="false" customHeight="false" outlineLevel="0" collapsed="false">
      <c r="A8659" s="5" t="s">
        <v>458</v>
      </c>
      <c r="C8659" s="26" t="n">
        <f aca="false">Assumptions!$M$54</f>
        <v>2</v>
      </c>
    </row>
    <row r="8660" customFormat="false" ht="15" hidden="false" customHeight="false" outlineLevel="0" collapsed="false">
      <c r="A8660" s="5" t="s">
        <v>459</v>
      </c>
      <c r="C8660" s="26" t="n">
        <f aca="false">Assumptions!$M$55</f>
        <v>3</v>
      </c>
    </row>
    <row r="8661" customFormat="false" ht="15" hidden="false" customHeight="false" outlineLevel="0" collapsed="false">
      <c r="A8661" s="5" t="s">
        <v>460</v>
      </c>
      <c r="C8661" s="26" t="n">
        <f aca="false">Assumptions!$M$56</f>
        <v>4</v>
      </c>
    </row>
    <row r="8662" customFormat="false" ht="15" hidden="false" customHeight="false" outlineLevel="0" collapsed="false">
      <c r="A8662" s="23" t="s">
        <v>462</v>
      </c>
      <c r="B8662" s="24"/>
      <c r="C8662" s="24"/>
      <c r="D8662" s="24"/>
      <c r="E8662" s="24"/>
      <c r="F8662" s="24"/>
      <c r="G8662" s="24"/>
      <c r="H8662" s="24"/>
      <c r="I8662" s="24"/>
      <c r="J8662" s="24"/>
      <c r="K8662" s="24"/>
    </row>
    <row r="8663" customFormat="false" ht="15" hidden="false" customHeight="false" outlineLevel="0" collapsed="false">
      <c r="A8663" s="5" t="s">
        <v>457</v>
      </c>
      <c r="C8663" s="34" t="n">
        <f aca="false">Assumptions!$Q$53</f>
        <v>0</v>
      </c>
    </row>
    <row r="8664" customFormat="false" ht="15" hidden="false" customHeight="false" outlineLevel="0" collapsed="false">
      <c r="A8664" s="5" t="s">
        <v>458</v>
      </c>
      <c r="C8664" s="34" t="n">
        <f aca="false">Assumptions!$Q$54</f>
        <v>0</v>
      </c>
    </row>
    <row r="8665" customFormat="false" ht="15" hidden="false" customHeight="false" outlineLevel="0" collapsed="false">
      <c r="A8665" s="5" t="s">
        <v>459</v>
      </c>
      <c r="C8665" s="34" t="n">
        <f aca="false">Assumptions!$Q$55</f>
        <v>0</v>
      </c>
    </row>
    <row r="8666" customFormat="false" ht="15" hidden="false" customHeight="false" outlineLevel="0" collapsed="false">
      <c r="A8666" s="5" t="s">
        <v>460</v>
      </c>
      <c r="C8666" s="34" t="n">
        <f aca="false">Assumptions!$Q$56</f>
        <v>0</v>
      </c>
    </row>
    <row r="8667" customFormat="false" ht="15" hidden="false" customHeight="false" outlineLevel="0" collapsed="false">
      <c r="A8667" s="23" t="s">
        <v>463</v>
      </c>
      <c r="B8667" s="24"/>
      <c r="C8667" s="24"/>
      <c r="D8667" s="24"/>
      <c r="E8667" s="24"/>
      <c r="F8667" s="24"/>
      <c r="G8667" s="24"/>
      <c r="H8667" s="24"/>
      <c r="I8667" s="24"/>
      <c r="J8667" s="24"/>
      <c r="K8667" s="24"/>
    </row>
    <row r="8668" customFormat="false" ht="15" hidden="false" customHeight="false" outlineLevel="0" collapsed="false">
      <c r="A8668" s="5" t="s">
        <v>457</v>
      </c>
      <c r="C8668" s="25" t="n">
        <f aca="false">IF(C8663&gt;0,MIN(C8653,C8663*$C$8651),0)</f>
        <v>0</v>
      </c>
    </row>
    <row r="8669" customFormat="false" ht="15" hidden="false" customHeight="false" outlineLevel="0" collapsed="false">
      <c r="A8669" s="5" t="s">
        <v>458</v>
      </c>
      <c r="C8669" s="25" t="n">
        <f aca="false">IF(C8664&gt;0,MIN(C8654,C8664*$C$8651),0)</f>
        <v>0</v>
      </c>
    </row>
    <row r="8670" customFormat="false" ht="15" hidden="false" customHeight="false" outlineLevel="0" collapsed="false">
      <c r="A8670" s="5" t="s">
        <v>459</v>
      </c>
      <c r="C8670" s="25" t="n">
        <f aca="false">IF(C8665&gt;0,MIN(C8655,C8665*$C$8651),0)</f>
        <v>0</v>
      </c>
    </row>
    <row r="8671" customFormat="false" ht="15" hidden="false" customHeight="false" outlineLevel="0" collapsed="false">
      <c r="A8671" s="5" t="s">
        <v>460</v>
      </c>
      <c r="C8671" s="25" t="n">
        <f aca="false">IF(C8666&gt;0,MIN(C8656,C8666*$C$8651),0)</f>
        <v>0</v>
      </c>
    </row>
    <row r="8672" customFormat="false" ht="15" hidden="false" customHeight="false" outlineLevel="0" collapsed="false">
      <c r="A8672" s="23" t="s">
        <v>464</v>
      </c>
      <c r="B8672" s="24"/>
      <c r="C8672" s="24"/>
      <c r="D8672" s="24"/>
      <c r="E8672" s="24"/>
      <c r="F8672" s="24"/>
      <c r="G8672" s="24"/>
      <c r="H8672" s="24"/>
      <c r="I8672" s="24"/>
      <c r="J8672" s="24"/>
      <c r="K8672" s="24"/>
    </row>
    <row r="8673" customFormat="false" ht="15" hidden="false" customHeight="false" outlineLevel="0" collapsed="false">
      <c r="A8673" s="5" t="s">
        <v>457</v>
      </c>
      <c r="C8673" s="25" t="n">
        <f aca="false">IF(C8663&gt;0,C8653-C8668,0)</f>
        <v>0</v>
      </c>
      <c r="G8673" s="20" t="n">
        <f aca="false">IF(AND(G8522=1,G8519=1),1,0)</f>
        <v>0</v>
      </c>
      <c r="H8673" s="20" t="n">
        <f aca="false">IF(G8673=1,1,IF(AND(H8522=1,H8519=1),1,0))</f>
        <v>0</v>
      </c>
      <c r="I8673" s="20" t="n">
        <f aca="false">IF(H8673=1,1,IF(AND(I8522=1,I8519=1),1,0))</f>
        <v>0</v>
      </c>
      <c r="J8673" s="20" t="n">
        <f aca="false">IF(I8673=1,1,IF(AND(J8522=1,J8519=1),1,0))</f>
        <v>0</v>
      </c>
      <c r="K8673" s="20" t="n">
        <f aca="false">IF(J8673=1,1,IF(AND(K8522=1,K8519=1),1,0))</f>
        <v>0</v>
      </c>
    </row>
    <row r="8674" customFormat="false" ht="15" hidden="false" customHeight="false" outlineLevel="0" collapsed="false">
      <c r="A8674" s="5" t="s">
        <v>458</v>
      </c>
      <c r="C8674" s="25" t="n">
        <f aca="false">IF(C8664&gt;0,C8654-C8669,0)</f>
        <v>0</v>
      </c>
      <c r="G8674" s="20" t="n">
        <f aca="false">IF(AND(G8535=1,G8519=1),1,0)</f>
        <v>0</v>
      </c>
      <c r="H8674" s="20" t="n">
        <f aca="false">IF(G8674=1,1,IF(AND(H8535=1,H8519=1),1,0))</f>
        <v>0</v>
      </c>
      <c r="I8674" s="20" t="n">
        <f aca="false">IF(H8674=1,1,IF(AND(I8535=1,I8519=1),1,0))</f>
        <v>0</v>
      </c>
      <c r="J8674" s="20" t="n">
        <f aca="false">IF(I8674=1,1,IF(AND(J8535=1,J8519=1),1,0))</f>
        <v>0</v>
      </c>
      <c r="K8674" s="20" t="n">
        <f aca="false">IF(J8674=1,1,IF(AND(K8535=1,K8519=1),1,0))</f>
        <v>0</v>
      </c>
    </row>
    <row r="8675" customFormat="false" ht="15" hidden="false" customHeight="false" outlineLevel="0" collapsed="false">
      <c r="A8675" s="5" t="s">
        <v>459</v>
      </c>
      <c r="C8675" s="25" t="n">
        <f aca="false">IF(C8665&gt;0,C8655-C8670,0)</f>
        <v>0</v>
      </c>
      <c r="G8675" s="20" t="n">
        <f aca="false">IF(AND(G8548=1,G8519=1),1,0)</f>
        <v>0</v>
      </c>
      <c r="H8675" s="20" t="n">
        <f aca="false">IF(G8675=1,1,IF(AND(H8548=1,H8519=1),1,0))</f>
        <v>0</v>
      </c>
      <c r="I8675" s="20" t="n">
        <f aca="false">IF(H8675=1,1,IF(AND(I8548=1,I8519=1),1,0))</f>
        <v>0</v>
      </c>
      <c r="J8675" s="20" t="n">
        <f aca="false">IF(I8675=1,1,IF(AND(J8548=1,J8519=1),1,0))</f>
        <v>0</v>
      </c>
      <c r="K8675" s="20" t="n">
        <f aca="false">IF(J8675=1,1,IF(AND(K8548=1,K8519=1),1,0))</f>
        <v>0</v>
      </c>
    </row>
    <row r="8676" customFormat="false" ht="15" hidden="false" customHeight="false" outlineLevel="0" collapsed="false">
      <c r="A8676" s="5" t="s">
        <v>460</v>
      </c>
      <c r="C8676" s="25" t="n">
        <f aca="false">IF(C8666&gt;0,C8656-C8671,0)</f>
        <v>0</v>
      </c>
      <c r="G8676" s="20" t="n">
        <f aca="false">IF(AND(G8561=1,G8519=1),1,0)</f>
        <v>0</v>
      </c>
      <c r="H8676" s="20" t="n">
        <f aca="false">IF(G8676=1,1,IF(AND(H8561=1,H8519=1),1,0))</f>
        <v>0</v>
      </c>
      <c r="I8676" s="20" t="n">
        <f aca="false">IF(H8676=1,1,IF(AND(I8561=1,I8519=1),1,0))</f>
        <v>0</v>
      </c>
      <c r="J8676" s="20" t="n">
        <f aca="false">IF(I8676=1,1,IF(AND(J8561=1,J8519=1),1,0))</f>
        <v>0</v>
      </c>
      <c r="K8676" s="20" t="n">
        <f aca="false">IF(J8676=1,1,IF(AND(K8561=1,K8519=1),1,0))</f>
        <v>0</v>
      </c>
    </row>
    <row r="8677" customFormat="false" ht="15" hidden="false" customHeight="false" outlineLevel="0" collapsed="false">
      <c r="A8677" s="23" t="s">
        <v>465</v>
      </c>
      <c r="B8677" s="24"/>
      <c r="C8677" s="24"/>
      <c r="D8677" s="24"/>
      <c r="E8677" s="24"/>
      <c r="F8677" s="24"/>
      <c r="G8677" s="24"/>
      <c r="H8677" s="24"/>
      <c r="I8677" s="24"/>
      <c r="J8677" s="24"/>
      <c r="K8677" s="24"/>
    </row>
    <row r="8678" customFormat="false" ht="15" hidden="false" customHeight="false" outlineLevel="0" collapsed="false">
      <c r="A8678" s="5" t="s">
        <v>457</v>
      </c>
      <c r="C8678" s="25" t="n">
        <f aca="false">IF(C8663&gt;0,C8673,C8653)</f>
        <v>208.5898787</v>
      </c>
    </row>
    <row r="8679" customFormat="false" ht="15" hidden="false" customHeight="false" outlineLevel="0" collapsed="false">
      <c r="A8679" s="5" t="s">
        <v>458</v>
      </c>
      <c r="C8679" s="25" t="n">
        <f aca="false">IF(C8664&gt;0,C8674,C8654)</f>
        <v>524.3147</v>
      </c>
    </row>
    <row r="8680" customFormat="false" ht="15" hidden="false" customHeight="false" outlineLevel="0" collapsed="false">
      <c r="A8680" s="5" t="s">
        <v>459</v>
      </c>
      <c r="C8680" s="25" t="n">
        <f aca="false">IF(C8665&gt;0,C8675,C8655)</f>
        <v>256.875</v>
      </c>
    </row>
    <row r="8681" customFormat="false" ht="15" hidden="false" customHeight="false" outlineLevel="0" collapsed="false">
      <c r="A8681" s="5" t="s">
        <v>460</v>
      </c>
      <c r="C8681" s="25" t="n">
        <f aca="false">IF(C8666&gt;0,C8676,C8656)</f>
        <v>305.625</v>
      </c>
    </row>
    <row r="8682" customFormat="false" ht="15" hidden="false" customHeight="false" outlineLevel="0" collapsed="false">
      <c r="A8682" s="23" t="s">
        <v>466</v>
      </c>
      <c r="B8682" s="24"/>
      <c r="C8682" s="24"/>
      <c r="D8682" s="24"/>
      <c r="E8682" s="24"/>
      <c r="F8682" s="24"/>
      <c r="G8682" s="24"/>
      <c r="H8682" s="24"/>
      <c r="I8682" s="24"/>
      <c r="J8682" s="24"/>
      <c r="K8682" s="24"/>
    </row>
    <row r="8683" customFormat="false" ht="15" hidden="false" customHeight="false" outlineLevel="0" collapsed="false">
      <c r="A8683" s="5" t="s">
        <v>457</v>
      </c>
      <c r="C8683" s="20" t="n">
        <f aca="false">IF(C8663&gt;0,Assumptions!$C$17,C8658)</f>
        <v>1</v>
      </c>
    </row>
    <row r="8684" customFormat="false" ht="15" hidden="false" customHeight="false" outlineLevel="0" collapsed="false">
      <c r="A8684" s="5" t="s">
        <v>458</v>
      </c>
      <c r="C8684" s="20" t="n">
        <f aca="false">IF(C8664&gt;0,Assumptions!$C$17,C8659)</f>
        <v>2</v>
      </c>
    </row>
    <row r="8685" customFormat="false" ht="15" hidden="false" customHeight="false" outlineLevel="0" collapsed="false">
      <c r="A8685" s="5" t="s">
        <v>459</v>
      </c>
      <c r="C8685" s="20" t="n">
        <f aca="false">IF(C8665&gt;0,Assumptions!$C$17,C8660)</f>
        <v>3</v>
      </c>
    </row>
    <row r="8686" customFormat="false" ht="15" hidden="false" customHeight="false" outlineLevel="0" collapsed="false">
      <c r="A8686" s="5" t="s">
        <v>460</v>
      </c>
      <c r="C8686" s="20" t="n">
        <f aca="false">IF(C8666&gt;0,Assumptions!$C$17,C8661)</f>
        <v>4</v>
      </c>
    </row>
    <row r="8687" customFormat="false" ht="15" hidden="false" customHeight="false" outlineLevel="0" collapsed="false">
      <c r="A8687" s="23" t="s">
        <v>467</v>
      </c>
      <c r="B8687" s="24"/>
      <c r="C8687" s="24"/>
      <c r="D8687" s="24"/>
      <c r="E8687" s="24"/>
      <c r="F8687" s="24"/>
      <c r="G8687" s="24"/>
      <c r="H8687" s="24"/>
      <c r="I8687" s="24"/>
      <c r="J8687" s="24"/>
      <c r="K8687" s="24"/>
    </row>
    <row r="8688" customFormat="false" ht="15" hidden="false" customHeight="false" outlineLevel="0" collapsed="false">
      <c r="A8688" s="5" t="s">
        <v>457</v>
      </c>
      <c r="C8688" s="25" t="n">
        <f aca="false">SUMPRODUCT(($C$8683:$C$8686&lt;C8683)*$C$8678:$C$8681)</f>
        <v>0</v>
      </c>
    </row>
    <row r="8689" customFormat="false" ht="15" hidden="false" customHeight="false" outlineLevel="0" collapsed="false">
      <c r="A8689" s="5" t="s">
        <v>458</v>
      </c>
      <c r="C8689" s="25" t="n">
        <f aca="false">SUMPRODUCT(($C$8683:$C$8686&lt;C8684)*$C$8678:$C$8681)</f>
        <v>208.5898787</v>
      </c>
    </row>
    <row r="8690" customFormat="false" ht="15" hidden="false" customHeight="false" outlineLevel="0" collapsed="false">
      <c r="A8690" s="5" t="s">
        <v>459</v>
      </c>
      <c r="C8690" s="25" t="n">
        <f aca="false">SUMPRODUCT(($C$8683:$C$8686&lt;C8685)*$C$8678:$C$8681)</f>
        <v>732.9045787</v>
      </c>
    </row>
    <row r="8691" customFormat="false" ht="15" hidden="false" customHeight="false" outlineLevel="0" collapsed="false">
      <c r="A8691" s="5" t="s">
        <v>460</v>
      </c>
      <c r="C8691" s="25" t="n">
        <f aca="false">SUMPRODUCT(($C$8683:$C$8686&lt;C8686)*$C$8678:$C$8681)</f>
        <v>989.7795787</v>
      </c>
    </row>
    <row r="8692" customFormat="false" ht="15" hidden="false" customHeight="false" outlineLevel="0" collapsed="false">
      <c r="A8692" s="23" t="s">
        <v>468</v>
      </c>
      <c r="B8692" s="24"/>
      <c r="C8692" s="24"/>
      <c r="D8692" s="24"/>
      <c r="E8692" s="24"/>
      <c r="F8692" s="24"/>
      <c r="G8692" s="24"/>
      <c r="H8692" s="24"/>
      <c r="I8692" s="24"/>
      <c r="J8692" s="24"/>
      <c r="K8692" s="24"/>
    </row>
    <row r="8693" customFormat="false" ht="15" hidden="false" customHeight="false" outlineLevel="0" collapsed="false">
      <c r="A8693" s="5" t="s">
        <v>457</v>
      </c>
      <c r="C8693" s="25" t="n">
        <f aca="false">SUMPRODUCT(($C$8683:$C$8686=C8683)*$C$8678:$C$8681)</f>
        <v>208.5898787</v>
      </c>
    </row>
    <row r="8694" customFormat="false" ht="15" hidden="false" customHeight="false" outlineLevel="0" collapsed="false">
      <c r="A8694" s="5" t="s">
        <v>458</v>
      </c>
      <c r="C8694" s="25" t="n">
        <f aca="false">SUMPRODUCT(($C$8683:$C$8686=C8684)*$C$8678:$C$8681)</f>
        <v>524.3147</v>
      </c>
    </row>
    <row r="8695" customFormat="false" ht="15" hidden="false" customHeight="false" outlineLevel="0" collapsed="false">
      <c r="A8695" s="5" t="s">
        <v>459</v>
      </c>
      <c r="C8695" s="25" t="n">
        <f aca="false">SUMPRODUCT(($C$8683:$C$8686=C8685)*$C$8678:$C$8681)</f>
        <v>256.875</v>
      </c>
    </row>
    <row r="8696" customFormat="false" ht="15" hidden="false" customHeight="false" outlineLevel="0" collapsed="false">
      <c r="A8696" s="5" t="s">
        <v>460</v>
      </c>
      <c r="C8696" s="25" t="n">
        <f aca="false">SUMPRODUCT(($C$8683:$C$8686=C8686)*$C$8678:$C$8681)</f>
        <v>305.625</v>
      </c>
    </row>
    <row r="8697" customFormat="false" ht="15" hidden="false" customHeight="false" outlineLevel="0" collapsed="false">
      <c r="A8697" s="23" t="s">
        <v>469</v>
      </c>
      <c r="B8697" s="24"/>
      <c r="C8697" s="24"/>
      <c r="D8697" s="24"/>
      <c r="E8697" s="24"/>
      <c r="F8697" s="24"/>
      <c r="G8697" s="24"/>
      <c r="H8697" s="24"/>
      <c r="I8697" s="24"/>
      <c r="J8697" s="24"/>
      <c r="K8697" s="24"/>
    </row>
    <row r="8698" customFormat="false" ht="15" hidden="false" customHeight="false" outlineLevel="0" collapsed="false">
      <c r="A8698" s="5" t="s">
        <v>457</v>
      </c>
      <c r="C8698" s="25" t="n">
        <f aca="false">IF(C8693=0,0,C8678/C8693*MAX(0,MIN(C8693,$C$8651-SUM($C$8668:$C$8671)-C8688)))</f>
        <v>208.5898787</v>
      </c>
    </row>
    <row r="8699" customFormat="false" ht="15" hidden="false" customHeight="false" outlineLevel="0" collapsed="false">
      <c r="A8699" s="5" t="s">
        <v>458</v>
      </c>
      <c r="C8699" s="25" t="n">
        <f aca="false">IF(C8694=0,0,C8679/C8694*MAX(0,MIN(C8694,$C$8651-SUM($C$8668:$C$8671)-C8689)))</f>
        <v>300.5941213</v>
      </c>
    </row>
    <row r="8700" customFormat="false" ht="15" hidden="false" customHeight="false" outlineLevel="0" collapsed="false">
      <c r="A8700" s="5" t="s">
        <v>459</v>
      </c>
      <c r="C8700" s="25" t="n">
        <f aca="false">IF(C8695=0,0,C8680/C8695*MAX(0,MIN(C8695,$C$8651-SUM($C$8668:$C$8671)-C8690)))</f>
        <v>0</v>
      </c>
    </row>
    <row r="8701" customFormat="false" ht="15" hidden="false" customHeight="false" outlineLevel="0" collapsed="false">
      <c r="A8701" s="5" t="s">
        <v>460</v>
      </c>
      <c r="C8701" s="25" t="n">
        <f aca="false">IF(C8696=0,0,C8681/C8696*MAX(0,MIN(C8696,$C$8651-SUM($C$8668:$C$8671)-C8691)))</f>
        <v>0</v>
      </c>
    </row>
    <row r="8702" customFormat="false" ht="15" hidden="false" customHeight="false" outlineLevel="0" collapsed="false">
      <c r="A8702" s="23" t="s">
        <v>470</v>
      </c>
      <c r="B8702" s="24"/>
      <c r="C8702" s="24"/>
      <c r="D8702" s="24"/>
      <c r="E8702" s="24"/>
      <c r="F8702" s="24"/>
      <c r="G8702" s="24"/>
      <c r="H8702" s="24"/>
      <c r="I8702" s="24"/>
      <c r="J8702" s="24"/>
      <c r="K8702" s="24"/>
    </row>
    <row r="8703" customFormat="false" ht="15" hidden="false" customHeight="false" outlineLevel="0" collapsed="false">
      <c r="A8703" s="2" t="s">
        <v>457</v>
      </c>
      <c r="C8703" s="16" t="n">
        <f aca="false">C8668+C8698</f>
        <v>208.5898787</v>
      </c>
    </row>
    <row r="8704" customFormat="false" ht="15" hidden="false" customHeight="false" outlineLevel="0" collapsed="false">
      <c r="A8704" s="2" t="s">
        <v>458</v>
      </c>
      <c r="C8704" s="16" t="n">
        <f aca="false">C8669+C8699</f>
        <v>300.5941213</v>
      </c>
    </row>
    <row r="8705" customFormat="false" ht="15" hidden="false" customHeight="false" outlineLevel="0" collapsed="false">
      <c r="A8705" s="2" t="s">
        <v>459</v>
      </c>
      <c r="C8705" s="16" t="n">
        <f aca="false">C8670+C8700</f>
        <v>0</v>
      </c>
    </row>
    <row r="8706" customFormat="false" ht="15" hidden="false" customHeight="false" outlineLevel="0" collapsed="false">
      <c r="A8706" s="2" t="s">
        <v>460</v>
      </c>
      <c r="C8706" s="16" t="n">
        <f aca="false">C8671+C8701</f>
        <v>0</v>
      </c>
    </row>
    <row r="8707" customFormat="false" ht="15" hidden="false" customHeight="false" outlineLevel="0" collapsed="false">
      <c r="A8707" s="23" t="s">
        <v>471</v>
      </c>
      <c r="B8707" s="24"/>
      <c r="C8707" s="24"/>
      <c r="D8707" s="24"/>
      <c r="E8707" s="24"/>
      <c r="F8707" s="24"/>
      <c r="G8707" s="24"/>
      <c r="H8707" s="24"/>
      <c r="I8707" s="24"/>
      <c r="J8707" s="24"/>
      <c r="K8707" s="24"/>
    </row>
    <row r="8708" customFormat="false" ht="15" hidden="false" customHeight="false" outlineLevel="0" collapsed="false">
      <c r="A8708" s="5" t="s">
        <v>457</v>
      </c>
      <c r="C8708" s="21" t="n">
        <f aca="false">IF(C8653=0,1,C8703/C8653)</f>
        <v>1</v>
      </c>
    </row>
    <row r="8709" customFormat="false" ht="15" hidden="false" customHeight="false" outlineLevel="0" collapsed="false">
      <c r="A8709" s="5" t="s">
        <v>458</v>
      </c>
      <c r="C8709" s="21" t="n">
        <f aca="false">IF(C8654=0,1,C8704/C8654)</f>
        <v>0.57330858986025</v>
      </c>
    </row>
    <row r="8710" customFormat="false" ht="15" hidden="false" customHeight="false" outlineLevel="0" collapsed="false">
      <c r="A8710" s="5" t="s">
        <v>459</v>
      </c>
      <c r="C8710" s="21" t="n">
        <f aca="false">IF(C8655=0,1,C8705/C8655)</f>
        <v>0</v>
      </c>
    </row>
    <row r="8711" customFormat="false" ht="15" hidden="false" customHeight="false" outlineLevel="0" collapsed="false">
      <c r="A8711" s="5" t="s">
        <v>460</v>
      </c>
      <c r="C8711" s="21" t="n">
        <f aca="false">IF(C8656=0,1,C8706/C8656)</f>
        <v>0</v>
      </c>
    </row>
    <row r="8712" customFormat="false" ht="15" hidden="false" customHeight="false" outlineLevel="0" collapsed="false">
      <c r="A8712" s="23" t="s">
        <v>472</v>
      </c>
      <c r="B8712" s="24"/>
      <c r="C8712" s="24"/>
      <c r="D8712" s="24"/>
      <c r="E8712" s="24"/>
      <c r="F8712" s="24"/>
      <c r="G8712" s="24"/>
      <c r="H8712" s="24"/>
      <c r="I8712" s="24"/>
      <c r="J8712" s="24"/>
      <c r="K8712" s="24"/>
    </row>
    <row r="8713" customFormat="false" ht="15" hidden="false" customHeight="false" outlineLevel="0" collapsed="false">
      <c r="A8713" s="5" t="s">
        <v>457</v>
      </c>
      <c r="C8713" s="25" t="n">
        <f aca="false">C8653-C8703</f>
        <v>0</v>
      </c>
    </row>
    <row r="8714" customFormat="false" ht="15" hidden="false" customHeight="false" outlineLevel="0" collapsed="false">
      <c r="A8714" s="5" t="s">
        <v>458</v>
      </c>
      <c r="C8714" s="25" t="n">
        <f aca="false">C8654-C8704</f>
        <v>223.7205787</v>
      </c>
    </row>
    <row r="8715" customFormat="false" ht="15" hidden="false" customHeight="false" outlineLevel="0" collapsed="false">
      <c r="A8715" s="5" t="s">
        <v>459</v>
      </c>
      <c r="C8715" s="25" t="n">
        <f aca="false">C8655-C8705</f>
        <v>256.875</v>
      </c>
    </row>
    <row r="8716" customFormat="false" ht="15" hidden="false" customHeight="false" outlineLevel="0" collapsed="false">
      <c r="A8716" s="5" t="s">
        <v>460</v>
      </c>
      <c r="C8716" s="25" t="n">
        <f aca="false">C8656-C8706</f>
        <v>305.625</v>
      </c>
    </row>
    <row r="8717" customFormat="false" ht="15" hidden="false" customHeight="false" outlineLevel="0" collapsed="false">
      <c r="A8717" s="23" t="s">
        <v>473</v>
      </c>
      <c r="B8717" s="24"/>
      <c r="C8717" s="24"/>
      <c r="D8717" s="24"/>
      <c r="E8717" s="24"/>
      <c r="F8717" s="24"/>
      <c r="G8717" s="24"/>
      <c r="H8717" s="24"/>
      <c r="I8717" s="24"/>
      <c r="J8717" s="24"/>
      <c r="K8717" s="24"/>
    </row>
    <row r="8718" customFormat="false" ht="15" hidden="false" customHeight="false" outlineLevel="0" collapsed="false">
      <c r="A8718" s="5" t="s">
        <v>457</v>
      </c>
      <c r="C8718" s="21" t="n">
        <f aca="false">IF(C8653=0,0,C8713/C8653)</f>
        <v>0</v>
      </c>
    </row>
    <row r="8719" customFormat="false" ht="15" hidden="false" customHeight="false" outlineLevel="0" collapsed="false">
      <c r="A8719" s="5" t="s">
        <v>458</v>
      </c>
      <c r="C8719" s="21" t="n">
        <f aca="false">IF(C8654=0,0,C8714/C8654)</f>
        <v>0.42669141013975</v>
      </c>
    </row>
    <row r="8720" customFormat="false" ht="15" hidden="false" customHeight="false" outlineLevel="0" collapsed="false">
      <c r="A8720" s="5" t="s">
        <v>459</v>
      </c>
      <c r="C8720" s="21" t="n">
        <f aca="false">IF(C8655=0,0,C8715/C8655)</f>
        <v>1</v>
      </c>
    </row>
    <row r="8721" customFormat="false" ht="15" hidden="false" customHeight="false" outlineLevel="0" collapsed="false">
      <c r="A8721" s="5" t="s">
        <v>460</v>
      </c>
      <c r="C8721" s="21" t="n">
        <f aca="false">IF(C8656=0,0,C8716/C8656)</f>
        <v>1</v>
      </c>
    </row>
    <row r="8722" customFormat="false" ht="15" hidden="false" customHeight="false" outlineLevel="0" collapsed="false">
      <c r="A8722" s="2" t="s">
        <v>474</v>
      </c>
      <c r="C8722" s="16" t="n">
        <f aca="false">MAX(0,$C$8651-SUM($C$8668:$C$8671)-SUM($C$8678:$C$8681))</f>
        <v>0</v>
      </c>
    </row>
    <row r="8723" customFormat="false" ht="15" hidden="false" customHeight="false" outlineLevel="0" collapsed="false">
      <c r="A8723" s="5" t="s">
        <v>475</v>
      </c>
      <c r="C8723" s="25" t="n">
        <f aca="false">SUM($C$8703:$C$8706)+C8722+C8650-C8649</f>
        <v>0</v>
      </c>
    </row>
    <row r="8725" customFormat="false" ht="15" hidden="false" customHeight="false" outlineLevel="0" collapsed="false">
      <c r="A8725" s="23" t="s">
        <v>478</v>
      </c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</row>
    <row r="8726" customFormat="false" ht="15" hidden="false" customHeight="false" outlineLevel="0" collapsed="false">
      <c r="A8726" s="5" t="s">
        <v>479</v>
      </c>
      <c r="C8726" s="26" t="n">
        <f aca="false">Assumptions!$C$30</f>
        <v>2</v>
      </c>
    </row>
    <row r="8727" customFormat="false" ht="15" hidden="false" customHeight="false" outlineLevel="0" collapsed="false">
      <c r="A8727" s="5" t="s">
        <v>480</v>
      </c>
      <c r="C8727" s="28" t="n">
        <f aca="false">Assumptions!$C$31</f>
        <v>100</v>
      </c>
    </row>
    <row r="8728" customFormat="false" ht="15" hidden="false" customHeight="false" outlineLevel="0" collapsed="false">
      <c r="A8728" s="5" t="s">
        <v>481</v>
      </c>
      <c r="C8728" s="39" t="n">
        <f aca="false">Assumptions!$C$32</f>
        <v>78</v>
      </c>
    </row>
    <row r="8729" customFormat="false" ht="15" hidden="false" customHeight="false" outlineLevel="0" collapsed="false">
      <c r="A8729" s="5" t="s">
        <v>482</v>
      </c>
      <c r="C8729" s="25" t="n">
        <f aca="false">C8727*C8728/100*(1+Assumptions!$C$33)</f>
        <v>78.39</v>
      </c>
    </row>
    <row r="8730" customFormat="false" ht="15" hidden="false" customHeight="false" outlineLevel="0" collapsed="false">
      <c r="A8730" s="5" t="s">
        <v>483</v>
      </c>
      <c r="C8730" s="26" t="n">
        <f aca="false">Assumptions!$C$34</f>
        <v>2</v>
      </c>
    </row>
    <row r="8731" customFormat="false" ht="15" hidden="false" customHeight="false" outlineLevel="0" collapsed="false">
      <c r="A8731" s="5" t="s">
        <v>484</v>
      </c>
      <c r="C8731" s="20" t="n">
        <f aca="false">IF(C8642=1,SUMPRODUCT($G$8610:$K$8610,$G$8486:$K$8486),0)</f>
        <v>2</v>
      </c>
    </row>
    <row r="8732" customFormat="false" ht="15" hidden="false" customHeight="false" outlineLevel="0" collapsed="false">
      <c r="A8732" s="5" t="s">
        <v>485</v>
      </c>
      <c r="C8732" s="21" t="n">
        <f aca="false">IFERROR(C8727/CHOOSE(C8726,SUMPRODUCT($G$8641:$K$8641,$G$8532:$K$8532),SUMPRODUCT($G$8641:$K$8641,$G$8545:$K$8545),SUMPRODUCT($G$8641:$K$8641,$G$8558:$K$8558),SUMPRODUCT($G$8641:$K$8641,$G$8571:$K$8571)),0)</f>
        <v>0.196232339089482</v>
      </c>
    </row>
    <row r="8733" customFormat="false" ht="15" hidden="false" customHeight="false" outlineLevel="0" collapsed="false">
      <c r="A8733" s="5" t="s">
        <v>486</v>
      </c>
      <c r="C8733" s="25" t="n">
        <f aca="false">CHOOSE(C8726,C8703,C8704,C8705,C8706)*C8732</f>
        <v>58.9862875392465</v>
      </c>
    </row>
    <row r="8734" customFormat="false" ht="15" hidden="false" customHeight="false" outlineLevel="0" collapsed="false">
      <c r="A8734" s="5" t="s">
        <v>487</v>
      </c>
      <c r="C8734" s="21" t="n">
        <f aca="false">CHOOSE(C8726,C8708,C8709,C8710,C8711)</f>
        <v>0.57330858986025</v>
      </c>
    </row>
    <row r="8735" customFormat="false" ht="15" hidden="false" customHeight="false" outlineLevel="0" collapsed="false">
      <c r="A8735" s="5" t="s">
        <v>488</v>
      </c>
      <c r="C8735" s="20" t="n">
        <f aca="false">IF(C8642=1,C8731,C8730)</f>
        <v>2</v>
      </c>
    </row>
    <row r="8736" customFormat="false" ht="15" hidden="false" customHeight="false" outlineLevel="0" collapsed="false">
      <c r="A8736" s="5" t="s">
        <v>489</v>
      </c>
      <c r="C8736" s="33" t="n">
        <f aca="false">CHOOSE($C$8478,Assumptions!$C$77,Assumptions!$C$96,Assumptions!$C$115)</f>
        <v>90</v>
      </c>
    </row>
    <row r="8737" customFormat="false" ht="15" hidden="false" customHeight="false" outlineLevel="0" collapsed="false">
      <c r="A8737" s="5" t="s">
        <v>490</v>
      </c>
      <c r="C8737" s="25" t="n">
        <f aca="false">INDEX($G$8495:$K$8495,C8730)*CHOOSE($C$8478,Assumptions!$C$76,Assumptions!$C$95,Assumptions!$C$114)+MAX(0,INDEX($G$8607:$K$8607,C8730))</f>
        <v>219.252192</v>
      </c>
    </row>
    <row r="8738" customFormat="false" ht="15" hidden="false" customHeight="false" outlineLevel="0" collapsed="false">
      <c r="A8738" s="23" t="s">
        <v>491</v>
      </c>
      <c r="B8738" s="24"/>
      <c r="C8738" s="24"/>
      <c r="D8738" s="24"/>
      <c r="E8738" s="24"/>
      <c r="F8738" s="24"/>
      <c r="G8738" s="24"/>
      <c r="H8738" s="24"/>
      <c r="I8738" s="24"/>
      <c r="J8738" s="24"/>
      <c r="K8738" s="24"/>
    </row>
    <row r="8739" customFormat="false" ht="15" hidden="false" customHeight="false" outlineLevel="0" collapsed="false">
      <c r="A8739" s="5" t="s">
        <v>457</v>
      </c>
      <c r="C8739" s="25" t="n">
        <f aca="false">INDEX($G$8532:$K$8532,C8730)</f>
        <v>203.5768</v>
      </c>
    </row>
    <row r="8740" customFormat="false" ht="15" hidden="false" customHeight="false" outlineLevel="0" collapsed="false">
      <c r="A8740" s="5" t="s">
        <v>458</v>
      </c>
      <c r="C8740" s="25" t="n">
        <f aca="false">INDEX($G$8545:$K$8545,C8730)</f>
        <v>509.6</v>
      </c>
    </row>
    <row r="8741" customFormat="false" ht="15" hidden="false" customHeight="false" outlineLevel="0" collapsed="false">
      <c r="A8741" s="5" t="s">
        <v>459</v>
      </c>
      <c r="C8741" s="25" t="n">
        <f aca="false">INDEX($G$8558:$K$8558,C8730)</f>
        <v>250</v>
      </c>
    </row>
    <row r="8742" customFormat="false" ht="15" hidden="false" customHeight="false" outlineLevel="0" collapsed="false">
      <c r="A8742" s="5" t="s">
        <v>460</v>
      </c>
      <c r="C8742" s="25" t="n">
        <f aca="false">INDEX($G$8571:$K$8571,C8730)</f>
        <v>300</v>
      </c>
    </row>
    <row r="8743" customFormat="false" ht="15" hidden="false" customHeight="false" outlineLevel="0" collapsed="false">
      <c r="A8743" s="23" t="s">
        <v>461</v>
      </c>
      <c r="B8743" s="24"/>
      <c r="C8743" s="24"/>
      <c r="D8743" s="24"/>
      <c r="E8743" s="24"/>
      <c r="F8743" s="24"/>
      <c r="G8743" s="24"/>
      <c r="H8743" s="24"/>
      <c r="I8743" s="24"/>
      <c r="J8743" s="24"/>
      <c r="K8743" s="24"/>
    </row>
    <row r="8744" customFormat="false" ht="15" hidden="false" customHeight="false" outlineLevel="0" collapsed="false">
      <c r="A8744" s="5" t="s">
        <v>457</v>
      </c>
      <c r="C8744" s="26" t="n">
        <f aca="false">Assumptions!$M$53</f>
        <v>1</v>
      </c>
    </row>
    <row r="8745" customFormat="false" ht="15" hidden="false" customHeight="false" outlineLevel="0" collapsed="false">
      <c r="A8745" s="5" t="s">
        <v>458</v>
      </c>
      <c r="C8745" s="26" t="n">
        <f aca="false">Assumptions!$M$54</f>
        <v>2</v>
      </c>
    </row>
    <row r="8746" customFormat="false" ht="15" hidden="false" customHeight="false" outlineLevel="0" collapsed="false">
      <c r="A8746" s="5" t="s">
        <v>459</v>
      </c>
      <c r="C8746" s="26" t="n">
        <f aca="false">Assumptions!$M$55</f>
        <v>3</v>
      </c>
    </row>
    <row r="8747" customFormat="false" ht="15" hidden="false" customHeight="false" outlineLevel="0" collapsed="false">
      <c r="A8747" s="5" t="s">
        <v>460</v>
      </c>
      <c r="C8747" s="26" t="n">
        <f aca="false">Assumptions!$M$56</f>
        <v>4</v>
      </c>
    </row>
    <row r="8748" customFormat="false" ht="15" hidden="false" customHeight="false" outlineLevel="0" collapsed="false">
      <c r="A8748" s="23" t="s">
        <v>462</v>
      </c>
      <c r="B8748" s="24"/>
      <c r="C8748" s="24"/>
      <c r="D8748" s="24"/>
      <c r="E8748" s="24"/>
      <c r="F8748" s="24"/>
      <c r="G8748" s="24"/>
      <c r="H8748" s="24"/>
      <c r="I8748" s="24"/>
      <c r="J8748" s="24"/>
      <c r="K8748" s="24"/>
    </row>
    <row r="8749" customFormat="false" ht="15" hidden="false" customHeight="false" outlineLevel="0" collapsed="false">
      <c r="A8749" s="5" t="s">
        <v>457</v>
      </c>
      <c r="C8749" s="34" t="n">
        <f aca="false">Assumptions!$Q$53</f>
        <v>0</v>
      </c>
    </row>
    <row r="8750" customFormat="false" ht="15" hidden="false" customHeight="false" outlineLevel="0" collapsed="false">
      <c r="A8750" s="5" t="s">
        <v>458</v>
      </c>
      <c r="C8750" s="34" t="n">
        <f aca="false">Assumptions!$Q$54</f>
        <v>0</v>
      </c>
    </row>
    <row r="8751" customFormat="false" ht="15" hidden="false" customHeight="false" outlineLevel="0" collapsed="false">
      <c r="A8751" s="5" t="s">
        <v>459</v>
      </c>
      <c r="C8751" s="34" t="n">
        <f aca="false">Assumptions!$Q$55</f>
        <v>0</v>
      </c>
    </row>
    <row r="8752" customFormat="false" ht="15" hidden="false" customHeight="false" outlineLevel="0" collapsed="false">
      <c r="A8752" s="5" t="s">
        <v>460</v>
      </c>
      <c r="C8752" s="34" t="n">
        <f aca="false">Assumptions!$Q$56</f>
        <v>0</v>
      </c>
    </row>
    <row r="8753" customFormat="false" ht="15" hidden="false" customHeight="false" outlineLevel="0" collapsed="false">
      <c r="A8753" s="23" t="s">
        <v>463</v>
      </c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</row>
    <row r="8754" customFormat="false" ht="15" hidden="false" customHeight="false" outlineLevel="0" collapsed="false">
      <c r="A8754" s="5" t="s">
        <v>457</v>
      </c>
      <c r="C8754" s="25" t="n">
        <f aca="false">IF(C8749&gt;0,MIN(C8739,C8749*$C$8737),0)</f>
        <v>0</v>
      </c>
    </row>
    <row r="8755" customFormat="false" ht="15" hidden="false" customHeight="false" outlineLevel="0" collapsed="false">
      <c r="A8755" s="5" t="s">
        <v>458</v>
      </c>
      <c r="C8755" s="25" t="n">
        <f aca="false">IF(C8750&gt;0,MIN(C8740,C8750*$C$8737),0)</f>
        <v>0</v>
      </c>
    </row>
    <row r="8756" customFormat="false" ht="15" hidden="false" customHeight="false" outlineLevel="0" collapsed="false">
      <c r="A8756" s="5" t="s">
        <v>459</v>
      </c>
      <c r="C8756" s="25" t="n">
        <f aca="false">IF(C8751&gt;0,MIN(C8741,C8751*$C$8737),0)</f>
        <v>0</v>
      </c>
    </row>
    <row r="8757" customFormat="false" ht="15" hidden="false" customHeight="false" outlineLevel="0" collapsed="false">
      <c r="A8757" s="5" t="s">
        <v>460</v>
      </c>
      <c r="C8757" s="25" t="n">
        <f aca="false">IF(C8752&gt;0,MIN(C8742,C8752*$C$8737),0)</f>
        <v>0</v>
      </c>
    </row>
    <row r="8758" customFormat="false" ht="15" hidden="false" customHeight="false" outlineLevel="0" collapsed="false">
      <c r="A8758" s="23" t="s">
        <v>464</v>
      </c>
      <c r="B8758" s="24"/>
      <c r="C8758" s="24"/>
      <c r="D8758" s="24"/>
      <c r="E8758" s="24"/>
      <c r="F8758" s="24"/>
      <c r="G8758" s="24"/>
      <c r="H8758" s="24"/>
      <c r="I8758" s="24"/>
      <c r="J8758" s="24"/>
      <c r="K8758" s="24"/>
    </row>
    <row r="8759" customFormat="false" ht="15" hidden="false" customHeight="false" outlineLevel="0" collapsed="false">
      <c r="A8759" s="5" t="s">
        <v>457</v>
      </c>
      <c r="C8759" s="25" t="n">
        <f aca="false">IF(C8749&gt;0,C8739-C8754,0)</f>
        <v>0</v>
      </c>
    </row>
    <row r="8760" customFormat="false" ht="15" hidden="false" customHeight="false" outlineLevel="0" collapsed="false">
      <c r="A8760" s="5" t="s">
        <v>458</v>
      </c>
      <c r="C8760" s="25" t="n">
        <f aca="false">IF(C8750&gt;0,C8740-C8755,0)</f>
        <v>0</v>
      </c>
    </row>
    <row r="8761" customFormat="false" ht="15" hidden="false" customHeight="false" outlineLevel="0" collapsed="false">
      <c r="A8761" s="5" t="s">
        <v>459</v>
      </c>
      <c r="C8761" s="25" t="n">
        <f aca="false">IF(C8751&gt;0,C8741-C8756,0)</f>
        <v>0</v>
      </c>
    </row>
    <row r="8762" customFormat="false" ht="15" hidden="false" customHeight="false" outlineLevel="0" collapsed="false">
      <c r="A8762" s="5" t="s">
        <v>460</v>
      </c>
      <c r="C8762" s="25" t="n">
        <f aca="false">IF(C8752&gt;0,C8742-C8757,0)</f>
        <v>0</v>
      </c>
    </row>
    <row r="8763" customFormat="false" ht="15" hidden="false" customHeight="false" outlineLevel="0" collapsed="false">
      <c r="A8763" s="23" t="s">
        <v>465</v>
      </c>
      <c r="B8763" s="24"/>
      <c r="C8763" s="24"/>
      <c r="D8763" s="24"/>
      <c r="E8763" s="24"/>
      <c r="F8763" s="24"/>
      <c r="G8763" s="24"/>
      <c r="H8763" s="24"/>
      <c r="I8763" s="24"/>
      <c r="J8763" s="24"/>
      <c r="K8763" s="24"/>
    </row>
    <row r="8764" customFormat="false" ht="15" hidden="false" customHeight="false" outlineLevel="0" collapsed="false">
      <c r="A8764" s="5" t="s">
        <v>457</v>
      </c>
      <c r="C8764" s="25" t="n">
        <f aca="false">IF(C8749&gt;0,C8759,C8739)</f>
        <v>203.5768</v>
      </c>
    </row>
    <row r="8765" customFormat="false" ht="15" hidden="false" customHeight="false" outlineLevel="0" collapsed="false">
      <c r="A8765" s="5" t="s">
        <v>458</v>
      </c>
      <c r="C8765" s="25" t="n">
        <f aca="false">IF(C8750&gt;0,C8760,C8740)</f>
        <v>509.6</v>
      </c>
    </row>
    <row r="8766" customFormat="false" ht="15" hidden="false" customHeight="false" outlineLevel="0" collapsed="false">
      <c r="A8766" s="5" t="s">
        <v>459</v>
      </c>
      <c r="C8766" s="25" t="n">
        <f aca="false">IF(C8751&gt;0,C8761,C8741)</f>
        <v>250</v>
      </c>
    </row>
    <row r="8767" customFormat="false" ht="15" hidden="false" customHeight="false" outlineLevel="0" collapsed="false">
      <c r="A8767" s="5" t="s">
        <v>460</v>
      </c>
      <c r="C8767" s="25" t="n">
        <f aca="false">IF(C8752&gt;0,C8762,C8742)</f>
        <v>300</v>
      </c>
    </row>
    <row r="8768" customFormat="false" ht="15" hidden="false" customHeight="false" outlineLevel="0" collapsed="false">
      <c r="A8768" s="23" t="s">
        <v>466</v>
      </c>
      <c r="B8768" s="24"/>
      <c r="C8768" s="24"/>
      <c r="D8768" s="24"/>
      <c r="E8768" s="24"/>
      <c r="F8768" s="24"/>
      <c r="G8768" s="24"/>
      <c r="H8768" s="24"/>
      <c r="I8768" s="24"/>
      <c r="J8768" s="24"/>
      <c r="K8768" s="24"/>
    </row>
    <row r="8769" customFormat="false" ht="15" hidden="false" customHeight="false" outlineLevel="0" collapsed="false">
      <c r="A8769" s="5" t="s">
        <v>457</v>
      </c>
      <c r="C8769" s="20" t="n">
        <f aca="false">IF(C8749&gt;0,Assumptions!$C$17,C8744)</f>
        <v>1</v>
      </c>
    </row>
    <row r="8770" customFormat="false" ht="15" hidden="false" customHeight="false" outlineLevel="0" collapsed="false">
      <c r="A8770" s="5" t="s">
        <v>458</v>
      </c>
      <c r="C8770" s="20" t="n">
        <f aca="false">IF(C8750&gt;0,Assumptions!$C$17,C8745)</f>
        <v>2</v>
      </c>
    </row>
    <row r="8771" customFormat="false" ht="15" hidden="false" customHeight="false" outlineLevel="0" collapsed="false">
      <c r="A8771" s="5" t="s">
        <v>459</v>
      </c>
      <c r="C8771" s="20" t="n">
        <f aca="false">IF(C8751&gt;0,Assumptions!$C$17,C8746)</f>
        <v>3</v>
      </c>
    </row>
    <row r="8772" customFormat="false" ht="15" hidden="false" customHeight="false" outlineLevel="0" collapsed="false">
      <c r="A8772" s="5" t="s">
        <v>460</v>
      </c>
      <c r="C8772" s="20" t="n">
        <f aca="false">IF(C8752&gt;0,Assumptions!$C$17,C8747)</f>
        <v>4</v>
      </c>
    </row>
    <row r="8773" customFormat="false" ht="15" hidden="false" customHeight="false" outlineLevel="0" collapsed="false">
      <c r="A8773" s="23" t="s">
        <v>467</v>
      </c>
      <c r="B8773" s="24"/>
      <c r="C8773" s="24"/>
      <c r="D8773" s="24"/>
      <c r="E8773" s="24"/>
      <c r="F8773" s="24"/>
      <c r="G8773" s="24"/>
      <c r="H8773" s="24"/>
      <c r="I8773" s="24"/>
      <c r="J8773" s="24"/>
      <c r="K8773" s="24"/>
    </row>
    <row r="8774" customFormat="false" ht="15" hidden="false" customHeight="false" outlineLevel="0" collapsed="false">
      <c r="A8774" s="5" t="s">
        <v>457</v>
      </c>
      <c r="C8774" s="25" t="n">
        <f aca="false">SUMPRODUCT(($C$8769:$C$8772&lt;C8769)*$C$8764:$C$8767)</f>
        <v>0</v>
      </c>
    </row>
    <row r="8775" customFormat="false" ht="15" hidden="false" customHeight="false" outlineLevel="0" collapsed="false">
      <c r="A8775" s="5" t="s">
        <v>458</v>
      </c>
      <c r="C8775" s="25" t="n">
        <f aca="false">SUMPRODUCT(($C$8769:$C$8772&lt;C8770)*$C$8764:$C$8767)</f>
        <v>203.5768</v>
      </c>
    </row>
    <row r="8776" customFormat="false" ht="15" hidden="false" customHeight="false" outlineLevel="0" collapsed="false">
      <c r="A8776" s="5" t="s">
        <v>459</v>
      </c>
      <c r="C8776" s="25" t="n">
        <f aca="false">SUMPRODUCT(($C$8769:$C$8772&lt;C8771)*$C$8764:$C$8767)</f>
        <v>713.1768</v>
      </c>
    </row>
    <row r="8777" customFormat="false" ht="15" hidden="false" customHeight="false" outlineLevel="0" collapsed="false">
      <c r="A8777" s="5" t="s">
        <v>460</v>
      </c>
      <c r="C8777" s="25" t="n">
        <f aca="false">SUMPRODUCT(($C$8769:$C$8772&lt;C8772)*$C$8764:$C$8767)</f>
        <v>963.1768</v>
      </c>
    </row>
    <row r="8778" customFormat="false" ht="15" hidden="false" customHeight="false" outlineLevel="0" collapsed="false">
      <c r="A8778" s="23" t="s">
        <v>468</v>
      </c>
      <c r="B8778" s="24"/>
      <c r="C8778" s="24"/>
      <c r="D8778" s="24"/>
      <c r="E8778" s="24"/>
      <c r="F8778" s="24"/>
      <c r="G8778" s="24"/>
      <c r="H8778" s="24"/>
      <c r="I8778" s="24"/>
      <c r="J8778" s="24"/>
      <c r="K8778" s="24"/>
    </row>
    <row r="8779" customFormat="false" ht="15" hidden="false" customHeight="false" outlineLevel="0" collapsed="false">
      <c r="A8779" s="5" t="s">
        <v>457</v>
      </c>
      <c r="C8779" s="25" t="n">
        <f aca="false">SUMPRODUCT(($C$8769:$C$8772=C8769)*$C$8764:$C$8767)</f>
        <v>203.5768</v>
      </c>
    </row>
    <row r="8780" customFormat="false" ht="15" hidden="false" customHeight="false" outlineLevel="0" collapsed="false">
      <c r="A8780" s="5" t="s">
        <v>458</v>
      </c>
      <c r="C8780" s="25" t="n">
        <f aca="false">SUMPRODUCT(($C$8769:$C$8772=C8770)*$C$8764:$C$8767)</f>
        <v>509.6</v>
      </c>
    </row>
    <row r="8781" customFormat="false" ht="15" hidden="false" customHeight="false" outlineLevel="0" collapsed="false">
      <c r="A8781" s="5" t="s">
        <v>459</v>
      </c>
      <c r="C8781" s="25" t="n">
        <f aca="false">SUMPRODUCT(($C$8769:$C$8772=C8771)*$C$8764:$C$8767)</f>
        <v>250</v>
      </c>
    </row>
    <row r="8782" customFormat="false" ht="15" hidden="false" customHeight="false" outlineLevel="0" collapsed="false">
      <c r="A8782" s="5" t="s">
        <v>460</v>
      </c>
      <c r="C8782" s="25" t="n">
        <f aca="false">SUMPRODUCT(($C$8769:$C$8772=C8772)*$C$8764:$C$8767)</f>
        <v>300</v>
      </c>
    </row>
    <row r="8783" customFormat="false" ht="15" hidden="false" customHeight="false" outlineLevel="0" collapsed="false">
      <c r="A8783" s="23" t="s">
        <v>469</v>
      </c>
      <c r="B8783" s="24"/>
      <c r="C8783" s="24"/>
      <c r="D8783" s="24"/>
      <c r="E8783" s="24"/>
      <c r="F8783" s="24"/>
      <c r="G8783" s="24"/>
      <c r="H8783" s="24"/>
      <c r="I8783" s="24"/>
      <c r="J8783" s="24"/>
      <c r="K8783" s="24"/>
    </row>
    <row r="8784" customFormat="false" ht="15" hidden="false" customHeight="false" outlineLevel="0" collapsed="false">
      <c r="A8784" s="5" t="s">
        <v>457</v>
      </c>
      <c r="C8784" s="25" t="n">
        <f aca="false">IF(C8779=0,0,C8764/C8779*MAX(0,MIN(C8779,$C$8737-SUM($C$8754:$C$8757)-C8774)))</f>
        <v>203.5768</v>
      </c>
    </row>
    <row r="8785" customFormat="false" ht="15" hidden="false" customHeight="false" outlineLevel="0" collapsed="false">
      <c r="A8785" s="5" t="s">
        <v>458</v>
      </c>
      <c r="C8785" s="25" t="n">
        <f aca="false">IF(C8780=0,0,C8765/C8780*MAX(0,MIN(C8780,$C$8737-SUM($C$8754:$C$8757)-C8775)))</f>
        <v>15.6753919999999</v>
      </c>
    </row>
    <row r="8786" customFormat="false" ht="15" hidden="false" customHeight="false" outlineLevel="0" collapsed="false">
      <c r="A8786" s="5" t="s">
        <v>459</v>
      </c>
      <c r="C8786" s="25" t="n">
        <f aca="false">IF(C8781=0,0,C8766/C8781*MAX(0,MIN(C8781,$C$8737-SUM($C$8754:$C$8757)-C8776)))</f>
        <v>0</v>
      </c>
    </row>
    <row r="8787" customFormat="false" ht="15" hidden="false" customHeight="false" outlineLevel="0" collapsed="false">
      <c r="A8787" s="5" t="s">
        <v>460</v>
      </c>
      <c r="C8787" s="25" t="n">
        <f aca="false">IF(C8782=0,0,C8767/C8782*MAX(0,MIN(C8782,$C$8737-SUM($C$8754:$C$8757)-C8777)))</f>
        <v>0</v>
      </c>
    </row>
    <row r="8788" customFormat="false" ht="15" hidden="false" customHeight="false" outlineLevel="0" collapsed="false">
      <c r="A8788" s="23" t="s">
        <v>470</v>
      </c>
      <c r="B8788" s="24"/>
      <c r="C8788" s="24"/>
      <c r="D8788" s="24"/>
      <c r="E8788" s="24"/>
      <c r="F8788" s="24"/>
      <c r="G8788" s="24"/>
      <c r="H8788" s="24"/>
      <c r="I8788" s="24"/>
      <c r="J8788" s="24"/>
      <c r="K8788" s="24"/>
    </row>
    <row r="8789" customFormat="false" ht="15" hidden="false" customHeight="false" outlineLevel="0" collapsed="false">
      <c r="A8789" s="2" t="s">
        <v>457</v>
      </c>
      <c r="C8789" s="16" t="n">
        <f aca="false">C8754+C8784</f>
        <v>203.5768</v>
      </c>
    </row>
    <row r="8790" customFormat="false" ht="15" hidden="false" customHeight="false" outlineLevel="0" collapsed="false">
      <c r="A8790" s="2" t="s">
        <v>458</v>
      </c>
      <c r="C8790" s="16" t="n">
        <f aca="false">C8755+C8785</f>
        <v>15.6753919999999</v>
      </c>
    </row>
    <row r="8791" customFormat="false" ht="15" hidden="false" customHeight="false" outlineLevel="0" collapsed="false">
      <c r="A8791" s="2" t="s">
        <v>459</v>
      </c>
      <c r="C8791" s="16" t="n">
        <f aca="false">C8756+C8786</f>
        <v>0</v>
      </c>
    </row>
    <row r="8792" customFormat="false" ht="15" hidden="false" customHeight="false" outlineLevel="0" collapsed="false">
      <c r="A8792" s="2" t="s">
        <v>460</v>
      </c>
      <c r="C8792" s="16" t="n">
        <f aca="false">C8757+C8787</f>
        <v>0</v>
      </c>
    </row>
    <row r="8793" customFormat="false" ht="15" hidden="false" customHeight="false" outlineLevel="0" collapsed="false">
      <c r="A8793" s="23" t="s">
        <v>471</v>
      </c>
      <c r="B8793" s="24"/>
      <c r="C8793" s="24"/>
      <c r="D8793" s="24"/>
      <c r="E8793" s="24"/>
      <c r="F8793" s="24"/>
      <c r="G8793" s="24"/>
      <c r="H8793" s="24"/>
      <c r="I8793" s="24"/>
      <c r="J8793" s="24"/>
      <c r="K8793" s="24"/>
    </row>
    <row r="8794" customFormat="false" ht="15" hidden="false" customHeight="false" outlineLevel="0" collapsed="false">
      <c r="A8794" s="5" t="s">
        <v>457</v>
      </c>
      <c r="C8794" s="21" t="n">
        <f aca="false">IF(C8739=0,1,C8789/C8739)</f>
        <v>1</v>
      </c>
    </row>
    <row r="8795" customFormat="false" ht="15" hidden="false" customHeight="false" outlineLevel="0" collapsed="false">
      <c r="A8795" s="5" t="s">
        <v>458</v>
      </c>
      <c r="C8795" s="21" t="n">
        <f aca="false">IF(C8740=0,1,C8790/C8740)</f>
        <v>0.0307601883830453</v>
      </c>
    </row>
    <row r="8796" customFormat="false" ht="15" hidden="false" customHeight="false" outlineLevel="0" collapsed="false">
      <c r="A8796" s="5" t="s">
        <v>459</v>
      </c>
      <c r="C8796" s="21" t="n">
        <f aca="false">IF(C8741=0,1,C8791/C8741)</f>
        <v>0</v>
      </c>
    </row>
    <row r="8797" customFormat="false" ht="15" hidden="false" customHeight="false" outlineLevel="0" collapsed="false">
      <c r="A8797" s="5" t="s">
        <v>460</v>
      </c>
      <c r="C8797" s="21" t="n">
        <f aca="false">IF(C8742=0,1,C8792/C8742)</f>
        <v>0</v>
      </c>
    </row>
    <row r="8798" customFormat="false" ht="15" hidden="false" customHeight="false" outlineLevel="0" collapsed="false">
      <c r="A8798" s="23" t="s">
        <v>472</v>
      </c>
      <c r="B8798" s="24"/>
      <c r="C8798" s="24"/>
      <c r="D8798" s="24"/>
      <c r="E8798" s="24"/>
      <c r="F8798" s="24"/>
      <c r="G8798" s="24"/>
      <c r="H8798" s="24"/>
      <c r="I8798" s="24"/>
      <c r="J8798" s="24"/>
      <c r="K8798" s="24"/>
    </row>
    <row r="8799" customFormat="false" ht="15" hidden="false" customHeight="false" outlineLevel="0" collapsed="false">
      <c r="A8799" s="5" t="s">
        <v>457</v>
      </c>
      <c r="C8799" s="25" t="n">
        <f aca="false">C8739-C8789</f>
        <v>0</v>
      </c>
    </row>
    <row r="8800" customFormat="false" ht="15" hidden="false" customHeight="false" outlineLevel="0" collapsed="false">
      <c r="A8800" s="5" t="s">
        <v>458</v>
      </c>
      <c r="C8800" s="25" t="n">
        <f aca="false">C8740-C8790</f>
        <v>493.924608</v>
      </c>
    </row>
    <row r="8801" customFormat="false" ht="15" hidden="false" customHeight="false" outlineLevel="0" collapsed="false">
      <c r="A8801" s="5" t="s">
        <v>459</v>
      </c>
      <c r="C8801" s="25" t="n">
        <f aca="false">C8741-C8791</f>
        <v>250</v>
      </c>
    </row>
    <row r="8802" customFormat="false" ht="15" hidden="false" customHeight="false" outlineLevel="0" collapsed="false">
      <c r="A8802" s="5" t="s">
        <v>460</v>
      </c>
      <c r="C8802" s="25" t="n">
        <f aca="false">C8742-C8792</f>
        <v>300</v>
      </c>
    </row>
    <row r="8803" customFormat="false" ht="15" hidden="false" customHeight="false" outlineLevel="0" collapsed="false">
      <c r="A8803" s="23" t="s">
        <v>473</v>
      </c>
      <c r="B8803" s="24"/>
      <c r="C8803" s="24"/>
      <c r="D8803" s="24"/>
      <c r="E8803" s="24"/>
      <c r="F8803" s="24"/>
      <c r="G8803" s="24"/>
      <c r="H8803" s="24"/>
      <c r="I8803" s="24"/>
      <c r="J8803" s="24"/>
      <c r="K8803" s="24"/>
    </row>
    <row r="8804" customFormat="false" ht="15" hidden="false" customHeight="false" outlineLevel="0" collapsed="false">
      <c r="A8804" s="5" t="s">
        <v>457</v>
      </c>
      <c r="C8804" s="21" t="n">
        <f aca="false">IF(C8739=0,0,C8799/C8739)</f>
        <v>0</v>
      </c>
    </row>
    <row r="8805" customFormat="false" ht="15" hidden="false" customHeight="false" outlineLevel="0" collapsed="false">
      <c r="A8805" s="5" t="s">
        <v>458</v>
      </c>
      <c r="C8805" s="21" t="n">
        <f aca="false">IF(C8740=0,0,C8800/C8740)</f>
        <v>0.969239811616955</v>
      </c>
    </row>
    <row r="8806" customFormat="false" ht="15" hidden="false" customHeight="false" outlineLevel="0" collapsed="false">
      <c r="A8806" s="5" t="s">
        <v>459</v>
      </c>
      <c r="C8806" s="21" t="n">
        <f aca="false">IF(C8741=0,0,C8801/C8741)</f>
        <v>1</v>
      </c>
    </row>
    <row r="8807" customFormat="false" ht="15" hidden="false" customHeight="false" outlineLevel="0" collapsed="false">
      <c r="A8807" s="5" t="s">
        <v>460</v>
      </c>
      <c r="C8807" s="21" t="n">
        <f aca="false">IF(C8742=0,0,C8802/C8742)</f>
        <v>1</v>
      </c>
    </row>
    <row r="8808" customFormat="false" ht="15" hidden="false" customHeight="false" outlineLevel="0" collapsed="false">
      <c r="A8808" s="2" t="s">
        <v>474</v>
      </c>
      <c r="C8808" s="16" t="n">
        <f aca="false">MAX(0,$C$8737-SUM($C$8754:$C$8757)-SUM($C$8764:$C$8767))</f>
        <v>0</v>
      </c>
    </row>
    <row r="8809" customFormat="false" ht="15" hidden="false" customHeight="false" outlineLevel="0" collapsed="false">
      <c r="A8809" s="5" t="s">
        <v>492</v>
      </c>
      <c r="C8809" s="33" t="n">
        <f aca="false">MIN(C8736,100*CHOOSE(C8726,C8794,C8795,C8796,C8797))</f>
        <v>3.07601883830453</v>
      </c>
    </row>
    <row r="8810" customFormat="false" ht="15" hidden="false" customHeight="false" outlineLevel="0" collapsed="false">
      <c r="A8810" s="5" t="s">
        <v>493</v>
      </c>
      <c r="C8810" s="20" t="n">
        <f aca="false">IF(C8642=1,C8731+Assumptions!$C$36,C8730)</f>
        <v>3</v>
      </c>
    </row>
    <row r="8811" customFormat="false" ht="15" hidden="false" customHeight="false" outlineLevel="0" collapsed="false">
      <c r="A8811" s="23" t="s">
        <v>494</v>
      </c>
      <c r="B8811" s="24"/>
      <c r="C8811" s="24"/>
      <c r="D8811" s="24"/>
      <c r="E8811" s="24"/>
      <c r="F8811" s="24"/>
      <c r="G8811" s="24"/>
      <c r="H8811" s="24"/>
      <c r="I8811" s="24"/>
      <c r="J8811" s="24"/>
      <c r="K8811" s="24"/>
    </row>
    <row r="8812" customFormat="false" ht="15" hidden="false" customHeight="false" outlineLevel="0" collapsed="false">
      <c r="A8812" s="5" t="s">
        <v>495</v>
      </c>
      <c r="C8812" s="20" t="n">
        <f aca="false">COLUMN()-COLUMN($C$1)</f>
        <v>0</v>
      </c>
      <c r="D8812" s="20" t="n">
        <f aca="false">COLUMN()-COLUMN($C$1)</f>
        <v>1</v>
      </c>
      <c r="E8812" s="20" t="n">
        <f aca="false">COLUMN()-COLUMN($C$1)</f>
        <v>2</v>
      </c>
      <c r="F8812" s="20" t="n">
        <f aca="false">COLUMN()-COLUMN($C$1)</f>
        <v>3</v>
      </c>
      <c r="G8812" s="20" t="n">
        <f aca="false">COLUMN()-COLUMN($C$1)</f>
        <v>4</v>
      </c>
      <c r="H8812" s="20" t="n">
        <f aca="false">COLUMN()-COLUMN($C$1)</f>
        <v>5</v>
      </c>
      <c r="I8812" s="20" t="n">
        <f aca="false">COLUMN()-COLUMN($C$1)</f>
        <v>6</v>
      </c>
    </row>
    <row r="8813" customFormat="false" ht="15" hidden="false" customHeight="false" outlineLevel="0" collapsed="false">
      <c r="A8813" s="5" t="s">
        <v>496</v>
      </c>
      <c r="D8813" s="30" t="n">
        <f aca="false">CHOOSE($C$8726,G8524,G8537,G8550,G8563)</f>
        <v>0.118</v>
      </c>
      <c r="E8813" s="30" t="n">
        <f aca="false">CHOOSE($C$8726,H8524,H8537,H8550,H8563)</f>
        <v>0.1155</v>
      </c>
      <c r="F8813" s="30" t="n">
        <f aca="false">CHOOSE($C$8726,I8524,I8537,I8550,I8563)</f>
        <v>0.113</v>
      </c>
      <c r="G8813" s="30" t="n">
        <f aca="false">CHOOSE($C$8726,J8524,J8537,J8550,J8563)</f>
        <v>0.113</v>
      </c>
      <c r="H8813" s="30" t="n">
        <f aca="false">CHOOSE($C$8726,K8524,K8537,K8550,K8563)</f>
        <v>0.113</v>
      </c>
    </row>
    <row r="8814" customFormat="false" ht="15" hidden="false" customHeight="false" outlineLevel="0" collapsed="false">
      <c r="A8814" s="5" t="s">
        <v>497</v>
      </c>
      <c r="D8814" s="25" t="n">
        <f aca="false">IF(D8812&lt;=$C$8735,$C$8727*D8813,0)</f>
        <v>11.8</v>
      </c>
      <c r="E8814" s="25" t="n">
        <f aca="false">IF(E8812&lt;=$C$8735,$C$8727*E8813,0)</f>
        <v>11.55</v>
      </c>
      <c r="F8814" s="25" t="n">
        <f aca="false">IF(F8812&lt;=$C$8735,$C$8727*F8813,0)</f>
        <v>0</v>
      </c>
      <c r="G8814" s="25" t="n">
        <f aca="false">IF(G8812&lt;=$C$8735,$C$8727*G8813,0)</f>
        <v>0</v>
      </c>
      <c r="H8814" s="25" t="n">
        <f aca="false">IF(H8812&lt;=$C$8735,$C$8727*H8813,0)</f>
        <v>0</v>
      </c>
    </row>
    <row r="8815" customFormat="false" ht="15" hidden="false" customHeight="false" outlineLevel="0" collapsed="false">
      <c r="A8815" s="5" t="s">
        <v>498</v>
      </c>
      <c r="D8815" s="25" t="n">
        <f aca="false">IF(AND($C$8642=0,D8812=$C$8730),$C$8727*$C$8809/100,0)+IF(AND($C$8642=1,D8812=$C$8810),$C$8733,0)</f>
        <v>0</v>
      </c>
      <c r="E8815" s="25" t="n">
        <f aca="false">IF(AND($C$8642=0,E8812=$C$8730),$C$8727*$C$8809/100,0)+IF(AND($C$8642=1,E8812=$C$8810),$C$8733,0)</f>
        <v>0</v>
      </c>
      <c r="F8815" s="25" t="n">
        <f aca="false">IF(AND($C$8642=0,F8812=$C$8730),$C$8727*$C$8809/100,0)+IF(AND($C$8642=1,F8812=$C$8810),$C$8733,0)</f>
        <v>58.9862875392465</v>
      </c>
      <c r="G8815" s="25" t="n">
        <f aca="false">IF(AND($C$8642=0,G8812=$C$8730),$C$8727*$C$8809/100,0)+IF(AND($C$8642=1,G8812=$C$8810),$C$8733,0)</f>
        <v>0</v>
      </c>
      <c r="H8815" s="25" t="n">
        <f aca="false">IF(AND($C$8642=0,H8812=$C$8730),$C$8727*$C$8809/100,0)+IF(AND($C$8642=1,H8812=$C$8810),$C$8733,0)</f>
        <v>0</v>
      </c>
      <c r="I8815" s="25" t="n">
        <f aca="false">IF(AND($C$8642=0,I8812=$C$8730),$C$8727*$C$8809/100,0)+IF(AND($C$8642=1,I8812=$C$8810),$C$8733,0)</f>
        <v>0</v>
      </c>
    </row>
    <row r="8816" customFormat="false" ht="15" hidden="false" customHeight="false" outlineLevel="0" collapsed="false">
      <c r="A8816" s="2" t="s">
        <v>499</v>
      </c>
      <c r="C8816" s="16" t="n">
        <f aca="false">-$C$8729</f>
        <v>-78.39</v>
      </c>
      <c r="D8816" s="16" t="n">
        <f aca="false">D8814+D8815</f>
        <v>11.8</v>
      </c>
      <c r="E8816" s="16" t="n">
        <f aca="false">E8814+E8815</f>
        <v>11.55</v>
      </c>
      <c r="F8816" s="16" t="n">
        <f aca="false">F8814+F8815</f>
        <v>58.9862875392465</v>
      </c>
      <c r="G8816" s="16" t="n">
        <f aca="false">G8814+G8815</f>
        <v>0</v>
      </c>
      <c r="H8816" s="16" t="n">
        <f aca="false">H8814+H8815</f>
        <v>0</v>
      </c>
      <c r="I8816" s="16" t="n">
        <f aca="false">I8814+I8815</f>
        <v>0</v>
      </c>
    </row>
    <row r="8817" customFormat="false" ht="15" hidden="false" customHeight="false" outlineLevel="0" collapsed="false">
      <c r="A8817" s="5" t="s">
        <v>500</v>
      </c>
      <c r="C8817" s="25" t="n">
        <f aca="false">SUM($C$8814:$I$8814)</f>
        <v>23.35</v>
      </c>
    </row>
    <row r="8818" customFormat="false" ht="15" hidden="false" customHeight="false" outlineLevel="0" collapsed="false">
      <c r="A8818" s="5" t="s">
        <v>501</v>
      </c>
      <c r="C8818" s="25" t="n">
        <f aca="false">SUM($C$8815:$I$8815)</f>
        <v>58.9862875392465</v>
      </c>
    </row>
    <row r="8819" customFormat="false" ht="15" hidden="false" customHeight="false" outlineLevel="0" collapsed="false">
      <c r="A8819" s="5" t="s">
        <v>502</v>
      </c>
      <c r="C8819" s="25" t="n">
        <f aca="false">C8817+C8818</f>
        <v>82.3362875392465</v>
      </c>
    </row>
    <row r="8820" customFormat="false" ht="15" hidden="false" customHeight="false" outlineLevel="0" collapsed="false">
      <c r="A8820" s="5" t="s">
        <v>503</v>
      </c>
      <c r="C8820" s="25" t="n">
        <f aca="false">C8818-C8727*C8728/100</f>
        <v>-19.0137124607535</v>
      </c>
    </row>
    <row r="8821" customFormat="false" ht="15" hidden="false" customHeight="false" outlineLevel="0" collapsed="false">
      <c r="A8821" s="5" t="s">
        <v>504</v>
      </c>
      <c r="C8821" s="25" t="n">
        <f aca="false">C8819-C8729</f>
        <v>3.94628753924648</v>
      </c>
    </row>
    <row r="8822" customFormat="false" ht="15" hidden="false" customHeight="false" outlineLevel="0" collapsed="false">
      <c r="A8822" s="2" t="s">
        <v>385</v>
      </c>
      <c r="C8822" s="43" t="n">
        <f aca="false">C8819/C8729</f>
        <v>1.05034172138342</v>
      </c>
    </row>
    <row r="8823" customFormat="false" ht="15" hidden="false" customHeight="false" outlineLevel="0" collapsed="false">
      <c r="A8823" s="2" t="s">
        <v>384</v>
      </c>
      <c r="C8823" s="41" t="n">
        <f aca="false">IF(C8819&lt;=0,-1,IFERROR(IRR($C$8816:$I$8816,MAX(-0.9,C8822^(1/C8810)-1)),IRR($C$8816:$I$8816,0.1)))</f>
        <v>0.0193102279365428</v>
      </c>
    </row>
    <row r="8824" customFormat="false" ht="15" hidden="false" customHeight="false" outlineLevel="0" collapsed="false">
      <c r="A8824" s="5" t="s">
        <v>505</v>
      </c>
      <c r="C8824" s="31" t="n">
        <f aca="false">MAX($G$8618:$K$8618)</f>
        <v>31.2818840415516</v>
      </c>
    </row>
    <row r="8825" customFormat="false" ht="15" hidden="false" customHeight="false" outlineLevel="0" collapsed="false">
      <c r="A8825" s="5" t="s">
        <v>506</v>
      </c>
      <c r="C8825" s="31" t="n">
        <f aca="false">MIN($G$8619:$K$8619)</f>
        <v>0.338582795137232</v>
      </c>
    </row>
    <row r="8826" customFormat="false" ht="15" hidden="false" customHeight="false" outlineLevel="0" collapsed="false">
      <c r="A8826" s="5" t="s">
        <v>507</v>
      </c>
      <c r="C8826" s="25" t="n">
        <f aca="false">SUM($G$8508:$K$8508)</f>
        <v>-438.6341185632</v>
      </c>
    </row>
    <row r="8830" customFormat="false" ht="15" hidden="false" customHeight="false" outlineLevel="0" collapsed="false">
      <c r="A8830" s="9" t="s">
        <v>651</v>
      </c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</row>
    <row r="8831" customFormat="false" ht="15" hidden="false" customHeight="false" outlineLevel="0" collapsed="false">
      <c r="A8831" s="5" t="s">
        <v>622</v>
      </c>
      <c r="C8831" s="11" t="n">
        <v>2</v>
      </c>
    </row>
    <row r="8832" customFormat="false" ht="15" hidden="false" customHeight="false" outlineLevel="0" collapsed="false">
      <c r="A8832" s="5" t="s">
        <v>623</v>
      </c>
      <c r="C8832" s="29" t="n">
        <f aca="false">Sensitivities!$A$42</f>
        <v>0</v>
      </c>
    </row>
    <row r="8833" customFormat="false" ht="15" hidden="false" customHeight="false" outlineLevel="0" collapsed="false">
      <c r="A8833" s="5" t="s">
        <v>624</v>
      </c>
      <c r="C8833" s="18" t="n">
        <v>0</v>
      </c>
    </row>
    <row r="8834" customFormat="false" ht="15" hidden="false" customHeight="false" outlineLevel="0" collapsed="false">
      <c r="A8834" s="5" t="s">
        <v>625</v>
      </c>
      <c r="C8834" s="18" t="n">
        <v>0</v>
      </c>
    </row>
    <row r="8835" customFormat="false" ht="15" hidden="false" customHeight="false" outlineLevel="0" collapsed="false">
      <c r="A8835" s="5" t="s">
        <v>626</v>
      </c>
      <c r="C8835" s="15" t="n">
        <v>0</v>
      </c>
    </row>
    <row r="8837" customFormat="false" ht="15" hidden="false" customHeight="false" outlineLevel="0" collapsed="false">
      <c r="A8837" s="23" t="s">
        <v>237</v>
      </c>
      <c r="B8837" s="24"/>
      <c r="C8837" s="24"/>
      <c r="D8837" s="24"/>
      <c r="E8837" s="24"/>
      <c r="F8837" s="24"/>
      <c r="G8837" s="24"/>
      <c r="H8837" s="24"/>
      <c r="I8837" s="24"/>
      <c r="J8837" s="24"/>
      <c r="K8837" s="24"/>
    </row>
    <row r="8838" customFormat="false" ht="15" hidden="false" customHeight="false" outlineLevel="0" collapsed="false">
      <c r="A8838" s="5" t="s">
        <v>238</v>
      </c>
      <c r="F8838" s="26" t="n">
        <f aca="false">Assumptions!$C$6</f>
        <v>2025</v>
      </c>
      <c r="G8838" s="20" t="n">
        <f aca="false">F8838+1</f>
        <v>2026</v>
      </c>
      <c r="H8838" s="20" t="n">
        <f aca="false">G8838+1</f>
        <v>2027</v>
      </c>
      <c r="I8838" s="20" t="n">
        <f aca="false">H8838+1</f>
        <v>2028</v>
      </c>
      <c r="J8838" s="20" t="n">
        <f aca="false">I8838+1</f>
        <v>2029</v>
      </c>
      <c r="K8838" s="20" t="n">
        <f aca="false">J8838+1</f>
        <v>2030</v>
      </c>
    </row>
    <row r="8839" customFormat="false" ht="15" hidden="false" customHeight="false" outlineLevel="0" collapsed="false">
      <c r="A8839" s="5" t="s">
        <v>239</v>
      </c>
      <c r="G8839" s="20" t="n">
        <f aca="false">G8838-Assumptions!$C$6</f>
        <v>1</v>
      </c>
      <c r="H8839" s="20" t="n">
        <f aca="false">H8838-Assumptions!$C$6</f>
        <v>2</v>
      </c>
      <c r="I8839" s="20" t="n">
        <f aca="false">I8838-Assumptions!$C$6</f>
        <v>3</v>
      </c>
      <c r="J8839" s="20" t="n">
        <f aca="false">J8838-Assumptions!$C$6</f>
        <v>4</v>
      </c>
      <c r="K8839" s="20" t="n">
        <f aca="false">K8838-Assumptions!$C$6</f>
        <v>5</v>
      </c>
    </row>
    <row r="8840" customFormat="false" ht="15" hidden="false" customHeight="false" outlineLevel="0" collapsed="false">
      <c r="A8840" s="5" t="s">
        <v>149</v>
      </c>
      <c r="G8840" s="21" t="n">
        <f aca="false">CHOOSE($C$8831,Assumptions!$G$65,Assumptions!$G$84,Assumptions!$G$103)+$C$8832</f>
        <v>-0.078</v>
      </c>
      <c r="H8840" s="21" t="n">
        <f aca="false">CHOOSE($C$8831,Assumptions!$H$65,Assumptions!$H$84,Assumptions!$H$103)+$C$8832</f>
        <v>-0.039</v>
      </c>
      <c r="I8840" s="21" t="n">
        <f aca="false">CHOOSE($C$8831,Assumptions!$I$65,Assumptions!$I$84,Assumptions!$I$103)+$C$8832</f>
        <v>-0.005</v>
      </c>
      <c r="J8840" s="21" t="n">
        <f aca="false">CHOOSE($C$8831,Assumptions!$J$65,Assumptions!$J$84,Assumptions!$J$103)+$C$8832</f>
        <v>-0.01</v>
      </c>
      <c r="K8840" s="21" t="n">
        <f aca="false">CHOOSE($C$8831,Assumptions!$K$65,Assumptions!$K$84,Assumptions!$K$103)+$C$8832</f>
        <v>-0.01</v>
      </c>
    </row>
    <row r="8841" customFormat="false" ht="15" hidden="false" customHeight="false" outlineLevel="0" collapsed="false">
      <c r="A8841" s="5" t="s">
        <v>150</v>
      </c>
      <c r="G8841" s="21" t="n">
        <f aca="false">CHOOSE($C$8831,Assumptions!$G$66,Assumptions!$G$85,Assumptions!$G$104)</f>
        <v>0.33</v>
      </c>
      <c r="H8841" s="21" t="n">
        <f aca="false">CHOOSE($C$8831,Assumptions!$H$66,Assumptions!$H$85,Assumptions!$H$104)</f>
        <v>0.318</v>
      </c>
      <c r="I8841" s="21" t="n">
        <f aca="false">CHOOSE($C$8831,Assumptions!$I$66,Assumptions!$I$85,Assumptions!$I$104)</f>
        <v>0.324</v>
      </c>
      <c r="J8841" s="21" t="n">
        <f aca="false">CHOOSE($C$8831,Assumptions!$J$66,Assumptions!$J$85,Assumptions!$J$104)</f>
        <v>0.33</v>
      </c>
      <c r="K8841" s="21" t="n">
        <f aca="false">CHOOSE($C$8831,Assumptions!$K$66,Assumptions!$K$85,Assumptions!$K$104)</f>
        <v>0.336</v>
      </c>
    </row>
    <row r="8842" customFormat="false" ht="15" hidden="false" customHeight="false" outlineLevel="0" collapsed="false">
      <c r="A8842" s="5" t="s">
        <v>151</v>
      </c>
      <c r="G8842" s="21" t="n">
        <f aca="false">CHOOSE($C$8831,Assumptions!$G$67,Assumptions!$G$86,Assumptions!$G$105)+$C$8833</f>
        <v>0.035</v>
      </c>
      <c r="H8842" s="21" t="n">
        <f aca="false">CHOOSE($C$8831,Assumptions!$H$67,Assumptions!$H$86,Assumptions!$H$105)+$C$8833</f>
        <v>0.023</v>
      </c>
      <c r="I8842" s="21" t="n">
        <f aca="false">CHOOSE($C$8831,Assumptions!$I$67,Assumptions!$I$86,Assumptions!$I$105)+$C$8833</f>
        <v>0.029</v>
      </c>
      <c r="J8842" s="21" t="n">
        <f aca="false">CHOOSE($C$8831,Assumptions!$J$67,Assumptions!$J$86,Assumptions!$J$105)+$C$8833</f>
        <v>0.035</v>
      </c>
      <c r="K8842" s="21" t="n">
        <f aca="false">CHOOSE($C$8831,Assumptions!$K$67,Assumptions!$K$86,Assumptions!$K$105)+$C$8833</f>
        <v>0.041</v>
      </c>
    </row>
    <row r="8843" customFormat="false" ht="15" hidden="false" customHeight="false" outlineLevel="0" collapsed="false">
      <c r="A8843" s="23" t="s">
        <v>240</v>
      </c>
      <c r="B8843" s="24"/>
      <c r="C8843" s="24"/>
      <c r="D8843" s="24"/>
      <c r="E8843" s="24"/>
      <c r="F8843" s="24"/>
      <c r="G8843" s="24"/>
      <c r="H8843" s="24"/>
      <c r="I8843" s="24"/>
      <c r="J8843" s="24"/>
      <c r="K8843" s="24"/>
    </row>
    <row r="8844" customFormat="false" ht="15" hidden="false" customHeight="false" outlineLevel="0" collapsed="false">
      <c r="A8844" s="2" t="s">
        <v>207</v>
      </c>
      <c r="F8844" s="27" t="n">
        <f aca="false">'Historical Financials'!E17</f>
        <v>2400</v>
      </c>
      <c r="G8844" s="16" t="n">
        <f aca="false">F8844*(1+G8840)</f>
        <v>2212.8</v>
      </c>
      <c r="H8844" s="16" t="n">
        <f aca="false">G8844*(1+H8840)</f>
        <v>2126.5008</v>
      </c>
      <c r="I8844" s="16" t="n">
        <f aca="false">H8844*(1+I8840)</f>
        <v>2115.868296</v>
      </c>
      <c r="J8844" s="16" t="n">
        <f aca="false">I8844*(1+J8840)</f>
        <v>2094.70961304</v>
      </c>
      <c r="K8844" s="16" t="n">
        <f aca="false">J8844*(1+K8840)</f>
        <v>2073.7625169096</v>
      </c>
    </row>
    <row r="8845" customFormat="false" ht="15" hidden="false" customHeight="false" outlineLevel="0" collapsed="false">
      <c r="A8845" s="5" t="s">
        <v>217</v>
      </c>
      <c r="G8845" s="25" t="n">
        <f aca="false">G8844*(1-G8841)</f>
        <v>1482.576</v>
      </c>
      <c r="H8845" s="25" t="n">
        <f aca="false">H8844*(1-H8841)</f>
        <v>1450.2735456</v>
      </c>
      <c r="I8845" s="25" t="n">
        <f aca="false">I8844*(1-I8841)</f>
        <v>1430.326968096</v>
      </c>
      <c r="J8845" s="25" t="n">
        <f aca="false">J8844*(1-J8841)</f>
        <v>1403.4554407368</v>
      </c>
      <c r="K8845" s="25" t="n">
        <f aca="false">K8844*(1-K8841)</f>
        <v>1376.97831122797</v>
      </c>
    </row>
    <row r="8846" customFormat="false" ht="15" hidden="false" customHeight="false" outlineLevel="0" collapsed="false">
      <c r="A8846" s="2" t="s">
        <v>218</v>
      </c>
      <c r="G8846" s="16" t="n">
        <f aca="false">G8844-G8845</f>
        <v>730.224</v>
      </c>
      <c r="H8846" s="16" t="n">
        <f aca="false">H8844-H8845</f>
        <v>676.2272544</v>
      </c>
      <c r="I8846" s="16" t="n">
        <f aca="false">I8844-I8845</f>
        <v>685.541327904</v>
      </c>
      <c r="J8846" s="16" t="n">
        <f aca="false">J8844-J8845</f>
        <v>691.2541723032</v>
      </c>
      <c r="K8846" s="16" t="n">
        <f aca="false">K8844-K8845</f>
        <v>696.784205681626</v>
      </c>
    </row>
    <row r="8847" customFormat="false" ht="15" hidden="false" customHeight="false" outlineLevel="0" collapsed="false">
      <c r="A8847" s="5" t="s">
        <v>241</v>
      </c>
      <c r="G8847" s="25" t="n">
        <f aca="false">G8846-G8848</f>
        <v>652.776</v>
      </c>
      <c r="H8847" s="25" t="n">
        <f aca="false">H8846-H8848</f>
        <v>627.317736</v>
      </c>
      <c r="I8847" s="25" t="n">
        <f aca="false">I8846-I8848</f>
        <v>624.18114732</v>
      </c>
      <c r="J8847" s="25" t="n">
        <f aca="false">J8846-J8848</f>
        <v>617.9393358468</v>
      </c>
      <c r="K8847" s="25" t="n">
        <f aca="false">K8846-K8848</f>
        <v>611.759942488332</v>
      </c>
    </row>
    <row r="8848" customFormat="false" ht="15" hidden="false" customHeight="false" outlineLevel="0" collapsed="false">
      <c r="A8848" s="2" t="s">
        <v>242</v>
      </c>
      <c r="G8848" s="16" t="n">
        <f aca="false">G8844*G8842</f>
        <v>77.448</v>
      </c>
      <c r="H8848" s="16" t="n">
        <f aca="false">H8844*H8842</f>
        <v>48.9095184</v>
      </c>
      <c r="I8848" s="16" t="n">
        <f aca="false">I8844*I8842</f>
        <v>61.360180584</v>
      </c>
      <c r="J8848" s="16" t="n">
        <f aca="false">J8844*J8842</f>
        <v>73.3148364564</v>
      </c>
      <c r="K8848" s="16" t="n">
        <f aca="false">K8844*K8842</f>
        <v>85.0242631932936</v>
      </c>
    </row>
    <row r="8849" customFormat="false" ht="15" hidden="false" customHeight="false" outlineLevel="0" collapsed="false">
      <c r="A8849" s="5" t="s">
        <v>243</v>
      </c>
      <c r="G8849" s="25" t="n">
        <f aca="false">G8844*'Historical Financials'!E22/'Historical Financials'!E17</f>
        <v>48.6816</v>
      </c>
      <c r="H8849" s="25" t="n">
        <f aca="false">H8844*'Historical Financials'!E22/'Historical Financials'!E17</f>
        <v>46.7830176</v>
      </c>
      <c r="I8849" s="25" t="n">
        <f aca="false">I8844*'Historical Financials'!E22/'Historical Financials'!E17</f>
        <v>46.549102512</v>
      </c>
      <c r="J8849" s="25" t="n">
        <f aca="false">J8844*'Historical Financials'!E22/'Historical Financials'!E17</f>
        <v>46.08361148688</v>
      </c>
      <c r="K8849" s="25" t="n">
        <f aca="false">K8844*'Historical Financials'!E22/'Historical Financials'!E17</f>
        <v>45.6227753720112</v>
      </c>
    </row>
    <row r="8850" customFormat="false" ht="15" hidden="false" customHeight="false" outlineLevel="0" collapsed="false">
      <c r="A8850" s="5" t="s">
        <v>244</v>
      </c>
      <c r="G8850" s="25" t="n">
        <f aca="false">G8844*'Historical Financials'!E23/'Historical Financials'!E17</f>
        <v>0</v>
      </c>
      <c r="H8850" s="25" t="n">
        <f aca="false">H8844*'Historical Financials'!E23/'Historical Financials'!E17</f>
        <v>0</v>
      </c>
      <c r="I8850" s="25" t="n">
        <f aca="false">I8844*'Historical Financials'!E23/'Historical Financials'!E17</f>
        <v>0</v>
      </c>
      <c r="J8850" s="25" t="n">
        <f aca="false">J8844*'Historical Financials'!E23/'Historical Financials'!E17</f>
        <v>0</v>
      </c>
      <c r="K8850" s="25" t="n">
        <f aca="false">K8844*'Historical Financials'!E23/'Historical Financials'!E17</f>
        <v>0</v>
      </c>
    </row>
    <row r="8851" customFormat="false" ht="15" hidden="false" customHeight="false" outlineLevel="0" collapsed="false">
      <c r="A8851" s="2" t="s">
        <v>245</v>
      </c>
      <c r="G8851" s="16" t="n">
        <f aca="false">G8848-G8849-G8850</f>
        <v>28.7664</v>
      </c>
      <c r="H8851" s="16" t="n">
        <f aca="false">H8848-H8849-H8850</f>
        <v>2.12650079999998</v>
      </c>
      <c r="I8851" s="16" t="n">
        <f aca="false">I8848-I8849-I8850</f>
        <v>14.811078072</v>
      </c>
      <c r="J8851" s="16" t="n">
        <f aca="false">J8848-J8849-J8850</f>
        <v>27.23122496952</v>
      </c>
      <c r="K8851" s="16" t="n">
        <f aca="false">K8848-K8849-K8850</f>
        <v>39.4014878212824</v>
      </c>
    </row>
    <row r="8852" customFormat="false" ht="15" hidden="false" customHeight="false" outlineLevel="0" collapsed="false">
      <c r="A8852" s="5" t="s">
        <v>246</v>
      </c>
      <c r="G8852" s="25" t="n">
        <f aca="false">G8878+G8891+G8904+G8917</f>
        <v>129.54</v>
      </c>
      <c r="H8852" s="25" t="n">
        <f aca="false">H8878+H8891+H8904+H8917</f>
        <v>130.7646348</v>
      </c>
      <c r="I8852" s="25" t="n">
        <f aca="false">I8878+I8891+I8904+I8917</f>
        <v>128.3492928</v>
      </c>
      <c r="J8852" s="25" t="n">
        <f aca="false">J8878+J8891+J8904+J8917</f>
        <v>127.7616928</v>
      </c>
      <c r="K8852" s="25" t="n">
        <f aca="false">K8878+K8891+K8904+K8917</f>
        <v>127.1740928</v>
      </c>
    </row>
    <row r="8853" customFormat="false" ht="15" hidden="false" customHeight="false" outlineLevel="0" collapsed="false">
      <c r="A8853" s="5" t="s">
        <v>247</v>
      </c>
      <c r="G8853" s="25" t="n">
        <f aca="false">G8879+G8892+G8905+G8918</f>
        <v>0</v>
      </c>
      <c r="H8853" s="25" t="n">
        <f aca="false">H8879+H8892+H8905+H8918</f>
        <v>0</v>
      </c>
      <c r="I8853" s="25" t="n">
        <f aca="false">I8879+I8892+I8905+I8918</f>
        <v>0</v>
      </c>
      <c r="J8853" s="25" t="n">
        <f aca="false">J8879+J8892+J8905+J8918</f>
        <v>0</v>
      </c>
      <c r="K8853" s="25" t="n">
        <f aca="false">K8879+K8892+K8905+K8918</f>
        <v>0</v>
      </c>
    </row>
    <row r="8854" customFormat="false" ht="15" hidden="false" customHeight="false" outlineLevel="0" collapsed="false">
      <c r="A8854" s="5" t="s">
        <v>212</v>
      </c>
      <c r="G8854" s="25" t="n">
        <f aca="false">G8852+G8853</f>
        <v>129.54</v>
      </c>
      <c r="H8854" s="25" t="n">
        <f aca="false">H8852+H8853</f>
        <v>130.7646348</v>
      </c>
      <c r="I8854" s="25" t="n">
        <f aca="false">I8852+I8853</f>
        <v>128.3492928</v>
      </c>
      <c r="J8854" s="25" t="n">
        <f aca="false">J8852+J8853</f>
        <v>127.7616928</v>
      </c>
      <c r="K8854" s="25" t="n">
        <f aca="false">K8852+K8853</f>
        <v>127.1740928</v>
      </c>
    </row>
    <row r="8855" customFormat="false" ht="15" hidden="false" customHeight="false" outlineLevel="0" collapsed="false">
      <c r="A8855" s="2" t="s">
        <v>223</v>
      </c>
      <c r="G8855" s="16" t="n">
        <f aca="false">G8851-G8854</f>
        <v>-100.7736</v>
      </c>
      <c r="H8855" s="16" t="n">
        <f aca="false">H8851-H8854</f>
        <v>-128.638134</v>
      </c>
      <c r="I8855" s="16" t="n">
        <f aca="false">I8851-I8854</f>
        <v>-113.538214728</v>
      </c>
      <c r="J8855" s="16" t="n">
        <f aca="false">J8851-J8854</f>
        <v>-100.53046783048</v>
      </c>
      <c r="K8855" s="16" t="n">
        <f aca="false">K8851-K8854</f>
        <v>-87.7726049787176</v>
      </c>
    </row>
    <row r="8856" customFormat="false" ht="15" hidden="false" customHeight="false" outlineLevel="0" collapsed="false">
      <c r="A8856" s="5" t="s">
        <v>213</v>
      </c>
      <c r="G8856" s="25" t="n">
        <f aca="false">MAX(0,G8855)*Assumptions!$C$9</f>
        <v>0</v>
      </c>
      <c r="H8856" s="25" t="n">
        <f aca="false">MAX(0,H8855)*Assumptions!$C$9</f>
        <v>0</v>
      </c>
      <c r="I8856" s="25" t="n">
        <f aca="false">MAX(0,I8855)*Assumptions!$C$9</f>
        <v>0</v>
      </c>
      <c r="J8856" s="25" t="n">
        <f aca="false">MAX(0,J8855)*Assumptions!$C$9</f>
        <v>0</v>
      </c>
      <c r="K8856" s="25" t="n">
        <f aca="false">MAX(0,K8855)*Assumptions!$C$9</f>
        <v>0</v>
      </c>
    </row>
    <row r="8857" customFormat="false" ht="15" hidden="false" customHeight="false" outlineLevel="0" collapsed="false">
      <c r="A8857" s="2" t="s">
        <v>248</v>
      </c>
      <c r="G8857" s="16" t="n">
        <f aca="false">G8855-G8856</f>
        <v>-100.7736</v>
      </c>
      <c r="H8857" s="16" t="n">
        <f aca="false">H8855-H8856</f>
        <v>-128.638134</v>
      </c>
      <c r="I8857" s="16" t="n">
        <f aca="false">I8855-I8856</f>
        <v>-113.538214728</v>
      </c>
      <c r="J8857" s="16" t="n">
        <f aca="false">J8855-J8856</f>
        <v>-100.53046783048</v>
      </c>
      <c r="K8857" s="16" t="n">
        <f aca="false">K8855-K8856</f>
        <v>-87.7726049787176</v>
      </c>
    </row>
    <row r="8858" customFormat="false" ht="15" hidden="false" customHeight="false" outlineLevel="0" collapsed="false">
      <c r="A8858" s="23" t="s">
        <v>249</v>
      </c>
      <c r="B8858" s="24"/>
      <c r="C8858" s="24"/>
      <c r="D8858" s="24"/>
      <c r="E8858" s="24"/>
      <c r="F8858" s="24"/>
      <c r="G8858" s="24"/>
      <c r="H8858" s="24"/>
      <c r="I8858" s="24"/>
      <c r="J8858" s="24"/>
      <c r="K8858" s="24"/>
    </row>
    <row r="8859" customFormat="false" ht="15" hidden="false" customHeight="false" outlineLevel="0" collapsed="false">
      <c r="A8859" s="5" t="s">
        <v>153</v>
      </c>
      <c r="G8859" s="25" t="n">
        <f aca="false">G8844*CHOOSE($C$8831,Assumptions!$C$69,Assumptions!$C$88,Assumptions!$C$107)</f>
        <v>42.0432</v>
      </c>
      <c r="H8859" s="25" t="n">
        <f aca="false">H8844*CHOOSE($C$8831,Assumptions!$C$69,Assumptions!$C$88,Assumptions!$C$107)</f>
        <v>40.4035152</v>
      </c>
      <c r="I8859" s="25" t="n">
        <f aca="false">I8844*CHOOSE($C$8831,Assumptions!$C$69,Assumptions!$C$88,Assumptions!$C$107)</f>
        <v>40.201497624</v>
      </c>
      <c r="J8859" s="25" t="n">
        <f aca="false">J8844*CHOOSE($C$8831,Assumptions!$C$69,Assumptions!$C$88,Assumptions!$C$107)</f>
        <v>39.79948264776</v>
      </c>
      <c r="K8859" s="25" t="n">
        <f aca="false">K8844*CHOOSE($C$8831,Assumptions!$C$69,Assumptions!$C$88,Assumptions!$C$107)</f>
        <v>39.4014878212824</v>
      </c>
    </row>
    <row r="8860" customFormat="false" ht="15" hidden="false" customHeight="false" outlineLevel="0" collapsed="false">
      <c r="A8860" s="5" t="s">
        <v>250</v>
      </c>
      <c r="G8860" s="25" t="n">
        <f aca="false">CHOOSE($C$8831,Assumptions!$C$70,Assumptions!$C$89,Assumptions!$C$108)*(G8844-F8844)+CHOOSE($C$8831,Assumptions!$C$71,Assumptions!$C$90,Assumptions!$C$109)*G8844</f>
        <v>-18.0384</v>
      </c>
      <c r="H8860" s="25" t="n">
        <f aca="false">CHOOSE($C$8831,Assumptions!$C$70,Assumptions!$C$89,Assumptions!$C$108)*(H8844-G8844)+CHOOSE($C$8831,Assumptions!$C$71,Assumptions!$C$90,Assumptions!$C$109)*H8844</f>
        <v>-6.10290239999999</v>
      </c>
      <c r="I8860" s="25" t="n">
        <f aca="false">CHOOSE($C$8831,Assumptions!$C$70,Assumptions!$C$89,Assumptions!$C$108)*(I8844-H8844)+CHOOSE($C$8831,Assumptions!$C$71,Assumptions!$C$90,Assumptions!$C$109)*I8844</f>
        <v>2.95583611199998</v>
      </c>
      <c r="J8860" s="25" t="n">
        <f aca="false">CHOOSE($C$8831,Assumptions!$C$70,Assumptions!$C$89,Assumptions!$C$108)*(J8844-I8844)+CHOOSE($C$8831,Assumptions!$C$71,Assumptions!$C$90,Assumptions!$C$109)*J8844</f>
        <v>1.65037727087999</v>
      </c>
      <c r="K8860" s="25" t="n">
        <f aca="false">CHOOSE($C$8831,Assumptions!$C$70,Assumptions!$C$89,Assumptions!$C$108)*(K8844-J8844)+CHOOSE($C$8831,Assumptions!$C$71,Assumptions!$C$90,Assumptions!$C$109)*K8844</f>
        <v>1.63387349817119</v>
      </c>
    </row>
    <row r="8861" customFormat="false" ht="15" hidden="false" customHeight="false" outlineLevel="0" collapsed="false">
      <c r="A8861" s="2" t="s">
        <v>251</v>
      </c>
      <c r="G8861" s="16" t="n">
        <f aca="false">G8857+G8849+G8850+G8853-G8859-G8860</f>
        <v>-76.0968</v>
      </c>
      <c r="H8861" s="16" t="n">
        <f aca="false">H8857+H8849+H8850+H8853-H8859-H8860</f>
        <v>-116.1557292</v>
      </c>
      <c r="I8861" s="16" t="n">
        <f aca="false">I8857+I8849+I8850+I8853-I8859-I8860</f>
        <v>-110.146445952</v>
      </c>
      <c r="J8861" s="16" t="n">
        <f aca="false">J8857+J8849+J8850+J8853-J8859-J8860</f>
        <v>-95.89671626224</v>
      </c>
      <c r="K8861" s="16" t="n">
        <f aca="false">K8857+K8849+K8850+K8853-K8859-K8860</f>
        <v>-83.18519092616</v>
      </c>
    </row>
    <row r="8863" customFormat="false" ht="15" hidden="false" customHeight="false" outlineLevel="0" collapsed="false">
      <c r="A8863" s="23" t="s">
        <v>253</v>
      </c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</row>
    <row r="8864" customFormat="false" ht="15" hidden="false" customHeight="false" outlineLevel="0" collapsed="false">
      <c r="A8864" s="5" t="s">
        <v>254</v>
      </c>
      <c r="G8864" s="29" t="n">
        <f aca="false">Assumptions!$G$49</f>
        <v>0.0425</v>
      </c>
      <c r="H8864" s="29" t="n">
        <f aca="false">Assumptions!$H$49</f>
        <v>0.04</v>
      </c>
      <c r="I8864" s="29" t="n">
        <f aca="false">Assumptions!$I$49</f>
        <v>0.0375</v>
      </c>
      <c r="J8864" s="29" t="n">
        <f aca="false">Assumptions!$J$49</f>
        <v>0.0375</v>
      </c>
      <c r="K8864" s="29" t="n">
        <f aca="false">Assumptions!$K$49</f>
        <v>0.0375</v>
      </c>
    </row>
    <row r="8865" customFormat="false" ht="15" hidden="false" customHeight="false" outlineLevel="0" collapsed="false">
      <c r="A8865" s="5" t="s">
        <v>255</v>
      </c>
      <c r="C8865" s="30" t="n">
        <f aca="false">CHOOSE($C$8831,Assumptions!$C$72,Assumptions!$C$91,Assumptions!$C$110)+$C$8834</f>
        <v>0.015</v>
      </c>
    </row>
    <row r="8866" customFormat="false" ht="15" hidden="false" customHeight="false" outlineLevel="0" collapsed="false">
      <c r="A8866" s="5" t="s">
        <v>256</v>
      </c>
      <c r="C8866" s="30" t="n">
        <f aca="false">CHOOSE($C$8831,Assumptions!$C$73,Assumptions!$C$92,Assumptions!$C$111)</f>
        <v>0.135</v>
      </c>
    </row>
    <row r="8867" customFormat="false" ht="15" hidden="false" customHeight="false" outlineLevel="0" collapsed="false">
      <c r="A8867" s="5" t="s">
        <v>257</v>
      </c>
      <c r="C8867" s="31" t="n">
        <f aca="false">CHOOSE($C$8831,Assumptions!$C$74,Assumptions!$C$93,Assumptions!$C$112)</f>
        <v>5.5</v>
      </c>
    </row>
    <row r="8868" customFormat="false" ht="15" hidden="false" customHeight="false" outlineLevel="0" collapsed="false">
      <c r="A8868" s="5" t="s">
        <v>258</v>
      </c>
      <c r="C8868" s="31" t="n">
        <f aca="false">CHOOSE($C$8831,Assumptions!$C$75,Assumptions!$C$94,Assumptions!$C$113)</f>
        <v>1.8</v>
      </c>
    </row>
    <row r="8869" customFormat="false" ht="15" hidden="false" customHeight="false" outlineLevel="0" collapsed="false">
      <c r="A8869" s="5" t="s">
        <v>259</v>
      </c>
      <c r="G8869" s="25" t="n">
        <f aca="false">G8874+G8887+G8900+G8913</f>
        <v>1250</v>
      </c>
      <c r="H8869" s="25" t="n">
        <f aca="false">H8874+H8887+H8900+H8913</f>
        <v>1281.0968</v>
      </c>
      <c r="I8869" s="25" t="n">
        <f aca="false">I8874+I8887+I8900+I8913</f>
        <v>1275.8968</v>
      </c>
      <c r="J8869" s="25" t="n">
        <f aca="false">J8874+J8887+J8900+J8913</f>
        <v>1270.6968</v>
      </c>
      <c r="K8869" s="25" t="n">
        <f aca="false">K8874+K8887+K8900+K8913</f>
        <v>1265.4968</v>
      </c>
    </row>
    <row r="8870" customFormat="false" ht="15" hidden="false" customHeight="false" outlineLevel="0" collapsed="false">
      <c r="A8870" s="5" t="s">
        <v>260</v>
      </c>
      <c r="G8870" s="25" t="n">
        <f aca="false">F8960</f>
        <v>45</v>
      </c>
      <c r="H8870" s="25" t="n">
        <f aca="false">G8960</f>
        <v>0</v>
      </c>
      <c r="I8870" s="25" t="n">
        <f aca="false">H8960</f>
        <v>-121.3557292</v>
      </c>
      <c r="J8870" s="25" t="n">
        <f aca="false">I8960</f>
        <v>-236.702175152</v>
      </c>
      <c r="K8870" s="25" t="n">
        <f aca="false">J8960</f>
        <v>-337.79889141424</v>
      </c>
    </row>
    <row r="8871" customFormat="false" ht="15" hidden="false" customHeight="false" outlineLevel="0" collapsed="false">
      <c r="A8871" s="5" t="s">
        <v>261</v>
      </c>
      <c r="G8871" s="25" t="n">
        <f aca="false">G8874*IF(G8875=1,$C$8866,IF(Assumptions!$I$53=1,MAX(G8864,Assumptions!$G$53)+Assumptions!$F$53+$C$8865,Assumptions!$E$53))+G8887*IF(G8888=1,$C$8866,IF(Assumptions!$I$54=1,MAX(G8864,Assumptions!$G$54)+Assumptions!$F$54+$C$8865,Assumptions!$E$54))+G8900*IF(G8901=1,$C$8866,IF(Assumptions!$I$55=1,MAX(G8864,Assumptions!$G$55)+Assumptions!$F$55+$C$8865,Assumptions!$E$55))+G8913*IF(G8914=1,$C$8866,IF(Assumptions!$I$56=1,MAX(G8864,Assumptions!$G$56)+Assumptions!$F$56+$C$8865,Assumptions!$E$56))</f>
        <v>129.54</v>
      </c>
      <c r="H8871" s="25" t="n">
        <f aca="false">H8874*IF(OR(H8875=1,G9026=1),$C$8866,IF(Assumptions!$I$53=1,MAX(H8864,Assumptions!$G$53)+Assumptions!$F$53+$C$8865,Assumptions!$E$53))+H8887*IF(OR(H8888=1,G9027=1),$C$8866,IF(Assumptions!$I$54=1,MAX(H8864,Assumptions!$G$54)+Assumptions!$F$54+$C$8865,Assumptions!$E$54))+H8900*IF(OR(H8901=1,G9028=1),$C$8866,IF(Assumptions!$I$55=1,MAX(H8864,Assumptions!$G$55)+Assumptions!$F$55+$C$8865,Assumptions!$E$55))+H8913*IF(OR(H8914=1,G9029=1),$C$8866,IF(Assumptions!$I$56=1,MAX(H8864,Assumptions!$G$56)+Assumptions!$F$56+$C$8865,Assumptions!$E$56))</f>
        <v>156.659468</v>
      </c>
      <c r="I8871" s="25" t="n">
        <f aca="false">I8874*IF(OR(I8875=1,H9026=1),$C$8866,IF(Assumptions!$I$53=1,MAX(I8864,Assumptions!$G$53)+Assumptions!$F$53+$C$8865,Assumptions!$E$53))+I8887*IF(OR(I8888=1,H9027=1),$C$8866,IF(Assumptions!$I$54=1,MAX(I8864,Assumptions!$G$54)+Assumptions!$F$54+$C$8865,Assumptions!$E$54))+I8900*IF(OR(I8901=1,H9028=1),$C$8866,IF(Assumptions!$I$55=1,MAX(I8864,Assumptions!$G$55)+Assumptions!$F$55+$C$8865,Assumptions!$E$55))+I8913*IF(OR(I8914=1,H9029=1),$C$8866,IF(Assumptions!$I$56=1,MAX(I8864,Assumptions!$G$56)+Assumptions!$F$56+$C$8865,Assumptions!$E$56))</f>
        <v>139.5604928</v>
      </c>
      <c r="J8871" s="25" t="n">
        <f aca="false">J8874*IF(OR(J8875=1,I9026=1),$C$8866,IF(Assumptions!$I$53=1,MAX(J8864,Assumptions!$G$53)+Assumptions!$F$53+$C$8865,Assumptions!$E$53))+J8887*IF(OR(J8888=1,I9027=1),$C$8866,IF(Assumptions!$I$54=1,MAX(J8864,Assumptions!$G$54)+Assumptions!$F$54+$C$8865,Assumptions!$E$54))+J8900*IF(OR(J8901=1,I9028=1),$C$8866,IF(Assumptions!$I$55=1,MAX(J8864,Assumptions!$G$55)+Assumptions!$F$55+$C$8865,Assumptions!$E$55))+J8913*IF(OR(J8914=1,I9029=1),$C$8866,IF(Assumptions!$I$56=1,MAX(J8864,Assumptions!$G$56)+Assumptions!$F$56+$C$8865,Assumptions!$E$56))</f>
        <v>134.0116928</v>
      </c>
      <c r="K8871" s="25" t="n">
        <f aca="false">K8874*IF(OR(K8875=1,J9026=1),$C$8866,IF(Assumptions!$I$53=1,MAX(K8864,Assumptions!$G$53)+Assumptions!$F$53+$C$8865,Assumptions!$E$53))+K8887*IF(OR(K8888=1,J9027=1),$C$8866,IF(Assumptions!$I$54=1,MAX(K8864,Assumptions!$G$54)+Assumptions!$F$54+$C$8865,Assumptions!$E$54))+K8900*IF(OR(K8901=1,J9028=1),$C$8866,IF(Assumptions!$I$55=1,MAX(K8864,Assumptions!$G$55)+Assumptions!$F$55+$C$8865,Assumptions!$E$55))+K8913*IF(OR(K8914=1,J9029=1),$C$8866,IF(Assumptions!$I$56=1,MAX(K8864,Assumptions!$G$56)+Assumptions!$F$56+$C$8865,Assumptions!$E$56))</f>
        <v>127.1740928</v>
      </c>
    </row>
    <row r="8872" customFormat="false" ht="15" hidden="false" customHeight="false" outlineLevel="0" collapsed="false">
      <c r="A8872" s="5" t="s">
        <v>262</v>
      </c>
      <c r="G8872" s="20" t="n">
        <f aca="false">IF(G8848&lt;=0,0,IF(AND((G8869-G8870)/G8848&lt;=$C$8867,G8848/G8871&gt;=$C$8868),1,0))</f>
        <v>0</v>
      </c>
      <c r="H8872" s="20" t="n">
        <f aca="false">IF(H8848&lt;=0,0,IF(AND((H8869-H8870)/H8848&lt;=$C$8867,H8848/H8871&gt;=$C$8868),1,0))</f>
        <v>0</v>
      </c>
      <c r="I8872" s="20" t="n">
        <f aca="false">IF(I8848&lt;=0,0,IF(AND((I8869-I8870)/I8848&lt;=$C$8867,I8848/I8871&gt;=$C$8868),1,0))</f>
        <v>0</v>
      </c>
      <c r="J8872" s="20" t="n">
        <f aca="false">IF(J8848&lt;=0,0,IF(AND((J8869-J8870)/J8848&lt;=$C$8867,J8848/J8871&gt;=$C$8868),1,0))</f>
        <v>0</v>
      </c>
      <c r="K8872" s="20" t="n">
        <f aca="false">IF(K8848&lt;=0,0,IF(AND((K8869-K8870)/K8848&lt;=$C$8867,K8848/K8871&gt;=$C$8868),1,0))</f>
        <v>0</v>
      </c>
    </row>
    <row r="8873" customFormat="false" ht="15" hidden="false" customHeight="false" outlineLevel="0" collapsed="false">
      <c r="A8873" s="23" t="s">
        <v>263</v>
      </c>
      <c r="B8873" s="24"/>
      <c r="C8873" s="24"/>
      <c r="D8873" s="24"/>
      <c r="E8873" s="24"/>
      <c r="F8873" s="24"/>
      <c r="G8873" s="24"/>
      <c r="H8873" s="24"/>
      <c r="I8873" s="24"/>
      <c r="J8873" s="24"/>
      <c r="K8873" s="24"/>
    </row>
    <row r="8874" customFormat="false" ht="15" hidden="false" customHeight="false" outlineLevel="0" collapsed="false">
      <c r="A8874" s="5" t="s">
        <v>264</v>
      </c>
      <c r="G8874" s="25" t="n">
        <f aca="false">F8885</f>
        <v>180</v>
      </c>
      <c r="H8874" s="25" t="n">
        <f aca="false">G8885</f>
        <v>216.2968</v>
      </c>
      <c r="I8874" s="25" t="n">
        <f aca="false">H8885</f>
        <v>216.2968</v>
      </c>
      <c r="J8874" s="25" t="n">
        <f aca="false">I8885</f>
        <v>216.2968</v>
      </c>
      <c r="K8874" s="25" t="n">
        <f aca="false">J8885</f>
        <v>216.2968</v>
      </c>
    </row>
    <row r="8875" customFormat="false" ht="15" hidden="false" customHeight="false" outlineLevel="0" collapsed="false">
      <c r="A8875" s="5" t="s">
        <v>265</v>
      </c>
      <c r="G8875" s="20" t="n">
        <f aca="false">IF(G8838=Assumptions!$K$53,1,0)</f>
        <v>0</v>
      </c>
      <c r="H8875" s="20" t="n">
        <f aca="false">IF(H8838=Assumptions!$K$53,1,0)</f>
        <v>1</v>
      </c>
      <c r="I8875" s="20" t="n">
        <f aca="false">IF(I8838=Assumptions!$K$53,1,0)</f>
        <v>0</v>
      </c>
      <c r="J8875" s="20" t="n">
        <f aca="false">IF(J8838=Assumptions!$K$53,1,0)</f>
        <v>0</v>
      </c>
      <c r="K8875" s="20" t="n">
        <f aca="false">IF(K8838=Assumptions!$K$53,1,0)</f>
        <v>0</v>
      </c>
    </row>
    <row r="8877" customFormat="false" ht="15" hidden="false" customHeight="false" outlineLevel="0" collapsed="false">
      <c r="A8877" s="5" t="s">
        <v>266</v>
      </c>
      <c r="G8877" s="30" t="n">
        <f aca="false">IF(Assumptions!$I$53=1,MAX(G8864,Assumptions!$G$53)+Assumptions!$F$53+$C$8865,Assumptions!$E$53)</f>
        <v>0.101</v>
      </c>
      <c r="H8877" s="30" t="n">
        <f aca="false">IF(G9026=1,$C$8866,IF(Assumptions!$I$53=1,MAX(H8864,Assumptions!$G$53)+Assumptions!$F$53+$C$8865,Assumptions!$E$53))</f>
        <v>0.0985</v>
      </c>
      <c r="I8877" s="30" t="n">
        <f aca="false">IF(H9026=1,$C$8866,IF(Assumptions!$I$53=1,MAX(I8864,Assumptions!$G$53)+Assumptions!$F$53+$C$8865,Assumptions!$E$53))</f>
        <v>0.096</v>
      </c>
      <c r="J8877" s="30" t="n">
        <f aca="false">IF(I9026=1,$C$8866,IF(Assumptions!$I$53=1,MAX(J8864,Assumptions!$G$53)+Assumptions!$F$53+$C$8865,Assumptions!$E$53))</f>
        <v>0.096</v>
      </c>
      <c r="K8877" s="30" t="n">
        <f aca="false">IF(J9026=1,$C$8866,IF(Assumptions!$I$53=1,MAX(K8864,Assumptions!$G$53)+Assumptions!$F$53+$C$8865,Assumptions!$E$53))</f>
        <v>0.096</v>
      </c>
    </row>
    <row r="8878" customFormat="false" ht="15" hidden="false" customHeight="false" outlineLevel="0" collapsed="false">
      <c r="A8878" s="5" t="s">
        <v>267</v>
      </c>
      <c r="G8878" s="25" t="n">
        <f aca="false">G8874*G8877</f>
        <v>18.18</v>
      </c>
      <c r="H8878" s="25" t="n">
        <f aca="false">H8874*H8877</f>
        <v>21.3052348</v>
      </c>
      <c r="I8878" s="25" t="n">
        <f aca="false">I8874*I8877</f>
        <v>20.7644928</v>
      </c>
      <c r="J8878" s="25" t="n">
        <f aca="false">J8874*J8877</f>
        <v>20.7644928</v>
      </c>
      <c r="K8878" s="25" t="n">
        <f aca="false">K8874*K8877</f>
        <v>20.7644928</v>
      </c>
    </row>
    <row r="8879" customFormat="false" ht="15" hidden="false" customHeight="false" outlineLevel="0" collapsed="false">
      <c r="A8879" s="5" t="s">
        <v>268</v>
      </c>
      <c r="G8879" s="25" t="n">
        <f aca="false">G8874*Assumptions!$H$53</f>
        <v>0</v>
      </c>
      <c r="H8879" s="25" t="n">
        <f aca="false">H8874*Assumptions!$H$53</f>
        <v>0</v>
      </c>
      <c r="I8879" s="25" t="n">
        <f aca="false">I8874*Assumptions!$H$53</f>
        <v>0</v>
      </c>
      <c r="J8879" s="25" t="n">
        <f aca="false">J8874*Assumptions!$H$53</f>
        <v>0</v>
      </c>
      <c r="K8879" s="25" t="n">
        <f aca="false">K8874*Assumptions!$H$53</f>
        <v>0</v>
      </c>
    </row>
    <row r="8880" customFormat="false" ht="15" hidden="false" customHeight="false" outlineLevel="0" collapsed="false">
      <c r="A8880" s="5" t="s">
        <v>269</v>
      </c>
      <c r="G8880" s="25" t="n">
        <f aca="false">MIN(G8874,Assumptions!$L$53*Assumptions!$C$53)</f>
        <v>0</v>
      </c>
      <c r="H8880" s="25" t="n">
        <f aca="false">MIN(H8874,Assumptions!$L$53*Assumptions!$C$53)</f>
        <v>0</v>
      </c>
      <c r="I8880" s="25" t="n">
        <f aca="false">MIN(I8874,Assumptions!$L$53*Assumptions!$C$53)</f>
        <v>0</v>
      </c>
      <c r="J8880" s="25" t="n">
        <f aca="false">MIN(J8874,Assumptions!$L$53*Assumptions!$C$53)</f>
        <v>0</v>
      </c>
      <c r="K8880" s="25" t="n">
        <f aca="false">MIN(K8874,Assumptions!$L$53*Assumptions!$C$53)</f>
        <v>0</v>
      </c>
    </row>
    <row r="8881" customFormat="false" ht="15" hidden="false" customHeight="false" outlineLevel="0" collapsed="false">
      <c r="A8881" s="5" t="s">
        <v>270</v>
      </c>
      <c r="G8881" s="25" t="n">
        <f aca="false">IF(AND(Assumptions!$P$53=1,G8838&lt;Assumptions!$K$53),MIN(MAX(0,-G8952),MAX(0,Assumptions!$D$53-G8874)),0)</f>
        <v>36.2968000000001</v>
      </c>
      <c r="H8881" s="25" t="n">
        <f aca="false">IF(AND(Assumptions!$P$53=1,OR(H8838&lt;Assumptions!$K$53,G9026=1)),MIN(MAX(0,-H8952),MAX(0,Assumptions!$D$53-H8874)),0)</f>
        <v>0</v>
      </c>
      <c r="I8881" s="25" t="n">
        <f aca="false">IF(AND(Assumptions!$P$53=1,OR(I8838&lt;Assumptions!$K$53,H9026=1)),MIN(MAX(0,-I8952),MAX(0,Assumptions!$D$53-I8874)),0)</f>
        <v>0</v>
      </c>
      <c r="J8881" s="25" t="n">
        <f aca="false">IF(AND(Assumptions!$P$53=1,OR(J8838&lt;Assumptions!$K$53,I9026=1)),MIN(MAX(0,-J8952),MAX(0,Assumptions!$D$53-J8874)),0)</f>
        <v>0</v>
      </c>
      <c r="K8881" s="25" t="n">
        <f aca="false">IF(AND(Assumptions!$P$53=1,OR(K8838&lt;Assumptions!$K$53,J9026=1)),MIN(MAX(0,-K8952),MAX(0,Assumptions!$D$53-K8874)),0)</f>
        <v>0</v>
      </c>
    </row>
    <row r="8882" customFormat="false" ht="15" hidden="false" customHeight="false" outlineLevel="0" collapsed="false">
      <c r="A8882" s="5" t="s">
        <v>271</v>
      </c>
      <c r="G8882" s="25" t="n">
        <f aca="false">G8875*MIN(G8874-G8880+G8879,MAX(0,G8954-Assumptions!$C$12*G8872))</f>
        <v>0</v>
      </c>
      <c r="H8882" s="25" t="n">
        <f aca="false">H8875*MIN(H8874-H8880+H8879,MAX(0,H8954-Assumptions!$C$12*H8872))</f>
        <v>0</v>
      </c>
      <c r="I8882" s="25" t="n">
        <f aca="false">I8875*MIN(I8874-I8880+I8879,MAX(0,I8954-Assumptions!$C$12*I8872))</f>
        <v>0</v>
      </c>
      <c r="J8882" s="25" t="n">
        <f aca="false">J8875*MIN(J8874-J8880+J8879,MAX(0,J8954-Assumptions!$C$12*J8872))</f>
        <v>0</v>
      </c>
      <c r="K8882" s="25" t="n">
        <f aca="false">K8875*MIN(K8874-K8880+K8879,MAX(0,K8954-Assumptions!$C$12*K8872))</f>
        <v>0</v>
      </c>
    </row>
    <row r="8883" customFormat="false" ht="15" hidden="false" customHeight="false" outlineLevel="0" collapsed="false">
      <c r="A8883" s="5" t="s">
        <v>272</v>
      </c>
      <c r="G8883" s="25" t="n">
        <f aca="false">Assumptions!$N$53*MIN(G8874+G8881+G8879-G8880-G8882,MAX(0,G8958))</f>
        <v>0</v>
      </c>
      <c r="H8883" s="25" t="n">
        <f aca="false">Assumptions!$N$53*MIN(H8874+H8881+H8879-H8880-H8882,MAX(0,H8958))</f>
        <v>0</v>
      </c>
      <c r="I8883" s="25" t="n">
        <f aca="false">Assumptions!$N$53*MIN(I8874+I8881+I8879-I8880-I8882,MAX(0,I8958))</f>
        <v>0</v>
      </c>
      <c r="J8883" s="25" t="n">
        <f aca="false">Assumptions!$N$53*MIN(J8874+J8881+J8879-J8880-J8882,MAX(0,J8958))</f>
        <v>0</v>
      </c>
      <c r="K8883" s="25" t="n">
        <f aca="false">Assumptions!$N$53*MIN(K8874+K8881+K8879-K8880-K8882,MAX(0,K8958))</f>
        <v>0</v>
      </c>
    </row>
    <row r="8884" customFormat="false" ht="15" hidden="false" customHeight="false" outlineLevel="0" collapsed="false">
      <c r="A8884" s="5" t="s">
        <v>273</v>
      </c>
      <c r="G8884" s="25" t="n">
        <f aca="false">G8875*(1-G8872)*(G8874-G8880+G8879-G8882)</f>
        <v>0</v>
      </c>
      <c r="H8884" s="25" t="n">
        <f aca="false">H8875*(1-H8872)*(H8874-H8880+H8879-H8882)</f>
        <v>216.2968</v>
      </c>
      <c r="I8884" s="25" t="n">
        <f aca="false">I8875*(1-I8872)*(I8874-I8880+I8879-I8882)</f>
        <v>0</v>
      </c>
      <c r="J8884" s="25" t="n">
        <f aca="false">J8875*(1-J8872)*(J8874-J8880+J8879-J8882)</f>
        <v>0</v>
      </c>
      <c r="K8884" s="25" t="n">
        <f aca="false">K8875*(1-K8872)*(K8874-K8880+K8879-K8882)</f>
        <v>0</v>
      </c>
    </row>
    <row r="8885" customFormat="false" ht="15" hidden="false" customHeight="false" outlineLevel="0" collapsed="false">
      <c r="A8885" s="2" t="s">
        <v>274</v>
      </c>
      <c r="F8885" s="27" t="n">
        <f aca="false">Assumptions!$C$53</f>
        <v>180</v>
      </c>
      <c r="G8885" s="16" t="n">
        <f aca="false">G8874+G8881+G8879-G8880-G8882-G8883</f>
        <v>216.2968</v>
      </c>
      <c r="H8885" s="16" t="n">
        <f aca="false">H8874+H8881+H8879-H8880-H8882-H8883</f>
        <v>216.2968</v>
      </c>
      <c r="I8885" s="16" t="n">
        <f aca="false">I8874+I8881+I8879-I8880-I8882-I8883</f>
        <v>216.2968</v>
      </c>
      <c r="J8885" s="16" t="n">
        <f aca="false">J8874+J8881+J8879-J8880-J8882-J8883</f>
        <v>216.2968</v>
      </c>
      <c r="K8885" s="16" t="n">
        <f aca="false">K8874+K8881+K8879-K8880-K8882-K8883</f>
        <v>216.2968</v>
      </c>
    </row>
    <row r="8886" customFormat="false" ht="15" hidden="false" customHeight="false" outlineLevel="0" collapsed="false">
      <c r="A8886" s="23" t="s">
        <v>275</v>
      </c>
      <c r="B8886" s="24"/>
      <c r="C8886" s="24"/>
      <c r="D8886" s="24"/>
      <c r="E8886" s="24"/>
      <c r="F8886" s="24"/>
      <c r="G8886" s="24"/>
      <c r="H8886" s="24"/>
      <c r="I8886" s="24"/>
      <c r="J8886" s="24"/>
      <c r="K8886" s="24"/>
    </row>
    <row r="8887" customFormat="false" ht="15" hidden="false" customHeight="false" outlineLevel="0" collapsed="false">
      <c r="A8887" s="5" t="s">
        <v>264</v>
      </c>
      <c r="G8887" s="25" t="n">
        <f aca="false">F8898</f>
        <v>520</v>
      </c>
      <c r="H8887" s="25" t="n">
        <f aca="false">G8898</f>
        <v>514.8</v>
      </c>
      <c r="I8887" s="25" t="n">
        <f aca="false">H8898</f>
        <v>509.6</v>
      </c>
      <c r="J8887" s="25" t="n">
        <f aca="false">I8898</f>
        <v>504.4</v>
      </c>
      <c r="K8887" s="25" t="n">
        <f aca="false">J8898</f>
        <v>499.2</v>
      </c>
    </row>
    <row r="8888" customFormat="false" ht="15" hidden="false" customHeight="false" outlineLevel="0" collapsed="false">
      <c r="A8888" s="5" t="s">
        <v>265</v>
      </c>
      <c r="G8888" s="20" t="n">
        <f aca="false">IF(G8838=Assumptions!$K$54,1,0)</f>
        <v>0</v>
      </c>
      <c r="H8888" s="20" t="n">
        <f aca="false">IF(H8838=Assumptions!$K$54,1,0)</f>
        <v>0</v>
      </c>
      <c r="I8888" s="20" t="n">
        <f aca="false">IF(I8838=Assumptions!$K$54,1,0)</f>
        <v>1</v>
      </c>
      <c r="J8888" s="20" t="n">
        <f aca="false">IF(J8838=Assumptions!$K$54,1,0)</f>
        <v>0</v>
      </c>
      <c r="K8888" s="20" t="n">
        <f aca="false">IF(K8838=Assumptions!$K$54,1,0)</f>
        <v>0</v>
      </c>
    </row>
    <row r="8890" customFormat="false" ht="15" hidden="false" customHeight="false" outlineLevel="0" collapsed="false">
      <c r="A8890" s="5" t="s">
        <v>266</v>
      </c>
      <c r="G8890" s="30" t="n">
        <f aca="false">IF(Assumptions!$I$54=1,MAX(G8864,Assumptions!$G$54)+Assumptions!$F$54+$C$8865,Assumptions!$E$54)</f>
        <v>0.118</v>
      </c>
      <c r="H8890" s="30" t="n">
        <f aca="false">IF(G9027=1,$C$8866,IF(Assumptions!$I$54=1,MAX(H8864,Assumptions!$G$54)+Assumptions!$F$54+$C$8865,Assumptions!$E$54))</f>
        <v>0.1155</v>
      </c>
      <c r="I8890" s="30" t="n">
        <f aca="false">IF(H9027=1,$C$8866,IF(Assumptions!$I$54=1,MAX(I8864,Assumptions!$G$54)+Assumptions!$F$54+$C$8865,Assumptions!$E$54))</f>
        <v>0.113</v>
      </c>
      <c r="J8890" s="30" t="n">
        <f aca="false">IF(I9027=1,$C$8866,IF(Assumptions!$I$54=1,MAX(J8864,Assumptions!$G$54)+Assumptions!$F$54+$C$8865,Assumptions!$E$54))</f>
        <v>0.113</v>
      </c>
      <c r="K8890" s="30" t="n">
        <f aca="false">IF(J9027=1,$C$8866,IF(Assumptions!$I$54=1,MAX(K8864,Assumptions!$G$54)+Assumptions!$F$54+$C$8865,Assumptions!$E$54))</f>
        <v>0.113</v>
      </c>
    </row>
    <row r="8891" customFormat="false" ht="15" hidden="false" customHeight="false" outlineLevel="0" collapsed="false">
      <c r="A8891" s="5" t="s">
        <v>267</v>
      </c>
      <c r="G8891" s="25" t="n">
        <f aca="false">G8887*G8890</f>
        <v>61.36</v>
      </c>
      <c r="H8891" s="25" t="n">
        <f aca="false">H8887*H8890</f>
        <v>59.4594</v>
      </c>
      <c r="I8891" s="25" t="n">
        <f aca="false">I8887*I8890</f>
        <v>57.5848</v>
      </c>
      <c r="J8891" s="25" t="n">
        <f aca="false">J8887*J8890</f>
        <v>56.9972</v>
      </c>
      <c r="K8891" s="25" t="n">
        <f aca="false">K8887*K8890</f>
        <v>56.4096</v>
      </c>
    </row>
    <row r="8892" customFormat="false" ht="15" hidden="false" customHeight="false" outlineLevel="0" collapsed="false">
      <c r="A8892" s="5" t="s">
        <v>268</v>
      </c>
      <c r="G8892" s="25" t="n">
        <f aca="false">G8887*Assumptions!$H$54</f>
        <v>0</v>
      </c>
      <c r="H8892" s="25" t="n">
        <f aca="false">H8887*Assumptions!$H$54</f>
        <v>0</v>
      </c>
      <c r="I8892" s="25" t="n">
        <f aca="false">I8887*Assumptions!$H$54</f>
        <v>0</v>
      </c>
      <c r="J8892" s="25" t="n">
        <f aca="false">J8887*Assumptions!$H$54</f>
        <v>0</v>
      </c>
      <c r="K8892" s="25" t="n">
        <f aca="false">K8887*Assumptions!$H$54</f>
        <v>0</v>
      </c>
    </row>
    <row r="8893" customFormat="false" ht="15" hidden="false" customHeight="false" outlineLevel="0" collapsed="false">
      <c r="A8893" s="5" t="s">
        <v>269</v>
      </c>
      <c r="G8893" s="25" t="n">
        <f aca="false">MIN(G8887,Assumptions!$L$54*Assumptions!$C$54)</f>
        <v>5.2</v>
      </c>
      <c r="H8893" s="25" t="n">
        <f aca="false">MIN(H8887,Assumptions!$L$54*Assumptions!$C$54)</f>
        <v>5.2</v>
      </c>
      <c r="I8893" s="25" t="n">
        <f aca="false">MIN(I8887,Assumptions!$L$54*Assumptions!$C$54)</f>
        <v>5.2</v>
      </c>
      <c r="J8893" s="25" t="n">
        <f aca="false">MIN(J8887,Assumptions!$L$54*Assumptions!$C$54)</f>
        <v>5.2</v>
      </c>
      <c r="K8893" s="25" t="n">
        <f aca="false">MIN(K8887,Assumptions!$L$54*Assumptions!$C$54)</f>
        <v>5.2</v>
      </c>
    </row>
    <row r="8894" customFormat="false" ht="15" hidden="false" customHeight="false" outlineLevel="0" collapsed="false">
      <c r="A8894" s="5" t="s">
        <v>270</v>
      </c>
      <c r="G8894" s="25" t="n">
        <f aca="false">IF(AND(Assumptions!$P$54=1,G8838&lt;Assumptions!$K$54),MIN(MAX(0,-G8952),MAX(0,Assumptions!$D$54-G8887)),0)</f>
        <v>0</v>
      </c>
      <c r="H8894" s="25" t="n">
        <f aca="false">IF(AND(Assumptions!$P$54=1,OR(H8838&lt;Assumptions!$K$54,G9027=1)),MIN(MAX(0,-H8952),MAX(0,Assumptions!$D$54-H8887)),0)</f>
        <v>0</v>
      </c>
      <c r="I8894" s="25" t="n">
        <f aca="false">IF(AND(Assumptions!$P$54=1,OR(I8838&lt;Assumptions!$K$54,H9027=1)),MIN(MAX(0,-I8952),MAX(0,Assumptions!$D$54-I8887)),0)</f>
        <v>0</v>
      </c>
      <c r="J8894" s="25" t="n">
        <f aca="false">IF(AND(Assumptions!$P$54=1,OR(J8838&lt;Assumptions!$K$54,I9027=1)),MIN(MAX(0,-J8952),MAX(0,Assumptions!$D$54-J8887)),0)</f>
        <v>0</v>
      </c>
      <c r="K8894" s="25" t="n">
        <f aca="false">IF(AND(Assumptions!$P$54=1,OR(K8838&lt;Assumptions!$K$54,J9027=1)),MIN(MAX(0,-K8952),MAX(0,Assumptions!$D$54-K8887)),0)</f>
        <v>0</v>
      </c>
    </row>
    <row r="8895" customFormat="false" ht="15" hidden="false" customHeight="false" outlineLevel="0" collapsed="false">
      <c r="A8895" s="5" t="s">
        <v>271</v>
      </c>
      <c r="G8895" s="25" t="n">
        <f aca="false">G8888*MIN(G8887-G8893+G8892,MAX(0,G8954-Assumptions!$C$12*G8872-G8882))</f>
        <v>0</v>
      </c>
      <c r="H8895" s="25" t="n">
        <f aca="false">H8888*MIN(H8887-H8893+H8892,MAX(0,H8954-Assumptions!$C$12*H8872-H8882))</f>
        <v>0</v>
      </c>
      <c r="I8895" s="25" t="n">
        <f aca="false">I8888*MIN(I8887-I8893+I8892,MAX(0,I8954-Assumptions!$C$12*I8872-I8882))</f>
        <v>0</v>
      </c>
      <c r="J8895" s="25" t="n">
        <f aca="false">J8888*MIN(J8887-J8893+J8892,MAX(0,J8954-Assumptions!$C$12*J8872-J8882))</f>
        <v>0</v>
      </c>
      <c r="K8895" s="25" t="n">
        <f aca="false">K8888*MIN(K8887-K8893+K8892,MAX(0,K8954-Assumptions!$C$12*K8872-K8882))</f>
        <v>0</v>
      </c>
    </row>
    <row r="8896" customFormat="false" ht="15" hidden="false" customHeight="false" outlineLevel="0" collapsed="false">
      <c r="A8896" s="5" t="s">
        <v>272</v>
      </c>
      <c r="G8896" s="25" t="n">
        <f aca="false">Assumptions!$N$54*MIN(G8887+G8894+G8892-G8893-G8895,MAX(0,G8958-G8883))</f>
        <v>0</v>
      </c>
      <c r="H8896" s="25" t="n">
        <f aca="false">Assumptions!$N$54*MIN(H8887+H8894+H8892-H8893-H8895,MAX(0,H8958-H8883))</f>
        <v>0</v>
      </c>
      <c r="I8896" s="25" t="n">
        <f aca="false">Assumptions!$N$54*MIN(I8887+I8894+I8892-I8893-I8895,MAX(0,I8958-I8883))</f>
        <v>0</v>
      </c>
      <c r="J8896" s="25" t="n">
        <f aca="false">Assumptions!$N$54*MIN(J8887+J8894+J8892-J8893-J8895,MAX(0,J8958-J8883))</f>
        <v>0</v>
      </c>
      <c r="K8896" s="25" t="n">
        <f aca="false">Assumptions!$N$54*MIN(K8887+K8894+K8892-K8893-K8895,MAX(0,K8958-K8883))</f>
        <v>0</v>
      </c>
    </row>
    <row r="8897" customFormat="false" ht="15" hidden="false" customHeight="false" outlineLevel="0" collapsed="false">
      <c r="A8897" s="5" t="s">
        <v>273</v>
      </c>
      <c r="G8897" s="25" t="n">
        <f aca="false">G8888*(1-G8872)*(G8887-G8893+G8892-G8895)</f>
        <v>0</v>
      </c>
      <c r="H8897" s="25" t="n">
        <f aca="false">H8888*(1-H8872)*(H8887-H8893+H8892-H8895)</f>
        <v>0</v>
      </c>
      <c r="I8897" s="25" t="n">
        <f aca="false">I8888*(1-I8872)*(I8887-I8893+I8892-I8895)</f>
        <v>504.4</v>
      </c>
      <c r="J8897" s="25" t="n">
        <f aca="false">J8888*(1-J8872)*(J8887-J8893+J8892-J8895)</f>
        <v>0</v>
      </c>
      <c r="K8897" s="25" t="n">
        <f aca="false">K8888*(1-K8872)*(K8887-K8893+K8892-K8895)</f>
        <v>0</v>
      </c>
    </row>
    <row r="8898" customFormat="false" ht="15" hidden="false" customHeight="false" outlineLevel="0" collapsed="false">
      <c r="A8898" s="2" t="s">
        <v>274</v>
      </c>
      <c r="F8898" s="27" t="n">
        <f aca="false">Assumptions!$C$54</f>
        <v>520</v>
      </c>
      <c r="G8898" s="16" t="n">
        <f aca="false">G8887+G8894+G8892-G8893-G8895-G8896</f>
        <v>514.8</v>
      </c>
      <c r="H8898" s="16" t="n">
        <f aca="false">H8887+H8894+H8892-H8893-H8895-H8896</f>
        <v>509.6</v>
      </c>
      <c r="I8898" s="16" t="n">
        <f aca="false">I8887+I8894+I8892-I8893-I8895-I8896</f>
        <v>504.4</v>
      </c>
      <c r="J8898" s="16" t="n">
        <f aca="false">J8887+J8894+J8892-J8893-J8895-J8896</f>
        <v>499.2</v>
      </c>
      <c r="K8898" s="16" t="n">
        <f aca="false">K8887+K8894+K8892-K8893-K8895-K8896</f>
        <v>494</v>
      </c>
    </row>
    <row r="8899" customFormat="false" ht="15" hidden="false" customHeight="false" outlineLevel="0" collapsed="false">
      <c r="A8899" s="23" t="s">
        <v>276</v>
      </c>
      <c r="B8899" s="24"/>
      <c r="C8899" s="24"/>
      <c r="D8899" s="24"/>
      <c r="E8899" s="24"/>
      <c r="F8899" s="24"/>
      <c r="G8899" s="24"/>
      <c r="H8899" s="24"/>
      <c r="I8899" s="24"/>
      <c r="J8899" s="24"/>
      <c r="K8899" s="24"/>
    </row>
    <row r="8900" customFormat="false" ht="15" hidden="false" customHeight="false" outlineLevel="0" collapsed="false">
      <c r="A8900" s="5" t="s">
        <v>264</v>
      </c>
      <c r="G8900" s="25" t="n">
        <f aca="false">F8911</f>
        <v>250</v>
      </c>
      <c r="H8900" s="25" t="n">
        <f aca="false">G8911</f>
        <v>250</v>
      </c>
      <c r="I8900" s="25" t="n">
        <f aca="false">H8911</f>
        <v>250</v>
      </c>
      <c r="J8900" s="25" t="n">
        <f aca="false">I8911</f>
        <v>250</v>
      </c>
      <c r="K8900" s="25" t="n">
        <f aca="false">J8911</f>
        <v>250</v>
      </c>
    </row>
    <row r="8901" customFormat="false" ht="15" hidden="false" customHeight="false" outlineLevel="0" collapsed="false">
      <c r="A8901" s="5" t="s">
        <v>265</v>
      </c>
      <c r="G8901" s="20" t="n">
        <f aca="false">IF(G8838=Assumptions!$K$55,1,0)</f>
        <v>0</v>
      </c>
      <c r="H8901" s="20" t="n">
        <f aca="false">IF(H8838=Assumptions!$K$55,1,0)</f>
        <v>0</v>
      </c>
      <c r="I8901" s="20" t="n">
        <f aca="false">IF(I8838=Assumptions!$K$55,1,0)</f>
        <v>0</v>
      </c>
      <c r="J8901" s="20" t="n">
        <f aca="false">IF(J8838=Assumptions!$K$55,1,0)</f>
        <v>1</v>
      </c>
      <c r="K8901" s="20" t="n">
        <f aca="false">IF(K8838=Assumptions!$K$55,1,0)</f>
        <v>0</v>
      </c>
    </row>
    <row r="8903" customFormat="false" ht="15" hidden="false" customHeight="false" outlineLevel="0" collapsed="false">
      <c r="A8903" s="5" t="s">
        <v>266</v>
      </c>
      <c r="G8903" s="30" t="n">
        <f aca="false">IF(Assumptions!$I$55=1,MAX(G8864,Assumptions!$G$55)+Assumptions!$F$55+$C$8865,Assumptions!$E$55)</f>
        <v>0.11</v>
      </c>
      <c r="H8903" s="30" t="n">
        <f aca="false">IF(G9028=1,$C$8866,IF(Assumptions!$I$55=1,MAX(H8864,Assumptions!$G$55)+Assumptions!$F$55+$C$8865,Assumptions!$E$55))</f>
        <v>0.11</v>
      </c>
      <c r="I8903" s="30" t="n">
        <f aca="false">IF(H9028=1,$C$8866,IF(Assumptions!$I$55=1,MAX(I8864,Assumptions!$G$55)+Assumptions!$F$55+$C$8865,Assumptions!$E$55))</f>
        <v>0.11</v>
      </c>
      <c r="J8903" s="30" t="n">
        <f aca="false">IF(I9028=1,$C$8866,IF(Assumptions!$I$55=1,MAX(J8864,Assumptions!$G$55)+Assumptions!$F$55+$C$8865,Assumptions!$E$55))</f>
        <v>0.11</v>
      </c>
      <c r="K8903" s="30" t="n">
        <f aca="false">IF(J9028=1,$C$8866,IF(Assumptions!$I$55=1,MAX(K8864,Assumptions!$G$55)+Assumptions!$F$55+$C$8865,Assumptions!$E$55))</f>
        <v>0.11</v>
      </c>
    </row>
    <row r="8904" customFormat="false" ht="15" hidden="false" customHeight="false" outlineLevel="0" collapsed="false">
      <c r="A8904" s="5" t="s">
        <v>267</v>
      </c>
      <c r="G8904" s="25" t="n">
        <f aca="false">G8900*G8903</f>
        <v>27.5</v>
      </c>
      <c r="H8904" s="25" t="n">
        <f aca="false">H8900*H8903</f>
        <v>27.5</v>
      </c>
      <c r="I8904" s="25" t="n">
        <f aca="false">I8900*I8903</f>
        <v>27.5</v>
      </c>
      <c r="J8904" s="25" t="n">
        <f aca="false">J8900*J8903</f>
        <v>27.5</v>
      </c>
      <c r="K8904" s="25" t="n">
        <f aca="false">K8900*K8903</f>
        <v>27.5</v>
      </c>
    </row>
    <row r="8905" customFormat="false" ht="15" hidden="false" customHeight="false" outlineLevel="0" collapsed="false">
      <c r="A8905" s="5" t="s">
        <v>268</v>
      </c>
      <c r="G8905" s="25" t="n">
        <f aca="false">G8900*Assumptions!$H$55</f>
        <v>0</v>
      </c>
      <c r="H8905" s="25" t="n">
        <f aca="false">H8900*Assumptions!$H$55</f>
        <v>0</v>
      </c>
      <c r="I8905" s="25" t="n">
        <f aca="false">I8900*Assumptions!$H$55</f>
        <v>0</v>
      </c>
      <c r="J8905" s="25" t="n">
        <f aca="false">J8900*Assumptions!$H$55</f>
        <v>0</v>
      </c>
      <c r="K8905" s="25" t="n">
        <f aca="false">K8900*Assumptions!$H$55</f>
        <v>0</v>
      </c>
    </row>
    <row r="8906" customFormat="false" ht="15" hidden="false" customHeight="false" outlineLevel="0" collapsed="false">
      <c r="A8906" s="5" t="s">
        <v>269</v>
      </c>
      <c r="G8906" s="25" t="n">
        <f aca="false">MIN(G8900,Assumptions!$L$55*Assumptions!$C$55)</f>
        <v>0</v>
      </c>
      <c r="H8906" s="25" t="n">
        <f aca="false">MIN(H8900,Assumptions!$L$55*Assumptions!$C$55)</f>
        <v>0</v>
      </c>
      <c r="I8906" s="25" t="n">
        <f aca="false">MIN(I8900,Assumptions!$L$55*Assumptions!$C$55)</f>
        <v>0</v>
      </c>
      <c r="J8906" s="25" t="n">
        <f aca="false">MIN(J8900,Assumptions!$L$55*Assumptions!$C$55)</f>
        <v>0</v>
      </c>
      <c r="K8906" s="25" t="n">
        <f aca="false">MIN(K8900,Assumptions!$L$55*Assumptions!$C$55)</f>
        <v>0</v>
      </c>
    </row>
    <row r="8907" customFormat="false" ht="15" hidden="false" customHeight="false" outlineLevel="0" collapsed="false">
      <c r="A8907" s="5" t="s">
        <v>270</v>
      </c>
      <c r="G8907" s="25" t="n">
        <f aca="false">IF(AND(Assumptions!$P$55=1,G8838&lt;Assumptions!$K$55),MIN(MAX(0,-G8952),MAX(0,Assumptions!$D$55-G8900)),0)</f>
        <v>0</v>
      </c>
      <c r="H8907" s="25" t="n">
        <f aca="false">IF(AND(Assumptions!$P$55=1,OR(H8838&lt;Assumptions!$K$55,G9028=1)),MIN(MAX(0,-H8952),MAX(0,Assumptions!$D$55-H8900)),0)</f>
        <v>0</v>
      </c>
      <c r="I8907" s="25" t="n">
        <f aca="false">IF(AND(Assumptions!$P$55=1,OR(I8838&lt;Assumptions!$K$55,H9028=1)),MIN(MAX(0,-I8952),MAX(0,Assumptions!$D$55-I8900)),0)</f>
        <v>0</v>
      </c>
      <c r="J8907" s="25" t="n">
        <f aca="false">IF(AND(Assumptions!$P$55=1,OR(J8838&lt;Assumptions!$K$55,I9028=1)),MIN(MAX(0,-J8952),MAX(0,Assumptions!$D$55-J8900)),0)</f>
        <v>0</v>
      </c>
      <c r="K8907" s="25" t="n">
        <f aca="false">IF(AND(Assumptions!$P$55=1,OR(K8838&lt;Assumptions!$K$55,J9028=1)),MIN(MAX(0,-K8952),MAX(0,Assumptions!$D$55-K8900)),0)</f>
        <v>0</v>
      </c>
    </row>
    <row r="8908" customFormat="false" ht="15" hidden="false" customHeight="false" outlineLevel="0" collapsed="false">
      <c r="A8908" s="5" t="s">
        <v>271</v>
      </c>
      <c r="G8908" s="25" t="n">
        <f aca="false">G8901*MIN(G8900-G8906+G8905,MAX(0,G8954-Assumptions!$C$12*G8872-G8882-G8895))</f>
        <v>0</v>
      </c>
      <c r="H8908" s="25" t="n">
        <f aca="false">H8901*MIN(H8900-H8906+H8905,MAX(0,H8954-Assumptions!$C$12*H8872-H8882-H8895))</f>
        <v>0</v>
      </c>
      <c r="I8908" s="25" t="n">
        <f aca="false">I8901*MIN(I8900-I8906+I8905,MAX(0,I8954-Assumptions!$C$12*I8872-I8882-I8895))</f>
        <v>0</v>
      </c>
      <c r="J8908" s="25" t="n">
        <f aca="false">J8901*MIN(J8900-J8906+J8905,MAX(0,J8954-Assumptions!$C$12*J8872-J8882-J8895))</f>
        <v>0</v>
      </c>
      <c r="K8908" s="25" t="n">
        <f aca="false">K8901*MIN(K8900-K8906+K8905,MAX(0,K8954-Assumptions!$C$12*K8872-K8882-K8895))</f>
        <v>0</v>
      </c>
    </row>
    <row r="8909" customFormat="false" ht="15" hidden="false" customHeight="false" outlineLevel="0" collapsed="false">
      <c r="A8909" s="5" t="s">
        <v>272</v>
      </c>
      <c r="G8909" s="25" t="n">
        <f aca="false">Assumptions!$N$55*MIN(G8900+G8907+G8905-G8906-G8908,MAX(0,G8958-G8883-G8896))</f>
        <v>0</v>
      </c>
      <c r="H8909" s="25" t="n">
        <f aca="false">Assumptions!$N$55*MIN(H8900+H8907+H8905-H8906-H8908,MAX(0,H8958-H8883-H8896))</f>
        <v>0</v>
      </c>
      <c r="I8909" s="25" t="n">
        <f aca="false">Assumptions!$N$55*MIN(I8900+I8907+I8905-I8906-I8908,MAX(0,I8958-I8883-I8896))</f>
        <v>0</v>
      </c>
      <c r="J8909" s="25" t="n">
        <f aca="false">Assumptions!$N$55*MIN(J8900+J8907+J8905-J8906-J8908,MAX(0,J8958-J8883-J8896))</f>
        <v>0</v>
      </c>
      <c r="K8909" s="25" t="n">
        <f aca="false">Assumptions!$N$55*MIN(K8900+K8907+K8905-K8906-K8908,MAX(0,K8958-K8883-K8896))</f>
        <v>0</v>
      </c>
    </row>
    <row r="8910" customFormat="false" ht="15" hidden="false" customHeight="false" outlineLevel="0" collapsed="false">
      <c r="A8910" s="5" t="s">
        <v>273</v>
      </c>
      <c r="G8910" s="25" t="n">
        <f aca="false">G8901*(1-G8872)*(G8900-G8906+G8905-G8908)</f>
        <v>0</v>
      </c>
      <c r="H8910" s="25" t="n">
        <f aca="false">H8901*(1-H8872)*(H8900-H8906+H8905-H8908)</f>
        <v>0</v>
      </c>
      <c r="I8910" s="25" t="n">
        <f aca="false">I8901*(1-I8872)*(I8900-I8906+I8905-I8908)</f>
        <v>0</v>
      </c>
      <c r="J8910" s="25" t="n">
        <f aca="false">J8901*(1-J8872)*(J8900-J8906+J8905-J8908)</f>
        <v>250</v>
      </c>
      <c r="K8910" s="25" t="n">
        <f aca="false">K8901*(1-K8872)*(K8900-K8906+K8905-K8908)</f>
        <v>0</v>
      </c>
    </row>
    <row r="8911" customFormat="false" ht="15" hidden="false" customHeight="false" outlineLevel="0" collapsed="false">
      <c r="A8911" s="2" t="s">
        <v>274</v>
      </c>
      <c r="F8911" s="27" t="n">
        <f aca="false">Assumptions!$C$55</f>
        <v>250</v>
      </c>
      <c r="G8911" s="16" t="n">
        <f aca="false">G8900+G8907+G8905-G8906-G8908-G8909</f>
        <v>250</v>
      </c>
      <c r="H8911" s="16" t="n">
        <f aca="false">H8900+H8907+H8905-H8906-H8908-H8909</f>
        <v>250</v>
      </c>
      <c r="I8911" s="16" t="n">
        <f aca="false">I8900+I8907+I8905-I8906-I8908-I8909</f>
        <v>250</v>
      </c>
      <c r="J8911" s="16" t="n">
        <f aca="false">J8900+J8907+J8905-J8906-J8908-J8909</f>
        <v>250</v>
      </c>
      <c r="K8911" s="16" t="n">
        <f aca="false">K8900+K8907+K8905-K8906-K8908-K8909</f>
        <v>250</v>
      </c>
    </row>
    <row r="8912" customFormat="false" ht="15" hidden="false" customHeight="false" outlineLevel="0" collapsed="false">
      <c r="A8912" s="23" t="s">
        <v>277</v>
      </c>
      <c r="B8912" s="24"/>
      <c r="C8912" s="24"/>
      <c r="D8912" s="24"/>
      <c r="E8912" s="24"/>
      <c r="F8912" s="24"/>
      <c r="G8912" s="24"/>
      <c r="H8912" s="24"/>
      <c r="I8912" s="24"/>
      <c r="J8912" s="24"/>
      <c r="K8912" s="24"/>
    </row>
    <row r="8913" customFormat="false" ht="15" hidden="false" customHeight="false" outlineLevel="0" collapsed="false">
      <c r="A8913" s="5" t="s">
        <v>264</v>
      </c>
      <c r="G8913" s="25" t="n">
        <f aca="false">F8924</f>
        <v>300</v>
      </c>
      <c r="H8913" s="25" t="n">
        <f aca="false">G8924</f>
        <v>300</v>
      </c>
      <c r="I8913" s="25" t="n">
        <f aca="false">H8924</f>
        <v>300</v>
      </c>
      <c r="J8913" s="25" t="n">
        <f aca="false">I8924</f>
        <v>300</v>
      </c>
      <c r="K8913" s="25" t="n">
        <f aca="false">J8924</f>
        <v>300</v>
      </c>
    </row>
    <row r="8914" customFormat="false" ht="15" hidden="false" customHeight="false" outlineLevel="0" collapsed="false">
      <c r="A8914" s="5" t="s">
        <v>265</v>
      </c>
      <c r="G8914" s="20" t="n">
        <f aca="false">IF(G8838=Assumptions!$K$56,1,0)</f>
        <v>0</v>
      </c>
      <c r="H8914" s="20" t="n">
        <f aca="false">IF(H8838=Assumptions!$K$56,1,0)</f>
        <v>1</v>
      </c>
      <c r="I8914" s="20" t="n">
        <f aca="false">IF(I8838=Assumptions!$K$56,1,0)</f>
        <v>0</v>
      </c>
      <c r="J8914" s="20" t="n">
        <f aca="false">IF(J8838=Assumptions!$K$56,1,0)</f>
        <v>0</v>
      </c>
      <c r="K8914" s="20" t="n">
        <f aca="false">IF(K8838=Assumptions!$K$56,1,0)</f>
        <v>0</v>
      </c>
    </row>
    <row r="8916" customFormat="false" ht="15" hidden="false" customHeight="false" outlineLevel="0" collapsed="false">
      <c r="A8916" s="5" t="s">
        <v>266</v>
      </c>
      <c r="G8916" s="30" t="n">
        <f aca="false">IF(Assumptions!$I$56=1,MAX(G8864,Assumptions!$G$56)+Assumptions!$F$56+$C$8865,Assumptions!$E$56)</f>
        <v>0.075</v>
      </c>
      <c r="H8916" s="30" t="n">
        <f aca="false">IF(G9029=1,$C$8866,IF(Assumptions!$I$56=1,MAX(H8864,Assumptions!$G$56)+Assumptions!$F$56+$C$8865,Assumptions!$E$56))</f>
        <v>0.075</v>
      </c>
      <c r="I8916" s="30" t="n">
        <f aca="false">IF(H9029=1,$C$8866,IF(Assumptions!$I$56=1,MAX(I8864,Assumptions!$G$56)+Assumptions!$F$56+$C$8865,Assumptions!$E$56))</f>
        <v>0.075</v>
      </c>
      <c r="J8916" s="30" t="n">
        <f aca="false">IF(I9029=1,$C$8866,IF(Assumptions!$I$56=1,MAX(J8864,Assumptions!$G$56)+Assumptions!$F$56+$C$8865,Assumptions!$E$56))</f>
        <v>0.075</v>
      </c>
      <c r="K8916" s="30" t="n">
        <f aca="false">IF(J9029=1,$C$8866,IF(Assumptions!$I$56=1,MAX(K8864,Assumptions!$G$56)+Assumptions!$F$56+$C$8865,Assumptions!$E$56))</f>
        <v>0.075</v>
      </c>
    </row>
    <row r="8917" customFormat="false" ht="15" hidden="false" customHeight="false" outlineLevel="0" collapsed="false">
      <c r="A8917" s="5" t="s">
        <v>267</v>
      </c>
      <c r="G8917" s="25" t="n">
        <f aca="false">G8913*G8916</f>
        <v>22.5</v>
      </c>
      <c r="H8917" s="25" t="n">
        <f aca="false">H8913*H8916</f>
        <v>22.5</v>
      </c>
      <c r="I8917" s="25" t="n">
        <f aca="false">I8913*I8916</f>
        <v>22.5</v>
      </c>
      <c r="J8917" s="25" t="n">
        <f aca="false">J8913*J8916</f>
        <v>22.5</v>
      </c>
      <c r="K8917" s="25" t="n">
        <f aca="false">K8913*K8916</f>
        <v>22.5</v>
      </c>
    </row>
    <row r="8918" customFormat="false" ht="15" hidden="false" customHeight="false" outlineLevel="0" collapsed="false">
      <c r="A8918" s="5" t="s">
        <v>268</v>
      </c>
      <c r="G8918" s="25" t="n">
        <f aca="false">G8913*Assumptions!$H$56</f>
        <v>0</v>
      </c>
      <c r="H8918" s="25" t="n">
        <f aca="false">H8913*Assumptions!$H$56</f>
        <v>0</v>
      </c>
      <c r="I8918" s="25" t="n">
        <f aca="false">I8913*Assumptions!$H$56</f>
        <v>0</v>
      </c>
      <c r="J8918" s="25" t="n">
        <f aca="false">J8913*Assumptions!$H$56</f>
        <v>0</v>
      </c>
      <c r="K8918" s="25" t="n">
        <f aca="false">K8913*Assumptions!$H$56</f>
        <v>0</v>
      </c>
    </row>
    <row r="8919" customFormat="false" ht="15" hidden="false" customHeight="false" outlineLevel="0" collapsed="false">
      <c r="A8919" s="5" t="s">
        <v>269</v>
      </c>
      <c r="G8919" s="25" t="n">
        <f aca="false">MIN(G8913,Assumptions!$L$56*Assumptions!$C$56)</f>
        <v>0</v>
      </c>
      <c r="H8919" s="25" t="n">
        <f aca="false">MIN(H8913,Assumptions!$L$56*Assumptions!$C$56)</f>
        <v>0</v>
      </c>
      <c r="I8919" s="25" t="n">
        <f aca="false">MIN(I8913,Assumptions!$L$56*Assumptions!$C$56)</f>
        <v>0</v>
      </c>
      <c r="J8919" s="25" t="n">
        <f aca="false">MIN(J8913,Assumptions!$L$56*Assumptions!$C$56)</f>
        <v>0</v>
      </c>
      <c r="K8919" s="25" t="n">
        <f aca="false">MIN(K8913,Assumptions!$L$56*Assumptions!$C$56)</f>
        <v>0</v>
      </c>
    </row>
    <row r="8920" customFormat="false" ht="15" hidden="false" customHeight="false" outlineLevel="0" collapsed="false">
      <c r="A8920" s="5" t="s">
        <v>270</v>
      </c>
      <c r="G8920" s="25" t="n">
        <f aca="false">IF(AND(Assumptions!$P$56=1,G8838&lt;Assumptions!$K$56),MIN(MAX(0,-G8952),MAX(0,Assumptions!$D$56-G8913)),0)</f>
        <v>0</v>
      </c>
      <c r="H8920" s="25" t="n">
        <f aca="false">IF(AND(Assumptions!$P$56=1,OR(H8838&lt;Assumptions!$K$56,G9029=1)),MIN(MAX(0,-H8952),MAX(0,Assumptions!$D$56-H8913)),0)</f>
        <v>0</v>
      </c>
      <c r="I8920" s="25" t="n">
        <f aca="false">IF(AND(Assumptions!$P$56=1,OR(I8838&lt;Assumptions!$K$56,H9029=1)),MIN(MAX(0,-I8952),MAX(0,Assumptions!$D$56-I8913)),0)</f>
        <v>0</v>
      </c>
      <c r="J8920" s="25" t="n">
        <f aca="false">IF(AND(Assumptions!$P$56=1,OR(J8838&lt;Assumptions!$K$56,I9029=1)),MIN(MAX(0,-J8952),MAX(0,Assumptions!$D$56-J8913)),0)</f>
        <v>0</v>
      </c>
      <c r="K8920" s="25" t="n">
        <f aca="false">IF(AND(Assumptions!$P$56=1,OR(K8838&lt;Assumptions!$K$56,J9029=1)),MIN(MAX(0,-K8952),MAX(0,Assumptions!$D$56-K8913)),0)</f>
        <v>0</v>
      </c>
    </row>
    <row r="8921" customFormat="false" ht="15" hidden="false" customHeight="false" outlineLevel="0" collapsed="false">
      <c r="A8921" s="5" t="s">
        <v>271</v>
      </c>
      <c r="G8921" s="25" t="n">
        <f aca="false">G8914*MIN(G8913-G8919+G8918,MAX(0,G8954-Assumptions!$C$12*G8872-G8882-G8895-G8908))</f>
        <v>0</v>
      </c>
      <c r="H8921" s="25" t="n">
        <f aca="false">H8914*MIN(H8913-H8919+H8918,MAX(0,H8954-Assumptions!$C$12*H8872-H8882-H8895-H8908))</f>
        <v>0</v>
      </c>
      <c r="I8921" s="25" t="n">
        <f aca="false">I8914*MIN(I8913-I8919+I8918,MAX(0,I8954-Assumptions!$C$12*I8872-I8882-I8895-I8908))</f>
        <v>0</v>
      </c>
      <c r="J8921" s="25" t="n">
        <f aca="false">J8914*MIN(J8913-J8919+J8918,MAX(0,J8954-Assumptions!$C$12*J8872-J8882-J8895-J8908))</f>
        <v>0</v>
      </c>
      <c r="K8921" s="25" t="n">
        <f aca="false">K8914*MIN(K8913-K8919+K8918,MAX(0,K8954-Assumptions!$C$12*K8872-K8882-K8895-K8908))</f>
        <v>0</v>
      </c>
    </row>
    <row r="8922" customFormat="false" ht="15" hidden="false" customHeight="false" outlineLevel="0" collapsed="false">
      <c r="A8922" s="5" t="s">
        <v>272</v>
      </c>
      <c r="G8922" s="25" t="n">
        <f aca="false">Assumptions!$N$56*MIN(G8913+G8920+G8918-G8919-G8921,MAX(0,G8958-G8883-G8896-G8909))</f>
        <v>0</v>
      </c>
      <c r="H8922" s="25" t="n">
        <f aca="false">Assumptions!$N$56*MIN(H8913+H8920+H8918-H8919-H8921,MAX(0,H8958-H8883-H8896-H8909))</f>
        <v>0</v>
      </c>
      <c r="I8922" s="25" t="n">
        <f aca="false">Assumptions!$N$56*MIN(I8913+I8920+I8918-I8919-I8921,MAX(0,I8958-I8883-I8896-I8909))</f>
        <v>0</v>
      </c>
      <c r="J8922" s="25" t="n">
        <f aca="false">Assumptions!$N$56*MIN(J8913+J8920+J8918-J8919-J8921,MAX(0,J8958-J8883-J8896-J8909))</f>
        <v>0</v>
      </c>
      <c r="K8922" s="25" t="n">
        <f aca="false">Assumptions!$N$56*MIN(K8913+K8920+K8918-K8919-K8921,MAX(0,K8958-K8883-K8896-K8909))</f>
        <v>0</v>
      </c>
    </row>
    <row r="8923" customFormat="false" ht="15" hidden="false" customHeight="false" outlineLevel="0" collapsed="false">
      <c r="A8923" s="5" t="s">
        <v>273</v>
      </c>
      <c r="G8923" s="25" t="n">
        <f aca="false">G8914*(1-G8872)*(G8913-G8919+G8918-G8921)</f>
        <v>0</v>
      </c>
      <c r="H8923" s="25" t="n">
        <f aca="false">H8914*(1-H8872)*(H8913-H8919+H8918-H8921)</f>
        <v>300</v>
      </c>
      <c r="I8923" s="25" t="n">
        <f aca="false">I8914*(1-I8872)*(I8913-I8919+I8918-I8921)</f>
        <v>0</v>
      </c>
      <c r="J8923" s="25" t="n">
        <f aca="false">J8914*(1-J8872)*(J8913-J8919+J8918-J8921)</f>
        <v>0</v>
      </c>
      <c r="K8923" s="25" t="n">
        <f aca="false">K8914*(1-K8872)*(K8913-K8919+K8918-K8921)</f>
        <v>0</v>
      </c>
    </row>
    <row r="8924" customFormat="false" ht="15" hidden="false" customHeight="false" outlineLevel="0" collapsed="false">
      <c r="A8924" s="2" t="s">
        <v>274</v>
      </c>
      <c r="F8924" s="27" t="n">
        <f aca="false">Assumptions!$C$56</f>
        <v>300</v>
      </c>
      <c r="G8924" s="16" t="n">
        <f aca="false">G8913+G8920+G8918-G8919-G8921-G8922</f>
        <v>300</v>
      </c>
      <c r="H8924" s="16" t="n">
        <f aca="false">H8913+H8920+H8918-H8919-H8921-H8922</f>
        <v>300</v>
      </c>
      <c r="I8924" s="16" t="n">
        <f aca="false">I8913+I8920+I8918-I8919-I8921-I8922</f>
        <v>300</v>
      </c>
      <c r="J8924" s="16" t="n">
        <f aca="false">J8913+J8920+J8918-J8919-J8921-J8922</f>
        <v>300</v>
      </c>
      <c r="K8924" s="16" t="n">
        <f aca="false">K8913+K8920+K8918-K8919-K8921-K8922</f>
        <v>300</v>
      </c>
    </row>
    <row r="8925" customFormat="false" ht="15" hidden="false" customHeight="false" outlineLevel="0" collapsed="false">
      <c r="A8925" s="23" t="s">
        <v>278</v>
      </c>
      <c r="B8925" s="24"/>
      <c r="C8925" s="24"/>
      <c r="D8925" s="24"/>
      <c r="E8925" s="24"/>
      <c r="F8925" s="24"/>
      <c r="G8925" s="24"/>
      <c r="H8925" s="24"/>
      <c r="I8925" s="24"/>
      <c r="J8925" s="24"/>
      <c r="K8925" s="24"/>
    </row>
    <row r="8926" customFormat="false" ht="15" hidden="false" customHeight="false" outlineLevel="0" collapsed="false">
      <c r="A8926" s="2" t="s">
        <v>279</v>
      </c>
      <c r="F8926" s="16" t="n">
        <f aca="false">F8885+F8898+F8911+F8924</f>
        <v>1250</v>
      </c>
      <c r="G8926" s="16" t="n">
        <f aca="false">G8885+G8898+G8911+G8924</f>
        <v>1281.0968</v>
      </c>
      <c r="H8926" s="16" t="n">
        <f aca="false">H8885+H8898+H8911+H8924</f>
        <v>1275.8968</v>
      </c>
      <c r="I8926" s="16" t="n">
        <f aca="false">I8885+I8898+I8911+I8924</f>
        <v>1270.6968</v>
      </c>
      <c r="J8926" s="16" t="n">
        <f aca="false">J8885+J8898+J8911+J8924</f>
        <v>1265.4968</v>
      </c>
      <c r="K8926" s="16" t="n">
        <f aca="false">K8885+K8898+K8911+K8924</f>
        <v>1260.2968</v>
      </c>
    </row>
    <row r="8927" customFormat="false" ht="15" hidden="false" customHeight="false" outlineLevel="0" collapsed="false">
      <c r="A8927" s="5" t="s">
        <v>280</v>
      </c>
      <c r="G8927" s="25" t="n">
        <f aca="false">G8875*Assumptions!$C$53+G8888*Assumptions!$C$54+G8901*Assumptions!$C$55+G8914*Assumptions!$C$56</f>
        <v>0</v>
      </c>
      <c r="H8927" s="25" t="n">
        <f aca="false">H8875*Assumptions!$C$53+H8888*Assumptions!$C$54+H8901*Assumptions!$C$55+H8914*Assumptions!$C$56</f>
        <v>480</v>
      </c>
      <c r="I8927" s="25" t="n">
        <f aca="false">I8875*Assumptions!$C$53+I8888*Assumptions!$C$54+I8901*Assumptions!$C$55+I8914*Assumptions!$C$56</f>
        <v>520</v>
      </c>
      <c r="J8927" s="25" t="n">
        <f aca="false">J8875*Assumptions!$C$53+J8888*Assumptions!$C$54+J8901*Assumptions!$C$55+J8914*Assumptions!$C$56</f>
        <v>250</v>
      </c>
      <c r="K8927" s="25" t="n">
        <f aca="false">K8875*Assumptions!$C$53+K8888*Assumptions!$C$54+K8901*Assumptions!$C$55+K8914*Assumptions!$C$56</f>
        <v>0</v>
      </c>
    </row>
    <row r="8928" customFormat="false" ht="15" hidden="false" customHeight="false" outlineLevel="0" collapsed="false">
      <c r="A8928" s="23" t="s">
        <v>281</v>
      </c>
      <c r="B8928" s="24"/>
      <c r="C8928" s="24"/>
      <c r="D8928" s="24"/>
      <c r="E8928" s="24"/>
      <c r="F8928" s="24"/>
      <c r="G8928" s="24"/>
      <c r="H8928" s="24"/>
      <c r="I8928" s="24"/>
      <c r="J8928" s="24"/>
      <c r="K8928" s="24"/>
    </row>
    <row r="8929" customFormat="false" ht="15" hidden="false" customHeight="false" outlineLevel="0" collapsed="false">
      <c r="A8929" s="5" t="s">
        <v>282</v>
      </c>
      <c r="C8929" s="25" t="n">
        <f aca="false">SUMPRODUCT($G$8875:$K$8875,$G$8874:$K$8874-$G$8880:$K$8880+$G$8879:$K$8879)</f>
        <v>216.2968</v>
      </c>
    </row>
    <row r="8930" customFormat="false" ht="15" hidden="false" customHeight="false" outlineLevel="0" collapsed="false">
      <c r="A8930" s="5" t="s">
        <v>283</v>
      </c>
      <c r="C8930" s="25" t="n">
        <f aca="false">SUMPRODUCT($G$8875:$K$8875,$G$8882:$K$8882)</f>
        <v>0</v>
      </c>
    </row>
    <row r="8931" customFormat="false" ht="15" hidden="false" customHeight="false" outlineLevel="0" collapsed="false">
      <c r="A8931" s="5" t="s">
        <v>284</v>
      </c>
      <c r="C8931" s="5" t="str">
        <f aca="false">IF(SUM($G$8875:$K$8875)=0,"n/a (beyond horizon)",IF(SUMPRODUCT($G$8875:$K$8875,$G$8872:$K$8872)&gt;0,"REFINANCING PASS","REFINANCING FAILURE"))</f>
        <v>REFINANCING FAILURE</v>
      </c>
    </row>
    <row r="8932" customFormat="false" ht="15" hidden="false" customHeight="false" outlineLevel="0" collapsed="false">
      <c r="A8932" s="5" t="s">
        <v>285</v>
      </c>
      <c r="C8932" s="5" t="str">
        <f aca="false">IF(SUM($G$8875:$K$8875)=0,"n/a",IF(C8930&gt;=C8929-0.001,"Repaid from cash",IF(SUMPRODUCT($G$8875:$K$8875,$G$8872:$K$8872)&gt;0,IF(C8930&gt;0,"Partly repaid; remainder refinanced","Refinanced"),IF(SUM($G$8884:$K$8884)&gt;0.001,IF(C8930&gt;0,"Partial repayment; PAYMENT DEFAULT","PAYMENT DEFAULT"),"Repaid from cash"))))</f>
        <v>PAYMENT DEFAULT</v>
      </c>
    </row>
    <row r="8933" customFormat="false" ht="15" hidden="false" customHeight="false" outlineLevel="0" collapsed="false">
      <c r="A8933" s="5" t="s">
        <v>286</v>
      </c>
      <c r="C8933" s="25" t="n">
        <f aca="false">SUMPRODUCT($G$8888:$K$8888,$G$8887:$K$8887-$G$8893:$K$8893+$G$8892:$K$8892)</f>
        <v>504.4</v>
      </c>
    </row>
    <row r="8934" customFormat="false" ht="15" hidden="false" customHeight="false" outlineLevel="0" collapsed="false">
      <c r="A8934" s="5" t="s">
        <v>287</v>
      </c>
      <c r="C8934" s="25" t="n">
        <f aca="false">SUMPRODUCT($G$8888:$K$8888,$G$8895:$K$8895)</f>
        <v>0</v>
      </c>
    </row>
    <row r="8935" customFormat="false" ht="15" hidden="false" customHeight="false" outlineLevel="0" collapsed="false">
      <c r="A8935" s="5" t="s">
        <v>288</v>
      </c>
      <c r="C8935" s="5" t="str">
        <f aca="false">IF(SUM($G$8888:$K$8888)=0,"n/a (beyond horizon)",IF(SUMPRODUCT($G$8888:$K$8888,$G$8872:$K$8872)&gt;0,"REFINANCING PASS","REFINANCING FAILURE"))</f>
        <v>REFINANCING FAILURE</v>
      </c>
    </row>
    <row r="8936" customFormat="false" ht="15" hidden="false" customHeight="false" outlineLevel="0" collapsed="false">
      <c r="A8936" s="5" t="s">
        <v>289</v>
      </c>
      <c r="C8936" s="5" t="str">
        <f aca="false">IF(SUM($G$8888:$K$8888)=0,"n/a",IF(C8934&gt;=C8933-0.001,"Repaid from cash",IF(SUMPRODUCT($G$8888:$K$8888,$G$8872:$K$8872)&gt;0,IF(C8934&gt;0,"Partly repaid; remainder refinanced","Refinanced"),IF(SUM($G$8897:$K$8897)&gt;0.001,IF(C8934&gt;0,"Partial repayment; PAYMENT DEFAULT","PAYMENT DEFAULT"),"Repaid from cash"))))</f>
        <v>PAYMENT DEFAULT</v>
      </c>
    </row>
    <row r="8937" customFormat="false" ht="15" hidden="false" customHeight="false" outlineLevel="0" collapsed="false">
      <c r="A8937" s="5" t="s">
        <v>290</v>
      </c>
      <c r="C8937" s="25" t="n">
        <f aca="false">SUMPRODUCT($G$8901:$K$8901,$G$8900:$K$8900-$G$8906:$K$8906+$G$8905:$K$8905)</f>
        <v>250</v>
      </c>
    </row>
    <row r="8938" customFormat="false" ht="15" hidden="false" customHeight="false" outlineLevel="0" collapsed="false">
      <c r="A8938" s="5" t="s">
        <v>291</v>
      </c>
      <c r="C8938" s="25" t="n">
        <f aca="false">SUMPRODUCT($G$8901:$K$8901,$G$8908:$K$8908)</f>
        <v>0</v>
      </c>
    </row>
    <row r="8939" customFormat="false" ht="15" hidden="false" customHeight="false" outlineLevel="0" collapsed="false">
      <c r="A8939" s="5" t="s">
        <v>292</v>
      </c>
      <c r="C8939" s="5" t="str">
        <f aca="false">IF(SUM($G$8901:$K$8901)=0,"n/a (beyond horizon)",IF(SUMPRODUCT($G$8901:$K$8901,$G$8872:$K$8872)&gt;0,"REFINANCING PASS","REFINANCING FAILURE"))</f>
        <v>REFINANCING FAILURE</v>
      </c>
    </row>
    <row r="8940" customFormat="false" ht="15" hidden="false" customHeight="false" outlineLevel="0" collapsed="false">
      <c r="A8940" s="5" t="s">
        <v>293</v>
      </c>
      <c r="C8940" s="5" t="str">
        <f aca="false">IF(SUM($G$8901:$K$8901)=0,"n/a",IF(C8938&gt;=C8937-0.001,"Repaid from cash",IF(SUMPRODUCT($G$8901:$K$8901,$G$8872:$K$8872)&gt;0,IF(C8938&gt;0,"Partly repaid; remainder refinanced","Refinanced"),IF(SUM($G$8910:$K$8910)&gt;0.001,IF(C8938&gt;0,"Partial repayment; PAYMENT DEFAULT","PAYMENT DEFAULT"),"Repaid from cash"))))</f>
        <v>PAYMENT DEFAULT</v>
      </c>
    </row>
    <row r="8941" customFormat="false" ht="15" hidden="false" customHeight="false" outlineLevel="0" collapsed="false">
      <c r="A8941" s="5" t="s">
        <v>294</v>
      </c>
      <c r="C8941" s="25" t="n">
        <f aca="false">SUMPRODUCT($G$8914:$K$8914,$G$8913:$K$8913-$G$8919:$K$8919+$G$8918:$K$8918)</f>
        <v>300</v>
      </c>
    </row>
    <row r="8942" customFormat="false" ht="15" hidden="false" customHeight="false" outlineLevel="0" collapsed="false">
      <c r="A8942" s="5" t="s">
        <v>295</v>
      </c>
      <c r="C8942" s="25" t="n">
        <f aca="false">SUMPRODUCT($G$8914:$K$8914,$G$8921:$K$8921)</f>
        <v>0</v>
      </c>
    </row>
    <row r="8943" customFormat="false" ht="15" hidden="false" customHeight="false" outlineLevel="0" collapsed="false">
      <c r="A8943" s="5" t="s">
        <v>296</v>
      </c>
      <c r="C8943" s="5" t="str">
        <f aca="false">IF(SUM($G$8914:$K$8914)=0,"n/a (beyond horizon)",IF(SUMPRODUCT($G$8914:$K$8914,$G$8872:$K$8872)&gt;0,"REFINANCING PASS","REFINANCING FAILURE"))</f>
        <v>REFINANCING FAILURE</v>
      </c>
    </row>
    <row r="8944" customFormat="false" ht="15" hidden="false" customHeight="false" outlineLevel="0" collapsed="false">
      <c r="A8944" s="5" t="s">
        <v>297</v>
      </c>
      <c r="C8944" s="5" t="str">
        <f aca="false">IF(SUM($G$8914:$K$8914)=0,"n/a",IF(C8942&gt;=C8941-0.001,"Repaid from cash",IF(SUMPRODUCT($G$8914:$K$8914,$G$8872:$K$8872)&gt;0,IF(C8942&gt;0,"Partly repaid; remainder refinanced","Refinanced"),IF(SUM($G$8923:$K$8923)&gt;0.001,IF(C8942&gt;0,"Partial repayment; PAYMENT DEFAULT","PAYMENT DEFAULT"),"Repaid from cash"))))</f>
        <v>PAYMENT DEFAULT</v>
      </c>
    </row>
    <row r="8945" customFormat="false" ht="15" hidden="false" customHeight="false" outlineLevel="0" collapsed="false">
      <c r="A8945" s="5" t="s">
        <v>298</v>
      </c>
      <c r="C8945" s="20" t="n">
        <f aca="false">IF(C8931="REFINANCING FAILURE",1,0)+IF(C8935="REFINANCING FAILURE",1,0)+IF(C8939="REFINANCING FAILURE",1,0)+IF(C8943="REFINANCING FAILURE",1,0)</f>
        <v>4</v>
      </c>
    </row>
    <row r="8947" customFormat="false" ht="15" hidden="false" customHeight="false" outlineLevel="0" collapsed="false">
      <c r="A8947" s="23" t="s">
        <v>300</v>
      </c>
      <c r="B8947" s="24"/>
      <c r="C8947" s="24"/>
      <c r="D8947" s="24"/>
      <c r="E8947" s="24"/>
      <c r="F8947" s="24"/>
      <c r="G8947" s="24"/>
      <c r="H8947" s="24"/>
      <c r="I8947" s="24"/>
      <c r="J8947" s="24"/>
      <c r="K8947" s="24"/>
    </row>
    <row r="8948" customFormat="false" ht="15" hidden="false" customHeight="false" outlineLevel="0" collapsed="false">
      <c r="A8948" s="5" t="s">
        <v>260</v>
      </c>
      <c r="G8948" s="25" t="n">
        <f aca="false">F8960</f>
        <v>45</v>
      </c>
      <c r="H8948" s="25" t="n">
        <f aca="false">G8960</f>
        <v>0</v>
      </c>
      <c r="I8948" s="25" t="n">
        <f aca="false">H8960</f>
        <v>-121.3557292</v>
      </c>
      <c r="J8948" s="25" t="n">
        <f aca="false">I8960</f>
        <v>-236.702175152</v>
      </c>
      <c r="K8948" s="25" t="n">
        <f aca="false">J8960</f>
        <v>-337.79889141424</v>
      </c>
    </row>
    <row r="8949" customFormat="false" ht="15" hidden="false" customHeight="false" outlineLevel="0" collapsed="false">
      <c r="A8949" s="5" t="s">
        <v>301</v>
      </c>
      <c r="G8949" s="25" t="n">
        <f aca="false">G8861</f>
        <v>-76.0968</v>
      </c>
      <c r="H8949" s="25" t="n">
        <f aca="false">H8861</f>
        <v>-116.1557292</v>
      </c>
      <c r="I8949" s="25" t="n">
        <f aca="false">I8861</f>
        <v>-110.146445952</v>
      </c>
      <c r="J8949" s="25" t="n">
        <f aca="false">J8861</f>
        <v>-95.89671626224</v>
      </c>
      <c r="K8949" s="25" t="n">
        <f aca="false">K8861</f>
        <v>-83.18519092616</v>
      </c>
    </row>
    <row r="8950" customFormat="false" ht="15" hidden="false" customHeight="false" outlineLevel="0" collapsed="false">
      <c r="A8950" s="5" t="s">
        <v>302</v>
      </c>
      <c r="G8950" s="25" t="n">
        <f aca="false">CHOOSE($C$8831,Assumptions!$G$68,Assumptions!$G$87,Assumptions!$G$106)</f>
        <v>0</v>
      </c>
      <c r="H8950" s="25" t="n">
        <f aca="false">CHOOSE($C$8831,Assumptions!$H$68,Assumptions!$H$87,Assumptions!$H$106)</f>
        <v>0</v>
      </c>
      <c r="I8950" s="25" t="n">
        <f aca="false">CHOOSE($C$8831,Assumptions!$I$68,Assumptions!$I$87,Assumptions!$I$106)</f>
        <v>0</v>
      </c>
      <c r="J8950" s="25" t="n">
        <f aca="false">CHOOSE($C$8831,Assumptions!$J$68,Assumptions!$J$87,Assumptions!$J$106)</f>
        <v>0</v>
      </c>
      <c r="K8950" s="25" t="n">
        <f aca="false">CHOOSE($C$8831,Assumptions!$K$68,Assumptions!$K$87,Assumptions!$K$106)</f>
        <v>0</v>
      </c>
    </row>
    <row r="8951" customFormat="false" ht="15" hidden="false" customHeight="false" outlineLevel="0" collapsed="false">
      <c r="A8951" s="5" t="s">
        <v>303</v>
      </c>
      <c r="G8951" s="25" t="n">
        <f aca="false">G8880+G8893+G8906+G8919</f>
        <v>5.2</v>
      </c>
      <c r="H8951" s="25" t="n">
        <f aca="false">H8880+H8893+H8906+H8919</f>
        <v>5.2</v>
      </c>
      <c r="I8951" s="25" t="n">
        <f aca="false">I8880+I8893+I8906+I8919</f>
        <v>5.2</v>
      </c>
      <c r="J8951" s="25" t="n">
        <f aca="false">J8880+J8893+J8906+J8919</f>
        <v>5.2</v>
      </c>
      <c r="K8951" s="25" t="n">
        <f aca="false">K8880+K8893+K8906+K8919</f>
        <v>5.2</v>
      </c>
    </row>
    <row r="8952" customFormat="false" ht="15" hidden="false" customHeight="false" outlineLevel="0" collapsed="false">
      <c r="A8952" s="2" t="s">
        <v>304</v>
      </c>
      <c r="G8952" s="16" t="n">
        <f aca="false">G8948+G8949+G8950-G8951</f>
        <v>-36.2968000000001</v>
      </c>
      <c r="H8952" s="16" t="n">
        <f aca="false">H8948+H8949+H8950-H8951</f>
        <v>-121.3557292</v>
      </c>
      <c r="I8952" s="16" t="n">
        <f aca="false">I8948+I8949+I8950-I8951</f>
        <v>-236.702175152</v>
      </c>
      <c r="J8952" s="16" t="n">
        <f aca="false">J8948+J8949+J8950-J8951</f>
        <v>-337.79889141424</v>
      </c>
      <c r="K8952" s="16" t="n">
        <f aca="false">K8948+K8949+K8950-K8951</f>
        <v>-426.1840823404</v>
      </c>
    </row>
    <row r="8953" customFormat="false" ht="15" hidden="false" customHeight="false" outlineLevel="0" collapsed="false">
      <c r="A8953" s="5" t="s">
        <v>305</v>
      </c>
      <c r="G8953" s="25" t="n">
        <f aca="false">G8881+G8894+G8907+G8920</f>
        <v>36.2968000000001</v>
      </c>
      <c r="H8953" s="25" t="n">
        <f aca="false">H8881+H8894+H8907+H8920</f>
        <v>0</v>
      </c>
      <c r="I8953" s="25" t="n">
        <f aca="false">I8881+I8894+I8907+I8920</f>
        <v>0</v>
      </c>
      <c r="J8953" s="25" t="n">
        <f aca="false">J8881+J8894+J8907+J8920</f>
        <v>0</v>
      </c>
      <c r="K8953" s="25" t="n">
        <f aca="false">K8881+K8894+K8907+K8920</f>
        <v>0</v>
      </c>
    </row>
    <row r="8954" customFormat="false" ht="15" hidden="false" customHeight="false" outlineLevel="0" collapsed="false">
      <c r="A8954" s="2" t="s">
        <v>306</v>
      </c>
      <c r="G8954" s="16" t="n">
        <f aca="false">G8952+G8953</f>
        <v>0</v>
      </c>
      <c r="H8954" s="16" t="n">
        <f aca="false">H8952+H8953</f>
        <v>-121.3557292</v>
      </c>
      <c r="I8954" s="16" t="n">
        <f aca="false">I8952+I8953</f>
        <v>-236.702175152</v>
      </c>
      <c r="J8954" s="16" t="n">
        <f aca="false">J8952+J8953</f>
        <v>-337.79889141424</v>
      </c>
      <c r="K8954" s="16" t="n">
        <f aca="false">K8952+K8953</f>
        <v>-426.1840823404</v>
      </c>
    </row>
    <row r="8955" customFormat="false" ht="15" hidden="false" customHeight="false" outlineLevel="0" collapsed="false">
      <c r="A8955" s="5" t="s">
        <v>307</v>
      </c>
      <c r="G8955" s="25" t="n">
        <f aca="false">G8882+G8895+G8908+G8921</f>
        <v>0</v>
      </c>
      <c r="H8955" s="25" t="n">
        <f aca="false">H8882+H8895+H8908+H8921</f>
        <v>0</v>
      </c>
      <c r="I8955" s="25" t="n">
        <f aca="false">I8882+I8895+I8908+I8921</f>
        <v>0</v>
      </c>
      <c r="J8955" s="25" t="n">
        <f aca="false">J8882+J8895+J8908+J8921</f>
        <v>0</v>
      </c>
      <c r="K8955" s="25" t="n">
        <f aca="false">K8882+K8895+K8908+K8921</f>
        <v>0</v>
      </c>
    </row>
    <row r="8956" customFormat="false" ht="15" hidden="false" customHeight="false" outlineLevel="0" collapsed="false">
      <c r="A8956" s="2" t="s">
        <v>308</v>
      </c>
      <c r="G8956" s="16" t="n">
        <f aca="false">G8954-G8955</f>
        <v>0</v>
      </c>
      <c r="H8956" s="16" t="n">
        <f aca="false">H8954-H8955</f>
        <v>-121.3557292</v>
      </c>
      <c r="I8956" s="16" t="n">
        <f aca="false">I8954-I8955</f>
        <v>-236.702175152</v>
      </c>
      <c r="J8956" s="16" t="n">
        <f aca="false">J8954-J8955</f>
        <v>-337.79889141424</v>
      </c>
      <c r="K8956" s="16" t="n">
        <f aca="false">K8954-K8955</f>
        <v>-426.1840823404</v>
      </c>
    </row>
    <row r="8957" customFormat="false" ht="15" hidden="false" customHeight="false" outlineLevel="0" collapsed="false">
      <c r="A8957" s="5" t="s">
        <v>309</v>
      </c>
      <c r="G8957" s="25" t="n">
        <f aca="false">MAX(0,-G8956)</f>
        <v>-0</v>
      </c>
      <c r="H8957" s="25" t="n">
        <f aca="false">MAX(0,-H8956)</f>
        <v>121.3557292</v>
      </c>
      <c r="I8957" s="25" t="n">
        <f aca="false">MAX(0,-I8956)</f>
        <v>236.702175152</v>
      </c>
      <c r="J8957" s="25" t="n">
        <f aca="false">MAX(0,-J8956)</f>
        <v>337.79889141424</v>
      </c>
      <c r="K8957" s="25" t="n">
        <f aca="false">MAX(0,-K8956)</f>
        <v>426.1840823404</v>
      </c>
    </row>
    <row r="8958" customFormat="false" ht="15" hidden="false" customHeight="false" outlineLevel="0" collapsed="false">
      <c r="A8958" s="5" t="s">
        <v>310</v>
      </c>
      <c r="G8958" s="25" t="n">
        <f aca="false">MAX(0,G8956-Assumptions!$C$12)*Assumptions!$C$13</f>
        <v>0</v>
      </c>
      <c r="H8958" s="25" t="n">
        <f aca="false">MAX(0,H8956-Assumptions!$C$12)*Assumptions!$C$13</f>
        <v>0</v>
      </c>
      <c r="I8958" s="25" t="n">
        <f aca="false">MAX(0,I8956-Assumptions!$C$12)*Assumptions!$C$13</f>
        <v>0</v>
      </c>
      <c r="J8958" s="25" t="n">
        <f aca="false">MAX(0,J8956-Assumptions!$C$12)*Assumptions!$C$13</f>
        <v>0</v>
      </c>
      <c r="K8958" s="25" t="n">
        <f aca="false">MAX(0,K8956-Assumptions!$C$12)*Assumptions!$C$13</f>
        <v>0</v>
      </c>
    </row>
    <row r="8959" customFormat="false" ht="15" hidden="false" customHeight="false" outlineLevel="0" collapsed="false">
      <c r="A8959" s="5" t="s">
        <v>311</v>
      </c>
      <c r="G8959" s="25" t="n">
        <f aca="false">G8883+G8896+G8909+G8922</f>
        <v>0</v>
      </c>
      <c r="H8959" s="25" t="n">
        <f aca="false">H8883+H8896+H8909+H8922</f>
        <v>0</v>
      </c>
      <c r="I8959" s="25" t="n">
        <f aca="false">I8883+I8896+I8909+I8922</f>
        <v>0</v>
      </c>
      <c r="J8959" s="25" t="n">
        <f aca="false">J8883+J8896+J8909+J8922</f>
        <v>0</v>
      </c>
      <c r="K8959" s="25" t="n">
        <f aca="false">K8883+K8896+K8909+K8922</f>
        <v>0</v>
      </c>
    </row>
    <row r="8960" customFormat="false" ht="15" hidden="false" customHeight="false" outlineLevel="0" collapsed="false">
      <c r="A8960" s="2" t="s">
        <v>312</v>
      </c>
      <c r="F8960" s="27" t="n">
        <f aca="false">Assumptions!$C$11</f>
        <v>45</v>
      </c>
      <c r="G8960" s="16" t="n">
        <f aca="false">G8956-G8959</f>
        <v>0</v>
      </c>
      <c r="H8960" s="16" t="n">
        <f aca="false">H8956-H8959</f>
        <v>-121.3557292</v>
      </c>
      <c r="I8960" s="16" t="n">
        <f aca="false">I8956-I8959</f>
        <v>-236.702175152</v>
      </c>
      <c r="J8960" s="16" t="n">
        <f aca="false">J8956-J8959</f>
        <v>-337.79889141424</v>
      </c>
      <c r="K8960" s="16" t="n">
        <f aca="false">K8956-K8959</f>
        <v>-426.1840823404</v>
      </c>
    </row>
    <row r="8961" customFormat="false" ht="15" hidden="false" customHeight="false" outlineLevel="0" collapsed="false">
      <c r="A8961" s="5" t="s">
        <v>313</v>
      </c>
      <c r="G8961" s="25" t="n">
        <f aca="false">G8884+G8897+G8910+G8923</f>
        <v>0</v>
      </c>
      <c r="H8961" s="25" t="n">
        <f aca="false">H8884+H8897+H8910+H8923</f>
        <v>516.2968</v>
      </c>
      <c r="I8961" s="25" t="n">
        <f aca="false">I8884+I8897+I8910+I8923</f>
        <v>504.4</v>
      </c>
      <c r="J8961" s="25" t="n">
        <f aca="false">J8884+J8897+J8910+J8923</f>
        <v>250</v>
      </c>
      <c r="K8961" s="25" t="n">
        <f aca="false">K8884+K8897+K8910+K8923</f>
        <v>0</v>
      </c>
    </row>
    <row r="8962" customFormat="false" ht="15" hidden="false" customHeight="false" outlineLevel="0" collapsed="false">
      <c r="A8962" s="5" t="s">
        <v>314</v>
      </c>
      <c r="G8962" s="20" t="n">
        <f aca="false">IF(OR(G8957&gt;0.001,G8961&gt;0.001),1,0)</f>
        <v>0</v>
      </c>
      <c r="H8962" s="20" t="n">
        <f aca="false">IF(OR(H8957&gt;0.001,H8961&gt;0.001),1,0)</f>
        <v>1</v>
      </c>
      <c r="I8962" s="20" t="n">
        <f aca="false">IF(OR(I8957&gt;0.001,I8961&gt;0.001),1,0)</f>
        <v>1</v>
      </c>
      <c r="J8962" s="20" t="n">
        <f aca="false">IF(OR(J8957&gt;0.001,J8961&gt;0.001),1,0)</f>
        <v>1</v>
      </c>
      <c r="K8962" s="20" t="n">
        <f aca="false">IF(OR(K8957&gt;0.001,K8961&gt;0.001),1,0)</f>
        <v>1</v>
      </c>
    </row>
    <row r="8963" customFormat="false" ht="15" hidden="false" customHeight="false" outlineLevel="0" collapsed="false">
      <c r="A8963" s="5" t="s">
        <v>315</v>
      </c>
      <c r="G8963" s="20" t="n">
        <f aca="false">IF(G8962=1,1,0)</f>
        <v>0</v>
      </c>
      <c r="H8963" s="20" t="n">
        <f aca="false">IF(AND(H8962=1,SUM($G$8962:G8962)=0),1,0)</f>
        <v>1</v>
      </c>
      <c r="I8963" s="20" t="n">
        <f aca="false">IF(AND(I8962=1,SUM($G$8962:H8962)=0),1,0)</f>
        <v>0</v>
      </c>
      <c r="J8963" s="20" t="n">
        <f aca="false">IF(AND(J8962=1,SUM($G$8962:I8962)=0),1,0)</f>
        <v>0</v>
      </c>
      <c r="K8963" s="20" t="n">
        <f aca="false">IF(AND(K8962=1,SUM($G$8962:J8962)=0),1,0)</f>
        <v>0</v>
      </c>
    </row>
    <row r="8964" customFormat="false" ht="15" hidden="false" customHeight="false" outlineLevel="0" collapsed="false">
      <c r="A8964" s="5" t="s">
        <v>316</v>
      </c>
      <c r="G8964" s="25" t="n">
        <f aca="false">(G8926-F8926)-(G8953+G8853-G8951-G8955-G8959)</f>
        <v>0</v>
      </c>
      <c r="H8964" s="25" t="n">
        <f aca="false">(H8926-G8926)-(H8953+H8853-H8951-H8955-H8959)</f>
        <v>-4.52970994047064E-014</v>
      </c>
      <c r="I8964" s="25" t="n">
        <f aca="false">(I8926-H8926)-(I8953+I8853-I8951-I8955-I8959)</f>
        <v>1.82076576038526E-013</v>
      </c>
      <c r="J8964" s="25" t="n">
        <f aca="false">(J8926-I8926)-(J8953+J8853-J8951-J8955-J8959)</f>
        <v>-2.72670774847938E-013</v>
      </c>
      <c r="K8964" s="25" t="n">
        <f aca="false">(K8926-J8926)-(K8953+K8853-K8951-K8955-K8959)</f>
        <v>1.82076576038526E-013</v>
      </c>
    </row>
    <row r="8966" customFormat="false" ht="15" hidden="false" customHeight="false" outlineLevel="0" collapsed="false">
      <c r="A8966" s="23" t="s">
        <v>318</v>
      </c>
      <c r="B8966" s="24"/>
      <c r="C8966" s="24"/>
      <c r="D8966" s="24"/>
      <c r="E8966" s="24"/>
      <c r="F8966" s="24"/>
      <c r="G8966" s="24"/>
      <c r="H8966" s="24"/>
      <c r="I8966" s="24"/>
      <c r="J8966" s="24"/>
      <c r="K8966" s="24"/>
    </row>
    <row r="8967" customFormat="false" ht="15" hidden="false" customHeight="false" outlineLevel="0" collapsed="false">
      <c r="A8967" s="5" t="s">
        <v>319</v>
      </c>
      <c r="G8967" s="25" t="n">
        <f aca="false">G8926</f>
        <v>1281.0968</v>
      </c>
      <c r="H8967" s="25" t="n">
        <f aca="false">H8926</f>
        <v>1275.8968</v>
      </c>
      <c r="I8967" s="25" t="n">
        <f aca="false">I8926</f>
        <v>1270.6968</v>
      </c>
      <c r="J8967" s="25" t="n">
        <f aca="false">J8926</f>
        <v>1265.4968</v>
      </c>
      <c r="K8967" s="25" t="n">
        <f aca="false">K8926</f>
        <v>1260.2968</v>
      </c>
    </row>
    <row r="8968" customFormat="false" ht="15" hidden="false" customHeight="false" outlineLevel="0" collapsed="false">
      <c r="A8968" s="5" t="s">
        <v>320</v>
      </c>
      <c r="G8968" s="25" t="n">
        <f aca="false">Assumptions!$O$53*G8885+Assumptions!$O$54*G8898+Assumptions!$O$55*G8911+Assumptions!$O$56*G8924</f>
        <v>981.0968</v>
      </c>
      <c r="H8968" s="25" t="n">
        <f aca="false">Assumptions!$O$53*H8885+Assumptions!$O$54*H8898+Assumptions!$O$55*H8911+Assumptions!$O$56*H8924</f>
        <v>975.8968</v>
      </c>
      <c r="I8968" s="25" t="n">
        <f aca="false">Assumptions!$O$53*I8885+Assumptions!$O$54*I8898+Assumptions!$O$55*I8911+Assumptions!$O$56*I8924</f>
        <v>970.6968</v>
      </c>
      <c r="J8968" s="25" t="n">
        <f aca="false">Assumptions!$O$53*J8885+Assumptions!$O$54*J8898+Assumptions!$O$55*J8911+Assumptions!$O$56*J8924</f>
        <v>965.4968</v>
      </c>
      <c r="K8968" s="25" t="n">
        <f aca="false">Assumptions!$O$53*K8885+Assumptions!$O$54*K8898+Assumptions!$O$55*K8911+Assumptions!$O$56*K8924</f>
        <v>960.2968</v>
      </c>
    </row>
    <row r="8969" customFormat="false" ht="15" hidden="false" customHeight="false" outlineLevel="0" collapsed="false">
      <c r="A8969" s="5" t="s">
        <v>321</v>
      </c>
      <c r="G8969" s="25" t="n">
        <f aca="false">G8967-G8960</f>
        <v>1281.0968</v>
      </c>
      <c r="H8969" s="25" t="n">
        <f aca="false">H8967-H8960</f>
        <v>1397.2525292</v>
      </c>
      <c r="I8969" s="25" t="n">
        <f aca="false">I8967-I8960</f>
        <v>1507.398975152</v>
      </c>
      <c r="J8969" s="25" t="n">
        <f aca="false">J8967-J8960</f>
        <v>1603.29569141424</v>
      </c>
      <c r="K8969" s="25" t="n">
        <f aca="false">K8967-K8960</f>
        <v>1686.4808823404</v>
      </c>
    </row>
    <row r="8970" customFormat="false" ht="15" hidden="false" customHeight="false" outlineLevel="0" collapsed="false">
      <c r="A8970" s="5" t="s">
        <v>322</v>
      </c>
      <c r="G8970" s="31" t="n">
        <f aca="false">IF(G8848&gt;0,G8967/G8848,0)</f>
        <v>16.5413800227249</v>
      </c>
      <c r="H8970" s="31" t="n">
        <f aca="false">IF(H8848&gt;0,H8967/H8848,0)</f>
        <v>26.0868812807611</v>
      </c>
      <c r="I8970" s="31" t="n">
        <f aca="false">IF(I8848&gt;0,I8967/I8848,0)</f>
        <v>20.7088178018065</v>
      </c>
      <c r="J8970" s="31" t="n">
        <f aca="false">IF(J8848&gt;0,J8967/J8848,0)</f>
        <v>17.2611283222678</v>
      </c>
      <c r="K8970" s="31" t="n">
        <f aca="false">IF(K8848&gt;0,K8967/K8848,0)</f>
        <v>14.8227900209479</v>
      </c>
    </row>
    <row r="8971" customFormat="false" ht="15" hidden="false" customHeight="false" outlineLevel="0" collapsed="false">
      <c r="A8971" s="5" t="s">
        <v>323</v>
      </c>
      <c r="G8971" s="31" t="n">
        <f aca="false">IF(G8848&gt;0,G8969/G8848,0)</f>
        <v>16.5413800227249</v>
      </c>
      <c r="H8971" s="31" t="n">
        <f aca="false">IF(H8848&gt;0,H8969/H8848,0)</f>
        <v>28.5681105622991</v>
      </c>
      <c r="I8971" s="31" t="n">
        <f aca="false">IF(I8848&gt;0,I8969/I8848,0)</f>
        <v>24.5664038274533</v>
      </c>
      <c r="J8971" s="31" t="n">
        <f aca="false">IF(J8848&gt;0,J8969/J8848,0)</f>
        <v>21.8686389946149</v>
      </c>
      <c r="K8971" s="31" t="n">
        <f aca="false">IF(K8848&gt;0,K8969/K8848,0)</f>
        <v>19.8352895867661</v>
      </c>
    </row>
    <row r="8972" customFormat="false" ht="15" hidden="false" customHeight="false" outlineLevel="0" collapsed="false">
      <c r="A8972" s="5" t="s">
        <v>324</v>
      </c>
      <c r="G8972" s="31" t="n">
        <f aca="false">IF(G8852&gt;0,G8848/G8852,0)</f>
        <v>0.597869383974062</v>
      </c>
      <c r="H8972" s="31" t="n">
        <f aca="false">IF(H8852&gt;0,H8848/H8852,0)</f>
        <v>0.374027109660081</v>
      </c>
      <c r="I8972" s="31" t="n">
        <f aca="false">IF(I8852&gt;0,I8848/I8852,0)</f>
        <v>0.478071824514175</v>
      </c>
      <c r="J8972" s="31" t="n">
        <f aca="false">IF(J8852&gt;0,J8848/J8852,0)</f>
        <v>0.573840521753012</v>
      </c>
      <c r="K8972" s="31" t="n">
        <f aca="false">IF(K8852&gt;0,K8848/K8852,0)</f>
        <v>0.668565910880975</v>
      </c>
    </row>
    <row r="8973" customFormat="false" ht="15" hidden="false" customHeight="false" outlineLevel="0" collapsed="false">
      <c r="A8973" s="5" t="s">
        <v>325</v>
      </c>
      <c r="G8973" s="31" t="n">
        <f aca="false">IF(G8852&gt;0,G8851/G8852,0)</f>
        <v>0.222065771190366</v>
      </c>
      <c r="H8973" s="31" t="n">
        <f aca="false">IF(H8852&gt;0,H8851/H8852,0)</f>
        <v>0.0162620482460903</v>
      </c>
      <c r="I8973" s="31" t="n">
        <f aca="false">IF(I8852&gt;0,I8851/I8852,0)</f>
        <v>0.115396647296525</v>
      </c>
      <c r="J8973" s="31" t="n">
        <f aca="false">IF(J8852&gt;0,J8851/J8852,0)</f>
        <v>0.213140765222547</v>
      </c>
      <c r="K8973" s="31" t="n">
        <f aca="false">IF(K8852&gt;0,K8851/K8852,0)</f>
        <v>0.309823226993622</v>
      </c>
    </row>
    <row r="8974" customFormat="false" ht="15" hidden="false" customHeight="false" outlineLevel="0" collapsed="false">
      <c r="A8974" s="5" t="s">
        <v>182</v>
      </c>
      <c r="G8974" s="21" t="n">
        <f aca="false">IF(G8967&gt;0,G8861/G8967,0)</f>
        <v>-0.0593997268590477</v>
      </c>
      <c r="H8974" s="21" t="n">
        <f aca="false">IF(H8967&gt;0,H8861/H8967,0)</f>
        <v>-0.0910384987249753</v>
      </c>
      <c r="I8974" s="21" t="n">
        <f aca="false">IF(I8967&gt;0,I8861/I8967,0)</f>
        <v>-0.086681925973214</v>
      </c>
      <c r="J8974" s="21" t="n">
        <f aca="false">IF(J8967&gt;0,J8861/J8967,0)</f>
        <v>-0.0757779207835532</v>
      </c>
      <c r="K8974" s="21" t="n">
        <f aca="false">IF(K8967&gt;0,K8861/K8967,0)</f>
        <v>-0.0660044450848086</v>
      </c>
    </row>
    <row r="8975" customFormat="false" ht="15" hidden="false" customHeight="false" outlineLevel="0" collapsed="false">
      <c r="A8975" s="5" t="s">
        <v>326</v>
      </c>
      <c r="G8975" s="31" t="n">
        <f aca="false">IF(G8852+G8951&gt;0,(G8848-G8859-G8856)/(G8852+G8951),0)</f>
        <v>0.262763841472466</v>
      </c>
      <c r="H8975" s="31" t="n">
        <f aca="false">IF(H8852+H8951&gt;0,(H8848-H8859-H8856)/(H8852+H8951),0)</f>
        <v>0.0625604092748976</v>
      </c>
      <c r="I8975" s="31" t="n">
        <f aca="false">IF(I8852+I8951&gt;0,(I8848-I8859-I8856)/(I8852+I8951),0)</f>
        <v>0.158433508080696</v>
      </c>
      <c r="J8975" s="31" t="n">
        <f aca="false">IF(J8852+J8951&gt;0,(J8848-J8859-J8856)/(J8852+J8951),0)</f>
        <v>0.252067742993116</v>
      </c>
      <c r="K8975" s="31" t="n">
        <f aca="false">IF(K8852+K8951&gt;0,(K8848-K8859-K8856)/(K8852+K8951),0)</f>
        <v>0.344650334570687</v>
      </c>
    </row>
    <row r="8976" customFormat="false" ht="15" hidden="false" customHeight="false" outlineLevel="0" collapsed="false">
      <c r="A8976" s="5" t="s">
        <v>327</v>
      </c>
      <c r="G8976" s="25" t="n">
        <f aca="false">MAX(0,G8960)+Assumptions!$P$53*MAX(0,Assumptions!$D$53-G8885)+Assumptions!$P$54*MAX(0,Assumptions!$D$54-G8898)+Assumptions!$P$55*MAX(0,Assumptions!$D$55-G8911)+Assumptions!$P$56*MAX(0,Assumptions!$D$56-G8924)</f>
        <v>83.7032</v>
      </c>
      <c r="H8976" s="25" t="n">
        <f aca="false">MAX(0,H8960)+Assumptions!$P$53*MAX(0,Assumptions!$D$53-H8885)+Assumptions!$P$54*MAX(0,Assumptions!$D$54-H8898)+Assumptions!$P$55*MAX(0,Assumptions!$D$55-H8911)+Assumptions!$P$56*MAX(0,Assumptions!$D$56-H8924)</f>
        <v>83.7032</v>
      </c>
      <c r="I8976" s="25" t="n">
        <f aca="false">MAX(0,I8960)+Assumptions!$P$53*MAX(0,Assumptions!$D$53-I8885)+Assumptions!$P$54*MAX(0,Assumptions!$D$54-I8898)+Assumptions!$P$55*MAX(0,Assumptions!$D$55-I8911)+Assumptions!$P$56*MAX(0,Assumptions!$D$56-I8924)</f>
        <v>83.7032</v>
      </c>
      <c r="J8976" s="25" t="n">
        <f aca="false">MAX(0,J8960)+Assumptions!$P$53*MAX(0,Assumptions!$D$53-J8885)+Assumptions!$P$54*MAX(0,Assumptions!$D$54-J8898)+Assumptions!$P$55*MAX(0,Assumptions!$D$55-J8911)+Assumptions!$P$56*MAX(0,Assumptions!$D$56-J8924)</f>
        <v>83.7032</v>
      </c>
      <c r="K8976" s="25" t="n">
        <f aca="false">MAX(0,K8960)+Assumptions!$P$53*MAX(0,Assumptions!$D$53-K8885)+Assumptions!$P$54*MAX(0,Assumptions!$D$54-K8898)+Assumptions!$P$55*MAX(0,Assumptions!$D$55-K8911)+Assumptions!$P$56*MAX(0,Assumptions!$D$56-K8924)</f>
        <v>83.7032</v>
      </c>
    </row>
    <row r="8977" customFormat="false" ht="15" hidden="false" customHeight="false" outlineLevel="0" collapsed="false">
      <c r="A8977" s="5" t="s">
        <v>328</v>
      </c>
      <c r="G8977" s="21" t="n">
        <f aca="false">IF(G8967&gt;0,G8967/(G8967+MAX(0,G8848*CHOOSE($C$8831,Assumptions!$C$76,Assumptions!$C$95,Assumptions!$C$114)-G8969)),0)</f>
        <v>1</v>
      </c>
      <c r="H8977" s="21" t="n">
        <f aca="false">IF(H8967&gt;0,H8967/(H8967+MAX(0,H8848*CHOOSE($C$8831,Assumptions!$C$76,Assumptions!$C$95,Assumptions!$C$114)-H8969)),0)</f>
        <v>1</v>
      </c>
      <c r="I8977" s="21" t="n">
        <f aca="false">IF(I8967&gt;0,I8967/(I8967+MAX(0,I8848*CHOOSE($C$8831,Assumptions!$C$76,Assumptions!$C$95,Assumptions!$C$114)-I8969)),0)</f>
        <v>1</v>
      </c>
      <c r="J8977" s="21" t="n">
        <f aca="false">IF(J8967&gt;0,J8967/(J8967+MAX(0,J8848*CHOOSE($C$8831,Assumptions!$C$76,Assumptions!$C$95,Assumptions!$C$114)-J8969)),0)</f>
        <v>1</v>
      </c>
      <c r="K8977" s="21" t="n">
        <f aca="false">IF(K8967&gt;0,K8967/(K8967+MAX(0,K8848*CHOOSE($C$8831,Assumptions!$C$76,Assumptions!$C$95,Assumptions!$C$114)-K8969)),0)</f>
        <v>1</v>
      </c>
    </row>
    <row r="8978" customFormat="false" ht="15" hidden="false" customHeight="false" outlineLevel="0" collapsed="false">
      <c r="A8978" s="5" t="s">
        <v>329</v>
      </c>
      <c r="G8978" s="21" t="n">
        <f aca="false">IF(G8967&gt;0,MAX(0,G8960)/G8967,0)</f>
        <v>0</v>
      </c>
      <c r="H8978" s="21" t="n">
        <f aca="false">IF(H8967&gt;0,MAX(0,H8960)/H8967,0)</f>
        <v>0</v>
      </c>
      <c r="I8978" s="21" t="n">
        <f aca="false">IF(I8967&gt;0,MAX(0,I8960)/I8967,0)</f>
        <v>0</v>
      </c>
      <c r="J8978" s="21" t="n">
        <f aca="false">IF(J8967&gt;0,MAX(0,J8960)/J8967,0)</f>
        <v>0</v>
      </c>
      <c r="K8978" s="21" t="n">
        <f aca="false">IF(K8967&gt;0,MAX(0,K8960)/K8967,0)</f>
        <v>0</v>
      </c>
    </row>
    <row r="8979" customFormat="false" ht="15" hidden="false" customHeight="false" outlineLevel="0" collapsed="false">
      <c r="A8979" s="5" t="s">
        <v>330</v>
      </c>
      <c r="G8979" s="25" t="n">
        <f aca="false">Assumptions!$C$27*(1-CHOOSE($C$8831,Assumptions!$C$79,Assumptions!$C$98,Assumptions!$C$117))</f>
        <v>884</v>
      </c>
      <c r="H8979" s="25" t="n">
        <f aca="false">Assumptions!$C$27*(1-CHOOSE($C$8831,Assumptions!$C$79,Assumptions!$C$98,Assumptions!$C$117))</f>
        <v>884</v>
      </c>
      <c r="I8979" s="25" t="n">
        <f aca="false">Assumptions!$C$27*(1-CHOOSE($C$8831,Assumptions!$C$79,Assumptions!$C$98,Assumptions!$C$117))</f>
        <v>884</v>
      </c>
      <c r="J8979" s="25" t="n">
        <f aca="false">Assumptions!$C$27*(1-CHOOSE($C$8831,Assumptions!$C$79,Assumptions!$C$98,Assumptions!$C$117))</f>
        <v>884</v>
      </c>
      <c r="K8979" s="25" t="n">
        <f aca="false">Assumptions!$C$27*(1-CHOOSE($C$8831,Assumptions!$C$79,Assumptions!$C$98,Assumptions!$C$117))</f>
        <v>884</v>
      </c>
    </row>
    <row r="8980" customFormat="false" ht="15" hidden="false" customHeight="false" outlineLevel="0" collapsed="false">
      <c r="A8980" s="23" t="s">
        <v>331</v>
      </c>
      <c r="B8980" s="24"/>
      <c r="C8980" s="24"/>
      <c r="D8980" s="24"/>
      <c r="E8980" s="24"/>
      <c r="F8980" s="24"/>
      <c r="G8980" s="24"/>
      <c r="H8980" s="24"/>
      <c r="I8980" s="24"/>
      <c r="J8980" s="24"/>
      <c r="K8980" s="24"/>
    </row>
    <row r="8981" customFormat="false" ht="15" hidden="false" customHeight="false" outlineLevel="0" collapsed="false">
      <c r="A8981" s="23" t="s">
        <v>332</v>
      </c>
      <c r="B8981" s="24"/>
      <c r="C8981" s="24"/>
      <c r="D8981" s="24"/>
      <c r="E8981" s="24"/>
      <c r="F8981" s="24"/>
      <c r="G8981" s="24"/>
      <c r="H8981" s="24"/>
      <c r="I8981" s="24"/>
      <c r="J8981" s="24"/>
      <c r="K8981" s="24"/>
    </row>
    <row r="8982" customFormat="false" ht="15" hidden="false" customHeight="false" outlineLevel="0" collapsed="false">
      <c r="A8982" s="5" t="s">
        <v>333</v>
      </c>
      <c r="G8982" s="31" t="n">
        <f aca="false">IF(G8848&gt;0,G8969/G8848,99)</f>
        <v>16.5413800227249</v>
      </c>
      <c r="H8982" s="31" t="n">
        <f aca="false">IF(H8848&gt;0,H8969/H8848,99)</f>
        <v>28.5681105622991</v>
      </c>
      <c r="I8982" s="31" t="n">
        <f aca="false">IF(I8848&gt;0,I8969/I8848,99)</f>
        <v>24.5664038274533</v>
      </c>
      <c r="J8982" s="31" t="n">
        <f aca="false">IF(J8848&gt;0,J8969/J8848,99)</f>
        <v>21.8686389946149</v>
      </c>
      <c r="K8982" s="31" t="n">
        <f aca="false">IF(K8848&gt;0,K8969/K8848,99)</f>
        <v>19.8352895867661</v>
      </c>
    </row>
    <row r="8983" customFormat="false" ht="15" hidden="false" customHeight="false" outlineLevel="0" collapsed="false">
      <c r="A8983" s="5" t="s">
        <v>334</v>
      </c>
      <c r="G8983" s="32" t="n">
        <f aca="false">Assumptions!$G$61</f>
        <v>8.5</v>
      </c>
      <c r="H8983" s="32" t="n">
        <f aca="false">Assumptions!$H$61</f>
        <v>8.5</v>
      </c>
      <c r="I8983" s="32" t="n">
        <f aca="false">Assumptions!$I$61</f>
        <v>8.5</v>
      </c>
      <c r="J8983" s="32" t="n">
        <f aca="false">Assumptions!$J$61</f>
        <v>8.5</v>
      </c>
      <c r="K8983" s="32" t="n">
        <f aca="false">Assumptions!$K$61</f>
        <v>8.5</v>
      </c>
    </row>
    <row r="8984" customFormat="false" ht="15" hidden="false" customHeight="false" outlineLevel="0" collapsed="false">
      <c r="A8984" s="5" t="s">
        <v>335</v>
      </c>
      <c r="G8984" s="31" t="n">
        <f aca="false">G8983-G8982</f>
        <v>-8.04138002272492</v>
      </c>
      <c r="H8984" s="31" t="n">
        <f aca="false">H8983-H8982</f>
        <v>-20.0681105622991</v>
      </c>
      <c r="I8984" s="31" t="n">
        <f aca="false">I8983-I8982</f>
        <v>-16.0664038274533</v>
      </c>
      <c r="J8984" s="31" t="n">
        <f aca="false">J8983-J8982</f>
        <v>-13.3686389946149</v>
      </c>
      <c r="K8984" s="31" t="n">
        <f aca="false">K8983-K8982</f>
        <v>-11.3352895867661</v>
      </c>
    </row>
    <row r="8985" customFormat="false" ht="15" hidden="false" customHeight="false" outlineLevel="0" collapsed="false">
      <c r="A8985" s="5" t="s">
        <v>336</v>
      </c>
      <c r="G8985" s="21" t="n">
        <f aca="false">IF(G8983=0,0,G8984/ABS(G8983))</f>
        <v>-0.946044708555873</v>
      </c>
      <c r="H8985" s="21" t="n">
        <f aca="false">IF(H8983=0,0,H8984/ABS(H8983))</f>
        <v>-2.36095418379989</v>
      </c>
      <c r="I8985" s="21" t="n">
        <f aca="false">IF(I8983=0,0,I8984/ABS(I8983))</f>
        <v>-1.89016515617097</v>
      </c>
      <c r="J8985" s="21" t="n">
        <f aca="false">IF(J8983=0,0,J8984/ABS(J8983))</f>
        <v>-1.57278105818998</v>
      </c>
      <c r="K8985" s="21" t="n">
        <f aca="false">IF(K8983=0,0,K8984/ABS(K8983))</f>
        <v>-1.33356348079602</v>
      </c>
    </row>
    <row r="8986" customFormat="false" ht="15" hidden="false" customHeight="false" outlineLevel="0" collapsed="false">
      <c r="A8986" s="5" t="s">
        <v>337</v>
      </c>
      <c r="G8986" s="20" t="n">
        <f aca="false">IF(G8984&lt;0,1,0)</f>
        <v>1</v>
      </c>
      <c r="H8986" s="20" t="n">
        <f aca="false">IF(H8984&lt;0,1,0)</f>
        <v>1</v>
      </c>
      <c r="I8986" s="20" t="n">
        <f aca="false">IF(I8984&lt;0,1,0)</f>
        <v>1</v>
      </c>
      <c r="J8986" s="20" t="n">
        <f aca="false">IF(J8984&lt;0,1,0)</f>
        <v>1</v>
      </c>
      <c r="K8986" s="20" t="n">
        <f aca="false">IF(K8984&lt;0,1,0)</f>
        <v>1</v>
      </c>
    </row>
    <row r="8987" customFormat="false" ht="15" hidden="false" customHeight="false" outlineLevel="0" collapsed="false">
      <c r="A8987" s="5" t="s">
        <v>338</v>
      </c>
      <c r="C8987" s="20" t="n">
        <f aca="false">IFERROR(INDEX($G$8838:$K$8838,MATCH(1,$G$8986:$K$8986,0)),0)</f>
        <v>2026</v>
      </c>
    </row>
    <row r="8988" customFormat="false" ht="15" hidden="false" customHeight="false" outlineLevel="0" collapsed="false">
      <c r="A8988" s="5" t="s">
        <v>339</v>
      </c>
      <c r="C8988" s="21" t="n">
        <f aca="false">MIN($G$8985:$K$8985)</f>
        <v>-2.36095418379989</v>
      </c>
    </row>
    <row r="8989" customFormat="false" ht="15" hidden="false" customHeight="false" outlineLevel="0" collapsed="false">
      <c r="A8989" s="5" t="s">
        <v>340</v>
      </c>
      <c r="G8989" s="20" t="n">
        <f aca="false">G8986</f>
        <v>1</v>
      </c>
      <c r="H8989" s="20" t="n">
        <f aca="false">H8986</f>
        <v>1</v>
      </c>
      <c r="I8989" s="20" t="n">
        <f aca="false">I8986</f>
        <v>1</v>
      </c>
      <c r="J8989" s="20" t="n">
        <f aca="false">J8986</f>
        <v>1</v>
      </c>
      <c r="K8989" s="20" t="n">
        <f aca="false">K8986</f>
        <v>1</v>
      </c>
    </row>
    <row r="8990" customFormat="false" ht="15" hidden="false" customHeight="false" outlineLevel="0" collapsed="false">
      <c r="A8990" s="5" t="s">
        <v>341</v>
      </c>
      <c r="C8990" s="20" t="n">
        <f aca="false">SUM($G$8989:$K$8989)</f>
        <v>5</v>
      </c>
    </row>
    <row r="8991" customFormat="false" ht="15" hidden="false" customHeight="false" outlineLevel="0" collapsed="false">
      <c r="A8991" s="5" t="s">
        <v>342</v>
      </c>
      <c r="C8991" s="21" t="n">
        <f aca="false">MIN(C8988)</f>
        <v>-2.36095418379989</v>
      </c>
    </row>
    <row r="8993" customFormat="false" ht="15" hidden="false" customHeight="false" outlineLevel="0" collapsed="false">
      <c r="A8993" s="23" t="s">
        <v>444</v>
      </c>
      <c r="B8993" s="24"/>
      <c r="C8993" s="24"/>
      <c r="D8993" s="24"/>
      <c r="E8993" s="24"/>
      <c r="F8993" s="24"/>
      <c r="G8993" s="24"/>
      <c r="H8993" s="24"/>
      <c r="I8993" s="24"/>
      <c r="J8993" s="24"/>
      <c r="K8993" s="24"/>
    </row>
    <row r="8994" customFormat="false" ht="15" hidden="false" customHeight="false" outlineLevel="0" collapsed="false">
      <c r="A8994" s="5" t="s">
        <v>445</v>
      </c>
      <c r="G8994" s="20" t="n">
        <f aca="false">IF($C$8995=1,G8963,IF(G8848=MIN($G$8848:$K$8848),1,0))</f>
        <v>0</v>
      </c>
      <c r="H8994" s="20" t="n">
        <f aca="false">IF($C$8995=1,H8963,IF(AND(H8848=MIN($G$8848:$K$8848),SUM($G$8994:G8994)=0),1,0))</f>
        <v>1</v>
      </c>
      <c r="I8994" s="20" t="n">
        <f aca="false">IF($C$8995=1,I8963,IF(AND(I8848=MIN($G$8848:$K$8848),SUM($G$8994:H8994)=0),1,0))</f>
        <v>0</v>
      </c>
      <c r="J8994" s="20" t="n">
        <f aca="false">IF($C$8995=1,J8963,IF(AND(J8848=MIN($G$8848:$K$8848),SUM($G$8994:I8994)=0),1,0))</f>
        <v>0</v>
      </c>
      <c r="K8994" s="20" t="n">
        <f aca="false">IF($C$8995=1,K8963,IF(AND(K8848=MIN($G$8848:$K$8848),SUM($G$8994:J8994)=0),1,0))</f>
        <v>0</v>
      </c>
    </row>
    <row r="8995" customFormat="false" ht="15" hidden="false" customHeight="false" outlineLevel="0" collapsed="false">
      <c r="A8995" s="5" t="s">
        <v>446</v>
      </c>
      <c r="C8995" s="20" t="n">
        <f aca="false">IF(SUM($G$8963:$K$8963)&gt;0,1,0)</f>
        <v>1</v>
      </c>
    </row>
    <row r="8996" customFormat="false" ht="15" hidden="false" customHeight="false" outlineLevel="0" collapsed="false">
      <c r="A8996" s="5" t="s">
        <v>447</v>
      </c>
      <c r="C8996" s="20" t="n">
        <f aca="false">SUMPRODUCT($G$8994:$K$8994,$G$8838:$K$8838)</f>
        <v>2027</v>
      </c>
    </row>
    <row r="8997" customFormat="false" ht="15" hidden="false" customHeight="false" outlineLevel="0" collapsed="false">
      <c r="A8997" s="5" t="s">
        <v>448</v>
      </c>
      <c r="C8997" s="25" t="n">
        <f aca="false">SUMPRODUCT($G$8994:$K$8994,$G$8848:$K$8848)</f>
        <v>48.9095184</v>
      </c>
    </row>
    <row r="8998" customFormat="false" ht="15" hidden="false" customHeight="false" outlineLevel="0" collapsed="false">
      <c r="A8998" s="5" t="s">
        <v>449</v>
      </c>
      <c r="C8998" s="25" t="n">
        <f aca="false">MAX(0,SUMPRODUCT($G$8994:$K$8994,$G$8960:$K$8960))</f>
        <v>0</v>
      </c>
    </row>
    <row r="8999" customFormat="false" ht="15" hidden="false" customHeight="false" outlineLevel="0" collapsed="false">
      <c r="A8999" s="5" t="s">
        <v>450</v>
      </c>
      <c r="C8999" s="25" t="n">
        <f aca="false">(CHOOSE($C$8831,Assumptions!$C$78,Assumptions!$C$97,Assumptions!$C$116)+$C$8835)*C8997</f>
        <v>195.6380736</v>
      </c>
    </row>
    <row r="9000" customFormat="false" ht="15" hidden="false" customHeight="false" outlineLevel="0" collapsed="false">
      <c r="A9000" s="5" t="s">
        <v>451</v>
      </c>
      <c r="C9000" s="25" t="n">
        <f aca="false">Assumptions!$C$27*(1-CHOOSE($C$8831,Assumptions!$C$79,Assumptions!$C$98,Assumptions!$C$117))*CHOOSE($C$8831,Assumptions!$C$80,Assumptions!$C$99,Assumptions!$C$118)</f>
        <v>530.4</v>
      </c>
    </row>
    <row r="9001" customFormat="false" ht="15" hidden="false" customHeight="false" outlineLevel="0" collapsed="false">
      <c r="A9001" s="5" t="s">
        <v>452</v>
      </c>
      <c r="C9001" s="25" t="n">
        <f aca="false">MAX(C8999,C9000)+C8998</f>
        <v>530.4</v>
      </c>
    </row>
    <row r="9002" customFormat="false" ht="15" hidden="false" customHeight="false" outlineLevel="0" collapsed="false">
      <c r="A9002" s="2" t="s">
        <v>453</v>
      </c>
      <c r="C9002" s="16" t="n">
        <f aca="false">IF(ISNUMBER(Assumptions!$C$14),Assumptions!$C$14,C9001)</f>
        <v>530.4</v>
      </c>
    </row>
    <row r="9003" customFormat="false" ht="15" hidden="false" customHeight="false" outlineLevel="0" collapsed="false">
      <c r="A9003" s="5" t="s">
        <v>454</v>
      </c>
      <c r="C9003" s="25" t="n">
        <f aca="false">C9002*Assumptions!$C$15</f>
        <v>21.216</v>
      </c>
    </row>
    <row r="9004" customFormat="false" ht="15" hidden="false" customHeight="false" outlineLevel="0" collapsed="false">
      <c r="A9004" s="2" t="s">
        <v>455</v>
      </c>
      <c r="C9004" s="16" t="n">
        <f aca="false">C9002-C9003</f>
        <v>509.184</v>
      </c>
    </row>
    <row r="9005" customFormat="false" ht="15" hidden="false" customHeight="false" outlineLevel="0" collapsed="false">
      <c r="A9005" s="23" t="s">
        <v>456</v>
      </c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</row>
    <row r="9006" customFormat="false" ht="15" hidden="false" customHeight="false" outlineLevel="0" collapsed="false">
      <c r="A9006" s="5" t="s">
        <v>457</v>
      </c>
      <c r="C9006" s="25" t="n">
        <f aca="false">SUMPRODUCT($G$8994:$K$8994,$G$8885:$K$8885)*(1+SUMPRODUCT($G$8994:$K$8994,$G$8877:$K$8877)*Assumptions!$C$16/12)</f>
        <v>221.6231087</v>
      </c>
    </row>
    <row r="9007" customFormat="false" ht="15" hidden="false" customHeight="false" outlineLevel="0" collapsed="false">
      <c r="A9007" s="5" t="s">
        <v>458</v>
      </c>
      <c r="C9007" s="25" t="n">
        <f aca="false">SUMPRODUCT($G$8994:$K$8994,$G$8898:$K$8898)*(1+SUMPRODUCT($G$8994:$K$8994,$G$8890:$K$8890)*Assumptions!$C$16/12)</f>
        <v>524.3147</v>
      </c>
    </row>
    <row r="9008" customFormat="false" ht="15" hidden="false" customHeight="false" outlineLevel="0" collapsed="false">
      <c r="A9008" s="5" t="s">
        <v>459</v>
      </c>
      <c r="C9008" s="25" t="n">
        <f aca="false">SUMPRODUCT($G$8994:$K$8994,$G$8911:$K$8911)*(1+SUMPRODUCT($G$8994:$K$8994,$G$8903:$K$8903)*Assumptions!$C$16/12)</f>
        <v>256.875</v>
      </c>
    </row>
    <row r="9009" customFormat="false" ht="15" hidden="false" customHeight="false" outlineLevel="0" collapsed="false">
      <c r="A9009" s="5" t="s">
        <v>460</v>
      </c>
      <c r="C9009" s="25" t="n">
        <f aca="false">SUMPRODUCT($G$8994:$K$8994,$G$8924:$K$8924)*(1+SUMPRODUCT($G$8994:$K$8994,$G$8916:$K$8916)*Assumptions!$C$16/12)</f>
        <v>305.625</v>
      </c>
    </row>
    <row r="9010" customFormat="false" ht="15" hidden="false" customHeight="false" outlineLevel="0" collapsed="false">
      <c r="A9010" s="23" t="s">
        <v>461</v>
      </c>
      <c r="B9010" s="24"/>
      <c r="C9010" s="24"/>
      <c r="D9010" s="24"/>
      <c r="E9010" s="24"/>
      <c r="F9010" s="24"/>
      <c r="G9010" s="24"/>
      <c r="H9010" s="24"/>
      <c r="I9010" s="24"/>
      <c r="J9010" s="24"/>
      <c r="K9010" s="24"/>
    </row>
    <row r="9011" customFormat="false" ht="15" hidden="false" customHeight="false" outlineLevel="0" collapsed="false">
      <c r="A9011" s="5" t="s">
        <v>457</v>
      </c>
      <c r="C9011" s="26" t="n">
        <f aca="false">Assumptions!$M$53</f>
        <v>1</v>
      </c>
    </row>
    <row r="9012" customFormat="false" ht="15" hidden="false" customHeight="false" outlineLevel="0" collapsed="false">
      <c r="A9012" s="5" t="s">
        <v>458</v>
      </c>
      <c r="C9012" s="26" t="n">
        <f aca="false">Assumptions!$M$54</f>
        <v>2</v>
      </c>
    </row>
    <row r="9013" customFormat="false" ht="15" hidden="false" customHeight="false" outlineLevel="0" collapsed="false">
      <c r="A9013" s="5" t="s">
        <v>459</v>
      </c>
      <c r="C9013" s="26" t="n">
        <f aca="false">Assumptions!$M$55</f>
        <v>3</v>
      </c>
    </row>
    <row r="9014" customFormat="false" ht="15" hidden="false" customHeight="false" outlineLevel="0" collapsed="false">
      <c r="A9014" s="5" t="s">
        <v>460</v>
      </c>
      <c r="C9014" s="26" t="n">
        <f aca="false">Assumptions!$M$56</f>
        <v>4</v>
      </c>
    </row>
    <row r="9015" customFormat="false" ht="15" hidden="false" customHeight="false" outlineLevel="0" collapsed="false">
      <c r="A9015" s="23" t="s">
        <v>462</v>
      </c>
      <c r="B9015" s="24"/>
      <c r="C9015" s="24"/>
      <c r="D9015" s="24"/>
      <c r="E9015" s="24"/>
      <c r="F9015" s="24"/>
      <c r="G9015" s="24"/>
      <c r="H9015" s="24"/>
      <c r="I9015" s="24"/>
      <c r="J9015" s="24"/>
      <c r="K9015" s="24"/>
    </row>
    <row r="9016" customFormat="false" ht="15" hidden="false" customHeight="false" outlineLevel="0" collapsed="false">
      <c r="A9016" s="5" t="s">
        <v>457</v>
      </c>
      <c r="C9016" s="34" t="n">
        <f aca="false">Assumptions!$Q$53</f>
        <v>0</v>
      </c>
    </row>
    <row r="9017" customFormat="false" ht="15" hidden="false" customHeight="false" outlineLevel="0" collapsed="false">
      <c r="A9017" s="5" t="s">
        <v>458</v>
      </c>
      <c r="C9017" s="34" t="n">
        <f aca="false">Assumptions!$Q$54</f>
        <v>0</v>
      </c>
    </row>
    <row r="9018" customFormat="false" ht="15" hidden="false" customHeight="false" outlineLevel="0" collapsed="false">
      <c r="A9018" s="5" t="s">
        <v>459</v>
      </c>
      <c r="C9018" s="34" t="n">
        <f aca="false">Assumptions!$Q$55</f>
        <v>0</v>
      </c>
    </row>
    <row r="9019" customFormat="false" ht="15" hidden="false" customHeight="false" outlineLevel="0" collapsed="false">
      <c r="A9019" s="5" t="s">
        <v>460</v>
      </c>
      <c r="C9019" s="34" t="n">
        <f aca="false">Assumptions!$Q$56</f>
        <v>0</v>
      </c>
    </row>
    <row r="9020" customFormat="false" ht="15" hidden="false" customHeight="false" outlineLevel="0" collapsed="false">
      <c r="A9020" s="23" t="s">
        <v>463</v>
      </c>
      <c r="B9020" s="24"/>
      <c r="C9020" s="24"/>
      <c r="D9020" s="24"/>
      <c r="E9020" s="24"/>
      <c r="F9020" s="24"/>
      <c r="G9020" s="24"/>
      <c r="H9020" s="24"/>
      <c r="I9020" s="24"/>
      <c r="J9020" s="24"/>
      <c r="K9020" s="24"/>
    </row>
    <row r="9021" customFormat="false" ht="15" hidden="false" customHeight="false" outlineLevel="0" collapsed="false">
      <c r="A9021" s="5" t="s">
        <v>457</v>
      </c>
      <c r="C9021" s="25" t="n">
        <f aca="false">IF(C9016&gt;0,MIN(C9006,C9016*$C$9004),0)</f>
        <v>0</v>
      </c>
    </row>
    <row r="9022" customFormat="false" ht="15" hidden="false" customHeight="false" outlineLevel="0" collapsed="false">
      <c r="A9022" s="5" t="s">
        <v>458</v>
      </c>
      <c r="C9022" s="25" t="n">
        <f aca="false">IF(C9017&gt;0,MIN(C9007,C9017*$C$9004),0)</f>
        <v>0</v>
      </c>
    </row>
    <row r="9023" customFormat="false" ht="15" hidden="false" customHeight="false" outlineLevel="0" collapsed="false">
      <c r="A9023" s="5" t="s">
        <v>459</v>
      </c>
      <c r="C9023" s="25" t="n">
        <f aca="false">IF(C9018&gt;0,MIN(C9008,C9018*$C$9004),0)</f>
        <v>0</v>
      </c>
    </row>
    <row r="9024" customFormat="false" ht="15" hidden="false" customHeight="false" outlineLevel="0" collapsed="false">
      <c r="A9024" s="5" t="s">
        <v>460</v>
      </c>
      <c r="C9024" s="25" t="n">
        <f aca="false">IF(C9019&gt;0,MIN(C9009,C9019*$C$9004),0)</f>
        <v>0</v>
      </c>
    </row>
    <row r="9025" customFormat="false" ht="15" hidden="false" customHeight="false" outlineLevel="0" collapsed="false">
      <c r="A9025" s="23" t="s">
        <v>464</v>
      </c>
      <c r="B9025" s="24"/>
      <c r="C9025" s="24"/>
      <c r="D9025" s="24"/>
      <c r="E9025" s="24"/>
      <c r="F9025" s="24"/>
      <c r="G9025" s="24"/>
      <c r="H9025" s="24"/>
      <c r="I9025" s="24"/>
      <c r="J9025" s="24"/>
      <c r="K9025" s="24"/>
    </row>
    <row r="9026" customFormat="false" ht="15" hidden="false" customHeight="false" outlineLevel="0" collapsed="false">
      <c r="A9026" s="5" t="s">
        <v>457</v>
      </c>
      <c r="C9026" s="25" t="n">
        <f aca="false">IF(C9016&gt;0,C9006-C9021,0)</f>
        <v>0</v>
      </c>
      <c r="G9026" s="20" t="n">
        <f aca="false">IF(AND(G8875=1,G8872=1),1,0)</f>
        <v>0</v>
      </c>
      <c r="H9026" s="20" t="n">
        <f aca="false">IF(G9026=1,1,IF(AND(H8875=1,H8872=1),1,0))</f>
        <v>0</v>
      </c>
      <c r="I9026" s="20" t="n">
        <f aca="false">IF(H9026=1,1,IF(AND(I8875=1,I8872=1),1,0))</f>
        <v>0</v>
      </c>
      <c r="J9026" s="20" t="n">
        <f aca="false">IF(I9026=1,1,IF(AND(J8875=1,J8872=1),1,0))</f>
        <v>0</v>
      </c>
      <c r="K9026" s="20" t="n">
        <f aca="false">IF(J9026=1,1,IF(AND(K8875=1,K8872=1),1,0))</f>
        <v>0</v>
      </c>
    </row>
    <row r="9027" customFormat="false" ht="15" hidden="false" customHeight="false" outlineLevel="0" collapsed="false">
      <c r="A9027" s="5" t="s">
        <v>458</v>
      </c>
      <c r="C9027" s="25" t="n">
        <f aca="false">IF(C9017&gt;0,C9007-C9022,0)</f>
        <v>0</v>
      </c>
      <c r="G9027" s="20" t="n">
        <f aca="false">IF(AND(G8888=1,G8872=1),1,0)</f>
        <v>0</v>
      </c>
      <c r="H9027" s="20" t="n">
        <f aca="false">IF(G9027=1,1,IF(AND(H8888=1,H8872=1),1,0))</f>
        <v>0</v>
      </c>
      <c r="I9027" s="20" t="n">
        <f aca="false">IF(H9027=1,1,IF(AND(I8888=1,I8872=1),1,0))</f>
        <v>0</v>
      </c>
      <c r="J9027" s="20" t="n">
        <f aca="false">IF(I9027=1,1,IF(AND(J8888=1,J8872=1),1,0))</f>
        <v>0</v>
      </c>
      <c r="K9027" s="20" t="n">
        <f aca="false">IF(J9027=1,1,IF(AND(K8888=1,K8872=1),1,0))</f>
        <v>0</v>
      </c>
    </row>
    <row r="9028" customFormat="false" ht="15" hidden="false" customHeight="false" outlineLevel="0" collapsed="false">
      <c r="A9028" s="5" t="s">
        <v>459</v>
      </c>
      <c r="C9028" s="25" t="n">
        <f aca="false">IF(C9018&gt;0,C9008-C9023,0)</f>
        <v>0</v>
      </c>
      <c r="G9028" s="20" t="n">
        <f aca="false">IF(AND(G8901=1,G8872=1),1,0)</f>
        <v>0</v>
      </c>
      <c r="H9028" s="20" t="n">
        <f aca="false">IF(G9028=1,1,IF(AND(H8901=1,H8872=1),1,0))</f>
        <v>0</v>
      </c>
      <c r="I9028" s="20" t="n">
        <f aca="false">IF(H9028=1,1,IF(AND(I8901=1,I8872=1),1,0))</f>
        <v>0</v>
      </c>
      <c r="J9028" s="20" t="n">
        <f aca="false">IF(I9028=1,1,IF(AND(J8901=1,J8872=1),1,0))</f>
        <v>0</v>
      </c>
      <c r="K9028" s="20" t="n">
        <f aca="false">IF(J9028=1,1,IF(AND(K8901=1,K8872=1),1,0))</f>
        <v>0</v>
      </c>
    </row>
    <row r="9029" customFormat="false" ht="15" hidden="false" customHeight="false" outlineLevel="0" collapsed="false">
      <c r="A9029" s="5" t="s">
        <v>460</v>
      </c>
      <c r="C9029" s="25" t="n">
        <f aca="false">IF(C9019&gt;0,C9009-C9024,0)</f>
        <v>0</v>
      </c>
      <c r="G9029" s="20" t="n">
        <f aca="false">IF(AND(G8914=1,G8872=1),1,0)</f>
        <v>0</v>
      </c>
      <c r="H9029" s="20" t="n">
        <f aca="false">IF(G9029=1,1,IF(AND(H8914=1,H8872=1),1,0))</f>
        <v>0</v>
      </c>
      <c r="I9029" s="20" t="n">
        <f aca="false">IF(H9029=1,1,IF(AND(I8914=1,I8872=1),1,0))</f>
        <v>0</v>
      </c>
      <c r="J9029" s="20" t="n">
        <f aca="false">IF(I9029=1,1,IF(AND(J8914=1,J8872=1),1,0))</f>
        <v>0</v>
      </c>
      <c r="K9029" s="20" t="n">
        <f aca="false">IF(J9029=1,1,IF(AND(K8914=1,K8872=1),1,0))</f>
        <v>0</v>
      </c>
    </row>
    <row r="9030" customFormat="false" ht="15" hidden="false" customHeight="false" outlineLevel="0" collapsed="false">
      <c r="A9030" s="23" t="s">
        <v>465</v>
      </c>
      <c r="B9030" s="24"/>
      <c r="C9030" s="24"/>
      <c r="D9030" s="24"/>
      <c r="E9030" s="24"/>
      <c r="F9030" s="24"/>
      <c r="G9030" s="24"/>
      <c r="H9030" s="24"/>
      <c r="I9030" s="24"/>
      <c r="J9030" s="24"/>
      <c r="K9030" s="24"/>
    </row>
    <row r="9031" customFormat="false" ht="15" hidden="false" customHeight="false" outlineLevel="0" collapsed="false">
      <c r="A9031" s="5" t="s">
        <v>457</v>
      </c>
      <c r="C9031" s="25" t="n">
        <f aca="false">IF(C9016&gt;0,C9026,C9006)</f>
        <v>221.6231087</v>
      </c>
    </row>
    <row r="9032" customFormat="false" ht="15" hidden="false" customHeight="false" outlineLevel="0" collapsed="false">
      <c r="A9032" s="5" t="s">
        <v>458</v>
      </c>
      <c r="C9032" s="25" t="n">
        <f aca="false">IF(C9017&gt;0,C9027,C9007)</f>
        <v>524.3147</v>
      </c>
    </row>
    <row r="9033" customFormat="false" ht="15" hidden="false" customHeight="false" outlineLevel="0" collapsed="false">
      <c r="A9033" s="5" t="s">
        <v>459</v>
      </c>
      <c r="C9033" s="25" t="n">
        <f aca="false">IF(C9018&gt;0,C9028,C9008)</f>
        <v>256.875</v>
      </c>
    </row>
    <row r="9034" customFormat="false" ht="15" hidden="false" customHeight="false" outlineLevel="0" collapsed="false">
      <c r="A9034" s="5" t="s">
        <v>460</v>
      </c>
      <c r="C9034" s="25" t="n">
        <f aca="false">IF(C9019&gt;0,C9029,C9009)</f>
        <v>305.625</v>
      </c>
    </row>
    <row r="9035" customFormat="false" ht="15" hidden="false" customHeight="false" outlineLevel="0" collapsed="false">
      <c r="A9035" s="23" t="s">
        <v>466</v>
      </c>
      <c r="B9035" s="24"/>
      <c r="C9035" s="24"/>
      <c r="D9035" s="24"/>
      <c r="E9035" s="24"/>
      <c r="F9035" s="24"/>
      <c r="G9035" s="24"/>
      <c r="H9035" s="24"/>
      <c r="I9035" s="24"/>
      <c r="J9035" s="24"/>
      <c r="K9035" s="24"/>
    </row>
    <row r="9036" customFormat="false" ht="15" hidden="false" customHeight="false" outlineLevel="0" collapsed="false">
      <c r="A9036" s="5" t="s">
        <v>457</v>
      </c>
      <c r="C9036" s="20" t="n">
        <f aca="false">IF(C9016&gt;0,Assumptions!$C$17,C9011)</f>
        <v>1</v>
      </c>
    </row>
    <row r="9037" customFormat="false" ht="15" hidden="false" customHeight="false" outlineLevel="0" collapsed="false">
      <c r="A9037" s="5" t="s">
        <v>458</v>
      </c>
      <c r="C9037" s="20" t="n">
        <f aca="false">IF(C9017&gt;0,Assumptions!$C$17,C9012)</f>
        <v>2</v>
      </c>
    </row>
    <row r="9038" customFormat="false" ht="15" hidden="false" customHeight="false" outlineLevel="0" collapsed="false">
      <c r="A9038" s="5" t="s">
        <v>459</v>
      </c>
      <c r="C9038" s="20" t="n">
        <f aca="false">IF(C9018&gt;0,Assumptions!$C$17,C9013)</f>
        <v>3</v>
      </c>
    </row>
    <row r="9039" customFormat="false" ht="15" hidden="false" customHeight="false" outlineLevel="0" collapsed="false">
      <c r="A9039" s="5" t="s">
        <v>460</v>
      </c>
      <c r="C9039" s="20" t="n">
        <f aca="false">IF(C9019&gt;0,Assumptions!$C$17,C9014)</f>
        <v>4</v>
      </c>
    </row>
    <row r="9040" customFormat="false" ht="15" hidden="false" customHeight="false" outlineLevel="0" collapsed="false">
      <c r="A9040" s="23" t="s">
        <v>467</v>
      </c>
      <c r="B9040" s="24"/>
      <c r="C9040" s="24"/>
      <c r="D9040" s="24"/>
      <c r="E9040" s="24"/>
      <c r="F9040" s="24"/>
      <c r="G9040" s="24"/>
      <c r="H9040" s="24"/>
      <c r="I9040" s="24"/>
      <c r="J9040" s="24"/>
      <c r="K9040" s="24"/>
    </row>
    <row r="9041" customFormat="false" ht="15" hidden="false" customHeight="false" outlineLevel="0" collapsed="false">
      <c r="A9041" s="5" t="s">
        <v>457</v>
      </c>
      <c r="C9041" s="25" t="n">
        <f aca="false">SUMPRODUCT(($C$9036:$C$9039&lt;C9036)*$C$9031:$C$9034)</f>
        <v>0</v>
      </c>
    </row>
    <row r="9042" customFormat="false" ht="15" hidden="false" customHeight="false" outlineLevel="0" collapsed="false">
      <c r="A9042" s="5" t="s">
        <v>458</v>
      </c>
      <c r="C9042" s="25" t="n">
        <f aca="false">SUMPRODUCT(($C$9036:$C$9039&lt;C9037)*$C$9031:$C$9034)</f>
        <v>221.6231087</v>
      </c>
    </row>
    <row r="9043" customFormat="false" ht="15" hidden="false" customHeight="false" outlineLevel="0" collapsed="false">
      <c r="A9043" s="5" t="s">
        <v>459</v>
      </c>
      <c r="C9043" s="25" t="n">
        <f aca="false">SUMPRODUCT(($C$9036:$C$9039&lt;C9038)*$C$9031:$C$9034)</f>
        <v>745.9378087</v>
      </c>
    </row>
    <row r="9044" customFormat="false" ht="15" hidden="false" customHeight="false" outlineLevel="0" collapsed="false">
      <c r="A9044" s="5" t="s">
        <v>460</v>
      </c>
      <c r="C9044" s="25" t="n">
        <f aca="false">SUMPRODUCT(($C$9036:$C$9039&lt;C9039)*$C$9031:$C$9034)</f>
        <v>1002.8128087</v>
      </c>
    </row>
    <row r="9045" customFormat="false" ht="15" hidden="false" customHeight="false" outlineLevel="0" collapsed="false">
      <c r="A9045" s="23" t="s">
        <v>468</v>
      </c>
      <c r="B9045" s="24"/>
      <c r="C9045" s="24"/>
      <c r="D9045" s="24"/>
      <c r="E9045" s="24"/>
      <c r="F9045" s="24"/>
      <c r="G9045" s="24"/>
      <c r="H9045" s="24"/>
      <c r="I9045" s="24"/>
      <c r="J9045" s="24"/>
      <c r="K9045" s="24"/>
    </row>
    <row r="9046" customFormat="false" ht="15" hidden="false" customHeight="false" outlineLevel="0" collapsed="false">
      <c r="A9046" s="5" t="s">
        <v>457</v>
      </c>
      <c r="C9046" s="25" t="n">
        <f aca="false">SUMPRODUCT(($C$9036:$C$9039=C9036)*$C$9031:$C$9034)</f>
        <v>221.6231087</v>
      </c>
    </row>
    <row r="9047" customFormat="false" ht="15" hidden="false" customHeight="false" outlineLevel="0" collapsed="false">
      <c r="A9047" s="5" t="s">
        <v>458</v>
      </c>
      <c r="C9047" s="25" t="n">
        <f aca="false">SUMPRODUCT(($C$9036:$C$9039=C9037)*$C$9031:$C$9034)</f>
        <v>524.3147</v>
      </c>
    </row>
    <row r="9048" customFormat="false" ht="15" hidden="false" customHeight="false" outlineLevel="0" collapsed="false">
      <c r="A9048" s="5" t="s">
        <v>459</v>
      </c>
      <c r="C9048" s="25" t="n">
        <f aca="false">SUMPRODUCT(($C$9036:$C$9039=C9038)*$C$9031:$C$9034)</f>
        <v>256.875</v>
      </c>
    </row>
    <row r="9049" customFormat="false" ht="15" hidden="false" customHeight="false" outlineLevel="0" collapsed="false">
      <c r="A9049" s="5" t="s">
        <v>460</v>
      </c>
      <c r="C9049" s="25" t="n">
        <f aca="false">SUMPRODUCT(($C$9036:$C$9039=C9039)*$C$9031:$C$9034)</f>
        <v>305.625</v>
      </c>
    </row>
    <row r="9050" customFormat="false" ht="15" hidden="false" customHeight="false" outlineLevel="0" collapsed="false">
      <c r="A9050" s="23" t="s">
        <v>469</v>
      </c>
      <c r="B9050" s="24"/>
      <c r="C9050" s="24"/>
      <c r="D9050" s="24"/>
      <c r="E9050" s="24"/>
      <c r="F9050" s="24"/>
      <c r="G9050" s="24"/>
      <c r="H9050" s="24"/>
      <c r="I9050" s="24"/>
      <c r="J9050" s="24"/>
      <c r="K9050" s="24"/>
    </row>
    <row r="9051" customFormat="false" ht="15" hidden="false" customHeight="false" outlineLevel="0" collapsed="false">
      <c r="A9051" s="5" t="s">
        <v>457</v>
      </c>
      <c r="C9051" s="25" t="n">
        <f aca="false">IF(C9046=0,0,C9031/C9046*MAX(0,MIN(C9046,$C$9004-SUM($C$9021:$C$9024)-C9041)))</f>
        <v>221.6231087</v>
      </c>
    </row>
    <row r="9052" customFormat="false" ht="15" hidden="false" customHeight="false" outlineLevel="0" collapsed="false">
      <c r="A9052" s="5" t="s">
        <v>458</v>
      </c>
      <c r="C9052" s="25" t="n">
        <f aca="false">IF(C9047=0,0,C9032/C9047*MAX(0,MIN(C9047,$C$9004-SUM($C$9021:$C$9024)-C9042)))</f>
        <v>287.5608913</v>
      </c>
    </row>
    <row r="9053" customFormat="false" ht="15" hidden="false" customHeight="false" outlineLevel="0" collapsed="false">
      <c r="A9053" s="5" t="s">
        <v>459</v>
      </c>
      <c r="C9053" s="25" t="n">
        <f aca="false">IF(C9048=0,0,C9033/C9048*MAX(0,MIN(C9048,$C$9004-SUM($C$9021:$C$9024)-C9043)))</f>
        <v>0</v>
      </c>
    </row>
    <row r="9054" customFormat="false" ht="15" hidden="false" customHeight="false" outlineLevel="0" collapsed="false">
      <c r="A9054" s="5" t="s">
        <v>460</v>
      </c>
      <c r="C9054" s="25" t="n">
        <f aca="false">IF(C9049=0,0,C9034/C9049*MAX(0,MIN(C9049,$C$9004-SUM($C$9021:$C$9024)-C9044)))</f>
        <v>0</v>
      </c>
    </row>
    <row r="9055" customFormat="false" ht="15" hidden="false" customHeight="false" outlineLevel="0" collapsed="false">
      <c r="A9055" s="23" t="s">
        <v>470</v>
      </c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</row>
    <row r="9056" customFormat="false" ht="15" hidden="false" customHeight="false" outlineLevel="0" collapsed="false">
      <c r="A9056" s="2" t="s">
        <v>457</v>
      </c>
      <c r="C9056" s="16" t="n">
        <f aca="false">C9021+C9051</f>
        <v>221.6231087</v>
      </c>
    </row>
    <row r="9057" customFormat="false" ht="15" hidden="false" customHeight="false" outlineLevel="0" collapsed="false">
      <c r="A9057" s="2" t="s">
        <v>458</v>
      </c>
      <c r="C9057" s="16" t="n">
        <f aca="false">C9022+C9052</f>
        <v>287.5608913</v>
      </c>
    </row>
    <row r="9058" customFormat="false" ht="15" hidden="false" customHeight="false" outlineLevel="0" collapsed="false">
      <c r="A9058" s="2" t="s">
        <v>459</v>
      </c>
      <c r="C9058" s="16" t="n">
        <f aca="false">C9023+C9053</f>
        <v>0</v>
      </c>
    </row>
    <row r="9059" customFormat="false" ht="15" hidden="false" customHeight="false" outlineLevel="0" collapsed="false">
      <c r="A9059" s="2" t="s">
        <v>460</v>
      </c>
      <c r="C9059" s="16" t="n">
        <f aca="false">C9024+C9054</f>
        <v>0</v>
      </c>
    </row>
    <row r="9060" customFormat="false" ht="15" hidden="false" customHeight="false" outlineLevel="0" collapsed="false">
      <c r="A9060" s="23" t="s">
        <v>471</v>
      </c>
      <c r="B9060" s="24"/>
      <c r="C9060" s="24"/>
      <c r="D9060" s="24"/>
      <c r="E9060" s="24"/>
      <c r="F9060" s="24"/>
      <c r="G9060" s="24"/>
      <c r="H9060" s="24"/>
      <c r="I9060" s="24"/>
      <c r="J9060" s="24"/>
      <c r="K9060" s="24"/>
    </row>
    <row r="9061" customFormat="false" ht="15" hidden="false" customHeight="false" outlineLevel="0" collapsed="false">
      <c r="A9061" s="5" t="s">
        <v>457</v>
      </c>
      <c r="C9061" s="21" t="n">
        <f aca="false">IF(C9006=0,1,C9056/C9006)</f>
        <v>1</v>
      </c>
    </row>
    <row r="9062" customFormat="false" ht="15" hidden="false" customHeight="false" outlineLevel="0" collapsed="false">
      <c r="A9062" s="5" t="s">
        <v>458</v>
      </c>
      <c r="C9062" s="21" t="n">
        <f aca="false">IF(C9007=0,1,C9057/C9007)</f>
        <v>0.548450942344359</v>
      </c>
    </row>
    <row r="9063" customFormat="false" ht="15" hidden="false" customHeight="false" outlineLevel="0" collapsed="false">
      <c r="A9063" s="5" t="s">
        <v>459</v>
      </c>
      <c r="C9063" s="21" t="n">
        <f aca="false">IF(C9008=0,1,C9058/C9008)</f>
        <v>0</v>
      </c>
    </row>
    <row r="9064" customFormat="false" ht="15" hidden="false" customHeight="false" outlineLevel="0" collapsed="false">
      <c r="A9064" s="5" t="s">
        <v>460</v>
      </c>
      <c r="C9064" s="21" t="n">
        <f aca="false">IF(C9009=0,1,C9059/C9009)</f>
        <v>0</v>
      </c>
    </row>
    <row r="9065" customFormat="false" ht="15" hidden="false" customHeight="false" outlineLevel="0" collapsed="false">
      <c r="A9065" s="23" t="s">
        <v>472</v>
      </c>
      <c r="B9065" s="24"/>
      <c r="C9065" s="24"/>
      <c r="D9065" s="24"/>
      <c r="E9065" s="24"/>
      <c r="F9065" s="24"/>
      <c r="G9065" s="24"/>
      <c r="H9065" s="24"/>
      <c r="I9065" s="24"/>
      <c r="J9065" s="24"/>
      <c r="K9065" s="24"/>
    </row>
    <row r="9066" customFormat="false" ht="15" hidden="false" customHeight="false" outlineLevel="0" collapsed="false">
      <c r="A9066" s="5" t="s">
        <v>457</v>
      </c>
      <c r="C9066" s="25" t="n">
        <f aca="false">C9006-C9056</f>
        <v>0</v>
      </c>
    </row>
    <row r="9067" customFormat="false" ht="15" hidden="false" customHeight="false" outlineLevel="0" collapsed="false">
      <c r="A9067" s="5" t="s">
        <v>458</v>
      </c>
      <c r="C9067" s="25" t="n">
        <f aca="false">C9007-C9057</f>
        <v>236.7538087</v>
      </c>
    </row>
    <row r="9068" customFormat="false" ht="15" hidden="false" customHeight="false" outlineLevel="0" collapsed="false">
      <c r="A9068" s="5" t="s">
        <v>459</v>
      </c>
      <c r="C9068" s="25" t="n">
        <f aca="false">C9008-C9058</f>
        <v>256.875</v>
      </c>
    </row>
    <row r="9069" customFormat="false" ht="15" hidden="false" customHeight="false" outlineLevel="0" collapsed="false">
      <c r="A9069" s="5" t="s">
        <v>460</v>
      </c>
      <c r="C9069" s="25" t="n">
        <f aca="false">C9009-C9059</f>
        <v>305.625</v>
      </c>
    </row>
    <row r="9070" customFormat="false" ht="15" hidden="false" customHeight="false" outlineLevel="0" collapsed="false">
      <c r="A9070" s="23" t="s">
        <v>473</v>
      </c>
      <c r="B9070" s="24"/>
      <c r="C9070" s="24"/>
      <c r="D9070" s="24"/>
      <c r="E9070" s="24"/>
      <c r="F9070" s="24"/>
      <c r="G9070" s="24"/>
      <c r="H9070" s="24"/>
      <c r="I9070" s="24"/>
      <c r="J9070" s="24"/>
      <c r="K9070" s="24"/>
    </row>
    <row r="9071" customFormat="false" ht="15" hidden="false" customHeight="false" outlineLevel="0" collapsed="false">
      <c r="A9071" s="5" t="s">
        <v>457</v>
      </c>
      <c r="C9071" s="21" t="n">
        <f aca="false">IF(C9006=0,0,C9066/C9006)</f>
        <v>0</v>
      </c>
    </row>
    <row r="9072" customFormat="false" ht="15" hidden="false" customHeight="false" outlineLevel="0" collapsed="false">
      <c r="A9072" s="5" t="s">
        <v>458</v>
      </c>
      <c r="C9072" s="21" t="n">
        <f aca="false">IF(C9007=0,0,C9067/C9007)</f>
        <v>0.451549057655641</v>
      </c>
    </row>
    <row r="9073" customFormat="false" ht="15" hidden="false" customHeight="false" outlineLevel="0" collapsed="false">
      <c r="A9073" s="5" t="s">
        <v>459</v>
      </c>
      <c r="C9073" s="21" t="n">
        <f aca="false">IF(C9008=0,0,C9068/C9008)</f>
        <v>1</v>
      </c>
    </row>
    <row r="9074" customFormat="false" ht="15" hidden="false" customHeight="false" outlineLevel="0" collapsed="false">
      <c r="A9074" s="5" t="s">
        <v>460</v>
      </c>
      <c r="C9074" s="21" t="n">
        <f aca="false">IF(C9009=0,0,C9069/C9009)</f>
        <v>1</v>
      </c>
    </row>
    <row r="9075" customFormat="false" ht="15" hidden="false" customHeight="false" outlineLevel="0" collapsed="false">
      <c r="A9075" s="2" t="s">
        <v>474</v>
      </c>
      <c r="C9075" s="16" t="n">
        <f aca="false">MAX(0,$C$9004-SUM($C$9021:$C$9024)-SUM($C$9031:$C$9034))</f>
        <v>0</v>
      </c>
    </row>
    <row r="9076" customFormat="false" ht="15" hidden="false" customHeight="false" outlineLevel="0" collapsed="false">
      <c r="A9076" s="5" t="s">
        <v>475</v>
      </c>
      <c r="C9076" s="25" t="n">
        <f aca="false">SUM($C$9056:$C$9059)+C9075+C9003-C9002</f>
        <v>0</v>
      </c>
    </row>
    <row r="9078" customFormat="false" ht="15" hidden="false" customHeight="false" outlineLevel="0" collapsed="false">
      <c r="A9078" s="23" t="s">
        <v>478</v>
      </c>
      <c r="B9078" s="24"/>
      <c r="C9078" s="24"/>
      <c r="D9078" s="24"/>
      <c r="E9078" s="24"/>
      <c r="F9078" s="24"/>
      <c r="G9078" s="24"/>
      <c r="H9078" s="24"/>
      <c r="I9078" s="24"/>
      <c r="J9078" s="24"/>
      <c r="K9078" s="24"/>
    </row>
    <row r="9079" customFormat="false" ht="15" hidden="false" customHeight="false" outlineLevel="0" collapsed="false">
      <c r="A9079" s="5" t="s">
        <v>479</v>
      </c>
      <c r="C9079" s="26" t="n">
        <f aca="false">Assumptions!$C$30</f>
        <v>2</v>
      </c>
    </row>
    <row r="9080" customFormat="false" ht="15" hidden="false" customHeight="false" outlineLevel="0" collapsed="false">
      <c r="A9080" s="5" t="s">
        <v>480</v>
      </c>
      <c r="C9080" s="28" t="n">
        <f aca="false">Assumptions!$C$31</f>
        <v>100</v>
      </c>
    </row>
    <row r="9081" customFormat="false" ht="15" hidden="false" customHeight="false" outlineLevel="0" collapsed="false">
      <c r="A9081" s="5" t="s">
        <v>481</v>
      </c>
      <c r="C9081" s="39" t="n">
        <f aca="false">Assumptions!$C$32</f>
        <v>78</v>
      </c>
    </row>
    <row r="9082" customFormat="false" ht="15" hidden="false" customHeight="false" outlineLevel="0" collapsed="false">
      <c r="A9082" s="5" t="s">
        <v>482</v>
      </c>
      <c r="C9082" s="25" t="n">
        <f aca="false">C9080*C9081/100*(1+Assumptions!$C$33)</f>
        <v>78.39</v>
      </c>
    </row>
    <row r="9083" customFormat="false" ht="15" hidden="false" customHeight="false" outlineLevel="0" collapsed="false">
      <c r="A9083" s="5" t="s">
        <v>483</v>
      </c>
      <c r="C9083" s="26" t="n">
        <f aca="false">Assumptions!$C$34</f>
        <v>2</v>
      </c>
    </row>
    <row r="9084" customFormat="false" ht="15" hidden="false" customHeight="false" outlineLevel="0" collapsed="false">
      <c r="A9084" s="5" t="s">
        <v>484</v>
      </c>
      <c r="C9084" s="20" t="n">
        <f aca="false">IF(C8995=1,SUMPRODUCT($G$8963:$K$8963,$G$8839:$K$8839),0)</f>
        <v>2</v>
      </c>
    </row>
    <row r="9085" customFormat="false" ht="15" hidden="false" customHeight="false" outlineLevel="0" collapsed="false">
      <c r="A9085" s="5" t="s">
        <v>485</v>
      </c>
      <c r="C9085" s="21" t="n">
        <f aca="false">IFERROR(C9080/CHOOSE(C9079,SUMPRODUCT($G$8994:$K$8994,$G$8885:$K$8885),SUMPRODUCT($G$8994:$K$8994,$G$8898:$K$8898),SUMPRODUCT($G$8994:$K$8994,$G$8911:$K$8911),SUMPRODUCT($G$8994:$K$8994,$G$8924:$K$8924)),0)</f>
        <v>0.196232339089482</v>
      </c>
    </row>
    <row r="9086" customFormat="false" ht="15" hidden="false" customHeight="false" outlineLevel="0" collapsed="false">
      <c r="A9086" s="5" t="s">
        <v>486</v>
      </c>
      <c r="C9086" s="25" t="n">
        <f aca="false">CHOOSE(C9079,C9056,C9057,C9058,C9059)*C9085</f>
        <v>56.4287463304553</v>
      </c>
    </row>
    <row r="9087" customFormat="false" ht="15" hidden="false" customHeight="false" outlineLevel="0" collapsed="false">
      <c r="A9087" s="5" t="s">
        <v>487</v>
      </c>
      <c r="C9087" s="21" t="n">
        <f aca="false">CHOOSE(C9079,C9061,C9062,C9063,C9064)</f>
        <v>0.548450942344359</v>
      </c>
    </row>
    <row r="9088" customFormat="false" ht="15" hidden="false" customHeight="false" outlineLevel="0" collapsed="false">
      <c r="A9088" s="5" t="s">
        <v>488</v>
      </c>
      <c r="C9088" s="20" t="n">
        <f aca="false">IF(C8995=1,C9084,C9083)</f>
        <v>2</v>
      </c>
    </row>
    <row r="9089" customFormat="false" ht="15" hidden="false" customHeight="false" outlineLevel="0" collapsed="false">
      <c r="A9089" s="5" t="s">
        <v>489</v>
      </c>
      <c r="C9089" s="33" t="n">
        <f aca="false">CHOOSE($C$8831,Assumptions!$C$77,Assumptions!$C$96,Assumptions!$C$115)</f>
        <v>90</v>
      </c>
    </row>
    <row r="9090" customFormat="false" ht="15" hidden="false" customHeight="false" outlineLevel="0" collapsed="false">
      <c r="A9090" s="5" t="s">
        <v>490</v>
      </c>
      <c r="C9090" s="25" t="n">
        <f aca="false">INDEX($G$8848:$K$8848,C9083)*CHOOSE($C$8831,Assumptions!$C$76,Assumptions!$C$95,Assumptions!$C$114)+MAX(0,INDEX($G$8960:$K$8960,C9083))</f>
        <v>244.547592</v>
      </c>
    </row>
    <row r="9091" customFormat="false" ht="15" hidden="false" customHeight="false" outlineLevel="0" collapsed="false">
      <c r="A9091" s="23" t="s">
        <v>491</v>
      </c>
      <c r="B9091" s="24"/>
      <c r="C9091" s="24"/>
      <c r="D9091" s="24"/>
      <c r="E9091" s="24"/>
      <c r="F9091" s="24"/>
      <c r="G9091" s="24"/>
      <c r="H9091" s="24"/>
      <c r="I9091" s="24"/>
      <c r="J9091" s="24"/>
      <c r="K9091" s="24"/>
    </row>
    <row r="9092" customFormat="false" ht="15" hidden="false" customHeight="false" outlineLevel="0" collapsed="false">
      <c r="A9092" s="5" t="s">
        <v>457</v>
      </c>
      <c r="C9092" s="25" t="n">
        <f aca="false">INDEX($G$8885:$K$8885,C9083)</f>
        <v>216.2968</v>
      </c>
    </row>
    <row r="9093" customFormat="false" ht="15" hidden="false" customHeight="false" outlineLevel="0" collapsed="false">
      <c r="A9093" s="5" t="s">
        <v>458</v>
      </c>
      <c r="C9093" s="25" t="n">
        <f aca="false">INDEX($G$8898:$K$8898,C9083)</f>
        <v>509.6</v>
      </c>
    </row>
    <row r="9094" customFormat="false" ht="15" hidden="false" customHeight="false" outlineLevel="0" collapsed="false">
      <c r="A9094" s="5" t="s">
        <v>459</v>
      </c>
      <c r="C9094" s="25" t="n">
        <f aca="false">INDEX($G$8911:$K$8911,C9083)</f>
        <v>250</v>
      </c>
    </row>
    <row r="9095" customFormat="false" ht="15" hidden="false" customHeight="false" outlineLevel="0" collapsed="false">
      <c r="A9095" s="5" t="s">
        <v>460</v>
      </c>
      <c r="C9095" s="25" t="n">
        <f aca="false">INDEX($G$8924:$K$8924,C9083)</f>
        <v>300</v>
      </c>
    </row>
    <row r="9096" customFormat="false" ht="15" hidden="false" customHeight="false" outlineLevel="0" collapsed="false">
      <c r="A9096" s="23" t="s">
        <v>461</v>
      </c>
      <c r="B9096" s="24"/>
      <c r="C9096" s="24"/>
      <c r="D9096" s="24"/>
      <c r="E9096" s="24"/>
      <c r="F9096" s="24"/>
      <c r="G9096" s="24"/>
      <c r="H9096" s="24"/>
      <c r="I9096" s="24"/>
      <c r="J9096" s="24"/>
      <c r="K9096" s="24"/>
    </row>
    <row r="9097" customFormat="false" ht="15" hidden="false" customHeight="false" outlineLevel="0" collapsed="false">
      <c r="A9097" s="5" t="s">
        <v>457</v>
      </c>
      <c r="C9097" s="26" t="n">
        <f aca="false">Assumptions!$M$53</f>
        <v>1</v>
      </c>
    </row>
    <row r="9098" customFormat="false" ht="15" hidden="false" customHeight="false" outlineLevel="0" collapsed="false">
      <c r="A9098" s="5" t="s">
        <v>458</v>
      </c>
      <c r="C9098" s="26" t="n">
        <f aca="false">Assumptions!$M$54</f>
        <v>2</v>
      </c>
    </row>
    <row r="9099" customFormat="false" ht="15" hidden="false" customHeight="false" outlineLevel="0" collapsed="false">
      <c r="A9099" s="5" t="s">
        <v>459</v>
      </c>
      <c r="C9099" s="26" t="n">
        <f aca="false">Assumptions!$M$55</f>
        <v>3</v>
      </c>
    </row>
    <row r="9100" customFormat="false" ht="15" hidden="false" customHeight="false" outlineLevel="0" collapsed="false">
      <c r="A9100" s="5" t="s">
        <v>460</v>
      </c>
      <c r="C9100" s="26" t="n">
        <f aca="false">Assumptions!$M$56</f>
        <v>4</v>
      </c>
    </row>
    <row r="9101" customFormat="false" ht="15" hidden="false" customHeight="false" outlineLevel="0" collapsed="false">
      <c r="A9101" s="23" t="s">
        <v>462</v>
      </c>
      <c r="B9101" s="24"/>
      <c r="C9101" s="24"/>
      <c r="D9101" s="24"/>
      <c r="E9101" s="24"/>
      <c r="F9101" s="24"/>
      <c r="G9101" s="24"/>
      <c r="H9101" s="24"/>
      <c r="I9101" s="24"/>
      <c r="J9101" s="24"/>
      <c r="K9101" s="24"/>
    </row>
    <row r="9102" customFormat="false" ht="15" hidden="false" customHeight="false" outlineLevel="0" collapsed="false">
      <c r="A9102" s="5" t="s">
        <v>457</v>
      </c>
      <c r="C9102" s="34" t="n">
        <f aca="false">Assumptions!$Q$53</f>
        <v>0</v>
      </c>
    </row>
    <row r="9103" customFormat="false" ht="15" hidden="false" customHeight="false" outlineLevel="0" collapsed="false">
      <c r="A9103" s="5" t="s">
        <v>458</v>
      </c>
      <c r="C9103" s="34" t="n">
        <f aca="false">Assumptions!$Q$54</f>
        <v>0</v>
      </c>
    </row>
    <row r="9104" customFormat="false" ht="15" hidden="false" customHeight="false" outlineLevel="0" collapsed="false">
      <c r="A9104" s="5" t="s">
        <v>459</v>
      </c>
      <c r="C9104" s="34" t="n">
        <f aca="false">Assumptions!$Q$55</f>
        <v>0</v>
      </c>
    </row>
    <row r="9105" customFormat="false" ht="15" hidden="false" customHeight="false" outlineLevel="0" collapsed="false">
      <c r="A9105" s="5" t="s">
        <v>460</v>
      </c>
      <c r="C9105" s="34" t="n">
        <f aca="false">Assumptions!$Q$56</f>
        <v>0</v>
      </c>
    </row>
    <row r="9106" customFormat="false" ht="15" hidden="false" customHeight="false" outlineLevel="0" collapsed="false">
      <c r="A9106" s="23" t="s">
        <v>463</v>
      </c>
      <c r="B9106" s="24"/>
      <c r="C9106" s="24"/>
      <c r="D9106" s="24"/>
      <c r="E9106" s="24"/>
      <c r="F9106" s="24"/>
      <c r="G9106" s="24"/>
      <c r="H9106" s="24"/>
      <c r="I9106" s="24"/>
      <c r="J9106" s="24"/>
      <c r="K9106" s="24"/>
    </row>
    <row r="9107" customFormat="false" ht="15" hidden="false" customHeight="false" outlineLevel="0" collapsed="false">
      <c r="A9107" s="5" t="s">
        <v>457</v>
      </c>
      <c r="C9107" s="25" t="n">
        <f aca="false">IF(C9102&gt;0,MIN(C9092,C9102*$C$9090),0)</f>
        <v>0</v>
      </c>
    </row>
    <row r="9108" customFormat="false" ht="15" hidden="false" customHeight="false" outlineLevel="0" collapsed="false">
      <c r="A9108" s="5" t="s">
        <v>458</v>
      </c>
      <c r="C9108" s="25" t="n">
        <f aca="false">IF(C9103&gt;0,MIN(C9093,C9103*$C$9090),0)</f>
        <v>0</v>
      </c>
    </row>
    <row r="9109" customFormat="false" ht="15" hidden="false" customHeight="false" outlineLevel="0" collapsed="false">
      <c r="A9109" s="5" t="s">
        <v>459</v>
      </c>
      <c r="C9109" s="25" t="n">
        <f aca="false">IF(C9104&gt;0,MIN(C9094,C9104*$C$9090),0)</f>
        <v>0</v>
      </c>
    </row>
    <row r="9110" customFormat="false" ht="15" hidden="false" customHeight="false" outlineLevel="0" collapsed="false">
      <c r="A9110" s="5" t="s">
        <v>460</v>
      </c>
      <c r="C9110" s="25" t="n">
        <f aca="false">IF(C9105&gt;0,MIN(C9095,C9105*$C$9090),0)</f>
        <v>0</v>
      </c>
    </row>
    <row r="9111" customFormat="false" ht="15" hidden="false" customHeight="false" outlineLevel="0" collapsed="false">
      <c r="A9111" s="23" t="s">
        <v>464</v>
      </c>
      <c r="B9111" s="24"/>
      <c r="C9111" s="24"/>
      <c r="D9111" s="24"/>
      <c r="E9111" s="24"/>
      <c r="F9111" s="24"/>
      <c r="G9111" s="24"/>
      <c r="H9111" s="24"/>
      <c r="I9111" s="24"/>
      <c r="J9111" s="24"/>
      <c r="K9111" s="24"/>
    </row>
    <row r="9112" customFormat="false" ht="15" hidden="false" customHeight="false" outlineLevel="0" collapsed="false">
      <c r="A9112" s="5" t="s">
        <v>457</v>
      </c>
      <c r="C9112" s="25" t="n">
        <f aca="false">IF(C9102&gt;0,C9092-C9107,0)</f>
        <v>0</v>
      </c>
    </row>
    <row r="9113" customFormat="false" ht="15" hidden="false" customHeight="false" outlineLevel="0" collapsed="false">
      <c r="A9113" s="5" t="s">
        <v>458</v>
      </c>
      <c r="C9113" s="25" t="n">
        <f aca="false">IF(C9103&gt;0,C9093-C9108,0)</f>
        <v>0</v>
      </c>
    </row>
    <row r="9114" customFormat="false" ht="15" hidden="false" customHeight="false" outlineLevel="0" collapsed="false">
      <c r="A9114" s="5" t="s">
        <v>459</v>
      </c>
      <c r="C9114" s="25" t="n">
        <f aca="false">IF(C9104&gt;0,C9094-C9109,0)</f>
        <v>0</v>
      </c>
    </row>
    <row r="9115" customFormat="false" ht="15" hidden="false" customHeight="false" outlineLevel="0" collapsed="false">
      <c r="A9115" s="5" t="s">
        <v>460</v>
      </c>
      <c r="C9115" s="25" t="n">
        <f aca="false">IF(C9105&gt;0,C9095-C9110,0)</f>
        <v>0</v>
      </c>
    </row>
    <row r="9116" customFormat="false" ht="15" hidden="false" customHeight="false" outlineLevel="0" collapsed="false">
      <c r="A9116" s="23" t="s">
        <v>465</v>
      </c>
      <c r="B9116" s="24"/>
      <c r="C9116" s="24"/>
      <c r="D9116" s="24"/>
      <c r="E9116" s="24"/>
      <c r="F9116" s="24"/>
      <c r="G9116" s="24"/>
      <c r="H9116" s="24"/>
      <c r="I9116" s="24"/>
      <c r="J9116" s="24"/>
      <c r="K9116" s="24"/>
    </row>
    <row r="9117" customFormat="false" ht="15" hidden="false" customHeight="false" outlineLevel="0" collapsed="false">
      <c r="A9117" s="5" t="s">
        <v>457</v>
      </c>
      <c r="C9117" s="25" t="n">
        <f aca="false">IF(C9102&gt;0,C9112,C9092)</f>
        <v>216.2968</v>
      </c>
    </row>
    <row r="9118" customFormat="false" ht="15" hidden="false" customHeight="false" outlineLevel="0" collapsed="false">
      <c r="A9118" s="5" t="s">
        <v>458</v>
      </c>
      <c r="C9118" s="25" t="n">
        <f aca="false">IF(C9103&gt;0,C9113,C9093)</f>
        <v>509.6</v>
      </c>
    </row>
    <row r="9119" customFormat="false" ht="15" hidden="false" customHeight="false" outlineLevel="0" collapsed="false">
      <c r="A9119" s="5" t="s">
        <v>459</v>
      </c>
      <c r="C9119" s="25" t="n">
        <f aca="false">IF(C9104&gt;0,C9114,C9094)</f>
        <v>250</v>
      </c>
    </row>
    <row r="9120" customFormat="false" ht="15" hidden="false" customHeight="false" outlineLevel="0" collapsed="false">
      <c r="A9120" s="5" t="s">
        <v>460</v>
      </c>
      <c r="C9120" s="25" t="n">
        <f aca="false">IF(C9105&gt;0,C9115,C9095)</f>
        <v>300</v>
      </c>
    </row>
    <row r="9121" customFormat="false" ht="15" hidden="false" customHeight="false" outlineLevel="0" collapsed="false">
      <c r="A9121" s="23" t="s">
        <v>466</v>
      </c>
      <c r="B9121" s="24"/>
      <c r="C9121" s="24"/>
      <c r="D9121" s="24"/>
      <c r="E9121" s="24"/>
      <c r="F9121" s="24"/>
      <c r="G9121" s="24"/>
      <c r="H9121" s="24"/>
      <c r="I9121" s="24"/>
      <c r="J9121" s="24"/>
      <c r="K9121" s="24"/>
    </row>
    <row r="9122" customFormat="false" ht="15" hidden="false" customHeight="false" outlineLevel="0" collapsed="false">
      <c r="A9122" s="5" t="s">
        <v>457</v>
      </c>
      <c r="C9122" s="20" t="n">
        <f aca="false">IF(C9102&gt;0,Assumptions!$C$17,C9097)</f>
        <v>1</v>
      </c>
    </row>
    <row r="9123" customFormat="false" ht="15" hidden="false" customHeight="false" outlineLevel="0" collapsed="false">
      <c r="A9123" s="5" t="s">
        <v>458</v>
      </c>
      <c r="C9123" s="20" t="n">
        <f aca="false">IF(C9103&gt;0,Assumptions!$C$17,C9098)</f>
        <v>2</v>
      </c>
    </row>
    <row r="9124" customFormat="false" ht="15" hidden="false" customHeight="false" outlineLevel="0" collapsed="false">
      <c r="A9124" s="5" t="s">
        <v>459</v>
      </c>
      <c r="C9124" s="20" t="n">
        <f aca="false">IF(C9104&gt;0,Assumptions!$C$17,C9099)</f>
        <v>3</v>
      </c>
    </row>
    <row r="9125" customFormat="false" ht="15" hidden="false" customHeight="false" outlineLevel="0" collapsed="false">
      <c r="A9125" s="5" t="s">
        <v>460</v>
      </c>
      <c r="C9125" s="20" t="n">
        <f aca="false">IF(C9105&gt;0,Assumptions!$C$17,C9100)</f>
        <v>4</v>
      </c>
    </row>
    <row r="9126" customFormat="false" ht="15" hidden="false" customHeight="false" outlineLevel="0" collapsed="false">
      <c r="A9126" s="23" t="s">
        <v>467</v>
      </c>
      <c r="B9126" s="24"/>
      <c r="C9126" s="24"/>
      <c r="D9126" s="24"/>
      <c r="E9126" s="24"/>
      <c r="F9126" s="24"/>
      <c r="G9126" s="24"/>
      <c r="H9126" s="24"/>
      <c r="I9126" s="24"/>
      <c r="J9126" s="24"/>
      <c r="K9126" s="24"/>
    </row>
    <row r="9127" customFormat="false" ht="15" hidden="false" customHeight="false" outlineLevel="0" collapsed="false">
      <c r="A9127" s="5" t="s">
        <v>457</v>
      </c>
      <c r="C9127" s="25" t="n">
        <f aca="false">SUMPRODUCT(($C$9122:$C$9125&lt;C9122)*$C$9117:$C$9120)</f>
        <v>0</v>
      </c>
    </row>
    <row r="9128" customFormat="false" ht="15" hidden="false" customHeight="false" outlineLevel="0" collapsed="false">
      <c r="A9128" s="5" t="s">
        <v>458</v>
      </c>
      <c r="C9128" s="25" t="n">
        <f aca="false">SUMPRODUCT(($C$9122:$C$9125&lt;C9123)*$C$9117:$C$9120)</f>
        <v>216.2968</v>
      </c>
    </row>
    <row r="9129" customFormat="false" ht="15" hidden="false" customHeight="false" outlineLevel="0" collapsed="false">
      <c r="A9129" s="5" t="s">
        <v>459</v>
      </c>
      <c r="C9129" s="25" t="n">
        <f aca="false">SUMPRODUCT(($C$9122:$C$9125&lt;C9124)*$C$9117:$C$9120)</f>
        <v>725.8968</v>
      </c>
    </row>
    <row r="9130" customFormat="false" ht="15" hidden="false" customHeight="false" outlineLevel="0" collapsed="false">
      <c r="A9130" s="5" t="s">
        <v>460</v>
      </c>
      <c r="C9130" s="25" t="n">
        <f aca="false">SUMPRODUCT(($C$9122:$C$9125&lt;C9125)*$C$9117:$C$9120)</f>
        <v>975.8968</v>
      </c>
    </row>
    <row r="9131" customFormat="false" ht="15" hidden="false" customHeight="false" outlineLevel="0" collapsed="false">
      <c r="A9131" s="23" t="s">
        <v>468</v>
      </c>
      <c r="B9131" s="24"/>
      <c r="C9131" s="24"/>
      <c r="D9131" s="24"/>
      <c r="E9131" s="24"/>
      <c r="F9131" s="24"/>
      <c r="G9131" s="24"/>
      <c r="H9131" s="24"/>
      <c r="I9131" s="24"/>
      <c r="J9131" s="24"/>
      <c r="K9131" s="24"/>
    </row>
    <row r="9132" customFormat="false" ht="15" hidden="false" customHeight="false" outlineLevel="0" collapsed="false">
      <c r="A9132" s="5" t="s">
        <v>457</v>
      </c>
      <c r="C9132" s="25" t="n">
        <f aca="false">SUMPRODUCT(($C$9122:$C$9125=C9122)*$C$9117:$C$9120)</f>
        <v>216.2968</v>
      </c>
    </row>
    <row r="9133" customFormat="false" ht="15" hidden="false" customHeight="false" outlineLevel="0" collapsed="false">
      <c r="A9133" s="5" t="s">
        <v>458</v>
      </c>
      <c r="C9133" s="25" t="n">
        <f aca="false">SUMPRODUCT(($C$9122:$C$9125=C9123)*$C$9117:$C$9120)</f>
        <v>509.6</v>
      </c>
    </row>
    <row r="9134" customFormat="false" ht="15" hidden="false" customHeight="false" outlineLevel="0" collapsed="false">
      <c r="A9134" s="5" t="s">
        <v>459</v>
      </c>
      <c r="C9134" s="25" t="n">
        <f aca="false">SUMPRODUCT(($C$9122:$C$9125=C9124)*$C$9117:$C$9120)</f>
        <v>250</v>
      </c>
    </row>
    <row r="9135" customFormat="false" ht="15" hidden="false" customHeight="false" outlineLevel="0" collapsed="false">
      <c r="A9135" s="5" t="s">
        <v>460</v>
      </c>
      <c r="C9135" s="25" t="n">
        <f aca="false">SUMPRODUCT(($C$9122:$C$9125=C9125)*$C$9117:$C$9120)</f>
        <v>300</v>
      </c>
    </row>
    <row r="9136" customFormat="false" ht="15" hidden="false" customHeight="false" outlineLevel="0" collapsed="false">
      <c r="A9136" s="23" t="s">
        <v>469</v>
      </c>
      <c r="B9136" s="24"/>
      <c r="C9136" s="24"/>
      <c r="D9136" s="24"/>
      <c r="E9136" s="24"/>
      <c r="F9136" s="24"/>
      <c r="G9136" s="24"/>
      <c r="H9136" s="24"/>
      <c r="I9136" s="24"/>
      <c r="J9136" s="24"/>
      <c r="K9136" s="24"/>
    </row>
    <row r="9137" customFormat="false" ht="15" hidden="false" customHeight="false" outlineLevel="0" collapsed="false">
      <c r="A9137" s="5" t="s">
        <v>457</v>
      </c>
      <c r="C9137" s="25" t="n">
        <f aca="false">IF(C9132=0,0,C9117/C9132*MAX(0,MIN(C9132,$C$9090-SUM($C$9107:$C$9110)-C9127)))</f>
        <v>216.2968</v>
      </c>
    </row>
    <row r="9138" customFormat="false" ht="15" hidden="false" customHeight="false" outlineLevel="0" collapsed="false">
      <c r="A9138" s="5" t="s">
        <v>458</v>
      </c>
      <c r="C9138" s="25" t="n">
        <f aca="false">IF(C9133=0,0,C9118/C9133*MAX(0,MIN(C9133,$C$9090-SUM($C$9107:$C$9110)-C9128)))</f>
        <v>28.2507919999998</v>
      </c>
    </row>
    <row r="9139" customFormat="false" ht="15" hidden="false" customHeight="false" outlineLevel="0" collapsed="false">
      <c r="A9139" s="5" t="s">
        <v>459</v>
      </c>
      <c r="C9139" s="25" t="n">
        <f aca="false">IF(C9134=0,0,C9119/C9134*MAX(0,MIN(C9134,$C$9090-SUM($C$9107:$C$9110)-C9129)))</f>
        <v>0</v>
      </c>
    </row>
    <row r="9140" customFormat="false" ht="15" hidden="false" customHeight="false" outlineLevel="0" collapsed="false">
      <c r="A9140" s="5" t="s">
        <v>460</v>
      </c>
      <c r="C9140" s="25" t="n">
        <f aca="false">IF(C9135=0,0,C9120/C9135*MAX(0,MIN(C9135,$C$9090-SUM($C$9107:$C$9110)-C9130)))</f>
        <v>0</v>
      </c>
    </row>
    <row r="9141" customFormat="false" ht="15" hidden="false" customHeight="false" outlineLevel="0" collapsed="false">
      <c r="A9141" s="23" t="s">
        <v>470</v>
      </c>
      <c r="B9141" s="24"/>
      <c r="C9141" s="24"/>
      <c r="D9141" s="24"/>
      <c r="E9141" s="24"/>
      <c r="F9141" s="24"/>
      <c r="G9141" s="24"/>
      <c r="H9141" s="24"/>
      <c r="I9141" s="24"/>
      <c r="J9141" s="24"/>
      <c r="K9141" s="24"/>
    </row>
    <row r="9142" customFormat="false" ht="15" hidden="false" customHeight="false" outlineLevel="0" collapsed="false">
      <c r="A9142" s="2" t="s">
        <v>457</v>
      </c>
      <c r="C9142" s="16" t="n">
        <f aca="false">C9107+C9137</f>
        <v>216.2968</v>
      </c>
    </row>
    <row r="9143" customFormat="false" ht="15" hidden="false" customHeight="false" outlineLevel="0" collapsed="false">
      <c r="A9143" s="2" t="s">
        <v>458</v>
      </c>
      <c r="C9143" s="16" t="n">
        <f aca="false">C9108+C9138</f>
        <v>28.2507919999998</v>
      </c>
    </row>
    <row r="9144" customFormat="false" ht="15" hidden="false" customHeight="false" outlineLevel="0" collapsed="false">
      <c r="A9144" s="2" t="s">
        <v>459</v>
      </c>
      <c r="C9144" s="16" t="n">
        <f aca="false">C9109+C9139</f>
        <v>0</v>
      </c>
    </row>
    <row r="9145" customFormat="false" ht="15" hidden="false" customHeight="false" outlineLevel="0" collapsed="false">
      <c r="A9145" s="2" t="s">
        <v>460</v>
      </c>
      <c r="C9145" s="16" t="n">
        <f aca="false">C9110+C9140</f>
        <v>0</v>
      </c>
    </row>
    <row r="9146" customFormat="false" ht="15" hidden="false" customHeight="false" outlineLevel="0" collapsed="false">
      <c r="A9146" s="23" t="s">
        <v>471</v>
      </c>
      <c r="B9146" s="24"/>
      <c r="C9146" s="24"/>
      <c r="D9146" s="24"/>
      <c r="E9146" s="24"/>
      <c r="F9146" s="24"/>
      <c r="G9146" s="24"/>
      <c r="H9146" s="24"/>
      <c r="I9146" s="24"/>
      <c r="J9146" s="24"/>
      <c r="K9146" s="24"/>
    </row>
    <row r="9147" customFormat="false" ht="15" hidden="false" customHeight="false" outlineLevel="0" collapsed="false">
      <c r="A9147" s="5" t="s">
        <v>457</v>
      </c>
      <c r="C9147" s="21" t="n">
        <f aca="false">IF(C9092=0,1,C9142/C9092)</f>
        <v>1</v>
      </c>
    </row>
    <row r="9148" customFormat="false" ht="15" hidden="false" customHeight="false" outlineLevel="0" collapsed="false">
      <c r="A9148" s="5" t="s">
        <v>458</v>
      </c>
      <c r="C9148" s="21" t="n">
        <f aca="false">IF(C9093=0,1,C9143/C9093)</f>
        <v>0.0554371899529039</v>
      </c>
    </row>
    <row r="9149" customFormat="false" ht="15" hidden="false" customHeight="false" outlineLevel="0" collapsed="false">
      <c r="A9149" s="5" t="s">
        <v>459</v>
      </c>
      <c r="C9149" s="21" t="n">
        <f aca="false">IF(C9094=0,1,C9144/C9094)</f>
        <v>0</v>
      </c>
    </row>
    <row r="9150" customFormat="false" ht="15" hidden="false" customHeight="false" outlineLevel="0" collapsed="false">
      <c r="A9150" s="5" t="s">
        <v>460</v>
      </c>
      <c r="C9150" s="21" t="n">
        <f aca="false">IF(C9095=0,1,C9145/C9095)</f>
        <v>0</v>
      </c>
    </row>
    <row r="9151" customFormat="false" ht="15" hidden="false" customHeight="false" outlineLevel="0" collapsed="false">
      <c r="A9151" s="23" t="s">
        <v>472</v>
      </c>
      <c r="B9151" s="24"/>
      <c r="C9151" s="24"/>
      <c r="D9151" s="24"/>
      <c r="E9151" s="24"/>
      <c r="F9151" s="24"/>
      <c r="G9151" s="24"/>
      <c r="H9151" s="24"/>
      <c r="I9151" s="24"/>
      <c r="J9151" s="24"/>
      <c r="K9151" s="24"/>
    </row>
    <row r="9152" customFormat="false" ht="15" hidden="false" customHeight="false" outlineLevel="0" collapsed="false">
      <c r="A9152" s="5" t="s">
        <v>457</v>
      </c>
      <c r="C9152" s="25" t="n">
        <f aca="false">C9092-C9142</f>
        <v>0</v>
      </c>
    </row>
    <row r="9153" customFormat="false" ht="15" hidden="false" customHeight="false" outlineLevel="0" collapsed="false">
      <c r="A9153" s="5" t="s">
        <v>458</v>
      </c>
      <c r="C9153" s="25" t="n">
        <f aca="false">C9093-C9143</f>
        <v>481.349208</v>
      </c>
    </row>
    <row r="9154" customFormat="false" ht="15" hidden="false" customHeight="false" outlineLevel="0" collapsed="false">
      <c r="A9154" s="5" t="s">
        <v>459</v>
      </c>
      <c r="C9154" s="25" t="n">
        <f aca="false">C9094-C9144</f>
        <v>250</v>
      </c>
    </row>
    <row r="9155" customFormat="false" ht="15" hidden="false" customHeight="false" outlineLevel="0" collapsed="false">
      <c r="A9155" s="5" t="s">
        <v>460</v>
      </c>
      <c r="C9155" s="25" t="n">
        <f aca="false">C9095-C9145</f>
        <v>300</v>
      </c>
    </row>
    <row r="9156" customFormat="false" ht="15" hidden="false" customHeight="false" outlineLevel="0" collapsed="false">
      <c r="A9156" s="23" t="s">
        <v>473</v>
      </c>
      <c r="B9156" s="24"/>
      <c r="C9156" s="24"/>
      <c r="D9156" s="24"/>
      <c r="E9156" s="24"/>
      <c r="F9156" s="24"/>
      <c r="G9156" s="24"/>
      <c r="H9156" s="24"/>
      <c r="I9156" s="24"/>
      <c r="J9156" s="24"/>
      <c r="K9156" s="24"/>
    </row>
    <row r="9157" customFormat="false" ht="15" hidden="false" customHeight="false" outlineLevel="0" collapsed="false">
      <c r="A9157" s="5" t="s">
        <v>457</v>
      </c>
      <c r="C9157" s="21" t="n">
        <f aca="false">IF(C9092=0,0,C9152/C9092)</f>
        <v>0</v>
      </c>
    </row>
    <row r="9158" customFormat="false" ht="15" hidden="false" customHeight="false" outlineLevel="0" collapsed="false">
      <c r="A9158" s="5" t="s">
        <v>458</v>
      </c>
      <c r="C9158" s="21" t="n">
        <f aca="false">IF(C9093=0,0,C9153/C9093)</f>
        <v>0.944562810047096</v>
      </c>
    </row>
    <row r="9159" customFormat="false" ht="15" hidden="false" customHeight="false" outlineLevel="0" collapsed="false">
      <c r="A9159" s="5" t="s">
        <v>459</v>
      </c>
      <c r="C9159" s="21" t="n">
        <f aca="false">IF(C9094=0,0,C9154/C9094)</f>
        <v>1</v>
      </c>
    </row>
    <row r="9160" customFormat="false" ht="15" hidden="false" customHeight="false" outlineLevel="0" collapsed="false">
      <c r="A9160" s="5" t="s">
        <v>460</v>
      </c>
      <c r="C9160" s="21" t="n">
        <f aca="false">IF(C9095=0,0,C9155/C9095)</f>
        <v>1</v>
      </c>
    </row>
    <row r="9161" customFormat="false" ht="15" hidden="false" customHeight="false" outlineLevel="0" collapsed="false">
      <c r="A9161" s="2" t="s">
        <v>474</v>
      </c>
      <c r="C9161" s="16" t="n">
        <f aca="false">MAX(0,$C$9090-SUM($C$9107:$C$9110)-SUM($C$9117:$C$9120))</f>
        <v>0</v>
      </c>
    </row>
    <row r="9162" customFormat="false" ht="15" hidden="false" customHeight="false" outlineLevel="0" collapsed="false">
      <c r="A9162" s="5" t="s">
        <v>492</v>
      </c>
      <c r="C9162" s="33" t="n">
        <f aca="false">MIN(C9089,100*CHOOSE(C9079,C9147,C9148,C9149,C9150))</f>
        <v>5.54371899529039</v>
      </c>
    </row>
    <row r="9163" customFormat="false" ht="15" hidden="false" customHeight="false" outlineLevel="0" collapsed="false">
      <c r="A9163" s="5" t="s">
        <v>493</v>
      </c>
      <c r="C9163" s="20" t="n">
        <f aca="false">IF(C8995=1,C9084+Assumptions!$C$36,C9083)</f>
        <v>3</v>
      </c>
    </row>
    <row r="9164" customFormat="false" ht="15" hidden="false" customHeight="false" outlineLevel="0" collapsed="false">
      <c r="A9164" s="23" t="s">
        <v>494</v>
      </c>
      <c r="B9164" s="24"/>
      <c r="C9164" s="24"/>
      <c r="D9164" s="24"/>
      <c r="E9164" s="24"/>
      <c r="F9164" s="24"/>
      <c r="G9164" s="24"/>
      <c r="H9164" s="24"/>
      <c r="I9164" s="24"/>
      <c r="J9164" s="24"/>
      <c r="K9164" s="24"/>
    </row>
    <row r="9165" customFormat="false" ht="15" hidden="false" customHeight="false" outlineLevel="0" collapsed="false">
      <c r="A9165" s="5" t="s">
        <v>495</v>
      </c>
      <c r="C9165" s="20" t="n">
        <f aca="false">COLUMN()-COLUMN($C$1)</f>
        <v>0</v>
      </c>
      <c r="D9165" s="20" t="n">
        <f aca="false">COLUMN()-COLUMN($C$1)</f>
        <v>1</v>
      </c>
      <c r="E9165" s="20" t="n">
        <f aca="false">COLUMN()-COLUMN($C$1)</f>
        <v>2</v>
      </c>
      <c r="F9165" s="20" t="n">
        <f aca="false">COLUMN()-COLUMN($C$1)</f>
        <v>3</v>
      </c>
      <c r="G9165" s="20" t="n">
        <f aca="false">COLUMN()-COLUMN($C$1)</f>
        <v>4</v>
      </c>
      <c r="H9165" s="20" t="n">
        <f aca="false">COLUMN()-COLUMN($C$1)</f>
        <v>5</v>
      </c>
      <c r="I9165" s="20" t="n">
        <f aca="false">COLUMN()-COLUMN($C$1)</f>
        <v>6</v>
      </c>
    </row>
    <row r="9166" customFormat="false" ht="15" hidden="false" customHeight="false" outlineLevel="0" collapsed="false">
      <c r="A9166" s="5" t="s">
        <v>496</v>
      </c>
      <c r="D9166" s="30" t="n">
        <f aca="false">CHOOSE($C$9079,G8877,G8890,G8903,G8916)</f>
        <v>0.118</v>
      </c>
      <c r="E9166" s="30" t="n">
        <f aca="false">CHOOSE($C$9079,H8877,H8890,H8903,H8916)</f>
        <v>0.1155</v>
      </c>
      <c r="F9166" s="30" t="n">
        <f aca="false">CHOOSE($C$9079,I8877,I8890,I8903,I8916)</f>
        <v>0.113</v>
      </c>
      <c r="G9166" s="30" t="n">
        <f aca="false">CHOOSE($C$9079,J8877,J8890,J8903,J8916)</f>
        <v>0.113</v>
      </c>
      <c r="H9166" s="30" t="n">
        <f aca="false">CHOOSE($C$9079,K8877,K8890,K8903,K8916)</f>
        <v>0.113</v>
      </c>
    </row>
    <row r="9167" customFormat="false" ht="15" hidden="false" customHeight="false" outlineLevel="0" collapsed="false">
      <c r="A9167" s="5" t="s">
        <v>497</v>
      </c>
      <c r="D9167" s="25" t="n">
        <f aca="false">IF(D9165&lt;=$C$9088,$C$9080*D9166,0)</f>
        <v>11.8</v>
      </c>
      <c r="E9167" s="25" t="n">
        <f aca="false">IF(E9165&lt;=$C$9088,$C$9080*E9166,0)</f>
        <v>11.55</v>
      </c>
      <c r="F9167" s="25" t="n">
        <f aca="false">IF(F9165&lt;=$C$9088,$C$9080*F9166,0)</f>
        <v>0</v>
      </c>
      <c r="G9167" s="25" t="n">
        <f aca="false">IF(G9165&lt;=$C$9088,$C$9080*G9166,0)</f>
        <v>0</v>
      </c>
      <c r="H9167" s="25" t="n">
        <f aca="false">IF(H9165&lt;=$C$9088,$C$9080*H9166,0)</f>
        <v>0</v>
      </c>
    </row>
    <row r="9168" customFormat="false" ht="15" hidden="false" customHeight="false" outlineLevel="0" collapsed="false">
      <c r="A9168" s="5" t="s">
        <v>498</v>
      </c>
      <c r="D9168" s="25" t="n">
        <f aca="false">IF(AND($C$8995=0,D9165=$C$9083),$C$9080*$C$9162/100,0)+IF(AND($C$8995=1,D9165=$C$9163),$C$9086,0)</f>
        <v>0</v>
      </c>
      <c r="E9168" s="25" t="n">
        <f aca="false">IF(AND($C$8995=0,E9165=$C$9083),$C$9080*$C$9162/100,0)+IF(AND($C$8995=1,E9165=$C$9163),$C$9086,0)</f>
        <v>0</v>
      </c>
      <c r="F9168" s="25" t="n">
        <f aca="false">IF(AND($C$8995=0,F9165=$C$9083),$C$9080*$C$9162/100,0)+IF(AND($C$8995=1,F9165=$C$9163),$C$9086,0)</f>
        <v>56.4287463304553</v>
      </c>
      <c r="G9168" s="25" t="n">
        <f aca="false">IF(AND($C$8995=0,G9165=$C$9083),$C$9080*$C$9162/100,0)+IF(AND($C$8995=1,G9165=$C$9163),$C$9086,0)</f>
        <v>0</v>
      </c>
      <c r="H9168" s="25" t="n">
        <f aca="false">IF(AND($C$8995=0,H9165=$C$9083),$C$9080*$C$9162/100,0)+IF(AND($C$8995=1,H9165=$C$9163),$C$9086,0)</f>
        <v>0</v>
      </c>
      <c r="I9168" s="25" t="n">
        <f aca="false">IF(AND($C$8995=0,I9165=$C$9083),$C$9080*$C$9162/100,0)+IF(AND($C$8995=1,I9165=$C$9163),$C$9086,0)</f>
        <v>0</v>
      </c>
    </row>
    <row r="9169" customFormat="false" ht="15" hidden="false" customHeight="false" outlineLevel="0" collapsed="false">
      <c r="A9169" s="2" t="s">
        <v>499</v>
      </c>
      <c r="C9169" s="16" t="n">
        <f aca="false">-$C$9082</f>
        <v>-78.39</v>
      </c>
      <c r="D9169" s="16" t="n">
        <f aca="false">D9167+D9168</f>
        <v>11.8</v>
      </c>
      <c r="E9169" s="16" t="n">
        <f aca="false">E9167+E9168</f>
        <v>11.55</v>
      </c>
      <c r="F9169" s="16" t="n">
        <f aca="false">F9167+F9168</f>
        <v>56.4287463304553</v>
      </c>
      <c r="G9169" s="16" t="n">
        <f aca="false">G9167+G9168</f>
        <v>0</v>
      </c>
      <c r="H9169" s="16" t="n">
        <f aca="false">H9167+H9168</f>
        <v>0</v>
      </c>
      <c r="I9169" s="16" t="n">
        <f aca="false">I9167+I9168</f>
        <v>0</v>
      </c>
    </row>
    <row r="9170" customFormat="false" ht="15" hidden="false" customHeight="false" outlineLevel="0" collapsed="false">
      <c r="A9170" s="5" t="s">
        <v>500</v>
      </c>
      <c r="C9170" s="25" t="n">
        <f aca="false">SUM($C$9167:$I$9167)</f>
        <v>23.35</v>
      </c>
    </row>
    <row r="9171" customFormat="false" ht="15" hidden="false" customHeight="false" outlineLevel="0" collapsed="false">
      <c r="A9171" s="5" t="s">
        <v>501</v>
      </c>
      <c r="C9171" s="25" t="n">
        <f aca="false">SUM($C$9168:$I$9168)</f>
        <v>56.4287463304553</v>
      </c>
    </row>
    <row r="9172" customFormat="false" ht="15" hidden="false" customHeight="false" outlineLevel="0" collapsed="false">
      <c r="A9172" s="5" t="s">
        <v>502</v>
      </c>
      <c r="C9172" s="25" t="n">
        <f aca="false">C9170+C9171</f>
        <v>79.7787463304553</v>
      </c>
    </row>
    <row r="9173" customFormat="false" ht="15" hidden="false" customHeight="false" outlineLevel="0" collapsed="false">
      <c r="A9173" s="5" t="s">
        <v>503</v>
      </c>
      <c r="C9173" s="25" t="n">
        <f aca="false">C9171-C9080*C9081/100</f>
        <v>-21.5712536695447</v>
      </c>
    </row>
    <row r="9174" customFormat="false" ht="15" hidden="false" customHeight="false" outlineLevel="0" collapsed="false">
      <c r="A9174" s="5" t="s">
        <v>504</v>
      </c>
      <c r="C9174" s="25" t="n">
        <f aca="false">C9172-C9082</f>
        <v>1.38874633045526</v>
      </c>
    </row>
    <row r="9175" customFormat="false" ht="15" hidden="false" customHeight="false" outlineLevel="0" collapsed="false">
      <c r="A9175" s="2" t="s">
        <v>385</v>
      </c>
      <c r="C9175" s="43" t="n">
        <f aca="false">C9172/C9082</f>
        <v>1.01771586082989</v>
      </c>
    </row>
    <row r="9176" customFormat="false" ht="15" hidden="false" customHeight="false" outlineLevel="0" collapsed="false">
      <c r="A9176" s="2" t="s">
        <v>384</v>
      </c>
      <c r="C9176" s="41" t="n">
        <f aca="false">IF(C9172&lt;=0,-1,IFERROR(IRR($C$9169:$I$9169,MAX(-0.9,C9175^(1/C9163)-1)),IRR($C$9169:$I$9169,0.1)))</f>
        <v>0.00688989684099931</v>
      </c>
    </row>
    <row r="9177" customFormat="false" ht="15" hidden="false" customHeight="false" outlineLevel="0" collapsed="false">
      <c r="A9177" s="5" t="s">
        <v>505</v>
      </c>
      <c r="C9177" s="31" t="n">
        <f aca="false">MAX($G$8971:$K$8971)</f>
        <v>28.5681105622991</v>
      </c>
    </row>
    <row r="9178" customFormat="false" ht="15" hidden="false" customHeight="false" outlineLevel="0" collapsed="false">
      <c r="A9178" s="5" t="s">
        <v>506</v>
      </c>
      <c r="C9178" s="31" t="n">
        <f aca="false">MIN($G$8972:$K$8972)</f>
        <v>0.374027109660081</v>
      </c>
    </row>
    <row r="9179" customFormat="false" ht="15" hidden="false" customHeight="false" outlineLevel="0" collapsed="false">
      <c r="A9179" s="5" t="s">
        <v>507</v>
      </c>
      <c r="C9179" s="25" t="n">
        <f aca="false">SUM($G$8861:$K$8861)</f>
        <v>-481.4808823404</v>
      </c>
    </row>
    <row r="9183" customFormat="false" ht="15" hidden="false" customHeight="false" outlineLevel="0" collapsed="false">
      <c r="A9183" s="9" t="s">
        <v>652</v>
      </c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</row>
    <row r="9184" customFormat="false" ht="15" hidden="false" customHeight="false" outlineLevel="0" collapsed="false">
      <c r="A9184" s="5" t="s">
        <v>622</v>
      </c>
      <c r="C9184" s="11" t="n">
        <v>2</v>
      </c>
    </row>
    <row r="9185" customFormat="false" ht="15" hidden="false" customHeight="false" outlineLevel="0" collapsed="false">
      <c r="A9185" s="5" t="s">
        <v>623</v>
      </c>
      <c r="C9185" s="29" t="n">
        <f aca="false">Sensitivities!$A$43</f>
        <v>0.05</v>
      </c>
    </row>
    <row r="9186" customFormat="false" ht="15" hidden="false" customHeight="false" outlineLevel="0" collapsed="false">
      <c r="A9186" s="5" t="s">
        <v>624</v>
      </c>
      <c r="C9186" s="18" t="n">
        <v>0</v>
      </c>
    </row>
    <row r="9187" customFormat="false" ht="15" hidden="false" customHeight="false" outlineLevel="0" collapsed="false">
      <c r="A9187" s="5" t="s">
        <v>625</v>
      </c>
      <c r="C9187" s="18" t="n">
        <v>0</v>
      </c>
    </row>
    <row r="9188" customFormat="false" ht="15" hidden="false" customHeight="false" outlineLevel="0" collapsed="false">
      <c r="A9188" s="5" t="s">
        <v>626</v>
      </c>
      <c r="C9188" s="15" t="n">
        <v>0</v>
      </c>
    </row>
    <row r="9190" customFormat="false" ht="15" hidden="false" customHeight="false" outlineLevel="0" collapsed="false">
      <c r="A9190" s="23" t="s">
        <v>237</v>
      </c>
      <c r="B9190" s="24"/>
      <c r="C9190" s="24"/>
      <c r="D9190" s="24"/>
      <c r="E9190" s="24"/>
      <c r="F9190" s="24"/>
      <c r="G9190" s="24"/>
      <c r="H9190" s="24"/>
      <c r="I9190" s="24"/>
      <c r="J9190" s="24"/>
      <c r="K9190" s="24"/>
    </row>
    <row r="9191" customFormat="false" ht="15" hidden="false" customHeight="false" outlineLevel="0" collapsed="false">
      <c r="A9191" s="5" t="s">
        <v>238</v>
      </c>
      <c r="F9191" s="26" t="n">
        <f aca="false">Assumptions!$C$6</f>
        <v>2025</v>
      </c>
      <c r="G9191" s="20" t="n">
        <f aca="false">F9191+1</f>
        <v>2026</v>
      </c>
      <c r="H9191" s="20" t="n">
        <f aca="false">G9191+1</f>
        <v>2027</v>
      </c>
      <c r="I9191" s="20" t="n">
        <f aca="false">H9191+1</f>
        <v>2028</v>
      </c>
      <c r="J9191" s="20" t="n">
        <f aca="false">I9191+1</f>
        <v>2029</v>
      </c>
      <c r="K9191" s="20" t="n">
        <f aca="false">J9191+1</f>
        <v>2030</v>
      </c>
    </row>
    <row r="9192" customFormat="false" ht="15" hidden="false" customHeight="false" outlineLevel="0" collapsed="false">
      <c r="A9192" s="5" t="s">
        <v>239</v>
      </c>
      <c r="G9192" s="20" t="n">
        <f aca="false">G9191-Assumptions!$C$6</f>
        <v>1</v>
      </c>
      <c r="H9192" s="20" t="n">
        <f aca="false">H9191-Assumptions!$C$6</f>
        <v>2</v>
      </c>
      <c r="I9192" s="20" t="n">
        <f aca="false">I9191-Assumptions!$C$6</f>
        <v>3</v>
      </c>
      <c r="J9192" s="20" t="n">
        <f aca="false">J9191-Assumptions!$C$6</f>
        <v>4</v>
      </c>
      <c r="K9192" s="20" t="n">
        <f aca="false">K9191-Assumptions!$C$6</f>
        <v>5</v>
      </c>
    </row>
    <row r="9193" customFormat="false" ht="15" hidden="false" customHeight="false" outlineLevel="0" collapsed="false">
      <c r="A9193" s="5" t="s">
        <v>149</v>
      </c>
      <c r="G9193" s="21" t="n">
        <f aca="false">CHOOSE($C$9184,Assumptions!$G$65,Assumptions!$G$84,Assumptions!$G$103)+$C$9185</f>
        <v>-0.028</v>
      </c>
      <c r="H9193" s="21" t="n">
        <f aca="false">CHOOSE($C$9184,Assumptions!$H$65,Assumptions!$H$84,Assumptions!$H$103)+$C$9185</f>
        <v>0.011</v>
      </c>
      <c r="I9193" s="21" t="n">
        <f aca="false">CHOOSE($C$9184,Assumptions!$I$65,Assumptions!$I$84,Assumptions!$I$103)+$C$9185</f>
        <v>0.045</v>
      </c>
      <c r="J9193" s="21" t="n">
        <f aca="false">CHOOSE($C$9184,Assumptions!$J$65,Assumptions!$J$84,Assumptions!$J$103)+$C$9185</f>
        <v>0.04</v>
      </c>
      <c r="K9193" s="21" t="n">
        <f aca="false">CHOOSE($C$9184,Assumptions!$K$65,Assumptions!$K$84,Assumptions!$K$103)+$C$9185</f>
        <v>0.04</v>
      </c>
    </row>
    <row r="9194" customFormat="false" ht="15" hidden="false" customHeight="false" outlineLevel="0" collapsed="false">
      <c r="A9194" s="5" t="s">
        <v>150</v>
      </c>
      <c r="G9194" s="21" t="n">
        <f aca="false">CHOOSE($C$9184,Assumptions!$G$66,Assumptions!$G$85,Assumptions!$G$104)</f>
        <v>0.33</v>
      </c>
      <c r="H9194" s="21" t="n">
        <f aca="false">CHOOSE($C$9184,Assumptions!$H$66,Assumptions!$H$85,Assumptions!$H$104)</f>
        <v>0.318</v>
      </c>
      <c r="I9194" s="21" t="n">
        <f aca="false">CHOOSE($C$9184,Assumptions!$I$66,Assumptions!$I$85,Assumptions!$I$104)</f>
        <v>0.324</v>
      </c>
      <c r="J9194" s="21" t="n">
        <f aca="false">CHOOSE($C$9184,Assumptions!$J$66,Assumptions!$J$85,Assumptions!$J$104)</f>
        <v>0.33</v>
      </c>
      <c r="K9194" s="21" t="n">
        <f aca="false">CHOOSE($C$9184,Assumptions!$K$66,Assumptions!$K$85,Assumptions!$K$104)</f>
        <v>0.336</v>
      </c>
    </row>
    <row r="9195" customFormat="false" ht="15" hidden="false" customHeight="false" outlineLevel="0" collapsed="false">
      <c r="A9195" s="5" t="s">
        <v>151</v>
      </c>
      <c r="G9195" s="21" t="n">
        <f aca="false">CHOOSE($C$9184,Assumptions!$G$67,Assumptions!$G$86,Assumptions!$G$105)+$C$9186</f>
        <v>0.035</v>
      </c>
      <c r="H9195" s="21" t="n">
        <f aca="false">CHOOSE($C$9184,Assumptions!$H$67,Assumptions!$H$86,Assumptions!$H$105)+$C$9186</f>
        <v>0.023</v>
      </c>
      <c r="I9195" s="21" t="n">
        <f aca="false">CHOOSE($C$9184,Assumptions!$I$67,Assumptions!$I$86,Assumptions!$I$105)+$C$9186</f>
        <v>0.029</v>
      </c>
      <c r="J9195" s="21" t="n">
        <f aca="false">CHOOSE($C$9184,Assumptions!$J$67,Assumptions!$J$86,Assumptions!$J$105)+$C$9186</f>
        <v>0.035</v>
      </c>
      <c r="K9195" s="21" t="n">
        <f aca="false">CHOOSE($C$9184,Assumptions!$K$67,Assumptions!$K$86,Assumptions!$K$105)+$C$9186</f>
        <v>0.041</v>
      </c>
    </row>
    <row r="9196" customFormat="false" ht="15" hidden="false" customHeight="false" outlineLevel="0" collapsed="false">
      <c r="A9196" s="23" t="s">
        <v>240</v>
      </c>
      <c r="B9196" s="24"/>
      <c r="C9196" s="24"/>
      <c r="D9196" s="24"/>
      <c r="E9196" s="24"/>
      <c r="F9196" s="24"/>
      <c r="G9196" s="24"/>
      <c r="H9196" s="24"/>
      <c r="I9196" s="24"/>
      <c r="J9196" s="24"/>
      <c r="K9196" s="24"/>
    </row>
    <row r="9197" customFormat="false" ht="15" hidden="false" customHeight="false" outlineLevel="0" collapsed="false">
      <c r="A9197" s="2" t="s">
        <v>207</v>
      </c>
      <c r="F9197" s="27" t="n">
        <f aca="false">'Historical Financials'!E17</f>
        <v>2400</v>
      </c>
      <c r="G9197" s="16" t="n">
        <f aca="false">F9197*(1+G9193)</f>
        <v>2332.8</v>
      </c>
      <c r="H9197" s="16" t="n">
        <f aca="false">G9197*(1+H9193)</f>
        <v>2358.4608</v>
      </c>
      <c r="I9197" s="16" t="n">
        <f aca="false">H9197*(1+I9193)</f>
        <v>2464.591536</v>
      </c>
      <c r="J9197" s="16" t="n">
        <f aca="false">I9197*(1+J9193)</f>
        <v>2563.17519744</v>
      </c>
      <c r="K9197" s="16" t="n">
        <f aca="false">J9197*(1+K9193)</f>
        <v>2665.7022053376</v>
      </c>
    </row>
    <row r="9198" customFormat="false" ht="15" hidden="false" customHeight="false" outlineLevel="0" collapsed="false">
      <c r="A9198" s="5" t="s">
        <v>217</v>
      </c>
      <c r="G9198" s="25" t="n">
        <f aca="false">G9197*(1-G9194)</f>
        <v>1562.976</v>
      </c>
      <c r="H9198" s="25" t="n">
        <f aca="false">H9197*(1-H9194)</f>
        <v>1608.4702656</v>
      </c>
      <c r="I9198" s="25" t="n">
        <f aca="false">I9197*(1-I9194)</f>
        <v>1666.063878336</v>
      </c>
      <c r="J9198" s="25" t="n">
        <f aca="false">J9197*(1-J9194)</f>
        <v>1717.3273822848</v>
      </c>
      <c r="K9198" s="25" t="n">
        <f aca="false">K9197*(1-K9194)</f>
        <v>1770.02626434417</v>
      </c>
    </row>
    <row r="9199" customFormat="false" ht="15" hidden="false" customHeight="false" outlineLevel="0" collapsed="false">
      <c r="A9199" s="2" t="s">
        <v>218</v>
      </c>
      <c r="G9199" s="16" t="n">
        <f aca="false">G9197-G9198</f>
        <v>769.824</v>
      </c>
      <c r="H9199" s="16" t="n">
        <f aca="false">H9197-H9198</f>
        <v>749.990534399999</v>
      </c>
      <c r="I9199" s="16" t="n">
        <f aca="false">I9197-I9198</f>
        <v>798.527657664</v>
      </c>
      <c r="J9199" s="16" t="n">
        <f aca="false">J9197-J9198</f>
        <v>845.8478151552</v>
      </c>
      <c r="K9199" s="16" t="n">
        <f aca="false">K9197-K9198</f>
        <v>895.675940993433</v>
      </c>
    </row>
    <row r="9200" customFormat="false" ht="15" hidden="false" customHeight="false" outlineLevel="0" collapsed="false">
      <c r="A9200" s="5" t="s">
        <v>241</v>
      </c>
      <c r="G9200" s="25" t="n">
        <f aca="false">G9199-G9201</f>
        <v>688.176</v>
      </c>
      <c r="H9200" s="25" t="n">
        <f aca="false">H9199-H9201</f>
        <v>695.745936</v>
      </c>
      <c r="I9200" s="25" t="n">
        <f aca="false">I9199-I9201</f>
        <v>727.05450312</v>
      </c>
      <c r="J9200" s="25" t="n">
        <f aca="false">J9199-J9201</f>
        <v>756.1366832448</v>
      </c>
      <c r="K9200" s="25" t="n">
        <f aca="false">K9199-K9201</f>
        <v>786.382150574592</v>
      </c>
    </row>
    <row r="9201" customFormat="false" ht="15" hidden="false" customHeight="false" outlineLevel="0" collapsed="false">
      <c r="A9201" s="2" t="s">
        <v>242</v>
      </c>
      <c r="G9201" s="16" t="n">
        <f aca="false">G9197*G9195</f>
        <v>81.648</v>
      </c>
      <c r="H9201" s="16" t="n">
        <f aca="false">H9197*H9195</f>
        <v>54.2445984</v>
      </c>
      <c r="I9201" s="16" t="n">
        <f aca="false">I9197*I9195</f>
        <v>71.473154544</v>
      </c>
      <c r="J9201" s="16" t="n">
        <f aca="false">J9197*J9195</f>
        <v>89.7111319104</v>
      </c>
      <c r="K9201" s="16" t="n">
        <f aca="false">K9197*K9195</f>
        <v>109.293790418842</v>
      </c>
    </row>
    <row r="9202" customFormat="false" ht="15" hidden="false" customHeight="false" outlineLevel="0" collapsed="false">
      <c r="A9202" s="5" t="s">
        <v>243</v>
      </c>
      <c r="G9202" s="25" t="n">
        <f aca="false">G9197*'Historical Financials'!E22/'Historical Financials'!E17</f>
        <v>51.3216</v>
      </c>
      <c r="H9202" s="25" t="n">
        <f aca="false">H9197*'Historical Financials'!E22/'Historical Financials'!E17</f>
        <v>51.8861376</v>
      </c>
      <c r="I9202" s="25" t="n">
        <f aca="false">I9197*'Historical Financials'!E22/'Historical Financials'!E17</f>
        <v>54.221013792</v>
      </c>
      <c r="J9202" s="25" t="n">
        <f aca="false">J9197*'Historical Financials'!E22/'Historical Financials'!E17</f>
        <v>56.38985434368</v>
      </c>
      <c r="K9202" s="25" t="n">
        <f aca="false">K9197*'Historical Financials'!E22/'Historical Financials'!E17</f>
        <v>58.6454485174272</v>
      </c>
    </row>
    <row r="9203" customFormat="false" ht="15" hidden="false" customHeight="false" outlineLevel="0" collapsed="false">
      <c r="A9203" s="5" t="s">
        <v>244</v>
      </c>
      <c r="G9203" s="25" t="n">
        <f aca="false">G9197*'Historical Financials'!E23/'Historical Financials'!E17</f>
        <v>0</v>
      </c>
      <c r="H9203" s="25" t="n">
        <f aca="false">H9197*'Historical Financials'!E23/'Historical Financials'!E17</f>
        <v>0</v>
      </c>
      <c r="I9203" s="25" t="n">
        <f aca="false">I9197*'Historical Financials'!E23/'Historical Financials'!E17</f>
        <v>0</v>
      </c>
      <c r="J9203" s="25" t="n">
        <f aca="false">J9197*'Historical Financials'!E23/'Historical Financials'!E17</f>
        <v>0</v>
      </c>
      <c r="K9203" s="25" t="n">
        <f aca="false">K9197*'Historical Financials'!E23/'Historical Financials'!E17</f>
        <v>0</v>
      </c>
    </row>
    <row r="9204" customFormat="false" ht="15" hidden="false" customHeight="false" outlineLevel="0" collapsed="false">
      <c r="A9204" s="2" t="s">
        <v>245</v>
      </c>
      <c r="G9204" s="16" t="n">
        <f aca="false">G9201-G9202-G9203</f>
        <v>30.3264</v>
      </c>
      <c r="H9204" s="16" t="n">
        <f aca="false">H9201-H9202-H9203</f>
        <v>2.35846079999997</v>
      </c>
      <c r="I9204" s="16" t="n">
        <f aca="false">I9201-I9202-I9203</f>
        <v>17.252140752</v>
      </c>
      <c r="J9204" s="16" t="n">
        <f aca="false">J9201-J9202-J9203</f>
        <v>33.32127756672</v>
      </c>
      <c r="K9204" s="16" t="n">
        <f aca="false">K9201-K9202-K9203</f>
        <v>50.6483419014144</v>
      </c>
    </row>
    <row r="9205" customFormat="false" ht="15" hidden="false" customHeight="false" outlineLevel="0" collapsed="false">
      <c r="A9205" s="5" t="s">
        <v>246</v>
      </c>
      <c r="G9205" s="25" t="n">
        <f aca="false">G9231+G9244+G9257+G9270</f>
        <v>129.54</v>
      </c>
      <c r="H9205" s="25" t="n">
        <f aca="false">H9231+H9244+H9257+H9270</f>
        <v>132.0175548</v>
      </c>
      <c r="I9205" s="25" t="n">
        <f aca="false">I9231+I9244+I9257+I9270</f>
        <v>129.5704128</v>
      </c>
      <c r="J9205" s="25" t="n">
        <f aca="false">J9231+J9244+J9257+J9270</f>
        <v>128.9828128</v>
      </c>
      <c r="K9205" s="25" t="n">
        <f aca="false">K9231+K9244+K9257+K9270</f>
        <v>128.3952128</v>
      </c>
    </row>
    <row r="9206" customFormat="false" ht="15" hidden="false" customHeight="false" outlineLevel="0" collapsed="false">
      <c r="A9206" s="5" t="s">
        <v>247</v>
      </c>
      <c r="G9206" s="25" t="n">
        <f aca="false">G9232+G9245+G9258+G9271</f>
        <v>0</v>
      </c>
      <c r="H9206" s="25" t="n">
        <f aca="false">H9232+H9245+H9258+H9271</f>
        <v>0</v>
      </c>
      <c r="I9206" s="25" t="n">
        <f aca="false">I9232+I9245+I9258+I9271</f>
        <v>0</v>
      </c>
      <c r="J9206" s="25" t="n">
        <f aca="false">J9232+J9245+J9258+J9271</f>
        <v>0</v>
      </c>
      <c r="K9206" s="25" t="n">
        <f aca="false">K9232+K9245+K9258+K9271</f>
        <v>0</v>
      </c>
    </row>
    <row r="9207" customFormat="false" ht="15" hidden="false" customHeight="false" outlineLevel="0" collapsed="false">
      <c r="A9207" s="5" t="s">
        <v>212</v>
      </c>
      <c r="G9207" s="25" t="n">
        <f aca="false">G9205+G9206</f>
        <v>129.54</v>
      </c>
      <c r="H9207" s="25" t="n">
        <f aca="false">H9205+H9206</f>
        <v>132.0175548</v>
      </c>
      <c r="I9207" s="25" t="n">
        <f aca="false">I9205+I9206</f>
        <v>129.5704128</v>
      </c>
      <c r="J9207" s="25" t="n">
        <f aca="false">J9205+J9206</f>
        <v>128.9828128</v>
      </c>
      <c r="K9207" s="25" t="n">
        <f aca="false">K9205+K9206</f>
        <v>128.3952128</v>
      </c>
    </row>
    <row r="9208" customFormat="false" ht="15" hidden="false" customHeight="false" outlineLevel="0" collapsed="false">
      <c r="A9208" s="2" t="s">
        <v>223</v>
      </c>
      <c r="G9208" s="16" t="n">
        <f aca="false">G9204-G9207</f>
        <v>-99.2136</v>
      </c>
      <c r="H9208" s="16" t="n">
        <f aca="false">H9204-H9207</f>
        <v>-129.659094</v>
      </c>
      <c r="I9208" s="16" t="n">
        <f aca="false">I9204-I9207</f>
        <v>-112.318272048</v>
      </c>
      <c r="J9208" s="16" t="n">
        <f aca="false">J9204-J9207</f>
        <v>-95.66153523328</v>
      </c>
      <c r="K9208" s="16" t="n">
        <f aca="false">K9204-K9207</f>
        <v>-77.7468708985857</v>
      </c>
    </row>
    <row r="9209" customFormat="false" ht="15" hidden="false" customHeight="false" outlineLevel="0" collapsed="false">
      <c r="A9209" s="5" t="s">
        <v>213</v>
      </c>
      <c r="G9209" s="25" t="n">
        <f aca="false">MAX(0,G9208)*Assumptions!$C$9</f>
        <v>0</v>
      </c>
      <c r="H9209" s="25" t="n">
        <f aca="false">MAX(0,H9208)*Assumptions!$C$9</f>
        <v>0</v>
      </c>
      <c r="I9209" s="25" t="n">
        <f aca="false">MAX(0,I9208)*Assumptions!$C$9</f>
        <v>0</v>
      </c>
      <c r="J9209" s="25" t="n">
        <f aca="false">MAX(0,J9208)*Assumptions!$C$9</f>
        <v>0</v>
      </c>
      <c r="K9209" s="25" t="n">
        <f aca="false">MAX(0,K9208)*Assumptions!$C$9</f>
        <v>0</v>
      </c>
    </row>
    <row r="9210" customFormat="false" ht="15" hidden="false" customHeight="false" outlineLevel="0" collapsed="false">
      <c r="A9210" s="2" t="s">
        <v>248</v>
      </c>
      <c r="G9210" s="16" t="n">
        <f aca="false">G9208-G9209</f>
        <v>-99.2136</v>
      </c>
      <c r="H9210" s="16" t="n">
        <f aca="false">H9208-H9209</f>
        <v>-129.659094</v>
      </c>
      <c r="I9210" s="16" t="n">
        <f aca="false">I9208-I9209</f>
        <v>-112.318272048</v>
      </c>
      <c r="J9210" s="16" t="n">
        <f aca="false">J9208-J9209</f>
        <v>-95.66153523328</v>
      </c>
      <c r="K9210" s="16" t="n">
        <f aca="false">K9208-K9209</f>
        <v>-77.7468708985857</v>
      </c>
    </row>
    <row r="9211" customFormat="false" ht="15" hidden="false" customHeight="false" outlineLevel="0" collapsed="false">
      <c r="A9211" s="23" t="s">
        <v>249</v>
      </c>
      <c r="B9211" s="24"/>
      <c r="C9211" s="24"/>
      <c r="D9211" s="24"/>
      <c r="E9211" s="24"/>
      <c r="F9211" s="24"/>
      <c r="G9211" s="24"/>
      <c r="H9211" s="24"/>
      <c r="I9211" s="24"/>
      <c r="J9211" s="24"/>
      <c r="K9211" s="24"/>
    </row>
    <row r="9212" customFormat="false" ht="15" hidden="false" customHeight="false" outlineLevel="0" collapsed="false">
      <c r="A9212" s="5" t="s">
        <v>153</v>
      </c>
      <c r="G9212" s="25" t="n">
        <f aca="false">G9197*CHOOSE($C$9184,Assumptions!$C$69,Assumptions!$C$88,Assumptions!$C$107)</f>
        <v>44.3232</v>
      </c>
      <c r="H9212" s="25" t="n">
        <f aca="false">H9197*CHOOSE($C$9184,Assumptions!$C$69,Assumptions!$C$88,Assumptions!$C$107)</f>
        <v>44.8107552</v>
      </c>
      <c r="I9212" s="25" t="n">
        <f aca="false">I9197*CHOOSE($C$9184,Assumptions!$C$69,Assumptions!$C$88,Assumptions!$C$107)</f>
        <v>46.827239184</v>
      </c>
      <c r="J9212" s="25" t="n">
        <f aca="false">J9197*CHOOSE($C$9184,Assumptions!$C$69,Assumptions!$C$88,Assumptions!$C$107)</f>
        <v>48.70032875136</v>
      </c>
      <c r="K9212" s="25" t="n">
        <f aca="false">K9197*CHOOSE($C$9184,Assumptions!$C$69,Assumptions!$C$88,Assumptions!$C$107)</f>
        <v>50.6483419014144</v>
      </c>
    </row>
    <row r="9213" customFormat="false" ht="15" hidden="false" customHeight="false" outlineLevel="0" collapsed="false">
      <c r="A9213" s="5" t="s">
        <v>250</v>
      </c>
      <c r="G9213" s="25" t="n">
        <f aca="false">CHOOSE($C$9184,Assumptions!$C$70,Assumptions!$C$89,Assumptions!$C$108)*(G9197-F9197)+CHOOSE($C$9184,Assumptions!$C$71,Assumptions!$C$90,Assumptions!$C$109)*G9197</f>
        <v>-3.39840000000003</v>
      </c>
      <c r="H9213" s="25" t="n">
        <f aca="false">CHOOSE($C$9184,Assumptions!$C$70,Assumptions!$C$89,Assumptions!$C$108)*(H9197-G9197)+CHOOSE($C$9184,Assumptions!$C$71,Assumptions!$C$90,Assumptions!$C$109)*H9197</f>
        <v>7.79621759999996</v>
      </c>
      <c r="I9213" s="25" t="n">
        <f aca="false">CHOOSE($C$9184,Assumptions!$C$70,Assumptions!$C$89,Assumptions!$C$108)*(I9197-H9197)+CHOOSE($C$9184,Assumptions!$C$71,Assumptions!$C$90,Assumptions!$C$109)*I9197</f>
        <v>17.664871392</v>
      </c>
      <c r="J9213" s="25" t="n">
        <f aca="false">CHOOSE($C$9184,Assumptions!$C$70,Assumptions!$C$89,Assumptions!$C$108)*(J9197-I9197)+CHOOSE($C$9184,Assumptions!$C$71,Assumptions!$C$90,Assumptions!$C$109)*J9197</f>
        <v>16.95638976768</v>
      </c>
      <c r="K9213" s="25" t="n">
        <f aca="false">CHOOSE($C$9184,Assumptions!$C$70,Assumptions!$C$89,Assumptions!$C$108)*(K9197-J9197)+CHOOSE($C$9184,Assumptions!$C$71,Assumptions!$C$90,Assumptions!$C$109)*K9197</f>
        <v>17.6346453583872</v>
      </c>
    </row>
    <row r="9214" customFormat="false" ht="15" hidden="false" customHeight="false" outlineLevel="0" collapsed="false">
      <c r="A9214" s="2" t="s">
        <v>251</v>
      </c>
      <c r="G9214" s="16" t="n">
        <f aca="false">G9210+G9202+G9203+G9206-G9212-G9213</f>
        <v>-88.8168</v>
      </c>
      <c r="H9214" s="16" t="n">
        <f aca="false">H9210+H9202+H9203+H9206-H9212-H9213</f>
        <v>-130.3799292</v>
      </c>
      <c r="I9214" s="16" t="n">
        <f aca="false">I9210+I9202+I9203+I9206-I9212-I9213</f>
        <v>-122.589368832</v>
      </c>
      <c r="J9214" s="16" t="n">
        <f aca="false">J9210+J9202+J9203+J9206-J9212-J9213</f>
        <v>-104.92839940864</v>
      </c>
      <c r="K9214" s="16" t="n">
        <f aca="false">K9210+K9202+K9203+K9206-K9212-K9213</f>
        <v>-87.3844096409601</v>
      </c>
    </row>
    <row r="9216" customFormat="false" ht="15" hidden="false" customHeight="false" outlineLevel="0" collapsed="false">
      <c r="A9216" s="23" t="s">
        <v>253</v>
      </c>
      <c r="B9216" s="24"/>
      <c r="C9216" s="24"/>
      <c r="D9216" s="24"/>
      <c r="E9216" s="24"/>
      <c r="F9216" s="24"/>
      <c r="G9216" s="24"/>
      <c r="H9216" s="24"/>
      <c r="I9216" s="24"/>
      <c r="J9216" s="24"/>
      <c r="K9216" s="24"/>
    </row>
    <row r="9217" customFormat="false" ht="15" hidden="false" customHeight="false" outlineLevel="0" collapsed="false">
      <c r="A9217" s="5" t="s">
        <v>254</v>
      </c>
      <c r="G9217" s="29" t="n">
        <f aca="false">Assumptions!$G$49</f>
        <v>0.0425</v>
      </c>
      <c r="H9217" s="29" t="n">
        <f aca="false">Assumptions!$H$49</f>
        <v>0.04</v>
      </c>
      <c r="I9217" s="29" t="n">
        <f aca="false">Assumptions!$I$49</f>
        <v>0.0375</v>
      </c>
      <c r="J9217" s="29" t="n">
        <f aca="false">Assumptions!$J$49</f>
        <v>0.0375</v>
      </c>
      <c r="K9217" s="29" t="n">
        <f aca="false">Assumptions!$K$49</f>
        <v>0.0375</v>
      </c>
    </row>
    <row r="9218" customFormat="false" ht="15" hidden="false" customHeight="false" outlineLevel="0" collapsed="false">
      <c r="A9218" s="5" t="s">
        <v>255</v>
      </c>
      <c r="C9218" s="30" t="n">
        <f aca="false">CHOOSE($C$9184,Assumptions!$C$72,Assumptions!$C$91,Assumptions!$C$110)+$C$9187</f>
        <v>0.015</v>
      </c>
    </row>
    <row r="9219" customFormat="false" ht="15" hidden="false" customHeight="false" outlineLevel="0" collapsed="false">
      <c r="A9219" s="5" t="s">
        <v>256</v>
      </c>
      <c r="C9219" s="30" t="n">
        <f aca="false">CHOOSE($C$9184,Assumptions!$C$73,Assumptions!$C$92,Assumptions!$C$111)</f>
        <v>0.135</v>
      </c>
    </row>
    <row r="9220" customFormat="false" ht="15" hidden="false" customHeight="false" outlineLevel="0" collapsed="false">
      <c r="A9220" s="5" t="s">
        <v>257</v>
      </c>
      <c r="C9220" s="31" t="n">
        <f aca="false">CHOOSE($C$9184,Assumptions!$C$74,Assumptions!$C$93,Assumptions!$C$112)</f>
        <v>5.5</v>
      </c>
    </row>
    <row r="9221" customFormat="false" ht="15" hidden="false" customHeight="false" outlineLevel="0" collapsed="false">
      <c r="A9221" s="5" t="s">
        <v>258</v>
      </c>
      <c r="C9221" s="31" t="n">
        <f aca="false">CHOOSE($C$9184,Assumptions!$C$75,Assumptions!$C$94,Assumptions!$C$113)</f>
        <v>1.8</v>
      </c>
    </row>
    <row r="9222" customFormat="false" ht="15" hidden="false" customHeight="false" outlineLevel="0" collapsed="false">
      <c r="A9222" s="5" t="s">
        <v>259</v>
      </c>
      <c r="G9222" s="25" t="n">
        <f aca="false">G9227+G9240+G9253+G9266</f>
        <v>1250</v>
      </c>
      <c r="H9222" s="25" t="n">
        <f aca="false">H9227+H9240+H9253+H9266</f>
        <v>1293.8168</v>
      </c>
      <c r="I9222" s="25" t="n">
        <f aca="false">I9227+I9240+I9253+I9266</f>
        <v>1288.6168</v>
      </c>
      <c r="J9222" s="25" t="n">
        <f aca="false">J9227+J9240+J9253+J9266</f>
        <v>1283.4168</v>
      </c>
      <c r="K9222" s="25" t="n">
        <f aca="false">K9227+K9240+K9253+K9266</f>
        <v>1278.2168</v>
      </c>
    </row>
    <row r="9223" customFormat="false" ht="15" hidden="false" customHeight="false" outlineLevel="0" collapsed="false">
      <c r="A9223" s="5" t="s">
        <v>260</v>
      </c>
      <c r="G9223" s="25" t="n">
        <f aca="false">F9313</f>
        <v>45</v>
      </c>
      <c r="H9223" s="25" t="n">
        <f aca="false">G9313</f>
        <v>0</v>
      </c>
      <c r="I9223" s="25" t="n">
        <f aca="false">H9313</f>
        <v>-135.5799292</v>
      </c>
      <c r="J9223" s="25" t="n">
        <f aca="false">I9313</f>
        <v>-263.369298032</v>
      </c>
      <c r="K9223" s="25" t="n">
        <f aca="false">J9313</f>
        <v>-373.49769744064</v>
      </c>
    </row>
    <row r="9224" customFormat="false" ht="15" hidden="false" customHeight="false" outlineLevel="0" collapsed="false">
      <c r="A9224" s="5" t="s">
        <v>261</v>
      </c>
      <c r="G9224" s="25" t="n">
        <f aca="false">G9227*IF(G9228=1,$C$9219,IF(Assumptions!$I$53=1,MAX(G9217,Assumptions!$G$53)+Assumptions!$F$53+$C$9218,Assumptions!$E$53))+G9240*IF(G9241=1,$C$9219,IF(Assumptions!$I$54=1,MAX(G9217,Assumptions!$G$54)+Assumptions!$F$54+$C$9218,Assumptions!$E$54))+G9253*IF(G9254=1,$C$9219,IF(Assumptions!$I$55=1,MAX(G9217,Assumptions!$G$55)+Assumptions!$F$55+$C$9218,Assumptions!$E$55))+G9266*IF(G9267=1,$C$9219,IF(Assumptions!$I$56=1,MAX(G9217,Assumptions!$G$56)+Assumptions!$F$56+$C$9218,Assumptions!$E$56))</f>
        <v>129.54</v>
      </c>
      <c r="H9224" s="25" t="n">
        <f aca="false">H9227*IF(OR(H9228=1,G9379=1),$C$9219,IF(Assumptions!$I$53=1,MAX(H9217,Assumptions!$G$53)+Assumptions!$F$53+$C$9218,Assumptions!$E$53))+H9240*IF(OR(H9241=1,G9380=1),$C$9219,IF(Assumptions!$I$54=1,MAX(H9217,Assumptions!$G$54)+Assumptions!$F$54+$C$9218,Assumptions!$E$54))+H9253*IF(OR(H9254=1,G9381=1),$C$9219,IF(Assumptions!$I$55=1,MAX(H9217,Assumptions!$G$55)+Assumptions!$F$55+$C$9218,Assumptions!$E$55))+H9266*IF(OR(H9267=1,G9382=1),$C$9219,IF(Assumptions!$I$56=1,MAX(H9217,Assumptions!$G$56)+Assumptions!$F$56+$C$9218,Assumptions!$E$56))</f>
        <v>158.376668</v>
      </c>
      <c r="I9224" s="25" t="n">
        <f aca="false">I9227*IF(OR(I9228=1,H9379=1),$C$9219,IF(Assumptions!$I$53=1,MAX(I9217,Assumptions!$G$53)+Assumptions!$F$53+$C$9218,Assumptions!$E$53))+I9240*IF(OR(I9241=1,H9380=1),$C$9219,IF(Assumptions!$I$54=1,MAX(I9217,Assumptions!$G$54)+Assumptions!$F$54+$C$9218,Assumptions!$E$54))+I9253*IF(OR(I9254=1,H9381=1),$C$9219,IF(Assumptions!$I$55=1,MAX(I9217,Assumptions!$G$55)+Assumptions!$F$55+$C$9218,Assumptions!$E$55))+I9266*IF(OR(I9267=1,H9382=1),$C$9219,IF(Assumptions!$I$56=1,MAX(I9217,Assumptions!$G$56)+Assumptions!$F$56+$C$9218,Assumptions!$E$56))</f>
        <v>140.7816128</v>
      </c>
      <c r="J9224" s="25" t="n">
        <f aca="false">J9227*IF(OR(J9228=1,I9379=1),$C$9219,IF(Assumptions!$I$53=1,MAX(J9217,Assumptions!$G$53)+Assumptions!$F$53+$C$9218,Assumptions!$E$53))+J9240*IF(OR(J9241=1,I9380=1),$C$9219,IF(Assumptions!$I$54=1,MAX(J9217,Assumptions!$G$54)+Assumptions!$F$54+$C$9218,Assumptions!$E$54))+J9253*IF(OR(J9254=1,I9381=1),$C$9219,IF(Assumptions!$I$55=1,MAX(J9217,Assumptions!$G$55)+Assumptions!$F$55+$C$9218,Assumptions!$E$55))+J9266*IF(OR(J9267=1,I9382=1),$C$9219,IF(Assumptions!$I$56=1,MAX(J9217,Assumptions!$G$56)+Assumptions!$F$56+$C$9218,Assumptions!$E$56))</f>
        <v>135.2328128</v>
      </c>
      <c r="K9224" s="25" t="n">
        <f aca="false">K9227*IF(OR(K9228=1,J9379=1),$C$9219,IF(Assumptions!$I$53=1,MAX(K9217,Assumptions!$G$53)+Assumptions!$F$53+$C$9218,Assumptions!$E$53))+K9240*IF(OR(K9241=1,J9380=1),$C$9219,IF(Assumptions!$I$54=1,MAX(K9217,Assumptions!$G$54)+Assumptions!$F$54+$C$9218,Assumptions!$E$54))+K9253*IF(OR(K9254=1,J9381=1),$C$9219,IF(Assumptions!$I$55=1,MAX(K9217,Assumptions!$G$55)+Assumptions!$F$55+$C$9218,Assumptions!$E$55))+K9266*IF(OR(K9267=1,J9382=1),$C$9219,IF(Assumptions!$I$56=1,MAX(K9217,Assumptions!$G$56)+Assumptions!$F$56+$C$9218,Assumptions!$E$56))</f>
        <v>128.3952128</v>
      </c>
    </row>
    <row r="9225" customFormat="false" ht="15" hidden="false" customHeight="false" outlineLevel="0" collapsed="false">
      <c r="A9225" s="5" t="s">
        <v>262</v>
      </c>
      <c r="G9225" s="20" t="n">
        <f aca="false">IF(G9201&lt;=0,0,IF(AND((G9222-G9223)/G9201&lt;=$C$9220,G9201/G9224&gt;=$C$9221),1,0))</f>
        <v>0</v>
      </c>
      <c r="H9225" s="20" t="n">
        <f aca="false">IF(H9201&lt;=0,0,IF(AND((H9222-H9223)/H9201&lt;=$C$9220,H9201/H9224&gt;=$C$9221),1,0))</f>
        <v>0</v>
      </c>
      <c r="I9225" s="20" t="n">
        <f aca="false">IF(I9201&lt;=0,0,IF(AND((I9222-I9223)/I9201&lt;=$C$9220,I9201/I9224&gt;=$C$9221),1,0))</f>
        <v>0</v>
      </c>
      <c r="J9225" s="20" t="n">
        <f aca="false">IF(J9201&lt;=0,0,IF(AND((J9222-J9223)/J9201&lt;=$C$9220,J9201/J9224&gt;=$C$9221),1,0))</f>
        <v>0</v>
      </c>
      <c r="K9225" s="20" t="n">
        <f aca="false">IF(K9201&lt;=0,0,IF(AND((K9222-K9223)/K9201&lt;=$C$9220,K9201/K9224&gt;=$C$9221),1,0))</f>
        <v>0</v>
      </c>
    </row>
    <row r="9226" customFormat="false" ht="15" hidden="false" customHeight="false" outlineLevel="0" collapsed="false">
      <c r="A9226" s="23" t="s">
        <v>263</v>
      </c>
      <c r="B9226" s="24"/>
      <c r="C9226" s="24"/>
      <c r="D9226" s="24"/>
      <c r="E9226" s="24"/>
      <c r="F9226" s="24"/>
      <c r="G9226" s="24"/>
      <c r="H9226" s="24"/>
      <c r="I9226" s="24"/>
      <c r="J9226" s="24"/>
      <c r="K9226" s="24"/>
    </row>
    <row r="9227" customFormat="false" ht="15" hidden="false" customHeight="false" outlineLevel="0" collapsed="false">
      <c r="A9227" s="5" t="s">
        <v>264</v>
      </c>
      <c r="G9227" s="25" t="n">
        <f aca="false">F9238</f>
        <v>180</v>
      </c>
      <c r="H9227" s="25" t="n">
        <f aca="false">G9238</f>
        <v>229.0168</v>
      </c>
      <c r="I9227" s="25" t="n">
        <f aca="false">H9238</f>
        <v>229.0168</v>
      </c>
      <c r="J9227" s="25" t="n">
        <f aca="false">I9238</f>
        <v>229.0168</v>
      </c>
      <c r="K9227" s="25" t="n">
        <f aca="false">J9238</f>
        <v>229.0168</v>
      </c>
    </row>
    <row r="9228" customFormat="false" ht="15" hidden="false" customHeight="false" outlineLevel="0" collapsed="false">
      <c r="A9228" s="5" t="s">
        <v>265</v>
      </c>
      <c r="G9228" s="20" t="n">
        <f aca="false">IF(G9191=Assumptions!$K$53,1,0)</f>
        <v>0</v>
      </c>
      <c r="H9228" s="20" t="n">
        <f aca="false">IF(H9191=Assumptions!$K$53,1,0)</f>
        <v>1</v>
      </c>
      <c r="I9228" s="20" t="n">
        <f aca="false">IF(I9191=Assumptions!$K$53,1,0)</f>
        <v>0</v>
      </c>
      <c r="J9228" s="20" t="n">
        <f aca="false">IF(J9191=Assumptions!$K$53,1,0)</f>
        <v>0</v>
      </c>
      <c r="K9228" s="20" t="n">
        <f aca="false">IF(K9191=Assumptions!$K$53,1,0)</f>
        <v>0</v>
      </c>
    </row>
    <row r="9230" customFormat="false" ht="15" hidden="false" customHeight="false" outlineLevel="0" collapsed="false">
      <c r="A9230" s="5" t="s">
        <v>266</v>
      </c>
      <c r="G9230" s="30" t="n">
        <f aca="false">IF(Assumptions!$I$53=1,MAX(G9217,Assumptions!$G$53)+Assumptions!$F$53+$C$9218,Assumptions!$E$53)</f>
        <v>0.101</v>
      </c>
      <c r="H9230" s="30" t="n">
        <f aca="false">IF(G9379=1,$C$9219,IF(Assumptions!$I$53=1,MAX(H9217,Assumptions!$G$53)+Assumptions!$F$53+$C$9218,Assumptions!$E$53))</f>
        <v>0.0985</v>
      </c>
      <c r="I9230" s="30" t="n">
        <f aca="false">IF(H9379=1,$C$9219,IF(Assumptions!$I$53=1,MAX(I9217,Assumptions!$G$53)+Assumptions!$F$53+$C$9218,Assumptions!$E$53))</f>
        <v>0.096</v>
      </c>
      <c r="J9230" s="30" t="n">
        <f aca="false">IF(I9379=1,$C$9219,IF(Assumptions!$I$53=1,MAX(J9217,Assumptions!$G$53)+Assumptions!$F$53+$C$9218,Assumptions!$E$53))</f>
        <v>0.096</v>
      </c>
      <c r="K9230" s="30" t="n">
        <f aca="false">IF(J9379=1,$C$9219,IF(Assumptions!$I$53=1,MAX(K9217,Assumptions!$G$53)+Assumptions!$F$53+$C$9218,Assumptions!$E$53))</f>
        <v>0.096</v>
      </c>
    </row>
    <row r="9231" customFormat="false" ht="15" hidden="false" customHeight="false" outlineLevel="0" collapsed="false">
      <c r="A9231" s="5" t="s">
        <v>267</v>
      </c>
      <c r="G9231" s="25" t="n">
        <f aca="false">G9227*G9230</f>
        <v>18.18</v>
      </c>
      <c r="H9231" s="25" t="n">
        <f aca="false">H9227*H9230</f>
        <v>22.5581548</v>
      </c>
      <c r="I9231" s="25" t="n">
        <f aca="false">I9227*I9230</f>
        <v>21.9856128</v>
      </c>
      <c r="J9231" s="25" t="n">
        <f aca="false">J9227*J9230</f>
        <v>21.9856128</v>
      </c>
      <c r="K9231" s="25" t="n">
        <f aca="false">K9227*K9230</f>
        <v>21.9856128</v>
      </c>
    </row>
    <row r="9232" customFormat="false" ht="15" hidden="false" customHeight="false" outlineLevel="0" collapsed="false">
      <c r="A9232" s="5" t="s">
        <v>268</v>
      </c>
      <c r="G9232" s="25" t="n">
        <f aca="false">G9227*Assumptions!$H$53</f>
        <v>0</v>
      </c>
      <c r="H9232" s="25" t="n">
        <f aca="false">H9227*Assumptions!$H$53</f>
        <v>0</v>
      </c>
      <c r="I9232" s="25" t="n">
        <f aca="false">I9227*Assumptions!$H$53</f>
        <v>0</v>
      </c>
      <c r="J9232" s="25" t="n">
        <f aca="false">J9227*Assumptions!$H$53</f>
        <v>0</v>
      </c>
      <c r="K9232" s="25" t="n">
        <f aca="false">K9227*Assumptions!$H$53</f>
        <v>0</v>
      </c>
    </row>
    <row r="9233" customFormat="false" ht="15" hidden="false" customHeight="false" outlineLevel="0" collapsed="false">
      <c r="A9233" s="5" t="s">
        <v>269</v>
      </c>
      <c r="G9233" s="25" t="n">
        <f aca="false">MIN(G9227,Assumptions!$L$53*Assumptions!$C$53)</f>
        <v>0</v>
      </c>
      <c r="H9233" s="25" t="n">
        <f aca="false">MIN(H9227,Assumptions!$L$53*Assumptions!$C$53)</f>
        <v>0</v>
      </c>
      <c r="I9233" s="25" t="n">
        <f aca="false">MIN(I9227,Assumptions!$L$53*Assumptions!$C$53)</f>
        <v>0</v>
      </c>
      <c r="J9233" s="25" t="n">
        <f aca="false">MIN(J9227,Assumptions!$L$53*Assumptions!$C$53)</f>
        <v>0</v>
      </c>
      <c r="K9233" s="25" t="n">
        <f aca="false">MIN(K9227,Assumptions!$L$53*Assumptions!$C$53)</f>
        <v>0</v>
      </c>
    </row>
    <row r="9234" customFormat="false" ht="15" hidden="false" customHeight="false" outlineLevel="0" collapsed="false">
      <c r="A9234" s="5" t="s">
        <v>270</v>
      </c>
      <c r="G9234" s="25" t="n">
        <f aca="false">IF(AND(Assumptions!$P$53=1,G9191&lt;Assumptions!$K$53),MIN(MAX(0,-G9305),MAX(0,Assumptions!$D$53-G9227)),0)</f>
        <v>49.0168</v>
      </c>
      <c r="H9234" s="25" t="n">
        <f aca="false">IF(AND(Assumptions!$P$53=1,OR(H9191&lt;Assumptions!$K$53,G9379=1)),MIN(MAX(0,-H9305),MAX(0,Assumptions!$D$53-H9227)),0)</f>
        <v>0</v>
      </c>
      <c r="I9234" s="25" t="n">
        <f aca="false">IF(AND(Assumptions!$P$53=1,OR(I9191&lt;Assumptions!$K$53,H9379=1)),MIN(MAX(0,-I9305),MAX(0,Assumptions!$D$53-I9227)),0)</f>
        <v>0</v>
      </c>
      <c r="J9234" s="25" t="n">
        <f aca="false">IF(AND(Assumptions!$P$53=1,OR(J9191&lt;Assumptions!$K$53,I9379=1)),MIN(MAX(0,-J9305),MAX(0,Assumptions!$D$53-J9227)),0)</f>
        <v>0</v>
      </c>
      <c r="K9234" s="25" t="n">
        <f aca="false">IF(AND(Assumptions!$P$53=1,OR(K9191&lt;Assumptions!$K$53,J9379=1)),MIN(MAX(0,-K9305),MAX(0,Assumptions!$D$53-K9227)),0)</f>
        <v>0</v>
      </c>
    </row>
    <row r="9235" customFormat="false" ht="15" hidden="false" customHeight="false" outlineLevel="0" collapsed="false">
      <c r="A9235" s="5" t="s">
        <v>271</v>
      </c>
      <c r="G9235" s="25" t="n">
        <f aca="false">G9228*MIN(G9227-G9233+G9232,MAX(0,G9307-Assumptions!$C$12*G9225))</f>
        <v>0</v>
      </c>
      <c r="H9235" s="25" t="n">
        <f aca="false">H9228*MIN(H9227-H9233+H9232,MAX(0,H9307-Assumptions!$C$12*H9225))</f>
        <v>0</v>
      </c>
      <c r="I9235" s="25" t="n">
        <f aca="false">I9228*MIN(I9227-I9233+I9232,MAX(0,I9307-Assumptions!$C$12*I9225))</f>
        <v>0</v>
      </c>
      <c r="J9235" s="25" t="n">
        <f aca="false">J9228*MIN(J9227-J9233+J9232,MAX(0,J9307-Assumptions!$C$12*J9225))</f>
        <v>0</v>
      </c>
      <c r="K9235" s="25" t="n">
        <f aca="false">K9228*MIN(K9227-K9233+K9232,MAX(0,K9307-Assumptions!$C$12*K9225))</f>
        <v>0</v>
      </c>
    </row>
    <row r="9236" customFormat="false" ht="15" hidden="false" customHeight="false" outlineLevel="0" collapsed="false">
      <c r="A9236" s="5" t="s">
        <v>272</v>
      </c>
      <c r="G9236" s="25" t="n">
        <f aca="false">Assumptions!$N$53*MIN(G9227+G9234+G9232-G9233-G9235,MAX(0,G9311))</f>
        <v>0</v>
      </c>
      <c r="H9236" s="25" t="n">
        <f aca="false">Assumptions!$N$53*MIN(H9227+H9234+H9232-H9233-H9235,MAX(0,H9311))</f>
        <v>0</v>
      </c>
      <c r="I9236" s="25" t="n">
        <f aca="false">Assumptions!$N$53*MIN(I9227+I9234+I9232-I9233-I9235,MAX(0,I9311))</f>
        <v>0</v>
      </c>
      <c r="J9236" s="25" t="n">
        <f aca="false">Assumptions!$N$53*MIN(J9227+J9234+J9232-J9233-J9235,MAX(0,J9311))</f>
        <v>0</v>
      </c>
      <c r="K9236" s="25" t="n">
        <f aca="false">Assumptions!$N$53*MIN(K9227+K9234+K9232-K9233-K9235,MAX(0,K9311))</f>
        <v>0</v>
      </c>
    </row>
    <row r="9237" customFormat="false" ht="15" hidden="false" customHeight="false" outlineLevel="0" collapsed="false">
      <c r="A9237" s="5" t="s">
        <v>273</v>
      </c>
      <c r="G9237" s="25" t="n">
        <f aca="false">G9228*(1-G9225)*(G9227-G9233+G9232-G9235)</f>
        <v>0</v>
      </c>
      <c r="H9237" s="25" t="n">
        <f aca="false">H9228*(1-H9225)*(H9227-H9233+H9232-H9235)</f>
        <v>229.0168</v>
      </c>
      <c r="I9237" s="25" t="n">
        <f aca="false">I9228*(1-I9225)*(I9227-I9233+I9232-I9235)</f>
        <v>0</v>
      </c>
      <c r="J9237" s="25" t="n">
        <f aca="false">J9228*(1-J9225)*(J9227-J9233+J9232-J9235)</f>
        <v>0</v>
      </c>
      <c r="K9237" s="25" t="n">
        <f aca="false">K9228*(1-K9225)*(K9227-K9233+K9232-K9235)</f>
        <v>0</v>
      </c>
    </row>
    <row r="9238" customFormat="false" ht="15" hidden="false" customHeight="false" outlineLevel="0" collapsed="false">
      <c r="A9238" s="2" t="s">
        <v>274</v>
      </c>
      <c r="F9238" s="27" t="n">
        <f aca="false">Assumptions!$C$53</f>
        <v>180</v>
      </c>
      <c r="G9238" s="16" t="n">
        <f aca="false">G9227+G9234+G9232-G9233-G9235-G9236</f>
        <v>229.0168</v>
      </c>
      <c r="H9238" s="16" t="n">
        <f aca="false">H9227+H9234+H9232-H9233-H9235-H9236</f>
        <v>229.0168</v>
      </c>
      <c r="I9238" s="16" t="n">
        <f aca="false">I9227+I9234+I9232-I9233-I9235-I9236</f>
        <v>229.0168</v>
      </c>
      <c r="J9238" s="16" t="n">
        <f aca="false">J9227+J9234+J9232-J9233-J9235-J9236</f>
        <v>229.0168</v>
      </c>
      <c r="K9238" s="16" t="n">
        <f aca="false">K9227+K9234+K9232-K9233-K9235-K9236</f>
        <v>229.0168</v>
      </c>
    </row>
    <row r="9239" customFormat="false" ht="15" hidden="false" customHeight="false" outlineLevel="0" collapsed="false">
      <c r="A9239" s="23" t="s">
        <v>275</v>
      </c>
      <c r="B9239" s="24"/>
      <c r="C9239" s="24"/>
      <c r="D9239" s="24"/>
      <c r="E9239" s="24"/>
      <c r="F9239" s="24"/>
      <c r="G9239" s="24"/>
      <c r="H9239" s="24"/>
      <c r="I9239" s="24"/>
      <c r="J9239" s="24"/>
      <c r="K9239" s="24"/>
    </row>
    <row r="9240" customFormat="false" ht="15" hidden="false" customHeight="false" outlineLevel="0" collapsed="false">
      <c r="A9240" s="5" t="s">
        <v>264</v>
      </c>
      <c r="G9240" s="25" t="n">
        <f aca="false">F9251</f>
        <v>520</v>
      </c>
      <c r="H9240" s="25" t="n">
        <f aca="false">G9251</f>
        <v>514.8</v>
      </c>
      <c r="I9240" s="25" t="n">
        <f aca="false">H9251</f>
        <v>509.6</v>
      </c>
      <c r="J9240" s="25" t="n">
        <f aca="false">I9251</f>
        <v>504.4</v>
      </c>
      <c r="K9240" s="25" t="n">
        <f aca="false">J9251</f>
        <v>499.2</v>
      </c>
    </row>
    <row r="9241" customFormat="false" ht="15" hidden="false" customHeight="false" outlineLevel="0" collapsed="false">
      <c r="A9241" s="5" t="s">
        <v>265</v>
      </c>
      <c r="G9241" s="20" t="n">
        <f aca="false">IF(G9191=Assumptions!$K$54,1,0)</f>
        <v>0</v>
      </c>
      <c r="H9241" s="20" t="n">
        <f aca="false">IF(H9191=Assumptions!$K$54,1,0)</f>
        <v>0</v>
      </c>
      <c r="I9241" s="20" t="n">
        <f aca="false">IF(I9191=Assumptions!$K$54,1,0)</f>
        <v>1</v>
      </c>
      <c r="J9241" s="20" t="n">
        <f aca="false">IF(J9191=Assumptions!$K$54,1,0)</f>
        <v>0</v>
      </c>
      <c r="K9241" s="20" t="n">
        <f aca="false">IF(K9191=Assumptions!$K$54,1,0)</f>
        <v>0</v>
      </c>
    </row>
    <row r="9243" customFormat="false" ht="15" hidden="false" customHeight="false" outlineLevel="0" collapsed="false">
      <c r="A9243" s="5" t="s">
        <v>266</v>
      </c>
      <c r="G9243" s="30" t="n">
        <f aca="false">IF(Assumptions!$I$54=1,MAX(G9217,Assumptions!$G$54)+Assumptions!$F$54+$C$9218,Assumptions!$E$54)</f>
        <v>0.118</v>
      </c>
      <c r="H9243" s="30" t="n">
        <f aca="false">IF(G9380=1,$C$9219,IF(Assumptions!$I$54=1,MAX(H9217,Assumptions!$G$54)+Assumptions!$F$54+$C$9218,Assumptions!$E$54))</f>
        <v>0.1155</v>
      </c>
      <c r="I9243" s="30" t="n">
        <f aca="false">IF(H9380=1,$C$9219,IF(Assumptions!$I$54=1,MAX(I9217,Assumptions!$G$54)+Assumptions!$F$54+$C$9218,Assumptions!$E$54))</f>
        <v>0.113</v>
      </c>
      <c r="J9243" s="30" t="n">
        <f aca="false">IF(I9380=1,$C$9219,IF(Assumptions!$I$54=1,MAX(J9217,Assumptions!$G$54)+Assumptions!$F$54+$C$9218,Assumptions!$E$54))</f>
        <v>0.113</v>
      </c>
      <c r="K9243" s="30" t="n">
        <f aca="false">IF(J9380=1,$C$9219,IF(Assumptions!$I$54=1,MAX(K9217,Assumptions!$G$54)+Assumptions!$F$54+$C$9218,Assumptions!$E$54))</f>
        <v>0.113</v>
      </c>
    </row>
    <row r="9244" customFormat="false" ht="15" hidden="false" customHeight="false" outlineLevel="0" collapsed="false">
      <c r="A9244" s="5" t="s">
        <v>267</v>
      </c>
      <c r="G9244" s="25" t="n">
        <f aca="false">G9240*G9243</f>
        <v>61.36</v>
      </c>
      <c r="H9244" s="25" t="n">
        <f aca="false">H9240*H9243</f>
        <v>59.4594</v>
      </c>
      <c r="I9244" s="25" t="n">
        <f aca="false">I9240*I9243</f>
        <v>57.5848</v>
      </c>
      <c r="J9244" s="25" t="n">
        <f aca="false">J9240*J9243</f>
        <v>56.9972</v>
      </c>
      <c r="K9244" s="25" t="n">
        <f aca="false">K9240*K9243</f>
        <v>56.4096</v>
      </c>
    </row>
    <row r="9245" customFormat="false" ht="15" hidden="false" customHeight="false" outlineLevel="0" collapsed="false">
      <c r="A9245" s="5" t="s">
        <v>268</v>
      </c>
      <c r="G9245" s="25" t="n">
        <f aca="false">G9240*Assumptions!$H$54</f>
        <v>0</v>
      </c>
      <c r="H9245" s="25" t="n">
        <f aca="false">H9240*Assumptions!$H$54</f>
        <v>0</v>
      </c>
      <c r="I9245" s="25" t="n">
        <f aca="false">I9240*Assumptions!$H$54</f>
        <v>0</v>
      </c>
      <c r="J9245" s="25" t="n">
        <f aca="false">J9240*Assumptions!$H$54</f>
        <v>0</v>
      </c>
      <c r="K9245" s="25" t="n">
        <f aca="false">K9240*Assumptions!$H$54</f>
        <v>0</v>
      </c>
    </row>
    <row r="9246" customFormat="false" ht="15" hidden="false" customHeight="false" outlineLevel="0" collapsed="false">
      <c r="A9246" s="5" t="s">
        <v>269</v>
      </c>
      <c r="G9246" s="25" t="n">
        <f aca="false">MIN(G9240,Assumptions!$L$54*Assumptions!$C$54)</f>
        <v>5.2</v>
      </c>
      <c r="H9246" s="25" t="n">
        <f aca="false">MIN(H9240,Assumptions!$L$54*Assumptions!$C$54)</f>
        <v>5.2</v>
      </c>
      <c r="I9246" s="25" t="n">
        <f aca="false">MIN(I9240,Assumptions!$L$54*Assumptions!$C$54)</f>
        <v>5.2</v>
      </c>
      <c r="J9246" s="25" t="n">
        <f aca="false">MIN(J9240,Assumptions!$L$54*Assumptions!$C$54)</f>
        <v>5.2</v>
      </c>
      <c r="K9246" s="25" t="n">
        <f aca="false">MIN(K9240,Assumptions!$L$54*Assumptions!$C$54)</f>
        <v>5.2</v>
      </c>
    </row>
    <row r="9247" customFormat="false" ht="15" hidden="false" customHeight="false" outlineLevel="0" collapsed="false">
      <c r="A9247" s="5" t="s">
        <v>270</v>
      </c>
      <c r="G9247" s="25" t="n">
        <f aca="false">IF(AND(Assumptions!$P$54=1,G9191&lt;Assumptions!$K$54),MIN(MAX(0,-G9305),MAX(0,Assumptions!$D$54-G9240)),0)</f>
        <v>0</v>
      </c>
      <c r="H9247" s="25" t="n">
        <f aca="false">IF(AND(Assumptions!$P$54=1,OR(H9191&lt;Assumptions!$K$54,G9380=1)),MIN(MAX(0,-H9305),MAX(0,Assumptions!$D$54-H9240)),0)</f>
        <v>0</v>
      </c>
      <c r="I9247" s="25" t="n">
        <f aca="false">IF(AND(Assumptions!$P$54=1,OR(I9191&lt;Assumptions!$K$54,H9380=1)),MIN(MAX(0,-I9305),MAX(0,Assumptions!$D$54-I9240)),0)</f>
        <v>0</v>
      </c>
      <c r="J9247" s="25" t="n">
        <f aca="false">IF(AND(Assumptions!$P$54=1,OR(J9191&lt;Assumptions!$K$54,I9380=1)),MIN(MAX(0,-J9305),MAX(0,Assumptions!$D$54-J9240)),0)</f>
        <v>0</v>
      </c>
      <c r="K9247" s="25" t="n">
        <f aca="false">IF(AND(Assumptions!$P$54=1,OR(K9191&lt;Assumptions!$K$54,J9380=1)),MIN(MAX(0,-K9305),MAX(0,Assumptions!$D$54-K9240)),0)</f>
        <v>0</v>
      </c>
    </row>
    <row r="9248" customFormat="false" ht="15" hidden="false" customHeight="false" outlineLevel="0" collapsed="false">
      <c r="A9248" s="5" t="s">
        <v>271</v>
      </c>
      <c r="G9248" s="25" t="n">
        <f aca="false">G9241*MIN(G9240-G9246+G9245,MAX(0,G9307-Assumptions!$C$12*G9225-G9235))</f>
        <v>0</v>
      </c>
      <c r="H9248" s="25" t="n">
        <f aca="false">H9241*MIN(H9240-H9246+H9245,MAX(0,H9307-Assumptions!$C$12*H9225-H9235))</f>
        <v>0</v>
      </c>
      <c r="I9248" s="25" t="n">
        <f aca="false">I9241*MIN(I9240-I9246+I9245,MAX(0,I9307-Assumptions!$C$12*I9225-I9235))</f>
        <v>0</v>
      </c>
      <c r="J9248" s="25" t="n">
        <f aca="false">J9241*MIN(J9240-J9246+J9245,MAX(0,J9307-Assumptions!$C$12*J9225-J9235))</f>
        <v>0</v>
      </c>
      <c r="K9248" s="25" t="n">
        <f aca="false">K9241*MIN(K9240-K9246+K9245,MAX(0,K9307-Assumptions!$C$12*K9225-K9235))</f>
        <v>0</v>
      </c>
    </row>
    <row r="9249" customFormat="false" ht="15" hidden="false" customHeight="false" outlineLevel="0" collapsed="false">
      <c r="A9249" s="5" t="s">
        <v>272</v>
      </c>
      <c r="G9249" s="25" t="n">
        <f aca="false">Assumptions!$N$54*MIN(G9240+G9247+G9245-G9246-G9248,MAX(0,G9311-G9236))</f>
        <v>0</v>
      </c>
      <c r="H9249" s="25" t="n">
        <f aca="false">Assumptions!$N$54*MIN(H9240+H9247+H9245-H9246-H9248,MAX(0,H9311-H9236))</f>
        <v>0</v>
      </c>
      <c r="I9249" s="25" t="n">
        <f aca="false">Assumptions!$N$54*MIN(I9240+I9247+I9245-I9246-I9248,MAX(0,I9311-I9236))</f>
        <v>0</v>
      </c>
      <c r="J9249" s="25" t="n">
        <f aca="false">Assumptions!$N$54*MIN(J9240+J9247+J9245-J9246-J9248,MAX(0,J9311-J9236))</f>
        <v>0</v>
      </c>
      <c r="K9249" s="25" t="n">
        <f aca="false">Assumptions!$N$54*MIN(K9240+K9247+K9245-K9246-K9248,MAX(0,K9311-K9236))</f>
        <v>0</v>
      </c>
    </row>
    <row r="9250" customFormat="false" ht="15" hidden="false" customHeight="false" outlineLevel="0" collapsed="false">
      <c r="A9250" s="5" t="s">
        <v>273</v>
      </c>
      <c r="G9250" s="25" t="n">
        <f aca="false">G9241*(1-G9225)*(G9240-G9246+G9245-G9248)</f>
        <v>0</v>
      </c>
      <c r="H9250" s="25" t="n">
        <f aca="false">H9241*(1-H9225)*(H9240-H9246+H9245-H9248)</f>
        <v>0</v>
      </c>
      <c r="I9250" s="25" t="n">
        <f aca="false">I9241*(1-I9225)*(I9240-I9246+I9245-I9248)</f>
        <v>504.4</v>
      </c>
      <c r="J9250" s="25" t="n">
        <f aca="false">J9241*(1-J9225)*(J9240-J9246+J9245-J9248)</f>
        <v>0</v>
      </c>
      <c r="K9250" s="25" t="n">
        <f aca="false">K9241*(1-K9225)*(K9240-K9246+K9245-K9248)</f>
        <v>0</v>
      </c>
    </row>
    <row r="9251" customFormat="false" ht="15" hidden="false" customHeight="false" outlineLevel="0" collapsed="false">
      <c r="A9251" s="2" t="s">
        <v>274</v>
      </c>
      <c r="F9251" s="27" t="n">
        <f aca="false">Assumptions!$C$54</f>
        <v>520</v>
      </c>
      <c r="G9251" s="16" t="n">
        <f aca="false">G9240+G9247+G9245-G9246-G9248-G9249</f>
        <v>514.8</v>
      </c>
      <c r="H9251" s="16" t="n">
        <f aca="false">H9240+H9247+H9245-H9246-H9248-H9249</f>
        <v>509.6</v>
      </c>
      <c r="I9251" s="16" t="n">
        <f aca="false">I9240+I9247+I9245-I9246-I9248-I9249</f>
        <v>504.4</v>
      </c>
      <c r="J9251" s="16" t="n">
        <f aca="false">J9240+J9247+J9245-J9246-J9248-J9249</f>
        <v>499.2</v>
      </c>
      <c r="K9251" s="16" t="n">
        <f aca="false">K9240+K9247+K9245-K9246-K9248-K9249</f>
        <v>494</v>
      </c>
    </row>
    <row r="9252" customFormat="false" ht="15" hidden="false" customHeight="false" outlineLevel="0" collapsed="false">
      <c r="A9252" s="23" t="s">
        <v>276</v>
      </c>
      <c r="B9252" s="24"/>
      <c r="C9252" s="24"/>
      <c r="D9252" s="24"/>
      <c r="E9252" s="24"/>
      <c r="F9252" s="24"/>
      <c r="G9252" s="24"/>
      <c r="H9252" s="24"/>
      <c r="I9252" s="24"/>
      <c r="J9252" s="24"/>
      <c r="K9252" s="24"/>
    </row>
    <row r="9253" customFormat="false" ht="15" hidden="false" customHeight="false" outlineLevel="0" collapsed="false">
      <c r="A9253" s="5" t="s">
        <v>264</v>
      </c>
      <c r="G9253" s="25" t="n">
        <f aca="false">F9264</f>
        <v>250</v>
      </c>
      <c r="H9253" s="25" t="n">
        <f aca="false">G9264</f>
        <v>250</v>
      </c>
      <c r="I9253" s="25" t="n">
        <f aca="false">H9264</f>
        <v>250</v>
      </c>
      <c r="J9253" s="25" t="n">
        <f aca="false">I9264</f>
        <v>250</v>
      </c>
      <c r="K9253" s="25" t="n">
        <f aca="false">J9264</f>
        <v>250</v>
      </c>
    </row>
    <row r="9254" customFormat="false" ht="15" hidden="false" customHeight="false" outlineLevel="0" collapsed="false">
      <c r="A9254" s="5" t="s">
        <v>265</v>
      </c>
      <c r="G9254" s="20" t="n">
        <f aca="false">IF(G9191=Assumptions!$K$55,1,0)</f>
        <v>0</v>
      </c>
      <c r="H9254" s="20" t="n">
        <f aca="false">IF(H9191=Assumptions!$K$55,1,0)</f>
        <v>0</v>
      </c>
      <c r="I9254" s="20" t="n">
        <f aca="false">IF(I9191=Assumptions!$K$55,1,0)</f>
        <v>0</v>
      </c>
      <c r="J9254" s="20" t="n">
        <f aca="false">IF(J9191=Assumptions!$K$55,1,0)</f>
        <v>1</v>
      </c>
      <c r="K9254" s="20" t="n">
        <f aca="false">IF(K9191=Assumptions!$K$55,1,0)</f>
        <v>0</v>
      </c>
    </row>
    <row r="9256" customFormat="false" ht="15" hidden="false" customHeight="false" outlineLevel="0" collapsed="false">
      <c r="A9256" s="5" t="s">
        <v>266</v>
      </c>
      <c r="G9256" s="30" t="n">
        <f aca="false">IF(Assumptions!$I$55=1,MAX(G9217,Assumptions!$G$55)+Assumptions!$F$55+$C$9218,Assumptions!$E$55)</f>
        <v>0.11</v>
      </c>
      <c r="H9256" s="30" t="n">
        <f aca="false">IF(G9381=1,$C$9219,IF(Assumptions!$I$55=1,MAX(H9217,Assumptions!$G$55)+Assumptions!$F$55+$C$9218,Assumptions!$E$55))</f>
        <v>0.11</v>
      </c>
      <c r="I9256" s="30" t="n">
        <f aca="false">IF(H9381=1,$C$9219,IF(Assumptions!$I$55=1,MAX(I9217,Assumptions!$G$55)+Assumptions!$F$55+$C$9218,Assumptions!$E$55))</f>
        <v>0.11</v>
      </c>
      <c r="J9256" s="30" t="n">
        <f aca="false">IF(I9381=1,$C$9219,IF(Assumptions!$I$55=1,MAX(J9217,Assumptions!$G$55)+Assumptions!$F$55+$C$9218,Assumptions!$E$55))</f>
        <v>0.11</v>
      </c>
      <c r="K9256" s="30" t="n">
        <f aca="false">IF(J9381=1,$C$9219,IF(Assumptions!$I$55=1,MAX(K9217,Assumptions!$G$55)+Assumptions!$F$55+$C$9218,Assumptions!$E$55))</f>
        <v>0.11</v>
      </c>
    </row>
    <row r="9257" customFormat="false" ht="15" hidden="false" customHeight="false" outlineLevel="0" collapsed="false">
      <c r="A9257" s="5" t="s">
        <v>267</v>
      </c>
      <c r="G9257" s="25" t="n">
        <f aca="false">G9253*G9256</f>
        <v>27.5</v>
      </c>
      <c r="H9257" s="25" t="n">
        <f aca="false">H9253*H9256</f>
        <v>27.5</v>
      </c>
      <c r="I9257" s="25" t="n">
        <f aca="false">I9253*I9256</f>
        <v>27.5</v>
      </c>
      <c r="J9257" s="25" t="n">
        <f aca="false">J9253*J9256</f>
        <v>27.5</v>
      </c>
      <c r="K9257" s="25" t="n">
        <f aca="false">K9253*K9256</f>
        <v>27.5</v>
      </c>
    </row>
    <row r="9258" customFormat="false" ht="15" hidden="false" customHeight="false" outlineLevel="0" collapsed="false">
      <c r="A9258" s="5" t="s">
        <v>268</v>
      </c>
      <c r="G9258" s="25" t="n">
        <f aca="false">G9253*Assumptions!$H$55</f>
        <v>0</v>
      </c>
      <c r="H9258" s="25" t="n">
        <f aca="false">H9253*Assumptions!$H$55</f>
        <v>0</v>
      </c>
      <c r="I9258" s="25" t="n">
        <f aca="false">I9253*Assumptions!$H$55</f>
        <v>0</v>
      </c>
      <c r="J9258" s="25" t="n">
        <f aca="false">J9253*Assumptions!$H$55</f>
        <v>0</v>
      </c>
      <c r="K9258" s="25" t="n">
        <f aca="false">K9253*Assumptions!$H$55</f>
        <v>0</v>
      </c>
    </row>
    <row r="9259" customFormat="false" ht="15" hidden="false" customHeight="false" outlineLevel="0" collapsed="false">
      <c r="A9259" s="5" t="s">
        <v>269</v>
      </c>
      <c r="G9259" s="25" t="n">
        <f aca="false">MIN(G9253,Assumptions!$L$55*Assumptions!$C$55)</f>
        <v>0</v>
      </c>
      <c r="H9259" s="25" t="n">
        <f aca="false">MIN(H9253,Assumptions!$L$55*Assumptions!$C$55)</f>
        <v>0</v>
      </c>
      <c r="I9259" s="25" t="n">
        <f aca="false">MIN(I9253,Assumptions!$L$55*Assumptions!$C$55)</f>
        <v>0</v>
      </c>
      <c r="J9259" s="25" t="n">
        <f aca="false">MIN(J9253,Assumptions!$L$55*Assumptions!$C$55)</f>
        <v>0</v>
      </c>
      <c r="K9259" s="25" t="n">
        <f aca="false">MIN(K9253,Assumptions!$L$55*Assumptions!$C$55)</f>
        <v>0</v>
      </c>
    </row>
    <row r="9260" customFormat="false" ht="15" hidden="false" customHeight="false" outlineLevel="0" collapsed="false">
      <c r="A9260" s="5" t="s">
        <v>270</v>
      </c>
      <c r="G9260" s="25" t="n">
        <f aca="false">IF(AND(Assumptions!$P$55=1,G9191&lt;Assumptions!$K$55),MIN(MAX(0,-G9305),MAX(0,Assumptions!$D$55-G9253)),0)</f>
        <v>0</v>
      </c>
      <c r="H9260" s="25" t="n">
        <f aca="false">IF(AND(Assumptions!$P$55=1,OR(H9191&lt;Assumptions!$K$55,G9381=1)),MIN(MAX(0,-H9305),MAX(0,Assumptions!$D$55-H9253)),0)</f>
        <v>0</v>
      </c>
      <c r="I9260" s="25" t="n">
        <f aca="false">IF(AND(Assumptions!$P$55=1,OR(I9191&lt;Assumptions!$K$55,H9381=1)),MIN(MAX(0,-I9305),MAX(0,Assumptions!$D$55-I9253)),0)</f>
        <v>0</v>
      </c>
      <c r="J9260" s="25" t="n">
        <f aca="false">IF(AND(Assumptions!$P$55=1,OR(J9191&lt;Assumptions!$K$55,I9381=1)),MIN(MAX(0,-J9305),MAX(0,Assumptions!$D$55-J9253)),0)</f>
        <v>0</v>
      </c>
      <c r="K9260" s="25" t="n">
        <f aca="false">IF(AND(Assumptions!$P$55=1,OR(K9191&lt;Assumptions!$K$55,J9381=1)),MIN(MAX(0,-K9305),MAX(0,Assumptions!$D$55-K9253)),0)</f>
        <v>0</v>
      </c>
    </row>
    <row r="9261" customFormat="false" ht="15" hidden="false" customHeight="false" outlineLevel="0" collapsed="false">
      <c r="A9261" s="5" t="s">
        <v>271</v>
      </c>
      <c r="G9261" s="25" t="n">
        <f aca="false">G9254*MIN(G9253-G9259+G9258,MAX(0,G9307-Assumptions!$C$12*G9225-G9235-G9248))</f>
        <v>0</v>
      </c>
      <c r="H9261" s="25" t="n">
        <f aca="false">H9254*MIN(H9253-H9259+H9258,MAX(0,H9307-Assumptions!$C$12*H9225-H9235-H9248))</f>
        <v>0</v>
      </c>
      <c r="I9261" s="25" t="n">
        <f aca="false">I9254*MIN(I9253-I9259+I9258,MAX(0,I9307-Assumptions!$C$12*I9225-I9235-I9248))</f>
        <v>0</v>
      </c>
      <c r="J9261" s="25" t="n">
        <f aca="false">J9254*MIN(J9253-J9259+J9258,MAX(0,J9307-Assumptions!$C$12*J9225-J9235-J9248))</f>
        <v>0</v>
      </c>
      <c r="K9261" s="25" t="n">
        <f aca="false">K9254*MIN(K9253-K9259+K9258,MAX(0,K9307-Assumptions!$C$12*K9225-K9235-K9248))</f>
        <v>0</v>
      </c>
    </row>
    <row r="9262" customFormat="false" ht="15" hidden="false" customHeight="false" outlineLevel="0" collapsed="false">
      <c r="A9262" s="5" t="s">
        <v>272</v>
      </c>
      <c r="G9262" s="25" t="n">
        <f aca="false">Assumptions!$N$55*MIN(G9253+G9260+G9258-G9259-G9261,MAX(0,G9311-G9236-G9249))</f>
        <v>0</v>
      </c>
      <c r="H9262" s="25" t="n">
        <f aca="false">Assumptions!$N$55*MIN(H9253+H9260+H9258-H9259-H9261,MAX(0,H9311-H9236-H9249))</f>
        <v>0</v>
      </c>
      <c r="I9262" s="25" t="n">
        <f aca="false">Assumptions!$N$55*MIN(I9253+I9260+I9258-I9259-I9261,MAX(0,I9311-I9236-I9249))</f>
        <v>0</v>
      </c>
      <c r="J9262" s="25" t="n">
        <f aca="false">Assumptions!$N$55*MIN(J9253+J9260+J9258-J9259-J9261,MAX(0,J9311-J9236-J9249))</f>
        <v>0</v>
      </c>
      <c r="K9262" s="25" t="n">
        <f aca="false">Assumptions!$N$55*MIN(K9253+K9260+K9258-K9259-K9261,MAX(0,K9311-K9236-K9249))</f>
        <v>0</v>
      </c>
    </row>
    <row r="9263" customFormat="false" ht="15" hidden="false" customHeight="false" outlineLevel="0" collapsed="false">
      <c r="A9263" s="5" t="s">
        <v>273</v>
      </c>
      <c r="G9263" s="25" t="n">
        <f aca="false">G9254*(1-G9225)*(G9253-G9259+G9258-G9261)</f>
        <v>0</v>
      </c>
      <c r="H9263" s="25" t="n">
        <f aca="false">H9254*(1-H9225)*(H9253-H9259+H9258-H9261)</f>
        <v>0</v>
      </c>
      <c r="I9263" s="25" t="n">
        <f aca="false">I9254*(1-I9225)*(I9253-I9259+I9258-I9261)</f>
        <v>0</v>
      </c>
      <c r="J9263" s="25" t="n">
        <f aca="false">J9254*(1-J9225)*(J9253-J9259+J9258-J9261)</f>
        <v>250</v>
      </c>
      <c r="K9263" s="25" t="n">
        <f aca="false">K9254*(1-K9225)*(K9253-K9259+K9258-K9261)</f>
        <v>0</v>
      </c>
    </row>
    <row r="9264" customFormat="false" ht="15" hidden="false" customHeight="false" outlineLevel="0" collapsed="false">
      <c r="A9264" s="2" t="s">
        <v>274</v>
      </c>
      <c r="F9264" s="27" t="n">
        <f aca="false">Assumptions!$C$55</f>
        <v>250</v>
      </c>
      <c r="G9264" s="16" t="n">
        <f aca="false">G9253+G9260+G9258-G9259-G9261-G9262</f>
        <v>250</v>
      </c>
      <c r="H9264" s="16" t="n">
        <f aca="false">H9253+H9260+H9258-H9259-H9261-H9262</f>
        <v>250</v>
      </c>
      <c r="I9264" s="16" t="n">
        <f aca="false">I9253+I9260+I9258-I9259-I9261-I9262</f>
        <v>250</v>
      </c>
      <c r="J9264" s="16" t="n">
        <f aca="false">J9253+J9260+J9258-J9259-J9261-J9262</f>
        <v>250</v>
      </c>
      <c r="K9264" s="16" t="n">
        <f aca="false">K9253+K9260+K9258-K9259-K9261-K9262</f>
        <v>250</v>
      </c>
    </row>
    <row r="9265" customFormat="false" ht="15" hidden="false" customHeight="false" outlineLevel="0" collapsed="false">
      <c r="A9265" s="23" t="s">
        <v>277</v>
      </c>
      <c r="B9265" s="24"/>
      <c r="C9265" s="24"/>
      <c r="D9265" s="24"/>
      <c r="E9265" s="24"/>
      <c r="F9265" s="24"/>
      <c r="G9265" s="24"/>
      <c r="H9265" s="24"/>
      <c r="I9265" s="24"/>
      <c r="J9265" s="24"/>
      <c r="K9265" s="24"/>
    </row>
    <row r="9266" customFormat="false" ht="15" hidden="false" customHeight="false" outlineLevel="0" collapsed="false">
      <c r="A9266" s="5" t="s">
        <v>264</v>
      </c>
      <c r="G9266" s="25" t="n">
        <f aca="false">F9277</f>
        <v>300</v>
      </c>
      <c r="H9266" s="25" t="n">
        <f aca="false">G9277</f>
        <v>300</v>
      </c>
      <c r="I9266" s="25" t="n">
        <f aca="false">H9277</f>
        <v>300</v>
      </c>
      <c r="J9266" s="25" t="n">
        <f aca="false">I9277</f>
        <v>300</v>
      </c>
      <c r="K9266" s="25" t="n">
        <f aca="false">J9277</f>
        <v>300</v>
      </c>
    </row>
    <row r="9267" customFormat="false" ht="15" hidden="false" customHeight="false" outlineLevel="0" collapsed="false">
      <c r="A9267" s="5" t="s">
        <v>265</v>
      </c>
      <c r="G9267" s="20" t="n">
        <f aca="false">IF(G9191=Assumptions!$K$56,1,0)</f>
        <v>0</v>
      </c>
      <c r="H9267" s="20" t="n">
        <f aca="false">IF(H9191=Assumptions!$K$56,1,0)</f>
        <v>1</v>
      </c>
      <c r="I9267" s="20" t="n">
        <f aca="false">IF(I9191=Assumptions!$K$56,1,0)</f>
        <v>0</v>
      </c>
      <c r="J9267" s="20" t="n">
        <f aca="false">IF(J9191=Assumptions!$K$56,1,0)</f>
        <v>0</v>
      </c>
      <c r="K9267" s="20" t="n">
        <f aca="false">IF(K9191=Assumptions!$K$56,1,0)</f>
        <v>0</v>
      </c>
    </row>
    <row r="9269" customFormat="false" ht="15" hidden="false" customHeight="false" outlineLevel="0" collapsed="false">
      <c r="A9269" s="5" t="s">
        <v>266</v>
      </c>
      <c r="G9269" s="30" t="n">
        <f aca="false">IF(Assumptions!$I$56=1,MAX(G9217,Assumptions!$G$56)+Assumptions!$F$56+$C$9218,Assumptions!$E$56)</f>
        <v>0.075</v>
      </c>
      <c r="H9269" s="30" t="n">
        <f aca="false">IF(G9382=1,$C$9219,IF(Assumptions!$I$56=1,MAX(H9217,Assumptions!$G$56)+Assumptions!$F$56+$C$9218,Assumptions!$E$56))</f>
        <v>0.075</v>
      </c>
      <c r="I9269" s="30" t="n">
        <f aca="false">IF(H9382=1,$C$9219,IF(Assumptions!$I$56=1,MAX(I9217,Assumptions!$G$56)+Assumptions!$F$56+$C$9218,Assumptions!$E$56))</f>
        <v>0.075</v>
      </c>
      <c r="J9269" s="30" t="n">
        <f aca="false">IF(I9382=1,$C$9219,IF(Assumptions!$I$56=1,MAX(J9217,Assumptions!$G$56)+Assumptions!$F$56+$C$9218,Assumptions!$E$56))</f>
        <v>0.075</v>
      </c>
      <c r="K9269" s="30" t="n">
        <f aca="false">IF(J9382=1,$C$9219,IF(Assumptions!$I$56=1,MAX(K9217,Assumptions!$G$56)+Assumptions!$F$56+$C$9218,Assumptions!$E$56))</f>
        <v>0.075</v>
      </c>
    </row>
    <row r="9270" customFormat="false" ht="15" hidden="false" customHeight="false" outlineLevel="0" collapsed="false">
      <c r="A9270" s="5" t="s">
        <v>267</v>
      </c>
      <c r="G9270" s="25" t="n">
        <f aca="false">G9266*G9269</f>
        <v>22.5</v>
      </c>
      <c r="H9270" s="25" t="n">
        <f aca="false">H9266*H9269</f>
        <v>22.5</v>
      </c>
      <c r="I9270" s="25" t="n">
        <f aca="false">I9266*I9269</f>
        <v>22.5</v>
      </c>
      <c r="J9270" s="25" t="n">
        <f aca="false">J9266*J9269</f>
        <v>22.5</v>
      </c>
      <c r="K9270" s="25" t="n">
        <f aca="false">K9266*K9269</f>
        <v>22.5</v>
      </c>
    </row>
    <row r="9271" customFormat="false" ht="15" hidden="false" customHeight="false" outlineLevel="0" collapsed="false">
      <c r="A9271" s="5" t="s">
        <v>268</v>
      </c>
      <c r="G9271" s="25" t="n">
        <f aca="false">G9266*Assumptions!$H$56</f>
        <v>0</v>
      </c>
      <c r="H9271" s="25" t="n">
        <f aca="false">H9266*Assumptions!$H$56</f>
        <v>0</v>
      </c>
      <c r="I9271" s="25" t="n">
        <f aca="false">I9266*Assumptions!$H$56</f>
        <v>0</v>
      </c>
      <c r="J9271" s="25" t="n">
        <f aca="false">J9266*Assumptions!$H$56</f>
        <v>0</v>
      </c>
      <c r="K9271" s="25" t="n">
        <f aca="false">K9266*Assumptions!$H$56</f>
        <v>0</v>
      </c>
    </row>
    <row r="9272" customFormat="false" ht="15" hidden="false" customHeight="false" outlineLevel="0" collapsed="false">
      <c r="A9272" s="5" t="s">
        <v>269</v>
      </c>
      <c r="G9272" s="25" t="n">
        <f aca="false">MIN(G9266,Assumptions!$L$56*Assumptions!$C$56)</f>
        <v>0</v>
      </c>
      <c r="H9272" s="25" t="n">
        <f aca="false">MIN(H9266,Assumptions!$L$56*Assumptions!$C$56)</f>
        <v>0</v>
      </c>
      <c r="I9272" s="25" t="n">
        <f aca="false">MIN(I9266,Assumptions!$L$56*Assumptions!$C$56)</f>
        <v>0</v>
      </c>
      <c r="J9272" s="25" t="n">
        <f aca="false">MIN(J9266,Assumptions!$L$56*Assumptions!$C$56)</f>
        <v>0</v>
      </c>
      <c r="K9272" s="25" t="n">
        <f aca="false">MIN(K9266,Assumptions!$L$56*Assumptions!$C$56)</f>
        <v>0</v>
      </c>
    </row>
    <row r="9273" customFormat="false" ht="15" hidden="false" customHeight="false" outlineLevel="0" collapsed="false">
      <c r="A9273" s="5" t="s">
        <v>270</v>
      </c>
      <c r="G9273" s="25" t="n">
        <f aca="false">IF(AND(Assumptions!$P$56=1,G9191&lt;Assumptions!$K$56),MIN(MAX(0,-G9305),MAX(0,Assumptions!$D$56-G9266)),0)</f>
        <v>0</v>
      </c>
      <c r="H9273" s="25" t="n">
        <f aca="false">IF(AND(Assumptions!$P$56=1,OR(H9191&lt;Assumptions!$K$56,G9382=1)),MIN(MAX(0,-H9305),MAX(0,Assumptions!$D$56-H9266)),0)</f>
        <v>0</v>
      </c>
      <c r="I9273" s="25" t="n">
        <f aca="false">IF(AND(Assumptions!$P$56=1,OR(I9191&lt;Assumptions!$K$56,H9382=1)),MIN(MAX(0,-I9305),MAX(0,Assumptions!$D$56-I9266)),0)</f>
        <v>0</v>
      </c>
      <c r="J9273" s="25" t="n">
        <f aca="false">IF(AND(Assumptions!$P$56=1,OR(J9191&lt;Assumptions!$K$56,I9382=1)),MIN(MAX(0,-J9305),MAX(0,Assumptions!$D$56-J9266)),0)</f>
        <v>0</v>
      </c>
      <c r="K9273" s="25" t="n">
        <f aca="false">IF(AND(Assumptions!$P$56=1,OR(K9191&lt;Assumptions!$K$56,J9382=1)),MIN(MAX(0,-K9305),MAX(0,Assumptions!$D$56-K9266)),0)</f>
        <v>0</v>
      </c>
    </row>
    <row r="9274" customFormat="false" ht="15" hidden="false" customHeight="false" outlineLevel="0" collapsed="false">
      <c r="A9274" s="5" t="s">
        <v>271</v>
      </c>
      <c r="G9274" s="25" t="n">
        <f aca="false">G9267*MIN(G9266-G9272+G9271,MAX(0,G9307-Assumptions!$C$12*G9225-G9235-G9248-G9261))</f>
        <v>0</v>
      </c>
      <c r="H9274" s="25" t="n">
        <f aca="false">H9267*MIN(H9266-H9272+H9271,MAX(0,H9307-Assumptions!$C$12*H9225-H9235-H9248-H9261))</f>
        <v>0</v>
      </c>
      <c r="I9274" s="25" t="n">
        <f aca="false">I9267*MIN(I9266-I9272+I9271,MAX(0,I9307-Assumptions!$C$12*I9225-I9235-I9248-I9261))</f>
        <v>0</v>
      </c>
      <c r="J9274" s="25" t="n">
        <f aca="false">J9267*MIN(J9266-J9272+J9271,MAX(0,J9307-Assumptions!$C$12*J9225-J9235-J9248-J9261))</f>
        <v>0</v>
      </c>
      <c r="K9274" s="25" t="n">
        <f aca="false">K9267*MIN(K9266-K9272+K9271,MAX(0,K9307-Assumptions!$C$12*K9225-K9235-K9248-K9261))</f>
        <v>0</v>
      </c>
    </row>
    <row r="9275" customFormat="false" ht="15" hidden="false" customHeight="false" outlineLevel="0" collapsed="false">
      <c r="A9275" s="5" t="s">
        <v>272</v>
      </c>
      <c r="G9275" s="25" t="n">
        <f aca="false">Assumptions!$N$56*MIN(G9266+G9273+G9271-G9272-G9274,MAX(0,G9311-G9236-G9249-G9262))</f>
        <v>0</v>
      </c>
      <c r="H9275" s="25" t="n">
        <f aca="false">Assumptions!$N$56*MIN(H9266+H9273+H9271-H9272-H9274,MAX(0,H9311-H9236-H9249-H9262))</f>
        <v>0</v>
      </c>
      <c r="I9275" s="25" t="n">
        <f aca="false">Assumptions!$N$56*MIN(I9266+I9273+I9271-I9272-I9274,MAX(0,I9311-I9236-I9249-I9262))</f>
        <v>0</v>
      </c>
      <c r="J9275" s="25" t="n">
        <f aca="false">Assumptions!$N$56*MIN(J9266+J9273+J9271-J9272-J9274,MAX(0,J9311-J9236-J9249-J9262))</f>
        <v>0</v>
      </c>
      <c r="K9275" s="25" t="n">
        <f aca="false">Assumptions!$N$56*MIN(K9266+K9273+K9271-K9272-K9274,MAX(0,K9311-K9236-K9249-K9262))</f>
        <v>0</v>
      </c>
    </row>
    <row r="9276" customFormat="false" ht="15" hidden="false" customHeight="false" outlineLevel="0" collapsed="false">
      <c r="A9276" s="5" t="s">
        <v>273</v>
      </c>
      <c r="G9276" s="25" t="n">
        <f aca="false">G9267*(1-G9225)*(G9266-G9272+G9271-G9274)</f>
        <v>0</v>
      </c>
      <c r="H9276" s="25" t="n">
        <f aca="false">H9267*(1-H9225)*(H9266-H9272+H9271-H9274)</f>
        <v>300</v>
      </c>
      <c r="I9276" s="25" t="n">
        <f aca="false">I9267*(1-I9225)*(I9266-I9272+I9271-I9274)</f>
        <v>0</v>
      </c>
      <c r="J9276" s="25" t="n">
        <f aca="false">J9267*(1-J9225)*(J9266-J9272+J9271-J9274)</f>
        <v>0</v>
      </c>
      <c r="K9276" s="25" t="n">
        <f aca="false">K9267*(1-K9225)*(K9266-K9272+K9271-K9274)</f>
        <v>0</v>
      </c>
    </row>
    <row r="9277" customFormat="false" ht="15" hidden="false" customHeight="false" outlineLevel="0" collapsed="false">
      <c r="A9277" s="2" t="s">
        <v>274</v>
      </c>
      <c r="F9277" s="27" t="n">
        <f aca="false">Assumptions!$C$56</f>
        <v>300</v>
      </c>
      <c r="G9277" s="16" t="n">
        <f aca="false">G9266+G9273+G9271-G9272-G9274-G9275</f>
        <v>300</v>
      </c>
      <c r="H9277" s="16" t="n">
        <f aca="false">H9266+H9273+H9271-H9272-H9274-H9275</f>
        <v>300</v>
      </c>
      <c r="I9277" s="16" t="n">
        <f aca="false">I9266+I9273+I9271-I9272-I9274-I9275</f>
        <v>300</v>
      </c>
      <c r="J9277" s="16" t="n">
        <f aca="false">J9266+J9273+J9271-J9272-J9274-J9275</f>
        <v>300</v>
      </c>
      <c r="K9277" s="16" t="n">
        <f aca="false">K9266+K9273+K9271-K9272-K9274-K9275</f>
        <v>300</v>
      </c>
    </row>
    <row r="9278" customFormat="false" ht="15" hidden="false" customHeight="false" outlineLevel="0" collapsed="false">
      <c r="A9278" s="23" t="s">
        <v>278</v>
      </c>
      <c r="B9278" s="24"/>
      <c r="C9278" s="24"/>
      <c r="D9278" s="24"/>
      <c r="E9278" s="24"/>
      <c r="F9278" s="24"/>
      <c r="G9278" s="24"/>
      <c r="H9278" s="24"/>
      <c r="I9278" s="24"/>
      <c r="J9278" s="24"/>
      <c r="K9278" s="24"/>
    </row>
    <row r="9279" customFormat="false" ht="15" hidden="false" customHeight="false" outlineLevel="0" collapsed="false">
      <c r="A9279" s="2" t="s">
        <v>279</v>
      </c>
      <c r="F9279" s="16" t="n">
        <f aca="false">F9238+F9251+F9264+F9277</f>
        <v>1250</v>
      </c>
      <c r="G9279" s="16" t="n">
        <f aca="false">G9238+G9251+G9264+G9277</f>
        <v>1293.8168</v>
      </c>
      <c r="H9279" s="16" t="n">
        <f aca="false">H9238+H9251+H9264+H9277</f>
        <v>1288.6168</v>
      </c>
      <c r="I9279" s="16" t="n">
        <f aca="false">I9238+I9251+I9264+I9277</f>
        <v>1283.4168</v>
      </c>
      <c r="J9279" s="16" t="n">
        <f aca="false">J9238+J9251+J9264+J9277</f>
        <v>1278.2168</v>
      </c>
      <c r="K9279" s="16" t="n">
        <f aca="false">K9238+K9251+K9264+K9277</f>
        <v>1273.0168</v>
      </c>
    </row>
    <row r="9280" customFormat="false" ht="15" hidden="false" customHeight="false" outlineLevel="0" collapsed="false">
      <c r="A9280" s="5" t="s">
        <v>280</v>
      </c>
      <c r="G9280" s="25" t="n">
        <f aca="false">G9228*Assumptions!$C$53+G9241*Assumptions!$C$54+G9254*Assumptions!$C$55+G9267*Assumptions!$C$56</f>
        <v>0</v>
      </c>
      <c r="H9280" s="25" t="n">
        <f aca="false">H9228*Assumptions!$C$53+H9241*Assumptions!$C$54+H9254*Assumptions!$C$55+H9267*Assumptions!$C$56</f>
        <v>480</v>
      </c>
      <c r="I9280" s="25" t="n">
        <f aca="false">I9228*Assumptions!$C$53+I9241*Assumptions!$C$54+I9254*Assumptions!$C$55+I9267*Assumptions!$C$56</f>
        <v>520</v>
      </c>
      <c r="J9280" s="25" t="n">
        <f aca="false">J9228*Assumptions!$C$53+J9241*Assumptions!$C$54+J9254*Assumptions!$C$55+J9267*Assumptions!$C$56</f>
        <v>250</v>
      </c>
      <c r="K9280" s="25" t="n">
        <f aca="false">K9228*Assumptions!$C$53+K9241*Assumptions!$C$54+K9254*Assumptions!$C$55+K9267*Assumptions!$C$56</f>
        <v>0</v>
      </c>
    </row>
    <row r="9281" customFormat="false" ht="15" hidden="false" customHeight="false" outlineLevel="0" collapsed="false">
      <c r="A9281" s="23" t="s">
        <v>281</v>
      </c>
      <c r="B9281" s="24"/>
      <c r="C9281" s="24"/>
      <c r="D9281" s="24"/>
      <c r="E9281" s="24"/>
      <c r="F9281" s="24"/>
      <c r="G9281" s="24"/>
      <c r="H9281" s="24"/>
      <c r="I9281" s="24"/>
      <c r="J9281" s="24"/>
      <c r="K9281" s="24"/>
    </row>
    <row r="9282" customFormat="false" ht="15" hidden="false" customHeight="false" outlineLevel="0" collapsed="false">
      <c r="A9282" s="5" t="s">
        <v>282</v>
      </c>
      <c r="C9282" s="25" t="n">
        <f aca="false">SUMPRODUCT($G$9228:$K$9228,$G$9227:$K$9227-$G$9233:$K$9233+$G$9232:$K$9232)</f>
        <v>229.0168</v>
      </c>
    </row>
    <row r="9283" customFormat="false" ht="15" hidden="false" customHeight="false" outlineLevel="0" collapsed="false">
      <c r="A9283" s="5" t="s">
        <v>283</v>
      </c>
      <c r="C9283" s="25" t="n">
        <f aca="false">SUMPRODUCT($G$9228:$K$9228,$G$9235:$K$9235)</f>
        <v>0</v>
      </c>
    </row>
    <row r="9284" customFormat="false" ht="15" hidden="false" customHeight="false" outlineLevel="0" collapsed="false">
      <c r="A9284" s="5" t="s">
        <v>284</v>
      </c>
      <c r="C9284" s="5" t="str">
        <f aca="false">IF(SUM($G$9228:$K$9228)=0,"n/a (beyond horizon)",IF(SUMPRODUCT($G$9228:$K$9228,$G$9225:$K$9225)&gt;0,"REFINANCING PASS","REFINANCING FAILURE"))</f>
        <v>REFINANCING FAILURE</v>
      </c>
    </row>
    <row r="9285" customFormat="false" ht="15" hidden="false" customHeight="false" outlineLevel="0" collapsed="false">
      <c r="A9285" s="5" t="s">
        <v>285</v>
      </c>
      <c r="C9285" s="5" t="str">
        <f aca="false">IF(SUM($G$9228:$K$9228)=0,"n/a",IF(C9283&gt;=C9282-0.001,"Repaid from cash",IF(SUMPRODUCT($G$9228:$K$9228,$G$9225:$K$9225)&gt;0,IF(C9283&gt;0,"Partly repaid; remainder refinanced","Refinanced"),IF(SUM($G$9237:$K$9237)&gt;0.001,IF(C9283&gt;0,"Partial repayment; PAYMENT DEFAULT","PAYMENT DEFAULT"),"Repaid from cash"))))</f>
        <v>PAYMENT DEFAULT</v>
      </c>
    </row>
    <row r="9286" customFormat="false" ht="15" hidden="false" customHeight="false" outlineLevel="0" collapsed="false">
      <c r="A9286" s="5" t="s">
        <v>286</v>
      </c>
      <c r="C9286" s="25" t="n">
        <f aca="false">SUMPRODUCT($G$9241:$K$9241,$G$9240:$K$9240-$G$9246:$K$9246+$G$9245:$K$9245)</f>
        <v>504.4</v>
      </c>
    </row>
    <row r="9287" customFormat="false" ht="15" hidden="false" customHeight="false" outlineLevel="0" collapsed="false">
      <c r="A9287" s="5" t="s">
        <v>287</v>
      </c>
      <c r="C9287" s="25" t="n">
        <f aca="false">SUMPRODUCT($G$9241:$K$9241,$G$9248:$K$9248)</f>
        <v>0</v>
      </c>
    </row>
    <row r="9288" customFormat="false" ht="15" hidden="false" customHeight="false" outlineLevel="0" collapsed="false">
      <c r="A9288" s="5" t="s">
        <v>288</v>
      </c>
      <c r="C9288" s="5" t="str">
        <f aca="false">IF(SUM($G$9241:$K$9241)=0,"n/a (beyond horizon)",IF(SUMPRODUCT($G$9241:$K$9241,$G$9225:$K$9225)&gt;0,"REFINANCING PASS","REFINANCING FAILURE"))</f>
        <v>REFINANCING FAILURE</v>
      </c>
    </row>
    <row r="9289" customFormat="false" ht="15" hidden="false" customHeight="false" outlineLevel="0" collapsed="false">
      <c r="A9289" s="5" t="s">
        <v>289</v>
      </c>
      <c r="C9289" s="5" t="str">
        <f aca="false">IF(SUM($G$9241:$K$9241)=0,"n/a",IF(C9287&gt;=C9286-0.001,"Repaid from cash",IF(SUMPRODUCT($G$9241:$K$9241,$G$9225:$K$9225)&gt;0,IF(C9287&gt;0,"Partly repaid; remainder refinanced","Refinanced"),IF(SUM($G$9250:$K$9250)&gt;0.001,IF(C9287&gt;0,"Partial repayment; PAYMENT DEFAULT","PAYMENT DEFAULT"),"Repaid from cash"))))</f>
        <v>PAYMENT DEFAULT</v>
      </c>
    </row>
    <row r="9290" customFormat="false" ht="15" hidden="false" customHeight="false" outlineLevel="0" collapsed="false">
      <c r="A9290" s="5" t="s">
        <v>290</v>
      </c>
      <c r="C9290" s="25" t="n">
        <f aca="false">SUMPRODUCT($G$9254:$K$9254,$G$9253:$K$9253-$G$9259:$K$9259+$G$9258:$K$9258)</f>
        <v>250</v>
      </c>
    </row>
    <row r="9291" customFormat="false" ht="15" hidden="false" customHeight="false" outlineLevel="0" collapsed="false">
      <c r="A9291" s="5" t="s">
        <v>291</v>
      </c>
      <c r="C9291" s="25" t="n">
        <f aca="false">SUMPRODUCT($G$9254:$K$9254,$G$9261:$K$9261)</f>
        <v>0</v>
      </c>
    </row>
    <row r="9292" customFormat="false" ht="15" hidden="false" customHeight="false" outlineLevel="0" collapsed="false">
      <c r="A9292" s="5" t="s">
        <v>292</v>
      </c>
      <c r="C9292" s="5" t="str">
        <f aca="false">IF(SUM($G$9254:$K$9254)=0,"n/a (beyond horizon)",IF(SUMPRODUCT($G$9254:$K$9254,$G$9225:$K$9225)&gt;0,"REFINANCING PASS","REFINANCING FAILURE"))</f>
        <v>REFINANCING FAILURE</v>
      </c>
    </row>
    <row r="9293" customFormat="false" ht="15" hidden="false" customHeight="false" outlineLevel="0" collapsed="false">
      <c r="A9293" s="5" t="s">
        <v>293</v>
      </c>
      <c r="C9293" s="5" t="str">
        <f aca="false">IF(SUM($G$9254:$K$9254)=0,"n/a",IF(C9291&gt;=C9290-0.001,"Repaid from cash",IF(SUMPRODUCT($G$9254:$K$9254,$G$9225:$K$9225)&gt;0,IF(C9291&gt;0,"Partly repaid; remainder refinanced","Refinanced"),IF(SUM($G$9263:$K$9263)&gt;0.001,IF(C9291&gt;0,"Partial repayment; PAYMENT DEFAULT","PAYMENT DEFAULT"),"Repaid from cash"))))</f>
        <v>PAYMENT DEFAULT</v>
      </c>
    </row>
    <row r="9294" customFormat="false" ht="15" hidden="false" customHeight="false" outlineLevel="0" collapsed="false">
      <c r="A9294" s="5" t="s">
        <v>294</v>
      </c>
      <c r="C9294" s="25" t="n">
        <f aca="false">SUMPRODUCT($G$9267:$K$9267,$G$9266:$K$9266-$G$9272:$K$9272+$G$9271:$K$9271)</f>
        <v>300</v>
      </c>
    </row>
    <row r="9295" customFormat="false" ht="15" hidden="false" customHeight="false" outlineLevel="0" collapsed="false">
      <c r="A9295" s="5" t="s">
        <v>295</v>
      </c>
      <c r="C9295" s="25" t="n">
        <f aca="false">SUMPRODUCT($G$9267:$K$9267,$G$9274:$K$9274)</f>
        <v>0</v>
      </c>
    </row>
    <row r="9296" customFormat="false" ht="15" hidden="false" customHeight="false" outlineLevel="0" collapsed="false">
      <c r="A9296" s="5" t="s">
        <v>296</v>
      </c>
      <c r="C9296" s="5" t="str">
        <f aca="false">IF(SUM($G$9267:$K$9267)=0,"n/a (beyond horizon)",IF(SUMPRODUCT($G$9267:$K$9267,$G$9225:$K$9225)&gt;0,"REFINANCING PASS","REFINANCING FAILURE"))</f>
        <v>REFINANCING FAILURE</v>
      </c>
    </row>
    <row r="9297" customFormat="false" ht="15" hidden="false" customHeight="false" outlineLevel="0" collapsed="false">
      <c r="A9297" s="5" t="s">
        <v>297</v>
      </c>
      <c r="C9297" s="5" t="str">
        <f aca="false">IF(SUM($G$9267:$K$9267)=0,"n/a",IF(C9295&gt;=C9294-0.001,"Repaid from cash",IF(SUMPRODUCT($G$9267:$K$9267,$G$9225:$K$9225)&gt;0,IF(C9295&gt;0,"Partly repaid; remainder refinanced","Refinanced"),IF(SUM($G$9276:$K$9276)&gt;0.001,IF(C9295&gt;0,"Partial repayment; PAYMENT DEFAULT","PAYMENT DEFAULT"),"Repaid from cash"))))</f>
        <v>PAYMENT DEFAULT</v>
      </c>
    </row>
    <row r="9298" customFormat="false" ht="15" hidden="false" customHeight="false" outlineLevel="0" collapsed="false">
      <c r="A9298" s="5" t="s">
        <v>298</v>
      </c>
      <c r="C9298" s="20" t="n">
        <f aca="false">IF(C9284="REFINANCING FAILURE",1,0)+IF(C9288="REFINANCING FAILURE",1,0)+IF(C9292="REFINANCING FAILURE",1,0)+IF(C9296="REFINANCING FAILURE",1,0)</f>
        <v>4</v>
      </c>
    </row>
    <row r="9300" customFormat="false" ht="15" hidden="false" customHeight="false" outlineLevel="0" collapsed="false">
      <c r="A9300" s="23" t="s">
        <v>300</v>
      </c>
      <c r="B9300" s="24"/>
      <c r="C9300" s="24"/>
      <c r="D9300" s="24"/>
      <c r="E9300" s="24"/>
      <c r="F9300" s="24"/>
      <c r="G9300" s="24"/>
      <c r="H9300" s="24"/>
      <c r="I9300" s="24"/>
      <c r="J9300" s="24"/>
      <c r="K9300" s="24"/>
    </row>
    <row r="9301" customFormat="false" ht="15" hidden="false" customHeight="false" outlineLevel="0" collapsed="false">
      <c r="A9301" s="5" t="s">
        <v>260</v>
      </c>
      <c r="G9301" s="25" t="n">
        <f aca="false">F9313</f>
        <v>45</v>
      </c>
      <c r="H9301" s="25" t="n">
        <f aca="false">G9313</f>
        <v>0</v>
      </c>
      <c r="I9301" s="25" t="n">
        <f aca="false">H9313</f>
        <v>-135.5799292</v>
      </c>
      <c r="J9301" s="25" t="n">
        <f aca="false">I9313</f>
        <v>-263.369298032</v>
      </c>
      <c r="K9301" s="25" t="n">
        <f aca="false">J9313</f>
        <v>-373.49769744064</v>
      </c>
    </row>
    <row r="9302" customFormat="false" ht="15" hidden="false" customHeight="false" outlineLevel="0" collapsed="false">
      <c r="A9302" s="5" t="s">
        <v>301</v>
      </c>
      <c r="G9302" s="25" t="n">
        <f aca="false">G9214</f>
        <v>-88.8168</v>
      </c>
      <c r="H9302" s="25" t="n">
        <f aca="false">H9214</f>
        <v>-130.3799292</v>
      </c>
      <c r="I9302" s="25" t="n">
        <f aca="false">I9214</f>
        <v>-122.589368832</v>
      </c>
      <c r="J9302" s="25" t="n">
        <f aca="false">J9214</f>
        <v>-104.92839940864</v>
      </c>
      <c r="K9302" s="25" t="n">
        <f aca="false">K9214</f>
        <v>-87.3844096409601</v>
      </c>
    </row>
    <row r="9303" customFormat="false" ht="15" hidden="false" customHeight="false" outlineLevel="0" collapsed="false">
      <c r="A9303" s="5" t="s">
        <v>302</v>
      </c>
      <c r="G9303" s="25" t="n">
        <f aca="false">CHOOSE($C$9184,Assumptions!$G$68,Assumptions!$G$87,Assumptions!$G$106)</f>
        <v>0</v>
      </c>
      <c r="H9303" s="25" t="n">
        <f aca="false">CHOOSE($C$9184,Assumptions!$H$68,Assumptions!$H$87,Assumptions!$H$106)</f>
        <v>0</v>
      </c>
      <c r="I9303" s="25" t="n">
        <f aca="false">CHOOSE($C$9184,Assumptions!$I$68,Assumptions!$I$87,Assumptions!$I$106)</f>
        <v>0</v>
      </c>
      <c r="J9303" s="25" t="n">
        <f aca="false">CHOOSE($C$9184,Assumptions!$J$68,Assumptions!$J$87,Assumptions!$J$106)</f>
        <v>0</v>
      </c>
      <c r="K9303" s="25" t="n">
        <f aca="false">CHOOSE($C$9184,Assumptions!$K$68,Assumptions!$K$87,Assumptions!$K$106)</f>
        <v>0</v>
      </c>
    </row>
    <row r="9304" customFormat="false" ht="15" hidden="false" customHeight="false" outlineLevel="0" collapsed="false">
      <c r="A9304" s="5" t="s">
        <v>303</v>
      </c>
      <c r="G9304" s="25" t="n">
        <f aca="false">G9233+G9246+G9259+G9272</f>
        <v>5.2</v>
      </c>
      <c r="H9304" s="25" t="n">
        <f aca="false">H9233+H9246+H9259+H9272</f>
        <v>5.2</v>
      </c>
      <c r="I9304" s="25" t="n">
        <f aca="false">I9233+I9246+I9259+I9272</f>
        <v>5.2</v>
      </c>
      <c r="J9304" s="25" t="n">
        <f aca="false">J9233+J9246+J9259+J9272</f>
        <v>5.2</v>
      </c>
      <c r="K9304" s="25" t="n">
        <f aca="false">K9233+K9246+K9259+K9272</f>
        <v>5.2</v>
      </c>
    </row>
    <row r="9305" customFormat="false" ht="15" hidden="false" customHeight="false" outlineLevel="0" collapsed="false">
      <c r="A9305" s="2" t="s">
        <v>304</v>
      </c>
      <c r="G9305" s="16" t="n">
        <f aca="false">G9301+G9302+G9303-G9304</f>
        <v>-49.0168</v>
      </c>
      <c r="H9305" s="16" t="n">
        <f aca="false">H9301+H9302+H9303-H9304</f>
        <v>-135.5799292</v>
      </c>
      <c r="I9305" s="16" t="n">
        <f aca="false">I9301+I9302+I9303-I9304</f>
        <v>-263.369298032</v>
      </c>
      <c r="J9305" s="16" t="n">
        <f aca="false">J9301+J9302+J9303-J9304</f>
        <v>-373.49769744064</v>
      </c>
      <c r="K9305" s="16" t="n">
        <f aca="false">K9301+K9302+K9303-K9304</f>
        <v>-466.0821070816</v>
      </c>
    </row>
    <row r="9306" customFormat="false" ht="15" hidden="false" customHeight="false" outlineLevel="0" collapsed="false">
      <c r="A9306" s="5" t="s">
        <v>305</v>
      </c>
      <c r="G9306" s="25" t="n">
        <f aca="false">G9234+G9247+G9260+G9273</f>
        <v>49.0168</v>
      </c>
      <c r="H9306" s="25" t="n">
        <f aca="false">H9234+H9247+H9260+H9273</f>
        <v>0</v>
      </c>
      <c r="I9306" s="25" t="n">
        <f aca="false">I9234+I9247+I9260+I9273</f>
        <v>0</v>
      </c>
      <c r="J9306" s="25" t="n">
        <f aca="false">J9234+J9247+J9260+J9273</f>
        <v>0</v>
      </c>
      <c r="K9306" s="25" t="n">
        <f aca="false">K9234+K9247+K9260+K9273</f>
        <v>0</v>
      </c>
    </row>
    <row r="9307" customFormat="false" ht="15" hidden="false" customHeight="false" outlineLevel="0" collapsed="false">
      <c r="A9307" s="2" t="s">
        <v>306</v>
      </c>
      <c r="G9307" s="16" t="n">
        <f aca="false">G9305+G9306</f>
        <v>0</v>
      </c>
      <c r="H9307" s="16" t="n">
        <f aca="false">H9305+H9306</f>
        <v>-135.5799292</v>
      </c>
      <c r="I9307" s="16" t="n">
        <f aca="false">I9305+I9306</f>
        <v>-263.369298032</v>
      </c>
      <c r="J9307" s="16" t="n">
        <f aca="false">J9305+J9306</f>
        <v>-373.49769744064</v>
      </c>
      <c r="K9307" s="16" t="n">
        <f aca="false">K9305+K9306</f>
        <v>-466.0821070816</v>
      </c>
    </row>
    <row r="9308" customFormat="false" ht="15" hidden="false" customHeight="false" outlineLevel="0" collapsed="false">
      <c r="A9308" s="5" t="s">
        <v>307</v>
      </c>
      <c r="G9308" s="25" t="n">
        <f aca="false">G9235+G9248+G9261+G9274</f>
        <v>0</v>
      </c>
      <c r="H9308" s="25" t="n">
        <f aca="false">H9235+H9248+H9261+H9274</f>
        <v>0</v>
      </c>
      <c r="I9308" s="25" t="n">
        <f aca="false">I9235+I9248+I9261+I9274</f>
        <v>0</v>
      </c>
      <c r="J9308" s="25" t="n">
        <f aca="false">J9235+J9248+J9261+J9274</f>
        <v>0</v>
      </c>
      <c r="K9308" s="25" t="n">
        <f aca="false">K9235+K9248+K9261+K9274</f>
        <v>0</v>
      </c>
    </row>
    <row r="9309" customFormat="false" ht="15" hidden="false" customHeight="false" outlineLevel="0" collapsed="false">
      <c r="A9309" s="2" t="s">
        <v>308</v>
      </c>
      <c r="G9309" s="16" t="n">
        <f aca="false">G9307-G9308</f>
        <v>0</v>
      </c>
      <c r="H9309" s="16" t="n">
        <f aca="false">H9307-H9308</f>
        <v>-135.5799292</v>
      </c>
      <c r="I9309" s="16" t="n">
        <f aca="false">I9307-I9308</f>
        <v>-263.369298032</v>
      </c>
      <c r="J9309" s="16" t="n">
        <f aca="false">J9307-J9308</f>
        <v>-373.49769744064</v>
      </c>
      <c r="K9309" s="16" t="n">
        <f aca="false">K9307-K9308</f>
        <v>-466.0821070816</v>
      </c>
    </row>
    <row r="9310" customFormat="false" ht="15" hidden="false" customHeight="false" outlineLevel="0" collapsed="false">
      <c r="A9310" s="5" t="s">
        <v>309</v>
      </c>
      <c r="G9310" s="25" t="n">
        <f aca="false">MAX(0,-G9309)</f>
        <v>-0</v>
      </c>
      <c r="H9310" s="25" t="n">
        <f aca="false">MAX(0,-H9309)</f>
        <v>135.5799292</v>
      </c>
      <c r="I9310" s="25" t="n">
        <f aca="false">MAX(0,-I9309)</f>
        <v>263.369298032</v>
      </c>
      <c r="J9310" s="25" t="n">
        <f aca="false">MAX(0,-J9309)</f>
        <v>373.49769744064</v>
      </c>
      <c r="K9310" s="25" t="n">
        <f aca="false">MAX(0,-K9309)</f>
        <v>466.0821070816</v>
      </c>
    </row>
    <row r="9311" customFormat="false" ht="15" hidden="false" customHeight="false" outlineLevel="0" collapsed="false">
      <c r="A9311" s="5" t="s">
        <v>310</v>
      </c>
      <c r="G9311" s="25" t="n">
        <f aca="false">MAX(0,G9309-Assumptions!$C$12)*Assumptions!$C$13</f>
        <v>0</v>
      </c>
      <c r="H9311" s="25" t="n">
        <f aca="false">MAX(0,H9309-Assumptions!$C$12)*Assumptions!$C$13</f>
        <v>0</v>
      </c>
      <c r="I9311" s="25" t="n">
        <f aca="false">MAX(0,I9309-Assumptions!$C$12)*Assumptions!$C$13</f>
        <v>0</v>
      </c>
      <c r="J9311" s="25" t="n">
        <f aca="false">MAX(0,J9309-Assumptions!$C$12)*Assumptions!$C$13</f>
        <v>0</v>
      </c>
      <c r="K9311" s="25" t="n">
        <f aca="false">MAX(0,K9309-Assumptions!$C$12)*Assumptions!$C$13</f>
        <v>0</v>
      </c>
    </row>
    <row r="9312" customFormat="false" ht="15" hidden="false" customHeight="false" outlineLevel="0" collapsed="false">
      <c r="A9312" s="5" t="s">
        <v>311</v>
      </c>
      <c r="G9312" s="25" t="n">
        <f aca="false">G9236+G9249+G9262+G9275</f>
        <v>0</v>
      </c>
      <c r="H9312" s="25" t="n">
        <f aca="false">H9236+H9249+H9262+H9275</f>
        <v>0</v>
      </c>
      <c r="I9312" s="25" t="n">
        <f aca="false">I9236+I9249+I9262+I9275</f>
        <v>0</v>
      </c>
      <c r="J9312" s="25" t="n">
        <f aca="false">J9236+J9249+J9262+J9275</f>
        <v>0</v>
      </c>
      <c r="K9312" s="25" t="n">
        <f aca="false">K9236+K9249+K9262+K9275</f>
        <v>0</v>
      </c>
    </row>
    <row r="9313" customFormat="false" ht="15" hidden="false" customHeight="false" outlineLevel="0" collapsed="false">
      <c r="A9313" s="2" t="s">
        <v>312</v>
      </c>
      <c r="F9313" s="27" t="n">
        <f aca="false">Assumptions!$C$11</f>
        <v>45</v>
      </c>
      <c r="G9313" s="16" t="n">
        <f aca="false">G9309-G9312</f>
        <v>0</v>
      </c>
      <c r="H9313" s="16" t="n">
        <f aca="false">H9309-H9312</f>
        <v>-135.5799292</v>
      </c>
      <c r="I9313" s="16" t="n">
        <f aca="false">I9309-I9312</f>
        <v>-263.369298032</v>
      </c>
      <c r="J9313" s="16" t="n">
        <f aca="false">J9309-J9312</f>
        <v>-373.49769744064</v>
      </c>
      <c r="K9313" s="16" t="n">
        <f aca="false">K9309-K9312</f>
        <v>-466.0821070816</v>
      </c>
    </row>
    <row r="9314" customFormat="false" ht="15" hidden="false" customHeight="false" outlineLevel="0" collapsed="false">
      <c r="A9314" s="5" t="s">
        <v>313</v>
      </c>
      <c r="G9314" s="25" t="n">
        <f aca="false">G9237+G9250+G9263+G9276</f>
        <v>0</v>
      </c>
      <c r="H9314" s="25" t="n">
        <f aca="false">H9237+H9250+H9263+H9276</f>
        <v>529.0168</v>
      </c>
      <c r="I9314" s="25" t="n">
        <f aca="false">I9237+I9250+I9263+I9276</f>
        <v>504.4</v>
      </c>
      <c r="J9314" s="25" t="n">
        <f aca="false">J9237+J9250+J9263+J9276</f>
        <v>250</v>
      </c>
      <c r="K9314" s="25" t="n">
        <f aca="false">K9237+K9250+K9263+K9276</f>
        <v>0</v>
      </c>
    </row>
    <row r="9315" customFormat="false" ht="15" hidden="false" customHeight="false" outlineLevel="0" collapsed="false">
      <c r="A9315" s="5" t="s">
        <v>314</v>
      </c>
      <c r="G9315" s="20" t="n">
        <f aca="false">IF(OR(G9310&gt;0.001,G9314&gt;0.001),1,0)</f>
        <v>0</v>
      </c>
      <c r="H9315" s="20" t="n">
        <f aca="false">IF(OR(H9310&gt;0.001,H9314&gt;0.001),1,0)</f>
        <v>1</v>
      </c>
      <c r="I9315" s="20" t="n">
        <f aca="false">IF(OR(I9310&gt;0.001,I9314&gt;0.001),1,0)</f>
        <v>1</v>
      </c>
      <c r="J9315" s="20" t="n">
        <f aca="false">IF(OR(J9310&gt;0.001,J9314&gt;0.001),1,0)</f>
        <v>1</v>
      </c>
      <c r="K9315" s="20" t="n">
        <f aca="false">IF(OR(K9310&gt;0.001,K9314&gt;0.001),1,0)</f>
        <v>1</v>
      </c>
    </row>
    <row r="9316" customFormat="false" ht="15" hidden="false" customHeight="false" outlineLevel="0" collapsed="false">
      <c r="A9316" s="5" t="s">
        <v>315</v>
      </c>
      <c r="G9316" s="20" t="n">
        <f aca="false">IF(G9315=1,1,0)</f>
        <v>0</v>
      </c>
      <c r="H9316" s="20" t="n">
        <f aca="false">IF(AND(H9315=1,SUM($G$9315:G9315)=0),1,0)</f>
        <v>1</v>
      </c>
      <c r="I9316" s="20" t="n">
        <f aca="false">IF(AND(I9315=1,SUM($G$9315:H9315)=0),1,0)</f>
        <v>0</v>
      </c>
      <c r="J9316" s="20" t="n">
        <f aca="false">IF(AND(J9315=1,SUM($G$9315:I9315)=0),1,0)</f>
        <v>0</v>
      </c>
      <c r="K9316" s="20" t="n">
        <f aca="false">IF(AND(K9315=1,SUM($G$9315:J9315)=0),1,0)</f>
        <v>0</v>
      </c>
    </row>
    <row r="9317" customFormat="false" ht="15" hidden="false" customHeight="false" outlineLevel="0" collapsed="false">
      <c r="A9317" s="5" t="s">
        <v>316</v>
      </c>
      <c r="G9317" s="25" t="n">
        <f aca="false">(G9279-F9279)-(G9306+G9206-G9304-G9308-G9312)</f>
        <v>0</v>
      </c>
      <c r="H9317" s="25" t="n">
        <f aca="false">(H9279-G9279)-(H9306+H9206-H9304-H9308-H9312)</f>
        <v>-4.52970994047064E-014</v>
      </c>
      <c r="I9317" s="25" t="n">
        <f aca="false">(I9279-H9279)-(I9306+I9206-I9304-I9308-I9312)</f>
        <v>-4.52970994047064E-014</v>
      </c>
      <c r="J9317" s="25" t="n">
        <f aca="false">(J9279-I9279)-(J9306+J9206-J9304-J9308-J9312)</f>
        <v>-4.52970994047064E-014</v>
      </c>
      <c r="K9317" s="25" t="n">
        <f aca="false">(K9279-J9279)-(K9306+K9206-K9304-K9308-K9312)</f>
        <v>-4.52970994047064E-014</v>
      </c>
    </row>
    <row r="9319" customFormat="false" ht="15" hidden="false" customHeight="false" outlineLevel="0" collapsed="false">
      <c r="A9319" s="23" t="s">
        <v>318</v>
      </c>
      <c r="B9319" s="24"/>
      <c r="C9319" s="24"/>
      <c r="D9319" s="24"/>
      <c r="E9319" s="24"/>
      <c r="F9319" s="24"/>
      <c r="G9319" s="24"/>
      <c r="H9319" s="24"/>
      <c r="I9319" s="24"/>
      <c r="J9319" s="24"/>
      <c r="K9319" s="24"/>
    </row>
    <row r="9320" customFormat="false" ht="15" hidden="false" customHeight="false" outlineLevel="0" collapsed="false">
      <c r="A9320" s="5" t="s">
        <v>319</v>
      </c>
      <c r="G9320" s="25" t="n">
        <f aca="false">G9279</f>
        <v>1293.8168</v>
      </c>
      <c r="H9320" s="25" t="n">
        <f aca="false">H9279</f>
        <v>1288.6168</v>
      </c>
      <c r="I9320" s="25" t="n">
        <f aca="false">I9279</f>
        <v>1283.4168</v>
      </c>
      <c r="J9320" s="25" t="n">
        <f aca="false">J9279</f>
        <v>1278.2168</v>
      </c>
      <c r="K9320" s="25" t="n">
        <f aca="false">K9279</f>
        <v>1273.0168</v>
      </c>
    </row>
    <row r="9321" customFormat="false" ht="15" hidden="false" customHeight="false" outlineLevel="0" collapsed="false">
      <c r="A9321" s="5" t="s">
        <v>320</v>
      </c>
      <c r="G9321" s="25" t="n">
        <f aca="false">Assumptions!$O$53*G9238+Assumptions!$O$54*G9251+Assumptions!$O$55*G9264+Assumptions!$O$56*G9277</f>
        <v>993.8168</v>
      </c>
      <c r="H9321" s="25" t="n">
        <f aca="false">Assumptions!$O$53*H9238+Assumptions!$O$54*H9251+Assumptions!$O$55*H9264+Assumptions!$O$56*H9277</f>
        <v>988.6168</v>
      </c>
      <c r="I9321" s="25" t="n">
        <f aca="false">Assumptions!$O$53*I9238+Assumptions!$O$54*I9251+Assumptions!$O$55*I9264+Assumptions!$O$56*I9277</f>
        <v>983.4168</v>
      </c>
      <c r="J9321" s="25" t="n">
        <f aca="false">Assumptions!$O$53*J9238+Assumptions!$O$54*J9251+Assumptions!$O$55*J9264+Assumptions!$O$56*J9277</f>
        <v>978.2168</v>
      </c>
      <c r="K9321" s="25" t="n">
        <f aca="false">Assumptions!$O$53*K9238+Assumptions!$O$54*K9251+Assumptions!$O$55*K9264+Assumptions!$O$56*K9277</f>
        <v>973.0168</v>
      </c>
    </row>
    <row r="9322" customFormat="false" ht="15" hidden="false" customHeight="false" outlineLevel="0" collapsed="false">
      <c r="A9322" s="5" t="s">
        <v>321</v>
      </c>
      <c r="G9322" s="25" t="n">
        <f aca="false">G9320-G9313</f>
        <v>1293.8168</v>
      </c>
      <c r="H9322" s="25" t="n">
        <f aca="false">H9320-H9313</f>
        <v>1424.1967292</v>
      </c>
      <c r="I9322" s="25" t="n">
        <f aca="false">I9320-I9313</f>
        <v>1546.786098032</v>
      </c>
      <c r="J9322" s="25" t="n">
        <f aca="false">J9320-J9313</f>
        <v>1651.71449744064</v>
      </c>
      <c r="K9322" s="25" t="n">
        <f aca="false">K9320-K9313</f>
        <v>1739.0989070816</v>
      </c>
    </row>
    <row r="9323" customFormat="false" ht="15" hidden="false" customHeight="false" outlineLevel="0" collapsed="false">
      <c r="A9323" s="5" t="s">
        <v>322</v>
      </c>
      <c r="G9323" s="31" t="n">
        <f aca="false">IF(G9201&gt;0,G9320/G9201,0)</f>
        <v>15.8462766999804</v>
      </c>
      <c r="H9323" s="31" t="n">
        <f aca="false">IF(H9201&gt;0,H9320/H9201,0)</f>
        <v>23.7556703894779</v>
      </c>
      <c r="I9323" s="31" t="n">
        <f aca="false">IF(I9201&gt;0,I9320/I9201,0)</f>
        <v>17.9566273265567</v>
      </c>
      <c r="J9323" s="31" t="n">
        <f aca="false">IF(J9201&gt;0,J9320/J9201,0)</f>
        <v>14.2481403676484</v>
      </c>
      <c r="K9323" s="31" t="n">
        <f aca="false">IF(K9201&gt;0,K9320/K9201,0)</f>
        <v>11.6476589852129</v>
      </c>
    </row>
    <row r="9324" customFormat="false" ht="15" hidden="false" customHeight="false" outlineLevel="0" collapsed="false">
      <c r="A9324" s="5" t="s">
        <v>323</v>
      </c>
      <c r="G9324" s="31" t="n">
        <f aca="false">IF(G9201&gt;0,G9322/G9201,0)</f>
        <v>15.8462766999804</v>
      </c>
      <c r="H9324" s="31" t="n">
        <f aca="false">IF(H9201&gt;0,H9322/H9201,0)</f>
        <v>26.2550884550378</v>
      </c>
      <c r="I9324" s="31" t="n">
        <f aca="false">IF(I9201&gt;0,I9322/I9201,0)</f>
        <v>21.6414975370896</v>
      </c>
      <c r="J9324" s="31" t="n">
        <f aca="false">IF(J9201&gt;0,J9322/J9201,0)</f>
        <v>18.411477620083</v>
      </c>
      <c r="K9324" s="31" t="n">
        <f aca="false">IF(K9201&gt;0,K9322/K9201,0)</f>
        <v>15.912147436894</v>
      </c>
    </row>
    <row r="9325" customFormat="false" ht="15" hidden="false" customHeight="false" outlineLevel="0" collapsed="false">
      <c r="A9325" s="5" t="s">
        <v>324</v>
      </c>
      <c r="G9325" s="31" t="n">
        <f aca="false">IF(G9205&gt;0,G9201/G9205,0)</f>
        <v>0.630291801760074</v>
      </c>
      <c r="H9325" s="31" t="n">
        <f aca="false">IF(H9205&gt;0,H9201/H9205,0)</f>
        <v>0.410889282733481</v>
      </c>
      <c r="I9325" s="31" t="n">
        <f aca="false">IF(I9205&gt;0,I9201/I9205,0)</f>
        <v>0.551616321963281</v>
      </c>
      <c r="J9325" s="31" t="n">
        <f aca="false">IF(J9205&gt;0,J9201/J9205,0)</f>
        <v>0.695527799114643</v>
      </c>
      <c r="K9325" s="31" t="n">
        <f aca="false">IF(K9205&gt;0,K9201/K9205,0)</f>
        <v>0.85122948150012</v>
      </c>
    </row>
    <row r="9326" customFormat="false" ht="15" hidden="false" customHeight="false" outlineLevel="0" collapsed="false">
      <c r="A9326" s="5" t="s">
        <v>325</v>
      </c>
      <c r="G9326" s="31" t="n">
        <f aca="false">IF(G9205&gt;0,G9204/G9205,0)</f>
        <v>0.234108383510885</v>
      </c>
      <c r="H9326" s="31" t="n">
        <f aca="false">IF(H9205&gt;0,H9204/H9205,0)</f>
        <v>0.0178647514231946</v>
      </c>
      <c r="I9326" s="31" t="n">
        <f aca="false">IF(I9205&gt;0,I9204/I9205,0)</f>
        <v>0.133148767370447</v>
      </c>
      <c r="J9326" s="31" t="n">
        <f aca="false">IF(J9205&gt;0,J9204/J9205,0)</f>
        <v>0.25833889681401</v>
      </c>
      <c r="K9326" s="31" t="n">
        <f aca="false">IF(K9205&gt;0,K9204/K9205,0)</f>
        <v>0.394472198743958</v>
      </c>
    </row>
    <row r="9327" customFormat="false" ht="15" hidden="false" customHeight="false" outlineLevel="0" collapsed="false">
      <c r="A9327" s="5" t="s">
        <v>182</v>
      </c>
      <c r="G9327" s="21" t="n">
        <f aca="false">IF(G9320&gt;0,G9214/G9320,0)</f>
        <v>-0.0686471222200855</v>
      </c>
      <c r="H9327" s="21" t="n">
        <f aca="false">IF(H9320&gt;0,H9214/H9320,0)</f>
        <v>-0.101178200687745</v>
      </c>
      <c r="I9327" s="21" t="n">
        <f aca="false">IF(I9320&gt;0,I9214/I9320,0)</f>
        <v>-0.0955179711158526</v>
      </c>
      <c r="J9327" s="21" t="n">
        <f aca="false">IF(J9320&gt;0,J9214/J9320,0)</f>
        <v>-0.0820896732139962</v>
      </c>
      <c r="K9327" s="21" t="n">
        <f aca="false">IF(K9320&gt;0,K9214/K9320,0)</f>
        <v>-0.0686435635735209</v>
      </c>
    </row>
    <row r="9328" customFormat="false" ht="15" hidden="false" customHeight="false" outlineLevel="0" collapsed="false">
      <c r="A9328" s="5" t="s">
        <v>326</v>
      </c>
      <c r="G9328" s="31" t="n">
        <f aca="false">IF(G9205+G9304&gt;0,(G9201-G9212-G9209)/(G9205+G9304),0)</f>
        <v>0.277013507495918</v>
      </c>
      <c r="H9328" s="31" t="n">
        <f aca="false">IF(H9205+H9304&gt;0,(H9201-H9212-H9209)/(H9205+H9304),0)</f>
        <v>0.0687509933677959</v>
      </c>
      <c r="I9328" s="31" t="n">
        <f aca="false">IF(I9205+I9304&gt;0,(I9201-I9212-I9209)/(I9205+I9304),0)</f>
        <v>0.182873338798588</v>
      </c>
      <c r="J9328" s="31" t="n">
        <f aca="false">IF(J9205+J9304&gt;0,(J9201-J9212-J9209)/(J9205+J9304),0)</f>
        <v>0.305633801403215</v>
      </c>
      <c r="K9328" s="31" t="n">
        <f aca="false">IF(K9205+K9304&gt;0,(K9201-K9212-K9209)/(K9205+K9304),0)</f>
        <v>0.438978667635515</v>
      </c>
    </row>
    <row r="9329" customFormat="false" ht="15" hidden="false" customHeight="false" outlineLevel="0" collapsed="false">
      <c r="A9329" s="5" t="s">
        <v>327</v>
      </c>
      <c r="G9329" s="25" t="n">
        <f aca="false">MAX(0,G9313)+Assumptions!$P$53*MAX(0,Assumptions!$D$53-G9238)+Assumptions!$P$54*MAX(0,Assumptions!$D$54-G9251)+Assumptions!$P$55*MAX(0,Assumptions!$D$55-G9264)+Assumptions!$P$56*MAX(0,Assumptions!$D$56-G9277)</f>
        <v>70.9832</v>
      </c>
      <c r="H9329" s="25" t="n">
        <f aca="false">MAX(0,H9313)+Assumptions!$P$53*MAX(0,Assumptions!$D$53-H9238)+Assumptions!$P$54*MAX(0,Assumptions!$D$54-H9251)+Assumptions!$P$55*MAX(0,Assumptions!$D$55-H9264)+Assumptions!$P$56*MAX(0,Assumptions!$D$56-H9277)</f>
        <v>70.9832</v>
      </c>
      <c r="I9329" s="25" t="n">
        <f aca="false">MAX(0,I9313)+Assumptions!$P$53*MAX(0,Assumptions!$D$53-I9238)+Assumptions!$P$54*MAX(0,Assumptions!$D$54-I9251)+Assumptions!$P$55*MAX(0,Assumptions!$D$55-I9264)+Assumptions!$P$56*MAX(0,Assumptions!$D$56-I9277)</f>
        <v>70.9832</v>
      </c>
      <c r="J9329" s="25" t="n">
        <f aca="false">MAX(0,J9313)+Assumptions!$P$53*MAX(0,Assumptions!$D$53-J9238)+Assumptions!$P$54*MAX(0,Assumptions!$D$54-J9251)+Assumptions!$P$55*MAX(0,Assumptions!$D$55-J9264)+Assumptions!$P$56*MAX(0,Assumptions!$D$56-J9277)</f>
        <v>70.9832</v>
      </c>
      <c r="K9329" s="25" t="n">
        <f aca="false">MAX(0,K9313)+Assumptions!$P$53*MAX(0,Assumptions!$D$53-K9238)+Assumptions!$P$54*MAX(0,Assumptions!$D$54-K9251)+Assumptions!$P$55*MAX(0,Assumptions!$D$55-K9264)+Assumptions!$P$56*MAX(0,Assumptions!$D$56-K9277)</f>
        <v>70.9832</v>
      </c>
    </row>
    <row r="9330" customFormat="false" ht="15" hidden="false" customHeight="false" outlineLevel="0" collapsed="false">
      <c r="A9330" s="5" t="s">
        <v>328</v>
      </c>
      <c r="G9330" s="21" t="n">
        <f aca="false">IF(G9320&gt;0,G9320/(G9320+MAX(0,G9201*CHOOSE($C$9184,Assumptions!$C$76,Assumptions!$C$95,Assumptions!$C$114)-G9322)),0)</f>
        <v>1</v>
      </c>
      <c r="H9330" s="21" t="n">
        <f aca="false">IF(H9320&gt;0,H9320/(H9320+MAX(0,H9201*CHOOSE($C$9184,Assumptions!$C$76,Assumptions!$C$95,Assumptions!$C$114)-H9322)),0)</f>
        <v>1</v>
      </c>
      <c r="I9330" s="21" t="n">
        <f aca="false">IF(I9320&gt;0,I9320/(I9320+MAX(0,I9201*CHOOSE($C$9184,Assumptions!$C$76,Assumptions!$C$95,Assumptions!$C$114)-I9322)),0)</f>
        <v>1</v>
      </c>
      <c r="J9330" s="21" t="n">
        <f aca="false">IF(J9320&gt;0,J9320/(J9320+MAX(0,J9201*CHOOSE($C$9184,Assumptions!$C$76,Assumptions!$C$95,Assumptions!$C$114)-J9322)),0)</f>
        <v>1</v>
      </c>
      <c r="K9330" s="21" t="n">
        <f aca="false">IF(K9320&gt;0,K9320/(K9320+MAX(0,K9201*CHOOSE($C$9184,Assumptions!$C$76,Assumptions!$C$95,Assumptions!$C$114)-K9322)),0)</f>
        <v>1</v>
      </c>
    </row>
    <row r="9331" customFormat="false" ht="15" hidden="false" customHeight="false" outlineLevel="0" collapsed="false">
      <c r="A9331" s="5" t="s">
        <v>329</v>
      </c>
      <c r="G9331" s="21" t="n">
        <f aca="false">IF(G9320&gt;0,MAX(0,G9313)/G9320,0)</f>
        <v>0</v>
      </c>
      <c r="H9331" s="21" t="n">
        <f aca="false">IF(H9320&gt;0,MAX(0,H9313)/H9320,0)</f>
        <v>0</v>
      </c>
      <c r="I9331" s="21" t="n">
        <f aca="false">IF(I9320&gt;0,MAX(0,I9313)/I9320,0)</f>
        <v>0</v>
      </c>
      <c r="J9331" s="21" t="n">
        <f aca="false">IF(J9320&gt;0,MAX(0,J9313)/J9320,0)</f>
        <v>0</v>
      </c>
      <c r="K9331" s="21" t="n">
        <f aca="false">IF(K9320&gt;0,MAX(0,K9313)/K9320,0)</f>
        <v>0</v>
      </c>
    </row>
    <row r="9332" customFormat="false" ht="15" hidden="false" customHeight="false" outlineLevel="0" collapsed="false">
      <c r="A9332" s="5" t="s">
        <v>330</v>
      </c>
      <c r="G9332" s="25" t="n">
        <f aca="false">Assumptions!$C$27*(1-CHOOSE($C$9184,Assumptions!$C$79,Assumptions!$C$98,Assumptions!$C$117))</f>
        <v>884</v>
      </c>
      <c r="H9332" s="25" t="n">
        <f aca="false">Assumptions!$C$27*(1-CHOOSE($C$9184,Assumptions!$C$79,Assumptions!$C$98,Assumptions!$C$117))</f>
        <v>884</v>
      </c>
      <c r="I9332" s="25" t="n">
        <f aca="false">Assumptions!$C$27*(1-CHOOSE($C$9184,Assumptions!$C$79,Assumptions!$C$98,Assumptions!$C$117))</f>
        <v>884</v>
      </c>
      <c r="J9332" s="25" t="n">
        <f aca="false">Assumptions!$C$27*(1-CHOOSE($C$9184,Assumptions!$C$79,Assumptions!$C$98,Assumptions!$C$117))</f>
        <v>884</v>
      </c>
      <c r="K9332" s="25" t="n">
        <f aca="false">Assumptions!$C$27*(1-CHOOSE($C$9184,Assumptions!$C$79,Assumptions!$C$98,Assumptions!$C$117))</f>
        <v>884</v>
      </c>
    </row>
    <row r="9333" customFormat="false" ht="15" hidden="false" customHeight="false" outlineLevel="0" collapsed="false">
      <c r="A9333" s="23" t="s">
        <v>331</v>
      </c>
      <c r="B9333" s="24"/>
      <c r="C9333" s="24"/>
      <c r="D9333" s="24"/>
      <c r="E9333" s="24"/>
      <c r="F9333" s="24"/>
      <c r="G9333" s="24"/>
      <c r="H9333" s="24"/>
      <c r="I9333" s="24"/>
      <c r="J9333" s="24"/>
      <c r="K9333" s="24"/>
    </row>
    <row r="9334" customFormat="false" ht="15" hidden="false" customHeight="false" outlineLevel="0" collapsed="false">
      <c r="A9334" s="23" t="s">
        <v>332</v>
      </c>
      <c r="B9334" s="24"/>
      <c r="C9334" s="24"/>
      <c r="D9334" s="24"/>
      <c r="E9334" s="24"/>
      <c r="F9334" s="24"/>
      <c r="G9334" s="24"/>
      <c r="H9334" s="24"/>
      <c r="I9334" s="24"/>
      <c r="J9334" s="24"/>
      <c r="K9334" s="24"/>
    </row>
    <row r="9335" customFormat="false" ht="15" hidden="false" customHeight="false" outlineLevel="0" collapsed="false">
      <c r="A9335" s="5" t="s">
        <v>333</v>
      </c>
      <c r="G9335" s="31" t="n">
        <f aca="false">IF(G9201&gt;0,G9322/G9201,99)</f>
        <v>15.8462766999804</v>
      </c>
      <c r="H9335" s="31" t="n">
        <f aca="false">IF(H9201&gt;0,H9322/H9201,99)</f>
        <v>26.2550884550378</v>
      </c>
      <c r="I9335" s="31" t="n">
        <f aca="false">IF(I9201&gt;0,I9322/I9201,99)</f>
        <v>21.6414975370896</v>
      </c>
      <c r="J9335" s="31" t="n">
        <f aca="false">IF(J9201&gt;0,J9322/J9201,99)</f>
        <v>18.411477620083</v>
      </c>
      <c r="K9335" s="31" t="n">
        <f aca="false">IF(K9201&gt;0,K9322/K9201,99)</f>
        <v>15.912147436894</v>
      </c>
    </row>
    <row r="9336" customFormat="false" ht="15" hidden="false" customHeight="false" outlineLevel="0" collapsed="false">
      <c r="A9336" s="5" t="s">
        <v>334</v>
      </c>
      <c r="G9336" s="32" t="n">
        <f aca="false">Assumptions!$G$61</f>
        <v>8.5</v>
      </c>
      <c r="H9336" s="32" t="n">
        <f aca="false">Assumptions!$H$61</f>
        <v>8.5</v>
      </c>
      <c r="I9336" s="32" t="n">
        <f aca="false">Assumptions!$I$61</f>
        <v>8.5</v>
      </c>
      <c r="J9336" s="32" t="n">
        <f aca="false">Assumptions!$J$61</f>
        <v>8.5</v>
      </c>
      <c r="K9336" s="32" t="n">
        <f aca="false">Assumptions!$K$61</f>
        <v>8.5</v>
      </c>
    </row>
    <row r="9337" customFormat="false" ht="15" hidden="false" customHeight="false" outlineLevel="0" collapsed="false">
      <c r="A9337" s="5" t="s">
        <v>335</v>
      </c>
      <c r="G9337" s="31" t="n">
        <f aca="false">G9336-G9335</f>
        <v>-7.34627669998041</v>
      </c>
      <c r="H9337" s="31" t="n">
        <f aca="false">H9336-H9335</f>
        <v>-17.7550884550378</v>
      </c>
      <c r="I9337" s="31" t="n">
        <f aca="false">I9336-I9335</f>
        <v>-13.1414975370896</v>
      </c>
      <c r="J9337" s="31" t="n">
        <f aca="false">J9336-J9335</f>
        <v>-9.91147762008297</v>
      </c>
      <c r="K9337" s="31" t="n">
        <f aca="false">K9336-K9335</f>
        <v>-7.41214743689401</v>
      </c>
    </row>
    <row r="9338" customFormat="false" ht="15" hidden="false" customHeight="false" outlineLevel="0" collapsed="false">
      <c r="A9338" s="5" t="s">
        <v>336</v>
      </c>
      <c r="G9338" s="21" t="n">
        <f aca="false">IF(G9336=0,0,G9337/ABS(G9336))</f>
        <v>-0.864267847056518</v>
      </c>
      <c r="H9338" s="21" t="n">
        <f aca="false">IF(H9336=0,0,H9337/ABS(H9336))</f>
        <v>-2.0888339358868</v>
      </c>
      <c r="I9338" s="21" t="n">
        <f aca="false">IF(I9336=0,0,I9337/ABS(I9336))</f>
        <v>-1.54605853377525</v>
      </c>
      <c r="J9338" s="21" t="n">
        <f aca="false">IF(J9336=0,0,J9337/ABS(J9336))</f>
        <v>-1.166056190598</v>
      </c>
      <c r="K9338" s="21" t="n">
        <f aca="false">IF(K9336=0,0,K9337/ABS(K9336))</f>
        <v>-0.872017345516942</v>
      </c>
    </row>
    <row r="9339" customFormat="false" ht="15" hidden="false" customHeight="false" outlineLevel="0" collapsed="false">
      <c r="A9339" s="5" t="s">
        <v>337</v>
      </c>
      <c r="G9339" s="20" t="n">
        <f aca="false">IF(G9337&lt;0,1,0)</f>
        <v>1</v>
      </c>
      <c r="H9339" s="20" t="n">
        <f aca="false">IF(H9337&lt;0,1,0)</f>
        <v>1</v>
      </c>
      <c r="I9339" s="20" t="n">
        <f aca="false">IF(I9337&lt;0,1,0)</f>
        <v>1</v>
      </c>
      <c r="J9339" s="20" t="n">
        <f aca="false">IF(J9337&lt;0,1,0)</f>
        <v>1</v>
      </c>
      <c r="K9339" s="20" t="n">
        <f aca="false">IF(K9337&lt;0,1,0)</f>
        <v>1</v>
      </c>
    </row>
    <row r="9340" customFormat="false" ht="15" hidden="false" customHeight="false" outlineLevel="0" collapsed="false">
      <c r="A9340" s="5" t="s">
        <v>338</v>
      </c>
      <c r="C9340" s="20" t="n">
        <f aca="false">IFERROR(INDEX($G$9191:$K$9191,MATCH(1,$G$9339:$K$9339,0)),0)</f>
        <v>2026</v>
      </c>
    </row>
    <row r="9341" customFormat="false" ht="15" hidden="false" customHeight="false" outlineLevel="0" collapsed="false">
      <c r="A9341" s="5" t="s">
        <v>339</v>
      </c>
      <c r="C9341" s="21" t="n">
        <f aca="false">MIN($G$9338:$K$9338)</f>
        <v>-2.0888339358868</v>
      </c>
    </row>
    <row r="9342" customFormat="false" ht="15" hidden="false" customHeight="false" outlineLevel="0" collapsed="false">
      <c r="A9342" s="5" t="s">
        <v>340</v>
      </c>
      <c r="G9342" s="20" t="n">
        <f aca="false">G9339</f>
        <v>1</v>
      </c>
      <c r="H9342" s="20" t="n">
        <f aca="false">H9339</f>
        <v>1</v>
      </c>
      <c r="I9342" s="20" t="n">
        <f aca="false">I9339</f>
        <v>1</v>
      </c>
      <c r="J9342" s="20" t="n">
        <f aca="false">J9339</f>
        <v>1</v>
      </c>
      <c r="K9342" s="20" t="n">
        <f aca="false">K9339</f>
        <v>1</v>
      </c>
    </row>
    <row r="9343" customFormat="false" ht="15" hidden="false" customHeight="false" outlineLevel="0" collapsed="false">
      <c r="A9343" s="5" t="s">
        <v>341</v>
      </c>
      <c r="C9343" s="20" t="n">
        <f aca="false">SUM($G$9342:$K$9342)</f>
        <v>5</v>
      </c>
    </row>
    <row r="9344" customFormat="false" ht="15" hidden="false" customHeight="false" outlineLevel="0" collapsed="false">
      <c r="A9344" s="5" t="s">
        <v>342</v>
      </c>
      <c r="C9344" s="21" t="n">
        <f aca="false">MIN(C9341)</f>
        <v>-2.0888339358868</v>
      </c>
    </row>
    <row r="9346" customFormat="false" ht="15" hidden="false" customHeight="false" outlineLevel="0" collapsed="false">
      <c r="A9346" s="23" t="s">
        <v>444</v>
      </c>
      <c r="B9346" s="24"/>
      <c r="C9346" s="24"/>
      <c r="D9346" s="24"/>
      <c r="E9346" s="24"/>
      <c r="F9346" s="24"/>
      <c r="G9346" s="24"/>
      <c r="H9346" s="24"/>
      <c r="I9346" s="24"/>
      <c r="J9346" s="24"/>
      <c r="K9346" s="24"/>
    </row>
    <row r="9347" customFormat="false" ht="15" hidden="false" customHeight="false" outlineLevel="0" collapsed="false">
      <c r="A9347" s="5" t="s">
        <v>445</v>
      </c>
      <c r="G9347" s="20" t="n">
        <f aca="false">IF($C$9348=1,G9316,IF(G9201=MIN($G$9201:$K$9201),1,0))</f>
        <v>0</v>
      </c>
      <c r="H9347" s="20" t="n">
        <f aca="false">IF($C$9348=1,H9316,IF(AND(H9201=MIN($G$9201:$K$9201),SUM($G$9347:G9347)=0),1,0))</f>
        <v>1</v>
      </c>
      <c r="I9347" s="20" t="n">
        <f aca="false">IF($C$9348=1,I9316,IF(AND(I9201=MIN($G$9201:$K$9201),SUM($G$9347:H9347)=0),1,0))</f>
        <v>0</v>
      </c>
      <c r="J9347" s="20" t="n">
        <f aca="false">IF($C$9348=1,J9316,IF(AND(J9201=MIN($G$9201:$K$9201),SUM($G$9347:I9347)=0),1,0))</f>
        <v>0</v>
      </c>
      <c r="K9347" s="20" t="n">
        <f aca="false">IF($C$9348=1,K9316,IF(AND(K9201=MIN($G$9201:$K$9201),SUM($G$9347:J9347)=0),1,0))</f>
        <v>0</v>
      </c>
    </row>
    <row r="9348" customFormat="false" ht="15" hidden="false" customHeight="false" outlineLevel="0" collapsed="false">
      <c r="A9348" s="5" t="s">
        <v>446</v>
      </c>
      <c r="C9348" s="20" t="n">
        <f aca="false">IF(SUM($G$9316:$K$9316)&gt;0,1,0)</f>
        <v>1</v>
      </c>
    </row>
    <row r="9349" customFormat="false" ht="15" hidden="false" customHeight="false" outlineLevel="0" collapsed="false">
      <c r="A9349" s="5" t="s">
        <v>447</v>
      </c>
      <c r="C9349" s="20" t="n">
        <f aca="false">SUMPRODUCT($G$9347:$K$9347,$G$9191:$K$9191)</f>
        <v>2027</v>
      </c>
    </row>
    <row r="9350" customFormat="false" ht="15" hidden="false" customHeight="false" outlineLevel="0" collapsed="false">
      <c r="A9350" s="5" t="s">
        <v>448</v>
      </c>
      <c r="C9350" s="25" t="n">
        <f aca="false">SUMPRODUCT($G$9347:$K$9347,$G$9201:$K$9201)</f>
        <v>54.2445984</v>
      </c>
    </row>
    <row r="9351" customFormat="false" ht="15" hidden="false" customHeight="false" outlineLevel="0" collapsed="false">
      <c r="A9351" s="5" t="s">
        <v>449</v>
      </c>
      <c r="C9351" s="25" t="n">
        <f aca="false">MAX(0,SUMPRODUCT($G$9347:$K$9347,$G$9313:$K$9313))</f>
        <v>0</v>
      </c>
    </row>
    <row r="9352" customFormat="false" ht="15" hidden="false" customHeight="false" outlineLevel="0" collapsed="false">
      <c r="A9352" s="5" t="s">
        <v>450</v>
      </c>
      <c r="C9352" s="25" t="n">
        <f aca="false">(CHOOSE($C$9184,Assumptions!$C$78,Assumptions!$C$97,Assumptions!$C$116)+$C$9188)*C9350</f>
        <v>216.9783936</v>
      </c>
    </row>
    <row r="9353" customFormat="false" ht="15" hidden="false" customHeight="false" outlineLevel="0" collapsed="false">
      <c r="A9353" s="5" t="s">
        <v>451</v>
      </c>
      <c r="C9353" s="25" t="n">
        <f aca="false">Assumptions!$C$27*(1-CHOOSE($C$9184,Assumptions!$C$79,Assumptions!$C$98,Assumptions!$C$117))*CHOOSE($C$9184,Assumptions!$C$80,Assumptions!$C$99,Assumptions!$C$118)</f>
        <v>530.4</v>
      </c>
    </row>
    <row r="9354" customFormat="false" ht="15" hidden="false" customHeight="false" outlineLevel="0" collapsed="false">
      <c r="A9354" s="5" t="s">
        <v>452</v>
      </c>
      <c r="C9354" s="25" t="n">
        <f aca="false">MAX(C9352,C9353)+C9351</f>
        <v>530.4</v>
      </c>
    </row>
    <row r="9355" customFormat="false" ht="15" hidden="false" customHeight="false" outlineLevel="0" collapsed="false">
      <c r="A9355" s="2" t="s">
        <v>453</v>
      </c>
      <c r="C9355" s="16" t="n">
        <f aca="false">IF(ISNUMBER(Assumptions!$C$14),Assumptions!$C$14,C9354)</f>
        <v>530.4</v>
      </c>
    </row>
    <row r="9356" customFormat="false" ht="15" hidden="false" customHeight="false" outlineLevel="0" collapsed="false">
      <c r="A9356" s="5" t="s">
        <v>454</v>
      </c>
      <c r="C9356" s="25" t="n">
        <f aca="false">C9355*Assumptions!$C$15</f>
        <v>21.216</v>
      </c>
    </row>
    <row r="9357" customFormat="false" ht="15" hidden="false" customHeight="false" outlineLevel="0" collapsed="false">
      <c r="A9357" s="2" t="s">
        <v>455</v>
      </c>
      <c r="C9357" s="16" t="n">
        <f aca="false">C9355-C9356</f>
        <v>509.184</v>
      </c>
    </row>
    <row r="9358" customFormat="false" ht="15" hidden="false" customHeight="false" outlineLevel="0" collapsed="false">
      <c r="A9358" s="23" t="s">
        <v>456</v>
      </c>
      <c r="B9358" s="24"/>
      <c r="C9358" s="24"/>
      <c r="D9358" s="24"/>
      <c r="E9358" s="24"/>
      <c r="F9358" s="24"/>
      <c r="G9358" s="24"/>
      <c r="H9358" s="24"/>
      <c r="I9358" s="24"/>
      <c r="J9358" s="24"/>
      <c r="K9358" s="24"/>
    </row>
    <row r="9359" customFormat="false" ht="15" hidden="false" customHeight="false" outlineLevel="0" collapsed="false">
      <c r="A9359" s="5" t="s">
        <v>457</v>
      </c>
      <c r="C9359" s="25" t="n">
        <f aca="false">SUMPRODUCT($G$9347:$K$9347,$G$9238:$K$9238)*(1+SUMPRODUCT($G$9347:$K$9347,$G$9230:$K$9230)*Assumptions!$C$16/12)</f>
        <v>234.6563387</v>
      </c>
    </row>
    <row r="9360" customFormat="false" ht="15" hidden="false" customHeight="false" outlineLevel="0" collapsed="false">
      <c r="A9360" s="5" t="s">
        <v>458</v>
      </c>
      <c r="C9360" s="25" t="n">
        <f aca="false">SUMPRODUCT($G$9347:$K$9347,$G$9251:$K$9251)*(1+SUMPRODUCT($G$9347:$K$9347,$G$9243:$K$9243)*Assumptions!$C$16/12)</f>
        <v>524.3147</v>
      </c>
    </row>
    <row r="9361" customFormat="false" ht="15" hidden="false" customHeight="false" outlineLevel="0" collapsed="false">
      <c r="A9361" s="5" t="s">
        <v>459</v>
      </c>
      <c r="C9361" s="25" t="n">
        <f aca="false">SUMPRODUCT($G$9347:$K$9347,$G$9264:$K$9264)*(1+SUMPRODUCT($G$9347:$K$9347,$G$9256:$K$9256)*Assumptions!$C$16/12)</f>
        <v>256.875</v>
      </c>
    </row>
    <row r="9362" customFormat="false" ht="15" hidden="false" customHeight="false" outlineLevel="0" collapsed="false">
      <c r="A9362" s="5" t="s">
        <v>460</v>
      </c>
      <c r="C9362" s="25" t="n">
        <f aca="false">SUMPRODUCT($G$9347:$K$9347,$G$9277:$K$9277)*(1+SUMPRODUCT($G$9347:$K$9347,$G$9269:$K$9269)*Assumptions!$C$16/12)</f>
        <v>305.625</v>
      </c>
    </row>
    <row r="9363" customFormat="false" ht="15" hidden="false" customHeight="false" outlineLevel="0" collapsed="false">
      <c r="A9363" s="23" t="s">
        <v>461</v>
      </c>
      <c r="B9363" s="24"/>
      <c r="C9363" s="24"/>
      <c r="D9363" s="24"/>
      <c r="E9363" s="24"/>
      <c r="F9363" s="24"/>
      <c r="G9363" s="24"/>
      <c r="H9363" s="24"/>
      <c r="I9363" s="24"/>
      <c r="J9363" s="24"/>
      <c r="K9363" s="24"/>
    </row>
    <row r="9364" customFormat="false" ht="15" hidden="false" customHeight="false" outlineLevel="0" collapsed="false">
      <c r="A9364" s="5" t="s">
        <v>457</v>
      </c>
      <c r="C9364" s="26" t="n">
        <f aca="false">Assumptions!$M$53</f>
        <v>1</v>
      </c>
    </row>
    <row r="9365" customFormat="false" ht="15" hidden="false" customHeight="false" outlineLevel="0" collapsed="false">
      <c r="A9365" s="5" t="s">
        <v>458</v>
      </c>
      <c r="C9365" s="26" t="n">
        <f aca="false">Assumptions!$M$54</f>
        <v>2</v>
      </c>
    </row>
    <row r="9366" customFormat="false" ht="15" hidden="false" customHeight="false" outlineLevel="0" collapsed="false">
      <c r="A9366" s="5" t="s">
        <v>459</v>
      </c>
      <c r="C9366" s="26" t="n">
        <f aca="false">Assumptions!$M$55</f>
        <v>3</v>
      </c>
    </row>
    <row r="9367" customFormat="false" ht="15" hidden="false" customHeight="false" outlineLevel="0" collapsed="false">
      <c r="A9367" s="5" t="s">
        <v>460</v>
      </c>
      <c r="C9367" s="26" t="n">
        <f aca="false">Assumptions!$M$56</f>
        <v>4</v>
      </c>
    </row>
    <row r="9368" customFormat="false" ht="15" hidden="false" customHeight="false" outlineLevel="0" collapsed="false">
      <c r="A9368" s="23" t="s">
        <v>462</v>
      </c>
      <c r="B9368" s="24"/>
      <c r="C9368" s="24"/>
      <c r="D9368" s="24"/>
      <c r="E9368" s="24"/>
      <c r="F9368" s="24"/>
      <c r="G9368" s="24"/>
      <c r="H9368" s="24"/>
      <c r="I9368" s="24"/>
      <c r="J9368" s="24"/>
      <c r="K9368" s="24"/>
    </row>
    <row r="9369" customFormat="false" ht="15" hidden="false" customHeight="false" outlineLevel="0" collapsed="false">
      <c r="A9369" s="5" t="s">
        <v>457</v>
      </c>
      <c r="C9369" s="34" t="n">
        <f aca="false">Assumptions!$Q$53</f>
        <v>0</v>
      </c>
    </row>
    <row r="9370" customFormat="false" ht="15" hidden="false" customHeight="false" outlineLevel="0" collapsed="false">
      <c r="A9370" s="5" t="s">
        <v>458</v>
      </c>
      <c r="C9370" s="34" t="n">
        <f aca="false">Assumptions!$Q$54</f>
        <v>0</v>
      </c>
    </row>
    <row r="9371" customFormat="false" ht="15" hidden="false" customHeight="false" outlineLevel="0" collapsed="false">
      <c r="A9371" s="5" t="s">
        <v>459</v>
      </c>
      <c r="C9371" s="34" t="n">
        <f aca="false">Assumptions!$Q$55</f>
        <v>0</v>
      </c>
    </row>
    <row r="9372" customFormat="false" ht="15" hidden="false" customHeight="false" outlineLevel="0" collapsed="false">
      <c r="A9372" s="5" t="s">
        <v>460</v>
      </c>
      <c r="C9372" s="34" t="n">
        <f aca="false">Assumptions!$Q$56</f>
        <v>0</v>
      </c>
    </row>
    <row r="9373" customFormat="false" ht="15" hidden="false" customHeight="false" outlineLevel="0" collapsed="false">
      <c r="A9373" s="23" t="s">
        <v>463</v>
      </c>
      <c r="B9373" s="24"/>
      <c r="C9373" s="24"/>
      <c r="D9373" s="24"/>
      <c r="E9373" s="24"/>
      <c r="F9373" s="24"/>
      <c r="G9373" s="24"/>
      <c r="H9373" s="24"/>
      <c r="I9373" s="24"/>
      <c r="J9373" s="24"/>
      <c r="K9373" s="24"/>
    </row>
    <row r="9374" customFormat="false" ht="15" hidden="false" customHeight="false" outlineLevel="0" collapsed="false">
      <c r="A9374" s="5" t="s">
        <v>457</v>
      </c>
      <c r="C9374" s="25" t="n">
        <f aca="false">IF(C9369&gt;0,MIN(C9359,C9369*$C$9357),0)</f>
        <v>0</v>
      </c>
    </row>
    <row r="9375" customFormat="false" ht="15" hidden="false" customHeight="false" outlineLevel="0" collapsed="false">
      <c r="A9375" s="5" t="s">
        <v>458</v>
      </c>
      <c r="C9375" s="25" t="n">
        <f aca="false">IF(C9370&gt;0,MIN(C9360,C9370*$C$9357),0)</f>
        <v>0</v>
      </c>
    </row>
    <row r="9376" customFormat="false" ht="15" hidden="false" customHeight="false" outlineLevel="0" collapsed="false">
      <c r="A9376" s="5" t="s">
        <v>459</v>
      </c>
      <c r="C9376" s="25" t="n">
        <f aca="false">IF(C9371&gt;0,MIN(C9361,C9371*$C$9357),0)</f>
        <v>0</v>
      </c>
    </row>
    <row r="9377" customFormat="false" ht="15" hidden="false" customHeight="false" outlineLevel="0" collapsed="false">
      <c r="A9377" s="5" t="s">
        <v>460</v>
      </c>
      <c r="C9377" s="25" t="n">
        <f aca="false">IF(C9372&gt;0,MIN(C9362,C9372*$C$9357),0)</f>
        <v>0</v>
      </c>
    </row>
    <row r="9378" customFormat="false" ht="15" hidden="false" customHeight="false" outlineLevel="0" collapsed="false">
      <c r="A9378" s="23" t="s">
        <v>464</v>
      </c>
      <c r="B9378" s="24"/>
      <c r="C9378" s="24"/>
      <c r="D9378" s="24"/>
      <c r="E9378" s="24"/>
      <c r="F9378" s="24"/>
      <c r="G9378" s="24"/>
      <c r="H9378" s="24"/>
      <c r="I9378" s="24"/>
      <c r="J9378" s="24"/>
      <c r="K9378" s="24"/>
    </row>
    <row r="9379" customFormat="false" ht="15" hidden="false" customHeight="false" outlineLevel="0" collapsed="false">
      <c r="A9379" s="5" t="s">
        <v>457</v>
      </c>
      <c r="C9379" s="25" t="n">
        <f aca="false">IF(C9369&gt;0,C9359-C9374,0)</f>
        <v>0</v>
      </c>
      <c r="G9379" s="20" t="n">
        <f aca="false">IF(AND(G9228=1,G9225=1),1,0)</f>
        <v>0</v>
      </c>
      <c r="H9379" s="20" t="n">
        <f aca="false">IF(G9379=1,1,IF(AND(H9228=1,H9225=1),1,0))</f>
        <v>0</v>
      </c>
      <c r="I9379" s="20" t="n">
        <f aca="false">IF(H9379=1,1,IF(AND(I9228=1,I9225=1),1,0))</f>
        <v>0</v>
      </c>
      <c r="J9379" s="20" t="n">
        <f aca="false">IF(I9379=1,1,IF(AND(J9228=1,J9225=1),1,0))</f>
        <v>0</v>
      </c>
      <c r="K9379" s="20" t="n">
        <f aca="false">IF(J9379=1,1,IF(AND(K9228=1,K9225=1),1,0))</f>
        <v>0</v>
      </c>
    </row>
    <row r="9380" customFormat="false" ht="15" hidden="false" customHeight="false" outlineLevel="0" collapsed="false">
      <c r="A9380" s="5" t="s">
        <v>458</v>
      </c>
      <c r="C9380" s="25" t="n">
        <f aca="false">IF(C9370&gt;0,C9360-C9375,0)</f>
        <v>0</v>
      </c>
      <c r="G9380" s="20" t="n">
        <f aca="false">IF(AND(G9241=1,G9225=1),1,0)</f>
        <v>0</v>
      </c>
      <c r="H9380" s="20" t="n">
        <f aca="false">IF(G9380=1,1,IF(AND(H9241=1,H9225=1),1,0))</f>
        <v>0</v>
      </c>
      <c r="I9380" s="20" t="n">
        <f aca="false">IF(H9380=1,1,IF(AND(I9241=1,I9225=1),1,0))</f>
        <v>0</v>
      </c>
      <c r="J9380" s="20" t="n">
        <f aca="false">IF(I9380=1,1,IF(AND(J9241=1,J9225=1),1,0))</f>
        <v>0</v>
      </c>
      <c r="K9380" s="20" t="n">
        <f aca="false">IF(J9380=1,1,IF(AND(K9241=1,K9225=1),1,0))</f>
        <v>0</v>
      </c>
    </row>
    <row r="9381" customFormat="false" ht="15" hidden="false" customHeight="false" outlineLevel="0" collapsed="false">
      <c r="A9381" s="5" t="s">
        <v>459</v>
      </c>
      <c r="C9381" s="25" t="n">
        <f aca="false">IF(C9371&gt;0,C9361-C9376,0)</f>
        <v>0</v>
      </c>
      <c r="G9381" s="20" t="n">
        <f aca="false">IF(AND(G9254=1,G9225=1),1,0)</f>
        <v>0</v>
      </c>
      <c r="H9381" s="20" t="n">
        <f aca="false">IF(G9381=1,1,IF(AND(H9254=1,H9225=1),1,0))</f>
        <v>0</v>
      </c>
      <c r="I9381" s="20" t="n">
        <f aca="false">IF(H9381=1,1,IF(AND(I9254=1,I9225=1),1,0))</f>
        <v>0</v>
      </c>
      <c r="J9381" s="20" t="n">
        <f aca="false">IF(I9381=1,1,IF(AND(J9254=1,J9225=1),1,0))</f>
        <v>0</v>
      </c>
      <c r="K9381" s="20" t="n">
        <f aca="false">IF(J9381=1,1,IF(AND(K9254=1,K9225=1),1,0))</f>
        <v>0</v>
      </c>
    </row>
    <row r="9382" customFormat="false" ht="15" hidden="false" customHeight="false" outlineLevel="0" collapsed="false">
      <c r="A9382" s="5" t="s">
        <v>460</v>
      </c>
      <c r="C9382" s="25" t="n">
        <f aca="false">IF(C9372&gt;0,C9362-C9377,0)</f>
        <v>0</v>
      </c>
      <c r="G9382" s="20" t="n">
        <f aca="false">IF(AND(G9267=1,G9225=1),1,0)</f>
        <v>0</v>
      </c>
      <c r="H9382" s="20" t="n">
        <f aca="false">IF(G9382=1,1,IF(AND(H9267=1,H9225=1),1,0))</f>
        <v>0</v>
      </c>
      <c r="I9382" s="20" t="n">
        <f aca="false">IF(H9382=1,1,IF(AND(I9267=1,I9225=1),1,0))</f>
        <v>0</v>
      </c>
      <c r="J9382" s="20" t="n">
        <f aca="false">IF(I9382=1,1,IF(AND(J9267=1,J9225=1),1,0))</f>
        <v>0</v>
      </c>
      <c r="K9382" s="20" t="n">
        <f aca="false">IF(J9382=1,1,IF(AND(K9267=1,K9225=1),1,0))</f>
        <v>0</v>
      </c>
    </row>
    <row r="9383" customFormat="false" ht="15" hidden="false" customHeight="false" outlineLevel="0" collapsed="false">
      <c r="A9383" s="23" t="s">
        <v>465</v>
      </c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</row>
    <row r="9384" customFormat="false" ht="15" hidden="false" customHeight="false" outlineLevel="0" collapsed="false">
      <c r="A9384" s="5" t="s">
        <v>457</v>
      </c>
      <c r="C9384" s="25" t="n">
        <f aca="false">IF(C9369&gt;0,C9379,C9359)</f>
        <v>234.6563387</v>
      </c>
    </row>
    <row r="9385" customFormat="false" ht="15" hidden="false" customHeight="false" outlineLevel="0" collapsed="false">
      <c r="A9385" s="5" t="s">
        <v>458</v>
      </c>
      <c r="C9385" s="25" t="n">
        <f aca="false">IF(C9370&gt;0,C9380,C9360)</f>
        <v>524.3147</v>
      </c>
    </row>
    <row r="9386" customFormat="false" ht="15" hidden="false" customHeight="false" outlineLevel="0" collapsed="false">
      <c r="A9386" s="5" t="s">
        <v>459</v>
      </c>
      <c r="C9386" s="25" t="n">
        <f aca="false">IF(C9371&gt;0,C9381,C9361)</f>
        <v>256.875</v>
      </c>
    </row>
    <row r="9387" customFormat="false" ht="15" hidden="false" customHeight="false" outlineLevel="0" collapsed="false">
      <c r="A9387" s="5" t="s">
        <v>460</v>
      </c>
      <c r="C9387" s="25" t="n">
        <f aca="false">IF(C9372&gt;0,C9382,C9362)</f>
        <v>305.625</v>
      </c>
    </row>
    <row r="9388" customFormat="false" ht="15" hidden="false" customHeight="false" outlineLevel="0" collapsed="false">
      <c r="A9388" s="23" t="s">
        <v>466</v>
      </c>
      <c r="B9388" s="24"/>
      <c r="C9388" s="24"/>
      <c r="D9388" s="24"/>
      <c r="E9388" s="24"/>
      <c r="F9388" s="24"/>
      <c r="G9388" s="24"/>
      <c r="H9388" s="24"/>
      <c r="I9388" s="24"/>
      <c r="J9388" s="24"/>
      <c r="K9388" s="24"/>
    </row>
    <row r="9389" customFormat="false" ht="15" hidden="false" customHeight="false" outlineLevel="0" collapsed="false">
      <c r="A9389" s="5" t="s">
        <v>457</v>
      </c>
      <c r="C9389" s="20" t="n">
        <f aca="false">IF(C9369&gt;0,Assumptions!$C$17,C9364)</f>
        <v>1</v>
      </c>
    </row>
    <row r="9390" customFormat="false" ht="15" hidden="false" customHeight="false" outlineLevel="0" collapsed="false">
      <c r="A9390" s="5" t="s">
        <v>458</v>
      </c>
      <c r="C9390" s="20" t="n">
        <f aca="false">IF(C9370&gt;0,Assumptions!$C$17,C9365)</f>
        <v>2</v>
      </c>
    </row>
    <row r="9391" customFormat="false" ht="15" hidden="false" customHeight="false" outlineLevel="0" collapsed="false">
      <c r="A9391" s="5" t="s">
        <v>459</v>
      </c>
      <c r="C9391" s="20" t="n">
        <f aca="false">IF(C9371&gt;0,Assumptions!$C$17,C9366)</f>
        <v>3</v>
      </c>
    </row>
    <row r="9392" customFormat="false" ht="15" hidden="false" customHeight="false" outlineLevel="0" collapsed="false">
      <c r="A9392" s="5" t="s">
        <v>460</v>
      </c>
      <c r="C9392" s="20" t="n">
        <f aca="false">IF(C9372&gt;0,Assumptions!$C$17,C9367)</f>
        <v>4</v>
      </c>
    </row>
    <row r="9393" customFormat="false" ht="15" hidden="false" customHeight="false" outlineLevel="0" collapsed="false">
      <c r="A9393" s="23" t="s">
        <v>467</v>
      </c>
      <c r="B9393" s="24"/>
      <c r="C9393" s="24"/>
      <c r="D9393" s="24"/>
      <c r="E9393" s="24"/>
      <c r="F9393" s="24"/>
      <c r="G9393" s="24"/>
      <c r="H9393" s="24"/>
      <c r="I9393" s="24"/>
      <c r="J9393" s="24"/>
      <c r="K9393" s="24"/>
    </row>
    <row r="9394" customFormat="false" ht="15" hidden="false" customHeight="false" outlineLevel="0" collapsed="false">
      <c r="A9394" s="5" t="s">
        <v>457</v>
      </c>
      <c r="C9394" s="25" t="n">
        <f aca="false">SUMPRODUCT(($C$9389:$C$9392&lt;C9389)*$C$9384:$C$9387)</f>
        <v>0</v>
      </c>
    </row>
    <row r="9395" customFormat="false" ht="15" hidden="false" customHeight="false" outlineLevel="0" collapsed="false">
      <c r="A9395" s="5" t="s">
        <v>458</v>
      </c>
      <c r="C9395" s="25" t="n">
        <f aca="false">SUMPRODUCT(($C$9389:$C$9392&lt;C9390)*$C$9384:$C$9387)</f>
        <v>234.6563387</v>
      </c>
    </row>
    <row r="9396" customFormat="false" ht="15" hidden="false" customHeight="false" outlineLevel="0" collapsed="false">
      <c r="A9396" s="5" t="s">
        <v>459</v>
      </c>
      <c r="C9396" s="25" t="n">
        <f aca="false">SUMPRODUCT(($C$9389:$C$9392&lt;C9391)*$C$9384:$C$9387)</f>
        <v>758.9710387</v>
      </c>
    </row>
    <row r="9397" customFormat="false" ht="15" hidden="false" customHeight="false" outlineLevel="0" collapsed="false">
      <c r="A9397" s="5" t="s">
        <v>460</v>
      </c>
      <c r="C9397" s="25" t="n">
        <f aca="false">SUMPRODUCT(($C$9389:$C$9392&lt;C9392)*$C$9384:$C$9387)</f>
        <v>1015.8460387</v>
      </c>
    </row>
    <row r="9398" customFormat="false" ht="15" hidden="false" customHeight="false" outlineLevel="0" collapsed="false">
      <c r="A9398" s="23" t="s">
        <v>468</v>
      </c>
      <c r="B9398" s="24"/>
      <c r="C9398" s="24"/>
      <c r="D9398" s="24"/>
      <c r="E9398" s="24"/>
      <c r="F9398" s="24"/>
      <c r="G9398" s="24"/>
      <c r="H9398" s="24"/>
      <c r="I9398" s="24"/>
      <c r="J9398" s="24"/>
      <c r="K9398" s="24"/>
    </row>
    <row r="9399" customFormat="false" ht="15" hidden="false" customHeight="false" outlineLevel="0" collapsed="false">
      <c r="A9399" s="5" t="s">
        <v>457</v>
      </c>
      <c r="C9399" s="25" t="n">
        <f aca="false">SUMPRODUCT(($C$9389:$C$9392=C9389)*$C$9384:$C$9387)</f>
        <v>234.6563387</v>
      </c>
    </row>
    <row r="9400" customFormat="false" ht="15" hidden="false" customHeight="false" outlineLevel="0" collapsed="false">
      <c r="A9400" s="5" t="s">
        <v>458</v>
      </c>
      <c r="C9400" s="25" t="n">
        <f aca="false">SUMPRODUCT(($C$9389:$C$9392=C9390)*$C$9384:$C$9387)</f>
        <v>524.3147</v>
      </c>
    </row>
    <row r="9401" customFormat="false" ht="15" hidden="false" customHeight="false" outlineLevel="0" collapsed="false">
      <c r="A9401" s="5" t="s">
        <v>459</v>
      </c>
      <c r="C9401" s="25" t="n">
        <f aca="false">SUMPRODUCT(($C$9389:$C$9392=C9391)*$C$9384:$C$9387)</f>
        <v>256.875</v>
      </c>
    </row>
    <row r="9402" customFormat="false" ht="15" hidden="false" customHeight="false" outlineLevel="0" collapsed="false">
      <c r="A9402" s="5" t="s">
        <v>460</v>
      </c>
      <c r="C9402" s="25" t="n">
        <f aca="false">SUMPRODUCT(($C$9389:$C$9392=C9392)*$C$9384:$C$9387)</f>
        <v>305.625</v>
      </c>
    </row>
    <row r="9403" customFormat="false" ht="15" hidden="false" customHeight="false" outlineLevel="0" collapsed="false">
      <c r="A9403" s="23" t="s">
        <v>469</v>
      </c>
      <c r="B9403" s="24"/>
      <c r="C9403" s="24"/>
      <c r="D9403" s="24"/>
      <c r="E9403" s="24"/>
      <c r="F9403" s="24"/>
      <c r="G9403" s="24"/>
      <c r="H9403" s="24"/>
      <c r="I9403" s="24"/>
      <c r="J9403" s="24"/>
      <c r="K9403" s="24"/>
    </row>
    <row r="9404" customFormat="false" ht="15" hidden="false" customHeight="false" outlineLevel="0" collapsed="false">
      <c r="A9404" s="5" t="s">
        <v>457</v>
      </c>
      <c r="C9404" s="25" t="n">
        <f aca="false">IF(C9399=0,0,C9384/C9399*MAX(0,MIN(C9399,$C$9357-SUM($C$9374:$C$9377)-C9394)))</f>
        <v>234.6563387</v>
      </c>
    </row>
    <row r="9405" customFormat="false" ht="15" hidden="false" customHeight="false" outlineLevel="0" collapsed="false">
      <c r="A9405" s="5" t="s">
        <v>458</v>
      </c>
      <c r="C9405" s="25" t="n">
        <f aca="false">IF(C9400=0,0,C9385/C9400*MAX(0,MIN(C9400,$C$9357-SUM($C$9374:$C$9377)-C9395)))</f>
        <v>274.5276613</v>
      </c>
    </row>
    <row r="9406" customFormat="false" ht="15" hidden="false" customHeight="false" outlineLevel="0" collapsed="false">
      <c r="A9406" s="5" t="s">
        <v>459</v>
      </c>
      <c r="C9406" s="25" t="n">
        <f aca="false">IF(C9401=0,0,C9386/C9401*MAX(0,MIN(C9401,$C$9357-SUM($C$9374:$C$9377)-C9396)))</f>
        <v>0</v>
      </c>
    </row>
    <row r="9407" customFormat="false" ht="15" hidden="false" customHeight="false" outlineLevel="0" collapsed="false">
      <c r="A9407" s="5" t="s">
        <v>460</v>
      </c>
      <c r="C9407" s="25" t="n">
        <f aca="false">IF(C9402=0,0,C9387/C9402*MAX(0,MIN(C9402,$C$9357-SUM($C$9374:$C$9377)-C9397)))</f>
        <v>0</v>
      </c>
    </row>
    <row r="9408" customFormat="false" ht="15" hidden="false" customHeight="false" outlineLevel="0" collapsed="false">
      <c r="A9408" s="23" t="s">
        <v>470</v>
      </c>
      <c r="B9408" s="24"/>
      <c r="C9408" s="24"/>
      <c r="D9408" s="24"/>
      <c r="E9408" s="24"/>
      <c r="F9408" s="24"/>
      <c r="G9408" s="24"/>
      <c r="H9408" s="24"/>
      <c r="I9408" s="24"/>
      <c r="J9408" s="24"/>
      <c r="K9408" s="24"/>
    </row>
    <row r="9409" customFormat="false" ht="15" hidden="false" customHeight="false" outlineLevel="0" collapsed="false">
      <c r="A9409" s="2" t="s">
        <v>457</v>
      </c>
      <c r="C9409" s="16" t="n">
        <f aca="false">C9374+C9404</f>
        <v>234.6563387</v>
      </c>
    </row>
    <row r="9410" customFormat="false" ht="15" hidden="false" customHeight="false" outlineLevel="0" collapsed="false">
      <c r="A9410" s="2" t="s">
        <v>458</v>
      </c>
      <c r="C9410" s="16" t="n">
        <f aca="false">C9375+C9405</f>
        <v>274.5276613</v>
      </c>
    </row>
    <row r="9411" customFormat="false" ht="15" hidden="false" customHeight="false" outlineLevel="0" collapsed="false">
      <c r="A9411" s="2" t="s">
        <v>459</v>
      </c>
      <c r="C9411" s="16" t="n">
        <f aca="false">C9376+C9406</f>
        <v>0</v>
      </c>
    </row>
    <row r="9412" customFormat="false" ht="15" hidden="false" customHeight="false" outlineLevel="0" collapsed="false">
      <c r="A9412" s="2" t="s">
        <v>460</v>
      </c>
      <c r="C9412" s="16" t="n">
        <f aca="false">C9377+C9407</f>
        <v>0</v>
      </c>
    </row>
    <row r="9413" customFormat="false" ht="15" hidden="false" customHeight="false" outlineLevel="0" collapsed="false">
      <c r="A9413" s="23" t="s">
        <v>471</v>
      </c>
      <c r="B9413" s="24"/>
      <c r="C9413" s="24"/>
      <c r="D9413" s="24"/>
      <c r="E9413" s="24"/>
      <c r="F9413" s="24"/>
      <c r="G9413" s="24"/>
      <c r="H9413" s="24"/>
      <c r="I9413" s="24"/>
      <c r="J9413" s="24"/>
      <c r="K9413" s="24"/>
    </row>
    <row r="9414" customFormat="false" ht="15" hidden="false" customHeight="false" outlineLevel="0" collapsed="false">
      <c r="A9414" s="5" t="s">
        <v>457</v>
      </c>
      <c r="C9414" s="21" t="n">
        <f aca="false">IF(C9359=0,1,C9409/C9359)</f>
        <v>1</v>
      </c>
    </row>
    <row r="9415" customFormat="false" ht="15" hidden="false" customHeight="false" outlineLevel="0" collapsed="false">
      <c r="A9415" s="5" t="s">
        <v>458</v>
      </c>
      <c r="C9415" s="21" t="n">
        <f aca="false">IF(C9360=0,1,C9410/C9360)</f>
        <v>0.523593294828469</v>
      </c>
    </row>
    <row r="9416" customFormat="false" ht="15" hidden="false" customHeight="false" outlineLevel="0" collapsed="false">
      <c r="A9416" s="5" t="s">
        <v>459</v>
      </c>
      <c r="C9416" s="21" t="n">
        <f aca="false">IF(C9361=0,1,C9411/C9361)</f>
        <v>0</v>
      </c>
    </row>
    <row r="9417" customFormat="false" ht="15" hidden="false" customHeight="false" outlineLevel="0" collapsed="false">
      <c r="A9417" s="5" t="s">
        <v>460</v>
      </c>
      <c r="C9417" s="21" t="n">
        <f aca="false">IF(C9362=0,1,C9412/C9362)</f>
        <v>0</v>
      </c>
    </row>
    <row r="9418" customFormat="false" ht="15" hidden="false" customHeight="false" outlineLevel="0" collapsed="false">
      <c r="A9418" s="23" t="s">
        <v>472</v>
      </c>
      <c r="B9418" s="24"/>
      <c r="C9418" s="24"/>
      <c r="D9418" s="24"/>
      <c r="E9418" s="24"/>
      <c r="F9418" s="24"/>
      <c r="G9418" s="24"/>
      <c r="H9418" s="24"/>
      <c r="I9418" s="24"/>
      <c r="J9418" s="24"/>
      <c r="K9418" s="24"/>
    </row>
    <row r="9419" customFormat="false" ht="15" hidden="false" customHeight="false" outlineLevel="0" collapsed="false">
      <c r="A9419" s="5" t="s">
        <v>457</v>
      </c>
      <c r="C9419" s="25" t="n">
        <f aca="false">C9359-C9409</f>
        <v>0</v>
      </c>
    </row>
    <row r="9420" customFormat="false" ht="15" hidden="false" customHeight="false" outlineLevel="0" collapsed="false">
      <c r="A9420" s="5" t="s">
        <v>458</v>
      </c>
      <c r="C9420" s="25" t="n">
        <f aca="false">C9360-C9410</f>
        <v>249.7870387</v>
      </c>
    </row>
    <row r="9421" customFormat="false" ht="15" hidden="false" customHeight="false" outlineLevel="0" collapsed="false">
      <c r="A9421" s="5" t="s">
        <v>459</v>
      </c>
      <c r="C9421" s="25" t="n">
        <f aca="false">C9361-C9411</f>
        <v>256.875</v>
      </c>
    </row>
    <row r="9422" customFormat="false" ht="15" hidden="false" customHeight="false" outlineLevel="0" collapsed="false">
      <c r="A9422" s="5" t="s">
        <v>460</v>
      </c>
      <c r="C9422" s="25" t="n">
        <f aca="false">C9362-C9412</f>
        <v>305.625</v>
      </c>
    </row>
    <row r="9423" customFormat="false" ht="15" hidden="false" customHeight="false" outlineLevel="0" collapsed="false">
      <c r="A9423" s="23" t="s">
        <v>473</v>
      </c>
      <c r="B9423" s="24"/>
      <c r="C9423" s="24"/>
      <c r="D9423" s="24"/>
      <c r="E9423" s="24"/>
      <c r="F9423" s="24"/>
      <c r="G9423" s="24"/>
      <c r="H9423" s="24"/>
      <c r="I9423" s="24"/>
      <c r="J9423" s="24"/>
      <c r="K9423" s="24"/>
    </row>
    <row r="9424" customFormat="false" ht="15" hidden="false" customHeight="false" outlineLevel="0" collapsed="false">
      <c r="A9424" s="5" t="s">
        <v>457</v>
      </c>
      <c r="C9424" s="21" t="n">
        <f aca="false">IF(C9359=0,0,C9419/C9359)</f>
        <v>0</v>
      </c>
    </row>
    <row r="9425" customFormat="false" ht="15" hidden="false" customHeight="false" outlineLevel="0" collapsed="false">
      <c r="A9425" s="5" t="s">
        <v>458</v>
      </c>
      <c r="C9425" s="21" t="n">
        <f aca="false">IF(C9360=0,0,C9420/C9360)</f>
        <v>0.476406705171532</v>
      </c>
    </row>
    <row r="9426" customFormat="false" ht="15" hidden="false" customHeight="false" outlineLevel="0" collapsed="false">
      <c r="A9426" s="5" t="s">
        <v>459</v>
      </c>
      <c r="C9426" s="21" t="n">
        <f aca="false">IF(C9361=0,0,C9421/C9361)</f>
        <v>1</v>
      </c>
    </row>
    <row r="9427" customFormat="false" ht="15" hidden="false" customHeight="false" outlineLevel="0" collapsed="false">
      <c r="A9427" s="5" t="s">
        <v>460</v>
      </c>
      <c r="C9427" s="21" t="n">
        <f aca="false">IF(C9362=0,0,C9422/C9362)</f>
        <v>1</v>
      </c>
    </row>
    <row r="9428" customFormat="false" ht="15" hidden="false" customHeight="false" outlineLevel="0" collapsed="false">
      <c r="A9428" s="2" t="s">
        <v>474</v>
      </c>
      <c r="C9428" s="16" t="n">
        <f aca="false">MAX(0,$C$9357-SUM($C$9374:$C$9377)-SUM($C$9384:$C$9387))</f>
        <v>0</v>
      </c>
    </row>
    <row r="9429" customFormat="false" ht="15" hidden="false" customHeight="false" outlineLevel="0" collapsed="false">
      <c r="A9429" s="5" t="s">
        <v>475</v>
      </c>
      <c r="C9429" s="25" t="n">
        <f aca="false">SUM($C$9409:$C$9412)+C9428+C9356-C9355</f>
        <v>0</v>
      </c>
    </row>
    <row r="9431" customFormat="false" ht="15" hidden="false" customHeight="false" outlineLevel="0" collapsed="false">
      <c r="A9431" s="23" t="s">
        <v>478</v>
      </c>
      <c r="B9431" s="24"/>
      <c r="C9431" s="24"/>
      <c r="D9431" s="24"/>
      <c r="E9431" s="24"/>
      <c r="F9431" s="24"/>
      <c r="G9431" s="24"/>
      <c r="H9431" s="24"/>
      <c r="I9431" s="24"/>
      <c r="J9431" s="24"/>
      <c r="K9431" s="24"/>
    </row>
    <row r="9432" customFormat="false" ht="15" hidden="false" customHeight="false" outlineLevel="0" collapsed="false">
      <c r="A9432" s="5" t="s">
        <v>479</v>
      </c>
      <c r="C9432" s="26" t="n">
        <f aca="false">Assumptions!$C$30</f>
        <v>2</v>
      </c>
    </row>
    <row r="9433" customFormat="false" ht="15" hidden="false" customHeight="false" outlineLevel="0" collapsed="false">
      <c r="A9433" s="5" t="s">
        <v>480</v>
      </c>
      <c r="C9433" s="28" t="n">
        <f aca="false">Assumptions!$C$31</f>
        <v>100</v>
      </c>
    </row>
    <row r="9434" customFormat="false" ht="15" hidden="false" customHeight="false" outlineLevel="0" collapsed="false">
      <c r="A9434" s="5" t="s">
        <v>481</v>
      </c>
      <c r="C9434" s="39" t="n">
        <f aca="false">Assumptions!$C$32</f>
        <v>78</v>
      </c>
    </row>
    <row r="9435" customFormat="false" ht="15" hidden="false" customHeight="false" outlineLevel="0" collapsed="false">
      <c r="A9435" s="5" t="s">
        <v>482</v>
      </c>
      <c r="C9435" s="25" t="n">
        <f aca="false">C9433*C9434/100*(1+Assumptions!$C$33)</f>
        <v>78.39</v>
      </c>
    </row>
    <row r="9436" customFormat="false" ht="15" hidden="false" customHeight="false" outlineLevel="0" collapsed="false">
      <c r="A9436" s="5" t="s">
        <v>483</v>
      </c>
      <c r="C9436" s="26" t="n">
        <f aca="false">Assumptions!$C$34</f>
        <v>2</v>
      </c>
    </row>
    <row r="9437" customFormat="false" ht="15" hidden="false" customHeight="false" outlineLevel="0" collapsed="false">
      <c r="A9437" s="5" t="s">
        <v>484</v>
      </c>
      <c r="C9437" s="20" t="n">
        <f aca="false">IF(C9348=1,SUMPRODUCT($G$9316:$K$9316,$G$9192:$K$9192),0)</f>
        <v>2</v>
      </c>
    </row>
    <row r="9438" customFormat="false" ht="15" hidden="false" customHeight="false" outlineLevel="0" collapsed="false">
      <c r="A9438" s="5" t="s">
        <v>485</v>
      </c>
      <c r="C9438" s="21" t="n">
        <f aca="false">IFERROR(C9433/CHOOSE(C9432,SUMPRODUCT($G$9347:$K$9347,$G$9238:$K$9238),SUMPRODUCT($G$9347:$K$9347,$G$9251:$K$9251),SUMPRODUCT($G$9347:$K$9347,$G$9264:$K$9264),SUMPRODUCT($G$9347:$K$9347,$G$9277:$K$9277)),0)</f>
        <v>0.196232339089482</v>
      </c>
    </row>
    <row r="9439" customFormat="false" ht="15" hidden="false" customHeight="false" outlineLevel="0" collapsed="false">
      <c r="A9439" s="5" t="s">
        <v>486</v>
      </c>
      <c r="C9439" s="25" t="n">
        <f aca="false">CHOOSE(C9432,C9409,C9410,C9411,C9412)*C9438</f>
        <v>53.8712051216641</v>
      </c>
    </row>
    <row r="9440" customFormat="false" ht="15" hidden="false" customHeight="false" outlineLevel="0" collapsed="false">
      <c r="A9440" s="5" t="s">
        <v>487</v>
      </c>
      <c r="C9440" s="21" t="n">
        <f aca="false">CHOOSE(C9432,C9414,C9415,C9416,C9417)</f>
        <v>0.523593294828469</v>
      </c>
    </row>
    <row r="9441" customFormat="false" ht="15" hidden="false" customHeight="false" outlineLevel="0" collapsed="false">
      <c r="A9441" s="5" t="s">
        <v>488</v>
      </c>
      <c r="C9441" s="20" t="n">
        <f aca="false">IF(C9348=1,C9437,C9436)</f>
        <v>2</v>
      </c>
    </row>
    <row r="9442" customFormat="false" ht="15" hidden="false" customHeight="false" outlineLevel="0" collapsed="false">
      <c r="A9442" s="5" t="s">
        <v>489</v>
      </c>
      <c r="C9442" s="33" t="n">
        <f aca="false">CHOOSE($C$9184,Assumptions!$C$77,Assumptions!$C$96,Assumptions!$C$115)</f>
        <v>90</v>
      </c>
    </row>
    <row r="9443" customFormat="false" ht="15" hidden="false" customHeight="false" outlineLevel="0" collapsed="false">
      <c r="A9443" s="5" t="s">
        <v>490</v>
      </c>
      <c r="C9443" s="25" t="n">
        <f aca="false">INDEX($G$9201:$K$9201,C9436)*CHOOSE($C$9184,Assumptions!$C$76,Assumptions!$C$95,Assumptions!$C$114)+MAX(0,INDEX($G$9313:$K$9313,C9436))</f>
        <v>271.222992</v>
      </c>
    </row>
    <row r="9444" customFormat="false" ht="15" hidden="false" customHeight="false" outlineLevel="0" collapsed="false">
      <c r="A9444" s="23" t="s">
        <v>491</v>
      </c>
      <c r="B9444" s="24"/>
      <c r="C9444" s="24"/>
      <c r="D9444" s="24"/>
      <c r="E9444" s="24"/>
      <c r="F9444" s="24"/>
      <c r="G9444" s="24"/>
      <c r="H9444" s="24"/>
      <c r="I9444" s="24"/>
      <c r="J9444" s="24"/>
      <c r="K9444" s="24"/>
    </row>
    <row r="9445" customFormat="false" ht="15" hidden="false" customHeight="false" outlineLevel="0" collapsed="false">
      <c r="A9445" s="5" t="s">
        <v>457</v>
      </c>
      <c r="C9445" s="25" t="n">
        <f aca="false">INDEX($G$9238:$K$9238,C9436)</f>
        <v>229.0168</v>
      </c>
    </row>
    <row r="9446" customFormat="false" ht="15" hidden="false" customHeight="false" outlineLevel="0" collapsed="false">
      <c r="A9446" s="5" t="s">
        <v>458</v>
      </c>
      <c r="C9446" s="25" t="n">
        <f aca="false">INDEX($G$9251:$K$9251,C9436)</f>
        <v>509.6</v>
      </c>
    </row>
    <row r="9447" customFormat="false" ht="15" hidden="false" customHeight="false" outlineLevel="0" collapsed="false">
      <c r="A9447" s="5" t="s">
        <v>459</v>
      </c>
      <c r="C9447" s="25" t="n">
        <f aca="false">INDEX($G$9264:$K$9264,C9436)</f>
        <v>250</v>
      </c>
    </row>
    <row r="9448" customFormat="false" ht="15" hidden="false" customHeight="false" outlineLevel="0" collapsed="false">
      <c r="A9448" s="5" t="s">
        <v>460</v>
      </c>
      <c r="C9448" s="25" t="n">
        <f aca="false">INDEX($G$9277:$K$9277,C9436)</f>
        <v>300</v>
      </c>
    </row>
    <row r="9449" customFormat="false" ht="15" hidden="false" customHeight="false" outlineLevel="0" collapsed="false">
      <c r="A9449" s="23" t="s">
        <v>461</v>
      </c>
      <c r="B9449" s="24"/>
      <c r="C9449" s="24"/>
      <c r="D9449" s="24"/>
      <c r="E9449" s="24"/>
      <c r="F9449" s="24"/>
      <c r="G9449" s="24"/>
      <c r="H9449" s="24"/>
      <c r="I9449" s="24"/>
      <c r="J9449" s="24"/>
      <c r="K9449" s="24"/>
    </row>
    <row r="9450" customFormat="false" ht="15" hidden="false" customHeight="false" outlineLevel="0" collapsed="false">
      <c r="A9450" s="5" t="s">
        <v>457</v>
      </c>
      <c r="C9450" s="26" t="n">
        <f aca="false">Assumptions!$M$53</f>
        <v>1</v>
      </c>
    </row>
    <row r="9451" customFormat="false" ht="15" hidden="false" customHeight="false" outlineLevel="0" collapsed="false">
      <c r="A9451" s="5" t="s">
        <v>458</v>
      </c>
      <c r="C9451" s="26" t="n">
        <f aca="false">Assumptions!$M$54</f>
        <v>2</v>
      </c>
    </row>
    <row r="9452" customFormat="false" ht="15" hidden="false" customHeight="false" outlineLevel="0" collapsed="false">
      <c r="A9452" s="5" t="s">
        <v>459</v>
      </c>
      <c r="C9452" s="26" t="n">
        <f aca="false">Assumptions!$M$55</f>
        <v>3</v>
      </c>
    </row>
    <row r="9453" customFormat="false" ht="15" hidden="false" customHeight="false" outlineLevel="0" collapsed="false">
      <c r="A9453" s="5" t="s">
        <v>460</v>
      </c>
      <c r="C9453" s="26" t="n">
        <f aca="false">Assumptions!$M$56</f>
        <v>4</v>
      </c>
    </row>
    <row r="9454" customFormat="false" ht="15" hidden="false" customHeight="false" outlineLevel="0" collapsed="false">
      <c r="A9454" s="23" t="s">
        <v>462</v>
      </c>
      <c r="B9454" s="24"/>
      <c r="C9454" s="24"/>
      <c r="D9454" s="24"/>
      <c r="E9454" s="24"/>
      <c r="F9454" s="24"/>
      <c r="G9454" s="24"/>
      <c r="H9454" s="24"/>
      <c r="I9454" s="24"/>
      <c r="J9454" s="24"/>
      <c r="K9454" s="24"/>
    </row>
    <row r="9455" customFormat="false" ht="15" hidden="false" customHeight="false" outlineLevel="0" collapsed="false">
      <c r="A9455" s="5" t="s">
        <v>457</v>
      </c>
      <c r="C9455" s="34" t="n">
        <f aca="false">Assumptions!$Q$53</f>
        <v>0</v>
      </c>
    </row>
    <row r="9456" customFormat="false" ht="15" hidden="false" customHeight="false" outlineLevel="0" collapsed="false">
      <c r="A9456" s="5" t="s">
        <v>458</v>
      </c>
      <c r="C9456" s="34" t="n">
        <f aca="false">Assumptions!$Q$54</f>
        <v>0</v>
      </c>
    </row>
    <row r="9457" customFormat="false" ht="15" hidden="false" customHeight="false" outlineLevel="0" collapsed="false">
      <c r="A9457" s="5" t="s">
        <v>459</v>
      </c>
      <c r="C9457" s="34" t="n">
        <f aca="false">Assumptions!$Q$55</f>
        <v>0</v>
      </c>
    </row>
    <row r="9458" customFormat="false" ht="15" hidden="false" customHeight="false" outlineLevel="0" collapsed="false">
      <c r="A9458" s="5" t="s">
        <v>460</v>
      </c>
      <c r="C9458" s="34" t="n">
        <f aca="false">Assumptions!$Q$56</f>
        <v>0</v>
      </c>
    </row>
    <row r="9459" customFormat="false" ht="15" hidden="false" customHeight="false" outlineLevel="0" collapsed="false">
      <c r="A9459" s="23" t="s">
        <v>463</v>
      </c>
      <c r="B9459" s="24"/>
      <c r="C9459" s="24"/>
      <c r="D9459" s="24"/>
      <c r="E9459" s="24"/>
      <c r="F9459" s="24"/>
      <c r="G9459" s="24"/>
      <c r="H9459" s="24"/>
      <c r="I9459" s="24"/>
      <c r="J9459" s="24"/>
      <c r="K9459" s="24"/>
    </row>
    <row r="9460" customFormat="false" ht="15" hidden="false" customHeight="false" outlineLevel="0" collapsed="false">
      <c r="A9460" s="5" t="s">
        <v>457</v>
      </c>
      <c r="C9460" s="25" t="n">
        <f aca="false">IF(C9455&gt;0,MIN(C9445,C9455*$C$9443),0)</f>
        <v>0</v>
      </c>
    </row>
    <row r="9461" customFormat="false" ht="15" hidden="false" customHeight="false" outlineLevel="0" collapsed="false">
      <c r="A9461" s="5" t="s">
        <v>458</v>
      </c>
      <c r="C9461" s="25" t="n">
        <f aca="false">IF(C9456&gt;0,MIN(C9446,C9456*$C$9443),0)</f>
        <v>0</v>
      </c>
    </row>
    <row r="9462" customFormat="false" ht="15" hidden="false" customHeight="false" outlineLevel="0" collapsed="false">
      <c r="A9462" s="5" t="s">
        <v>459</v>
      </c>
      <c r="C9462" s="25" t="n">
        <f aca="false">IF(C9457&gt;0,MIN(C9447,C9457*$C$9443),0)</f>
        <v>0</v>
      </c>
    </row>
    <row r="9463" customFormat="false" ht="15" hidden="false" customHeight="false" outlineLevel="0" collapsed="false">
      <c r="A9463" s="5" t="s">
        <v>460</v>
      </c>
      <c r="C9463" s="25" t="n">
        <f aca="false">IF(C9458&gt;0,MIN(C9448,C9458*$C$9443),0)</f>
        <v>0</v>
      </c>
    </row>
    <row r="9464" customFormat="false" ht="15" hidden="false" customHeight="false" outlineLevel="0" collapsed="false">
      <c r="A9464" s="23" t="s">
        <v>464</v>
      </c>
      <c r="B9464" s="24"/>
      <c r="C9464" s="24"/>
      <c r="D9464" s="24"/>
      <c r="E9464" s="24"/>
      <c r="F9464" s="24"/>
      <c r="G9464" s="24"/>
      <c r="H9464" s="24"/>
      <c r="I9464" s="24"/>
      <c r="J9464" s="24"/>
      <c r="K9464" s="24"/>
    </row>
    <row r="9465" customFormat="false" ht="15" hidden="false" customHeight="false" outlineLevel="0" collapsed="false">
      <c r="A9465" s="5" t="s">
        <v>457</v>
      </c>
      <c r="C9465" s="25" t="n">
        <f aca="false">IF(C9455&gt;0,C9445-C9460,0)</f>
        <v>0</v>
      </c>
    </row>
    <row r="9466" customFormat="false" ht="15" hidden="false" customHeight="false" outlineLevel="0" collapsed="false">
      <c r="A9466" s="5" t="s">
        <v>458</v>
      </c>
      <c r="C9466" s="25" t="n">
        <f aca="false">IF(C9456&gt;0,C9446-C9461,0)</f>
        <v>0</v>
      </c>
    </row>
    <row r="9467" customFormat="false" ht="15" hidden="false" customHeight="false" outlineLevel="0" collapsed="false">
      <c r="A9467" s="5" t="s">
        <v>459</v>
      </c>
      <c r="C9467" s="25" t="n">
        <f aca="false">IF(C9457&gt;0,C9447-C9462,0)</f>
        <v>0</v>
      </c>
    </row>
    <row r="9468" customFormat="false" ht="15" hidden="false" customHeight="false" outlineLevel="0" collapsed="false">
      <c r="A9468" s="5" t="s">
        <v>460</v>
      </c>
      <c r="C9468" s="25" t="n">
        <f aca="false">IF(C9458&gt;0,C9448-C9463,0)</f>
        <v>0</v>
      </c>
    </row>
    <row r="9469" customFormat="false" ht="15" hidden="false" customHeight="false" outlineLevel="0" collapsed="false">
      <c r="A9469" s="23" t="s">
        <v>465</v>
      </c>
      <c r="B9469" s="24"/>
      <c r="C9469" s="24"/>
      <c r="D9469" s="24"/>
      <c r="E9469" s="24"/>
      <c r="F9469" s="24"/>
      <c r="G9469" s="24"/>
      <c r="H9469" s="24"/>
      <c r="I9469" s="24"/>
      <c r="J9469" s="24"/>
      <c r="K9469" s="24"/>
    </row>
    <row r="9470" customFormat="false" ht="15" hidden="false" customHeight="false" outlineLevel="0" collapsed="false">
      <c r="A9470" s="5" t="s">
        <v>457</v>
      </c>
      <c r="C9470" s="25" t="n">
        <f aca="false">IF(C9455&gt;0,C9465,C9445)</f>
        <v>229.0168</v>
      </c>
    </row>
    <row r="9471" customFormat="false" ht="15" hidden="false" customHeight="false" outlineLevel="0" collapsed="false">
      <c r="A9471" s="5" t="s">
        <v>458</v>
      </c>
      <c r="C9471" s="25" t="n">
        <f aca="false">IF(C9456&gt;0,C9466,C9446)</f>
        <v>509.6</v>
      </c>
    </row>
    <row r="9472" customFormat="false" ht="15" hidden="false" customHeight="false" outlineLevel="0" collapsed="false">
      <c r="A9472" s="5" t="s">
        <v>459</v>
      </c>
      <c r="C9472" s="25" t="n">
        <f aca="false">IF(C9457&gt;0,C9467,C9447)</f>
        <v>250</v>
      </c>
    </row>
    <row r="9473" customFormat="false" ht="15" hidden="false" customHeight="false" outlineLevel="0" collapsed="false">
      <c r="A9473" s="5" t="s">
        <v>460</v>
      </c>
      <c r="C9473" s="25" t="n">
        <f aca="false">IF(C9458&gt;0,C9468,C9448)</f>
        <v>300</v>
      </c>
    </row>
    <row r="9474" customFormat="false" ht="15" hidden="false" customHeight="false" outlineLevel="0" collapsed="false">
      <c r="A9474" s="23" t="s">
        <v>466</v>
      </c>
      <c r="B9474" s="24"/>
      <c r="C9474" s="24"/>
      <c r="D9474" s="24"/>
      <c r="E9474" s="24"/>
      <c r="F9474" s="24"/>
      <c r="G9474" s="24"/>
      <c r="H9474" s="24"/>
      <c r="I9474" s="24"/>
      <c r="J9474" s="24"/>
      <c r="K9474" s="24"/>
    </row>
    <row r="9475" customFormat="false" ht="15" hidden="false" customHeight="false" outlineLevel="0" collapsed="false">
      <c r="A9475" s="5" t="s">
        <v>457</v>
      </c>
      <c r="C9475" s="20" t="n">
        <f aca="false">IF(C9455&gt;0,Assumptions!$C$17,C9450)</f>
        <v>1</v>
      </c>
    </row>
    <row r="9476" customFormat="false" ht="15" hidden="false" customHeight="false" outlineLevel="0" collapsed="false">
      <c r="A9476" s="5" t="s">
        <v>458</v>
      </c>
      <c r="C9476" s="20" t="n">
        <f aca="false">IF(C9456&gt;0,Assumptions!$C$17,C9451)</f>
        <v>2</v>
      </c>
    </row>
    <row r="9477" customFormat="false" ht="15" hidden="false" customHeight="false" outlineLevel="0" collapsed="false">
      <c r="A9477" s="5" t="s">
        <v>459</v>
      </c>
      <c r="C9477" s="20" t="n">
        <f aca="false">IF(C9457&gt;0,Assumptions!$C$17,C9452)</f>
        <v>3</v>
      </c>
    </row>
    <row r="9478" customFormat="false" ht="15" hidden="false" customHeight="false" outlineLevel="0" collapsed="false">
      <c r="A9478" s="5" t="s">
        <v>460</v>
      </c>
      <c r="C9478" s="20" t="n">
        <f aca="false">IF(C9458&gt;0,Assumptions!$C$17,C9453)</f>
        <v>4</v>
      </c>
    </row>
    <row r="9479" customFormat="false" ht="15" hidden="false" customHeight="false" outlineLevel="0" collapsed="false">
      <c r="A9479" s="23" t="s">
        <v>467</v>
      </c>
      <c r="B9479" s="24"/>
      <c r="C9479" s="24"/>
      <c r="D9479" s="24"/>
      <c r="E9479" s="24"/>
      <c r="F9479" s="24"/>
      <c r="G9479" s="24"/>
      <c r="H9479" s="24"/>
      <c r="I9479" s="24"/>
      <c r="J9479" s="24"/>
      <c r="K9479" s="24"/>
    </row>
    <row r="9480" customFormat="false" ht="15" hidden="false" customHeight="false" outlineLevel="0" collapsed="false">
      <c r="A9480" s="5" t="s">
        <v>457</v>
      </c>
      <c r="C9480" s="25" t="n">
        <f aca="false">SUMPRODUCT(($C$9475:$C$9478&lt;C9475)*$C$9470:$C$9473)</f>
        <v>0</v>
      </c>
    </row>
    <row r="9481" customFormat="false" ht="15" hidden="false" customHeight="false" outlineLevel="0" collapsed="false">
      <c r="A9481" s="5" t="s">
        <v>458</v>
      </c>
      <c r="C9481" s="25" t="n">
        <f aca="false">SUMPRODUCT(($C$9475:$C$9478&lt;C9476)*$C$9470:$C$9473)</f>
        <v>229.0168</v>
      </c>
    </row>
    <row r="9482" customFormat="false" ht="15" hidden="false" customHeight="false" outlineLevel="0" collapsed="false">
      <c r="A9482" s="5" t="s">
        <v>459</v>
      </c>
      <c r="C9482" s="25" t="n">
        <f aca="false">SUMPRODUCT(($C$9475:$C$9478&lt;C9477)*$C$9470:$C$9473)</f>
        <v>738.6168</v>
      </c>
    </row>
    <row r="9483" customFormat="false" ht="15" hidden="false" customHeight="false" outlineLevel="0" collapsed="false">
      <c r="A9483" s="5" t="s">
        <v>460</v>
      </c>
      <c r="C9483" s="25" t="n">
        <f aca="false">SUMPRODUCT(($C$9475:$C$9478&lt;C9478)*$C$9470:$C$9473)</f>
        <v>988.6168</v>
      </c>
    </row>
    <row r="9484" customFormat="false" ht="15" hidden="false" customHeight="false" outlineLevel="0" collapsed="false">
      <c r="A9484" s="23" t="s">
        <v>468</v>
      </c>
      <c r="B9484" s="24"/>
      <c r="C9484" s="24"/>
      <c r="D9484" s="24"/>
      <c r="E9484" s="24"/>
      <c r="F9484" s="24"/>
      <c r="G9484" s="24"/>
      <c r="H9484" s="24"/>
      <c r="I9484" s="24"/>
      <c r="J9484" s="24"/>
      <c r="K9484" s="24"/>
    </row>
    <row r="9485" customFormat="false" ht="15" hidden="false" customHeight="false" outlineLevel="0" collapsed="false">
      <c r="A9485" s="5" t="s">
        <v>457</v>
      </c>
      <c r="C9485" s="25" t="n">
        <f aca="false">SUMPRODUCT(($C$9475:$C$9478=C9475)*$C$9470:$C$9473)</f>
        <v>229.0168</v>
      </c>
    </row>
    <row r="9486" customFormat="false" ht="15" hidden="false" customHeight="false" outlineLevel="0" collapsed="false">
      <c r="A9486" s="5" t="s">
        <v>458</v>
      </c>
      <c r="C9486" s="25" t="n">
        <f aca="false">SUMPRODUCT(($C$9475:$C$9478=C9476)*$C$9470:$C$9473)</f>
        <v>509.6</v>
      </c>
    </row>
    <row r="9487" customFormat="false" ht="15" hidden="false" customHeight="false" outlineLevel="0" collapsed="false">
      <c r="A9487" s="5" t="s">
        <v>459</v>
      </c>
      <c r="C9487" s="25" t="n">
        <f aca="false">SUMPRODUCT(($C$9475:$C$9478=C9477)*$C$9470:$C$9473)</f>
        <v>250</v>
      </c>
    </row>
    <row r="9488" customFormat="false" ht="15" hidden="false" customHeight="false" outlineLevel="0" collapsed="false">
      <c r="A9488" s="5" t="s">
        <v>460</v>
      </c>
      <c r="C9488" s="25" t="n">
        <f aca="false">SUMPRODUCT(($C$9475:$C$9478=C9478)*$C$9470:$C$9473)</f>
        <v>300</v>
      </c>
    </row>
    <row r="9489" customFormat="false" ht="15" hidden="false" customHeight="false" outlineLevel="0" collapsed="false">
      <c r="A9489" s="23" t="s">
        <v>469</v>
      </c>
      <c r="B9489" s="24"/>
      <c r="C9489" s="24"/>
      <c r="D9489" s="24"/>
      <c r="E9489" s="24"/>
      <c r="F9489" s="24"/>
      <c r="G9489" s="24"/>
      <c r="H9489" s="24"/>
      <c r="I9489" s="24"/>
      <c r="J9489" s="24"/>
      <c r="K9489" s="24"/>
    </row>
    <row r="9490" customFormat="false" ht="15" hidden="false" customHeight="false" outlineLevel="0" collapsed="false">
      <c r="A9490" s="5" t="s">
        <v>457</v>
      </c>
      <c r="C9490" s="25" t="n">
        <f aca="false">IF(C9485=0,0,C9470/C9485*MAX(0,MIN(C9485,$C$9443-SUM($C$9460:$C$9463)-C9480)))</f>
        <v>229.0168</v>
      </c>
    </row>
    <row r="9491" customFormat="false" ht="15" hidden="false" customHeight="false" outlineLevel="0" collapsed="false">
      <c r="A9491" s="5" t="s">
        <v>458</v>
      </c>
      <c r="C9491" s="25" t="n">
        <f aca="false">IF(C9486=0,0,C9471/C9486*MAX(0,MIN(C9486,$C$9443-SUM($C$9460:$C$9463)-C9481)))</f>
        <v>42.2061919999998</v>
      </c>
    </row>
    <row r="9492" customFormat="false" ht="15" hidden="false" customHeight="false" outlineLevel="0" collapsed="false">
      <c r="A9492" s="5" t="s">
        <v>459</v>
      </c>
      <c r="C9492" s="25" t="n">
        <f aca="false">IF(C9487=0,0,C9472/C9487*MAX(0,MIN(C9487,$C$9443-SUM($C$9460:$C$9463)-C9482)))</f>
        <v>0</v>
      </c>
    </row>
    <row r="9493" customFormat="false" ht="15" hidden="false" customHeight="false" outlineLevel="0" collapsed="false">
      <c r="A9493" s="5" t="s">
        <v>460</v>
      </c>
      <c r="C9493" s="25" t="n">
        <f aca="false">IF(C9488=0,0,C9473/C9488*MAX(0,MIN(C9488,$C$9443-SUM($C$9460:$C$9463)-C9483)))</f>
        <v>0</v>
      </c>
    </row>
    <row r="9494" customFormat="false" ht="15" hidden="false" customHeight="false" outlineLevel="0" collapsed="false">
      <c r="A9494" s="23" t="s">
        <v>470</v>
      </c>
      <c r="B9494" s="24"/>
      <c r="C9494" s="24"/>
      <c r="D9494" s="24"/>
      <c r="E9494" s="24"/>
      <c r="F9494" s="24"/>
      <c r="G9494" s="24"/>
      <c r="H9494" s="24"/>
      <c r="I9494" s="24"/>
      <c r="J9494" s="24"/>
      <c r="K9494" s="24"/>
    </row>
    <row r="9495" customFormat="false" ht="15" hidden="false" customHeight="false" outlineLevel="0" collapsed="false">
      <c r="A9495" s="2" t="s">
        <v>457</v>
      </c>
      <c r="C9495" s="16" t="n">
        <f aca="false">C9460+C9490</f>
        <v>229.0168</v>
      </c>
    </row>
    <row r="9496" customFormat="false" ht="15" hidden="false" customHeight="false" outlineLevel="0" collapsed="false">
      <c r="A9496" s="2" t="s">
        <v>458</v>
      </c>
      <c r="C9496" s="16" t="n">
        <f aca="false">C9461+C9491</f>
        <v>42.2061919999998</v>
      </c>
    </row>
    <row r="9497" customFormat="false" ht="15" hidden="false" customHeight="false" outlineLevel="0" collapsed="false">
      <c r="A9497" s="2" t="s">
        <v>459</v>
      </c>
      <c r="C9497" s="16" t="n">
        <f aca="false">C9462+C9492</f>
        <v>0</v>
      </c>
    </row>
    <row r="9498" customFormat="false" ht="15" hidden="false" customHeight="false" outlineLevel="0" collapsed="false">
      <c r="A9498" s="2" t="s">
        <v>460</v>
      </c>
      <c r="C9498" s="16" t="n">
        <f aca="false">C9463+C9493</f>
        <v>0</v>
      </c>
    </row>
    <row r="9499" customFormat="false" ht="15" hidden="false" customHeight="false" outlineLevel="0" collapsed="false">
      <c r="A9499" s="23" t="s">
        <v>471</v>
      </c>
      <c r="B9499" s="24"/>
      <c r="C9499" s="24"/>
      <c r="D9499" s="24"/>
      <c r="E9499" s="24"/>
      <c r="F9499" s="24"/>
      <c r="G9499" s="24"/>
      <c r="H9499" s="24"/>
      <c r="I9499" s="24"/>
      <c r="J9499" s="24"/>
      <c r="K9499" s="24"/>
    </row>
    <row r="9500" customFormat="false" ht="15" hidden="false" customHeight="false" outlineLevel="0" collapsed="false">
      <c r="A9500" s="5" t="s">
        <v>457</v>
      </c>
      <c r="C9500" s="21" t="n">
        <f aca="false">IF(C9445=0,1,C9495/C9445)</f>
        <v>1</v>
      </c>
    </row>
    <row r="9501" customFormat="false" ht="15" hidden="false" customHeight="false" outlineLevel="0" collapsed="false">
      <c r="A9501" s="5" t="s">
        <v>458</v>
      </c>
      <c r="C9501" s="21" t="n">
        <f aca="false">IF(C9446=0,1,C9496/C9446)</f>
        <v>0.0828221978021975</v>
      </c>
    </row>
    <row r="9502" customFormat="false" ht="15" hidden="false" customHeight="false" outlineLevel="0" collapsed="false">
      <c r="A9502" s="5" t="s">
        <v>459</v>
      </c>
      <c r="C9502" s="21" t="n">
        <f aca="false">IF(C9447=0,1,C9497/C9447)</f>
        <v>0</v>
      </c>
    </row>
    <row r="9503" customFormat="false" ht="15" hidden="false" customHeight="false" outlineLevel="0" collapsed="false">
      <c r="A9503" s="5" t="s">
        <v>460</v>
      </c>
      <c r="C9503" s="21" t="n">
        <f aca="false">IF(C9448=0,1,C9498/C9448)</f>
        <v>0</v>
      </c>
    </row>
    <row r="9504" customFormat="false" ht="15" hidden="false" customHeight="false" outlineLevel="0" collapsed="false">
      <c r="A9504" s="23" t="s">
        <v>472</v>
      </c>
      <c r="B9504" s="24"/>
      <c r="C9504" s="24"/>
      <c r="D9504" s="24"/>
      <c r="E9504" s="24"/>
      <c r="F9504" s="24"/>
      <c r="G9504" s="24"/>
      <c r="H9504" s="24"/>
      <c r="I9504" s="24"/>
      <c r="J9504" s="24"/>
      <c r="K9504" s="24"/>
    </row>
    <row r="9505" customFormat="false" ht="15" hidden="false" customHeight="false" outlineLevel="0" collapsed="false">
      <c r="A9505" s="5" t="s">
        <v>457</v>
      </c>
      <c r="C9505" s="25" t="n">
        <f aca="false">C9445-C9495</f>
        <v>0</v>
      </c>
    </row>
    <row r="9506" customFormat="false" ht="15" hidden="false" customHeight="false" outlineLevel="0" collapsed="false">
      <c r="A9506" s="5" t="s">
        <v>458</v>
      </c>
      <c r="C9506" s="25" t="n">
        <f aca="false">C9446-C9496</f>
        <v>467.393808</v>
      </c>
    </row>
    <row r="9507" customFormat="false" ht="15" hidden="false" customHeight="false" outlineLevel="0" collapsed="false">
      <c r="A9507" s="5" t="s">
        <v>459</v>
      </c>
      <c r="C9507" s="25" t="n">
        <f aca="false">C9447-C9497</f>
        <v>250</v>
      </c>
    </row>
    <row r="9508" customFormat="false" ht="15" hidden="false" customHeight="false" outlineLevel="0" collapsed="false">
      <c r="A9508" s="5" t="s">
        <v>460</v>
      </c>
      <c r="C9508" s="25" t="n">
        <f aca="false">C9448-C9498</f>
        <v>300</v>
      </c>
    </row>
    <row r="9509" customFormat="false" ht="15" hidden="false" customHeight="false" outlineLevel="0" collapsed="false">
      <c r="A9509" s="23" t="s">
        <v>473</v>
      </c>
      <c r="B9509" s="24"/>
      <c r="C9509" s="24"/>
      <c r="D9509" s="24"/>
      <c r="E9509" s="24"/>
      <c r="F9509" s="24"/>
      <c r="G9509" s="24"/>
      <c r="H9509" s="24"/>
      <c r="I9509" s="24"/>
      <c r="J9509" s="24"/>
      <c r="K9509" s="24"/>
    </row>
    <row r="9510" customFormat="false" ht="15" hidden="false" customHeight="false" outlineLevel="0" collapsed="false">
      <c r="A9510" s="5" t="s">
        <v>457</v>
      </c>
      <c r="C9510" s="21" t="n">
        <f aca="false">IF(C9445=0,0,C9505/C9445)</f>
        <v>0</v>
      </c>
    </row>
    <row r="9511" customFormat="false" ht="15" hidden="false" customHeight="false" outlineLevel="0" collapsed="false">
      <c r="A9511" s="5" t="s">
        <v>458</v>
      </c>
      <c r="C9511" s="21" t="n">
        <f aca="false">IF(C9446=0,0,C9506/C9446)</f>
        <v>0.917177802197803</v>
      </c>
    </row>
    <row r="9512" customFormat="false" ht="15" hidden="false" customHeight="false" outlineLevel="0" collapsed="false">
      <c r="A9512" s="5" t="s">
        <v>459</v>
      </c>
      <c r="C9512" s="21" t="n">
        <f aca="false">IF(C9447=0,0,C9507/C9447)</f>
        <v>1</v>
      </c>
    </row>
    <row r="9513" customFormat="false" ht="15" hidden="false" customHeight="false" outlineLevel="0" collapsed="false">
      <c r="A9513" s="5" t="s">
        <v>460</v>
      </c>
      <c r="C9513" s="21" t="n">
        <f aca="false">IF(C9448=0,0,C9508/C9448)</f>
        <v>1</v>
      </c>
    </row>
    <row r="9514" customFormat="false" ht="15" hidden="false" customHeight="false" outlineLevel="0" collapsed="false">
      <c r="A9514" s="2" t="s">
        <v>474</v>
      </c>
      <c r="C9514" s="16" t="n">
        <f aca="false">MAX(0,$C$9443-SUM($C$9460:$C$9463)-SUM($C$9470:$C$9473))</f>
        <v>0</v>
      </c>
    </row>
    <row r="9515" customFormat="false" ht="15" hidden="false" customHeight="false" outlineLevel="0" collapsed="false">
      <c r="A9515" s="5" t="s">
        <v>492</v>
      </c>
      <c r="C9515" s="33" t="n">
        <f aca="false">MIN(C9442,100*CHOOSE(C9432,C9500,C9501,C9502,C9503))</f>
        <v>8.28221978021974</v>
      </c>
    </row>
    <row r="9516" customFormat="false" ht="15" hidden="false" customHeight="false" outlineLevel="0" collapsed="false">
      <c r="A9516" s="5" t="s">
        <v>493</v>
      </c>
      <c r="C9516" s="20" t="n">
        <f aca="false">IF(C9348=1,C9437+Assumptions!$C$36,C9436)</f>
        <v>3</v>
      </c>
    </row>
    <row r="9517" customFormat="false" ht="15" hidden="false" customHeight="false" outlineLevel="0" collapsed="false">
      <c r="A9517" s="23" t="s">
        <v>494</v>
      </c>
      <c r="B9517" s="24"/>
      <c r="C9517" s="24"/>
      <c r="D9517" s="24"/>
      <c r="E9517" s="24"/>
      <c r="F9517" s="24"/>
      <c r="G9517" s="24"/>
      <c r="H9517" s="24"/>
      <c r="I9517" s="24"/>
      <c r="J9517" s="24"/>
      <c r="K9517" s="24"/>
    </row>
    <row r="9518" customFormat="false" ht="15" hidden="false" customHeight="false" outlineLevel="0" collapsed="false">
      <c r="A9518" s="5" t="s">
        <v>495</v>
      </c>
      <c r="C9518" s="20" t="n">
        <f aca="false">COLUMN()-COLUMN($C$1)</f>
        <v>0</v>
      </c>
      <c r="D9518" s="20" t="n">
        <f aca="false">COLUMN()-COLUMN($C$1)</f>
        <v>1</v>
      </c>
      <c r="E9518" s="20" t="n">
        <f aca="false">COLUMN()-COLUMN($C$1)</f>
        <v>2</v>
      </c>
      <c r="F9518" s="20" t="n">
        <f aca="false">COLUMN()-COLUMN($C$1)</f>
        <v>3</v>
      </c>
      <c r="G9518" s="20" t="n">
        <f aca="false">COLUMN()-COLUMN($C$1)</f>
        <v>4</v>
      </c>
      <c r="H9518" s="20" t="n">
        <f aca="false">COLUMN()-COLUMN($C$1)</f>
        <v>5</v>
      </c>
      <c r="I9518" s="20" t="n">
        <f aca="false">COLUMN()-COLUMN($C$1)</f>
        <v>6</v>
      </c>
    </row>
    <row r="9519" customFormat="false" ht="15" hidden="false" customHeight="false" outlineLevel="0" collapsed="false">
      <c r="A9519" s="5" t="s">
        <v>496</v>
      </c>
      <c r="D9519" s="30" t="n">
        <f aca="false">CHOOSE($C$9432,G9230,G9243,G9256,G9269)</f>
        <v>0.118</v>
      </c>
      <c r="E9519" s="30" t="n">
        <f aca="false">CHOOSE($C$9432,H9230,H9243,H9256,H9269)</f>
        <v>0.1155</v>
      </c>
      <c r="F9519" s="30" t="n">
        <f aca="false">CHOOSE($C$9432,I9230,I9243,I9256,I9269)</f>
        <v>0.113</v>
      </c>
      <c r="G9519" s="30" t="n">
        <f aca="false">CHOOSE($C$9432,J9230,J9243,J9256,J9269)</f>
        <v>0.113</v>
      </c>
      <c r="H9519" s="30" t="n">
        <f aca="false">CHOOSE($C$9432,K9230,K9243,K9256,K9269)</f>
        <v>0.113</v>
      </c>
    </row>
    <row r="9520" customFormat="false" ht="15" hidden="false" customHeight="false" outlineLevel="0" collapsed="false">
      <c r="A9520" s="5" t="s">
        <v>497</v>
      </c>
      <c r="D9520" s="25" t="n">
        <f aca="false">IF(D9518&lt;=$C$9441,$C$9433*D9519,0)</f>
        <v>11.8</v>
      </c>
      <c r="E9520" s="25" t="n">
        <f aca="false">IF(E9518&lt;=$C$9441,$C$9433*E9519,0)</f>
        <v>11.55</v>
      </c>
      <c r="F9520" s="25" t="n">
        <f aca="false">IF(F9518&lt;=$C$9441,$C$9433*F9519,0)</f>
        <v>0</v>
      </c>
      <c r="G9520" s="25" t="n">
        <f aca="false">IF(G9518&lt;=$C$9441,$C$9433*G9519,0)</f>
        <v>0</v>
      </c>
      <c r="H9520" s="25" t="n">
        <f aca="false">IF(H9518&lt;=$C$9441,$C$9433*H9519,0)</f>
        <v>0</v>
      </c>
    </row>
    <row r="9521" customFormat="false" ht="15" hidden="false" customHeight="false" outlineLevel="0" collapsed="false">
      <c r="A9521" s="5" t="s">
        <v>498</v>
      </c>
      <c r="D9521" s="25" t="n">
        <f aca="false">IF(AND($C$9348=0,D9518=$C$9436),$C$9433*$C$9515/100,0)+IF(AND($C$9348=1,D9518=$C$9516),$C$9439,0)</f>
        <v>0</v>
      </c>
      <c r="E9521" s="25" t="n">
        <f aca="false">IF(AND($C$9348=0,E9518=$C$9436),$C$9433*$C$9515/100,0)+IF(AND($C$9348=1,E9518=$C$9516),$C$9439,0)</f>
        <v>0</v>
      </c>
      <c r="F9521" s="25" t="n">
        <f aca="false">IF(AND($C$9348=0,F9518=$C$9436),$C$9433*$C$9515/100,0)+IF(AND($C$9348=1,F9518=$C$9516),$C$9439,0)</f>
        <v>53.8712051216641</v>
      </c>
      <c r="G9521" s="25" t="n">
        <f aca="false">IF(AND($C$9348=0,G9518=$C$9436),$C$9433*$C$9515/100,0)+IF(AND($C$9348=1,G9518=$C$9516),$C$9439,0)</f>
        <v>0</v>
      </c>
      <c r="H9521" s="25" t="n">
        <f aca="false">IF(AND($C$9348=0,H9518=$C$9436),$C$9433*$C$9515/100,0)+IF(AND($C$9348=1,H9518=$C$9516),$C$9439,0)</f>
        <v>0</v>
      </c>
      <c r="I9521" s="25" t="n">
        <f aca="false">IF(AND($C$9348=0,I9518=$C$9436),$C$9433*$C$9515/100,0)+IF(AND($C$9348=1,I9518=$C$9516),$C$9439,0)</f>
        <v>0</v>
      </c>
    </row>
    <row r="9522" customFormat="false" ht="15" hidden="false" customHeight="false" outlineLevel="0" collapsed="false">
      <c r="A9522" s="2" t="s">
        <v>499</v>
      </c>
      <c r="C9522" s="16" t="n">
        <f aca="false">-$C$9435</f>
        <v>-78.39</v>
      </c>
      <c r="D9522" s="16" t="n">
        <f aca="false">D9520+D9521</f>
        <v>11.8</v>
      </c>
      <c r="E9522" s="16" t="n">
        <f aca="false">E9520+E9521</f>
        <v>11.55</v>
      </c>
      <c r="F9522" s="16" t="n">
        <f aca="false">F9520+F9521</f>
        <v>53.8712051216641</v>
      </c>
      <c r="G9522" s="16" t="n">
        <f aca="false">G9520+G9521</f>
        <v>0</v>
      </c>
      <c r="H9522" s="16" t="n">
        <f aca="false">H9520+H9521</f>
        <v>0</v>
      </c>
      <c r="I9522" s="16" t="n">
        <f aca="false">I9520+I9521</f>
        <v>0</v>
      </c>
    </row>
    <row r="9523" customFormat="false" ht="15" hidden="false" customHeight="false" outlineLevel="0" collapsed="false">
      <c r="A9523" s="5" t="s">
        <v>500</v>
      </c>
      <c r="C9523" s="25" t="n">
        <f aca="false">SUM($C$9520:$I$9520)</f>
        <v>23.35</v>
      </c>
    </row>
    <row r="9524" customFormat="false" ht="15" hidden="false" customHeight="false" outlineLevel="0" collapsed="false">
      <c r="A9524" s="5" t="s">
        <v>501</v>
      </c>
      <c r="C9524" s="25" t="n">
        <f aca="false">SUM($C$9521:$I$9521)</f>
        <v>53.8712051216641</v>
      </c>
    </row>
    <row r="9525" customFormat="false" ht="15" hidden="false" customHeight="false" outlineLevel="0" collapsed="false">
      <c r="A9525" s="5" t="s">
        <v>502</v>
      </c>
      <c r="C9525" s="25" t="n">
        <f aca="false">C9523+C9524</f>
        <v>77.221205121664</v>
      </c>
    </row>
    <row r="9526" customFormat="false" ht="15" hidden="false" customHeight="false" outlineLevel="0" collapsed="false">
      <c r="A9526" s="5" t="s">
        <v>503</v>
      </c>
      <c r="C9526" s="25" t="n">
        <f aca="false">C9524-C9433*C9434/100</f>
        <v>-24.128794878336</v>
      </c>
    </row>
    <row r="9527" customFormat="false" ht="15" hidden="false" customHeight="false" outlineLevel="0" collapsed="false">
      <c r="A9527" s="5" t="s">
        <v>504</v>
      </c>
      <c r="C9527" s="25" t="n">
        <f aca="false">C9525-C9435</f>
        <v>-1.16879487833594</v>
      </c>
    </row>
    <row r="9528" customFormat="false" ht="15" hidden="false" customHeight="false" outlineLevel="0" collapsed="false">
      <c r="A9528" s="2" t="s">
        <v>385</v>
      </c>
      <c r="C9528" s="43" t="n">
        <f aca="false">C9525/C9435</f>
        <v>0.985090000276363</v>
      </c>
    </row>
    <row r="9529" customFormat="false" ht="15" hidden="false" customHeight="false" outlineLevel="0" collapsed="false">
      <c r="A9529" s="2" t="s">
        <v>384</v>
      </c>
      <c r="C9529" s="41" t="n">
        <f aca="false">IF(C9525&lt;=0,-1,IFERROR(IRR($C$9522:$I$9522,MAX(-0.9,C9528^(1/C9516)-1)),IRR($C$9522:$I$9522,0.1)))</f>
        <v>-0.00588194642293028</v>
      </c>
    </row>
    <row r="9530" customFormat="false" ht="15" hidden="false" customHeight="false" outlineLevel="0" collapsed="false">
      <c r="A9530" s="5" t="s">
        <v>505</v>
      </c>
      <c r="C9530" s="31" t="n">
        <f aca="false">MAX($G$9324:$K$9324)</f>
        <v>26.2550884550378</v>
      </c>
    </row>
    <row r="9531" customFormat="false" ht="15" hidden="false" customHeight="false" outlineLevel="0" collapsed="false">
      <c r="A9531" s="5" t="s">
        <v>506</v>
      </c>
      <c r="C9531" s="31" t="n">
        <f aca="false">MIN($G$9325:$K$9325)</f>
        <v>0.410889282733481</v>
      </c>
    </row>
    <row r="9532" customFormat="false" ht="15" hidden="false" customHeight="false" outlineLevel="0" collapsed="false">
      <c r="A9532" s="5" t="s">
        <v>507</v>
      </c>
      <c r="C9532" s="25" t="n">
        <f aca="false">SUM($G$9214:$K$9214)</f>
        <v>-534.0989070816</v>
      </c>
    </row>
    <row r="9536" customFormat="false" ht="15" hidden="false" customHeight="false" outlineLevel="0" collapsed="false">
      <c r="A9536" s="9" t="s">
        <v>653</v>
      </c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</row>
    <row r="9537" customFormat="false" ht="15" hidden="false" customHeight="false" outlineLevel="0" collapsed="false">
      <c r="A9537" s="5" t="s">
        <v>622</v>
      </c>
      <c r="C9537" s="11" t="n">
        <v>2</v>
      </c>
    </row>
    <row r="9538" customFormat="false" ht="15" hidden="false" customHeight="false" outlineLevel="0" collapsed="false">
      <c r="A9538" s="5" t="s">
        <v>623</v>
      </c>
      <c r="C9538" s="29" t="n">
        <f aca="false">Sensitivities!$A$44</f>
        <v>0.1</v>
      </c>
    </row>
    <row r="9539" customFormat="false" ht="15" hidden="false" customHeight="false" outlineLevel="0" collapsed="false">
      <c r="A9539" s="5" t="s">
        <v>624</v>
      </c>
      <c r="C9539" s="18" t="n">
        <v>0</v>
      </c>
    </row>
    <row r="9540" customFormat="false" ht="15" hidden="false" customHeight="false" outlineLevel="0" collapsed="false">
      <c r="A9540" s="5" t="s">
        <v>625</v>
      </c>
      <c r="C9540" s="18" t="n">
        <v>0</v>
      </c>
    </row>
    <row r="9541" customFormat="false" ht="15" hidden="false" customHeight="false" outlineLevel="0" collapsed="false">
      <c r="A9541" s="5" t="s">
        <v>626</v>
      </c>
      <c r="C9541" s="15" t="n">
        <v>0</v>
      </c>
    </row>
    <row r="9543" customFormat="false" ht="15" hidden="false" customHeight="false" outlineLevel="0" collapsed="false">
      <c r="A9543" s="23" t="s">
        <v>237</v>
      </c>
      <c r="B9543" s="24"/>
      <c r="C9543" s="24"/>
      <c r="D9543" s="24"/>
      <c r="E9543" s="24"/>
      <c r="F9543" s="24"/>
      <c r="G9543" s="24"/>
      <c r="H9543" s="24"/>
      <c r="I9543" s="24"/>
      <c r="J9543" s="24"/>
      <c r="K9543" s="24"/>
    </row>
    <row r="9544" customFormat="false" ht="15" hidden="false" customHeight="false" outlineLevel="0" collapsed="false">
      <c r="A9544" s="5" t="s">
        <v>238</v>
      </c>
      <c r="F9544" s="26" t="n">
        <f aca="false">Assumptions!$C$6</f>
        <v>2025</v>
      </c>
      <c r="G9544" s="20" t="n">
        <f aca="false">F9544+1</f>
        <v>2026</v>
      </c>
      <c r="H9544" s="20" t="n">
        <f aca="false">G9544+1</f>
        <v>2027</v>
      </c>
      <c r="I9544" s="20" t="n">
        <f aca="false">H9544+1</f>
        <v>2028</v>
      </c>
      <c r="J9544" s="20" t="n">
        <f aca="false">I9544+1</f>
        <v>2029</v>
      </c>
      <c r="K9544" s="20" t="n">
        <f aca="false">J9544+1</f>
        <v>2030</v>
      </c>
    </row>
    <row r="9545" customFormat="false" ht="15" hidden="false" customHeight="false" outlineLevel="0" collapsed="false">
      <c r="A9545" s="5" t="s">
        <v>239</v>
      </c>
      <c r="G9545" s="20" t="n">
        <f aca="false">G9544-Assumptions!$C$6</f>
        <v>1</v>
      </c>
      <c r="H9545" s="20" t="n">
        <f aca="false">H9544-Assumptions!$C$6</f>
        <v>2</v>
      </c>
      <c r="I9545" s="20" t="n">
        <f aca="false">I9544-Assumptions!$C$6</f>
        <v>3</v>
      </c>
      <c r="J9545" s="20" t="n">
        <f aca="false">J9544-Assumptions!$C$6</f>
        <v>4</v>
      </c>
      <c r="K9545" s="20" t="n">
        <f aca="false">K9544-Assumptions!$C$6</f>
        <v>5</v>
      </c>
    </row>
    <row r="9546" customFormat="false" ht="15" hidden="false" customHeight="false" outlineLevel="0" collapsed="false">
      <c r="A9546" s="5" t="s">
        <v>149</v>
      </c>
      <c r="G9546" s="21" t="n">
        <f aca="false">CHOOSE($C$9537,Assumptions!$G$65,Assumptions!$G$84,Assumptions!$G$103)+$C$9538</f>
        <v>0.022</v>
      </c>
      <c r="H9546" s="21" t="n">
        <f aca="false">CHOOSE($C$9537,Assumptions!$H$65,Assumptions!$H$84,Assumptions!$H$103)+$C$9538</f>
        <v>0.061</v>
      </c>
      <c r="I9546" s="21" t="n">
        <f aca="false">CHOOSE($C$9537,Assumptions!$I$65,Assumptions!$I$84,Assumptions!$I$103)+$C$9538</f>
        <v>0.095</v>
      </c>
      <c r="J9546" s="21" t="n">
        <f aca="false">CHOOSE($C$9537,Assumptions!$J$65,Assumptions!$J$84,Assumptions!$J$103)+$C$9538</f>
        <v>0.09</v>
      </c>
      <c r="K9546" s="21" t="n">
        <f aca="false">CHOOSE($C$9537,Assumptions!$K$65,Assumptions!$K$84,Assumptions!$K$103)+$C$9538</f>
        <v>0.09</v>
      </c>
    </row>
    <row r="9547" customFormat="false" ht="15" hidden="false" customHeight="false" outlineLevel="0" collapsed="false">
      <c r="A9547" s="5" t="s">
        <v>150</v>
      </c>
      <c r="G9547" s="21" t="n">
        <f aca="false">CHOOSE($C$9537,Assumptions!$G$66,Assumptions!$G$85,Assumptions!$G$104)</f>
        <v>0.33</v>
      </c>
      <c r="H9547" s="21" t="n">
        <f aca="false">CHOOSE($C$9537,Assumptions!$H$66,Assumptions!$H$85,Assumptions!$H$104)</f>
        <v>0.318</v>
      </c>
      <c r="I9547" s="21" t="n">
        <f aca="false">CHOOSE($C$9537,Assumptions!$I$66,Assumptions!$I$85,Assumptions!$I$104)</f>
        <v>0.324</v>
      </c>
      <c r="J9547" s="21" t="n">
        <f aca="false">CHOOSE($C$9537,Assumptions!$J$66,Assumptions!$J$85,Assumptions!$J$104)</f>
        <v>0.33</v>
      </c>
      <c r="K9547" s="21" t="n">
        <f aca="false">CHOOSE($C$9537,Assumptions!$K$66,Assumptions!$K$85,Assumptions!$K$104)</f>
        <v>0.336</v>
      </c>
    </row>
    <row r="9548" customFormat="false" ht="15" hidden="false" customHeight="false" outlineLevel="0" collapsed="false">
      <c r="A9548" s="5" t="s">
        <v>151</v>
      </c>
      <c r="G9548" s="21" t="n">
        <f aca="false">CHOOSE($C$9537,Assumptions!$G$67,Assumptions!$G$86,Assumptions!$G$105)+$C$9539</f>
        <v>0.035</v>
      </c>
      <c r="H9548" s="21" t="n">
        <f aca="false">CHOOSE($C$9537,Assumptions!$H$67,Assumptions!$H$86,Assumptions!$H$105)+$C$9539</f>
        <v>0.023</v>
      </c>
      <c r="I9548" s="21" t="n">
        <f aca="false">CHOOSE($C$9537,Assumptions!$I$67,Assumptions!$I$86,Assumptions!$I$105)+$C$9539</f>
        <v>0.029</v>
      </c>
      <c r="J9548" s="21" t="n">
        <f aca="false">CHOOSE($C$9537,Assumptions!$J$67,Assumptions!$J$86,Assumptions!$J$105)+$C$9539</f>
        <v>0.035</v>
      </c>
      <c r="K9548" s="21" t="n">
        <f aca="false">CHOOSE($C$9537,Assumptions!$K$67,Assumptions!$K$86,Assumptions!$K$105)+$C$9539</f>
        <v>0.041</v>
      </c>
    </row>
    <row r="9549" customFormat="false" ht="15" hidden="false" customHeight="false" outlineLevel="0" collapsed="false">
      <c r="A9549" s="23" t="s">
        <v>240</v>
      </c>
      <c r="B9549" s="24"/>
      <c r="C9549" s="24"/>
      <c r="D9549" s="24"/>
      <c r="E9549" s="24"/>
      <c r="F9549" s="24"/>
      <c r="G9549" s="24"/>
      <c r="H9549" s="24"/>
      <c r="I9549" s="24"/>
      <c r="J9549" s="24"/>
      <c r="K9549" s="24"/>
    </row>
    <row r="9550" customFormat="false" ht="15" hidden="false" customHeight="false" outlineLevel="0" collapsed="false">
      <c r="A9550" s="2" t="s">
        <v>207</v>
      </c>
      <c r="F9550" s="27" t="n">
        <f aca="false">'Historical Financials'!E17</f>
        <v>2400</v>
      </c>
      <c r="G9550" s="16" t="n">
        <f aca="false">F9550*(1+G9546)</f>
        <v>2452.8</v>
      </c>
      <c r="H9550" s="16" t="n">
        <f aca="false">G9550*(1+H9546)</f>
        <v>2602.4208</v>
      </c>
      <c r="I9550" s="16" t="n">
        <f aca="false">H9550*(1+I9546)</f>
        <v>2849.650776</v>
      </c>
      <c r="J9550" s="16" t="n">
        <f aca="false">I9550*(1+J9546)</f>
        <v>3106.11934584</v>
      </c>
      <c r="K9550" s="16" t="n">
        <f aca="false">J9550*(1+K9546)</f>
        <v>3385.6700869656</v>
      </c>
    </row>
    <row r="9551" customFormat="false" ht="15" hidden="false" customHeight="false" outlineLevel="0" collapsed="false">
      <c r="A9551" s="5" t="s">
        <v>217</v>
      </c>
      <c r="G9551" s="25" t="n">
        <f aca="false">G9550*(1-G9547)</f>
        <v>1643.376</v>
      </c>
      <c r="H9551" s="25" t="n">
        <f aca="false">H9550*(1-H9547)</f>
        <v>1774.8509856</v>
      </c>
      <c r="I9551" s="25" t="n">
        <f aca="false">I9550*(1-I9547)</f>
        <v>1926.363924576</v>
      </c>
      <c r="J9551" s="25" t="n">
        <f aca="false">J9550*(1-J9547)</f>
        <v>2081.0999617128</v>
      </c>
      <c r="K9551" s="25" t="n">
        <f aca="false">K9550*(1-K9547)</f>
        <v>2248.08493774516</v>
      </c>
    </row>
    <row r="9552" customFormat="false" ht="15" hidden="false" customHeight="false" outlineLevel="0" collapsed="false">
      <c r="A9552" s="2" t="s">
        <v>218</v>
      </c>
      <c r="G9552" s="16" t="n">
        <f aca="false">G9550-G9551</f>
        <v>809.424</v>
      </c>
      <c r="H9552" s="16" t="n">
        <f aca="false">H9550-H9551</f>
        <v>827.5698144</v>
      </c>
      <c r="I9552" s="16" t="n">
        <f aca="false">I9550-I9551</f>
        <v>923.286851424</v>
      </c>
      <c r="J9552" s="16" t="n">
        <f aca="false">J9550-J9551</f>
        <v>1025.0193841272</v>
      </c>
      <c r="K9552" s="16" t="n">
        <f aca="false">K9550-K9551</f>
        <v>1137.58514922044</v>
      </c>
    </row>
    <row r="9553" customFormat="false" ht="15" hidden="false" customHeight="false" outlineLevel="0" collapsed="false">
      <c r="A9553" s="5" t="s">
        <v>241</v>
      </c>
      <c r="G9553" s="25" t="n">
        <f aca="false">G9552-G9554</f>
        <v>723.576</v>
      </c>
      <c r="H9553" s="25" t="n">
        <f aca="false">H9552-H9554</f>
        <v>767.714136</v>
      </c>
      <c r="I9553" s="25" t="n">
        <f aca="false">I9552-I9554</f>
        <v>840.64697892</v>
      </c>
      <c r="J9553" s="25" t="n">
        <f aca="false">J9552-J9554</f>
        <v>916.3052070228</v>
      </c>
      <c r="K9553" s="25" t="n">
        <f aca="false">K9552-K9554</f>
        <v>998.772675654852</v>
      </c>
    </row>
    <row r="9554" customFormat="false" ht="15" hidden="false" customHeight="false" outlineLevel="0" collapsed="false">
      <c r="A9554" s="2" t="s">
        <v>242</v>
      </c>
      <c r="G9554" s="16" t="n">
        <f aca="false">G9550*G9548</f>
        <v>85.848</v>
      </c>
      <c r="H9554" s="16" t="n">
        <f aca="false">H9550*H9548</f>
        <v>59.8556784</v>
      </c>
      <c r="I9554" s="16" t="n">
        <f aca="false">I9550*I9548</f>
        <v>82.639872504</v>
      </c>
      <c r="J9554" s="16" t="n">
        <f aca="false">J9550*J9548</f>
        <v>108.7141771044</v>
      </c>
      <c r="K9554" s="16" t="n">
        <f aca="false">K9550*K9548</f>
        <v>138.81247356559</v>
      </c>
    </row>
    <row r="9555" customFormat="false" ht="15" hidden="false" customHeight="false" outlineLevel="0" collapsed="false">
      <c r="A9555" s="5" t="s">
        <v>243</v>
      </c>
      <c r="G9555" s="25" t="n">
        <f aca="false">G9550*'Historical Financials'!E22/'Historical Financials'!E17</f>
        <v>53.9616</v>
      </c>
      <c r="H9555" s="25" t="n">
        <f aca="false">H9550*'Historical Financials'!E22/'Historical Financials'!E17</f>
        <v>57.2532576</v>
      </c>
      <c r="I9555" s="25" t="n">
        <f aca="false">I9550*'Historical Financials'!E22/'Historical Financials'!E17</f>
        <v>62.692317072</v>
      </c>
      <c r="J9555" s="25" t="n">
        <f aca="false">J9550*'Historical Financials'!E22/'Historical Financials'!E17</f>
        <v>68.33462560848</v>
      </c>
      <c r="K9555" s="25" t="n">
        <f aca="false">K9550*'Historical Financials'!E22/'Historical Financials'!E17</f>
        <v>74.4847419132432</v>
      </c>
    </row>
    <row r="9556" customFormat="false" ht="15" hidden="false" customHeight="false" outlineLevel="0" collapsed="false">
      <c r="A9556" s="5" t="s">
        <v>244</v>
      </c>
      <c r="G9556" s="25" t="n">
        <f aca="false">G9550*'Historical Financials'!E23/'Historical Financials'!E17</f>
        <v>0</v>
      </c>
      <c r="H9556" s="25" t="n">
        <f aca="false">H9550*'Historical Financials'!E23/'Historical Financials'!E17</f>
        <v>0</v>
      </c>
      <c r="I9556" s="25" t="n">
        <f aca="false">I9550*'Historical Financials'!E23/'Historical Financials'!E17</f>
        <v>0</v>
      </c>
      <c r="J9556" s="25" t="n">
        <f aca="false">J9550*'Historical Financials'!E23/'Historical Financials'!E17</f>
        <v>0</v>
      </c>
      <c r="K9556" s="25" t="n">
        <f aca="false">K9550*'Historical Financials'!E23/'Historical Financials'!E17</f>
        <v>0</v>
      </c>
    </row>
    <row r="9557" customFormat="false" ht="15" hidden="false" customHeight="false" outlineLevel="0" collapsed="false">
      <c r="A9557" s="2" t="s">
        <v>245</v>
      </c>
      <c r="G9557" s="16" t="n">
        <f aca="false">G9554-G9555-G9556</f>
        <v>31.8864</v>
      </c>
      <c r="H9557" s="16" t="n">
        <f aca="false">H9554-H9555-H9556</f>
        <v>2.60242079999997</v>
      </c>
      <c r="I9557" s="16" t="n">
        <f aca="false">I9554-I9555-I9556</f>
        <v>19.947555432</v>
      </c>
      <c r="J9557" s="16" t="n">
        <f aca="false">J9554-J9555-J9556</f>
        <v>40.37955149592</v>
      </c>
      <c r="K9557" s="16" t="n">
        <f aca="false">K9554-K9555-K9556</f>
        <v>64.3277316523464</v>
      </c>
    </row>
    <row r="9558" customFormat="false" ht="15" hidden="false" customHeight="false" outlineLevel="0" collapsed="false">
      <c r="A9558" s="5" t="s">
        <v>246</v>
      </c>
      <c r="G9558" s="25" t="n">
        <f aca="false">G9584+G9597+G9610+G9623</f>
        <v>129.54</v>
      </c>
      <c r="H9558" s="25" t="n">
        <f aca="false">H9584+H9597+H9610+H9623</f>
        <v>133.2704748</v>
      </c>
      <c r="I9558" s="25" t="n">
        <f aca="false">I9584+I9597+I9610+I9623</f>
        <v>130.7915328</v>
      </c>
      <c r="J9558" s="25" t="n">
        <f aca="false">J9584+J9597+J9610+J9623</f>
        <v>130.2039328</v>
      </c>
      <c r="K9558" s="25" t="n">
        <f aca="false">K9584+K9597+K9610+K9623</f>
        <v>129.6163328</v>
      </c>
    </row>
    <row r="9559" customFormat="false" ht="15" hidden="false" customHeight="false" outlineLevel="0" collapsed="false">
      <c r="A9559" s="5" t="s">
        <v>247</v>
      </c>
      <c r="G9559" s="25" t="n">
        <f aca="false">G9585+G9598+G9611+G9624</f>
        <v>0</v>
      </c>
      <c r="H9559" s="25" t="n">
        <f aca="false">H9585+H9598+H9611+H9624</f>
        <v>0</v>
      </c>
      <c r="I9559" s="25" t="n">
        <f aca="false">I9585+I9598+I9611+I9624</f>
        <v>0</v>
      </c>
      <c r="J9559" s="25" t="n">
        <f aca="false">J9585+J9598+J9611+J9624</f>
        <v>0</v>
      </c>
      <c r="K9559" s="25" t="n">
        <f aca="false">K9585+K9598+K9611+K9624</f>
        <v>0</v>
      </c>
    </row>
    <row r="9560" customFormat="false" ht="15" hidden="false" customHeight="false" outlineLevel="0" collapsed="false">
      <c r="A9560" s="5" t="s">
        <v>212</v>
      </c>
      <c r="G9560" s="25" t="n">
        <f aca="false">G9558+G9559</f>
        <v>129.54</v>
      </c>
      <c r="H9560" s="25" t="n">
        <f aca="false">H9558+H9559</f>
        <v>133.2704748</v>
      </c>
      <c r="I9560" s="25" t="n">
        <f aca="false">I9558+I9559</f>
        <v>130.7915328</v>
      </c>
      <c r="J9560" s="25" t="n">
        <f aca="false">J9558+J9559</f>
        <v>130.2039328</v>
      </c>
      <c r="K9560" s="25" t="n">
        <f aca="false">K9558+K9559</f>
        <v>129.6163328</v>
      </c>
    </row>
    <row r="9561" customFormat="false" ht="15" hidden="false" customHeight="false" outlineLevel="0" collapsed="false">
      <c r="A9561" s="2" t="s">
        <v>223</v>
      </c>
      <c r="G9561" s="16" t="n">
        <f aca="false">G9557-G9560</f>
        <v>-97.6536</v>
      </c>
      <c r="H9561" s="16" t="n">
        <f aca="false">H9557-H9560</f>
        <v>-130.668054</v>
      </c>
      <c r="I9561" s="16" t="n">
        <f aca="false">I9557-I9560</f>
        <v>-110.843977368</v>
      </c>
      <c r="J9561" s="16" t="n">
        <f aca="false">J9557-J9560</f>
        <v>-89.82438130408</v>
      </c>
      <c r="K9561" s="16" t="n">
        <f aca="false">K9557-K9560</f>
        <v>-65.2886011476536</v>
      </c>
    </row>
    <row r="9562" customFormat="false" ht="15" hidden="false" customHeight="false" outlineLevel="0" collapsed="false">
      <c r="A9562" s="5" t="s">
        <v>213</v>
      </c>
      <c r="G9562" s="25" t="n">
        <f aca="false">MAX(0,G9561)*Assumptions!$C$9</f>
        <v>0</v>
      </c>
      <c r="H9562" s="25" t="n">
        <f aca="false">MAX(0,H9561)*Assumptions!$C$9</f>
        <v>0</v>
      </c>
      <c r="I9562" s="25" t="n">
        <f aca="false">MAX(0,I9561)*Assumptions!$C$9</f>
        <v>0</v>
      </c>
      <c r="J9562" s="25" t="n">
        <f aca="false">MAX(0,J9561)*Assumptions!$C$9</f>
        <v>0</v>
      </c>
      <c r="K9562" s="25" t="n">
        <f aca="false">MAX(0,K9561)*Assumptions!$C$9</f>
        <v>0</v>
      </c>
    </row>
    <row r="9563" customFormat="false" ht="15" hidden="false" customHeight="false" outlineLevel="0" collapsed="false">
      <c r="A9563" s="2" t="s">
        <v>248</v>
      </c>
      <c r="G9563" s="16" t="n">
        <f aca="false">G9561-G9562</f>
        <v>-97.6536</v>
      </c>
      <c r="H9563" s="16" t="n">
        <f aca="false">H9561-H9562</f>
        <v>-130.668054</v>
      </c>
      <c r="I9563" s="16" t="n">
        <f aca="false">I9561-I9562</f>
        <v>-110.843977368</v>
      </c>
      <c r="J9563" s="16" t="n">
        <f aca="false">J9561-J9562</f>
        <v>-89.82438130408</v>
      </c>
      <c r="K9563" s="16" t="n">
        <f aca="false">K9561-K9562</f>
        <v>-65.2886011476536</v>
      </c>
    </row>
    <row r="9564" customFormat="false" ht="15" hidden="false" customHeight="false" outlineLevel="0" collapsed="false">
      <c r="A9564" s="23" t="s">
        <v>249</v>
      </c>
      <c r="B9564" s="24"/>
      <c r="C9564" s="24"/>
      <c r="D9564" s="24"/>
      <c r="E9564" s="24"/>
      <c r="F9564" s="24"/>
      <c r="G9564" s="24"/>
      <c r="H9564" s="24"/>
      <c r="I9564" s="24"/>
      <c r="J9564" s="24"/>
      <c r="K9564" s="24"/>
    </row>
    <row r="9565" customFormat="false" ht="15" hidden="false" customHeight="false" outlineLevel="0" collapsed="false">
      <c r="A9565" s="5" t="s">
        <v>153</v>
      </c>
      <c r="G9565" s="25" t="n">
        <f aca="false">G9550*CHOOSE($C$9537,Assumptions!$C$69,Assumptions!$C$88,Assumptions!$C$107)</f>
        <v>46.6032</v>
      </c>
      <c r="H9565" s="25" t="n">
        <f aca="false">H9550*CHOOSE($C$9537,Assumptions!$C$69,Assumptions!$C$88,Assumptions!$C$107)</f>
        <v>49.4459952</v>
      </c>
      <c r="I9565" s="25" t="n">
        <f aca="false">I9550*CHOOSE($C$9537,Assumptions!$C$69,Assumptions!$C$88,Assumptions!$C$107)</f>
        <v>54.143364744</v>
      </c>
      <c r="J9565" s="25" t="n">
        <f aca="false">J9550*CHOOSE($C$9537,Assumptions!$C$69,Assumptions!$C$88,Assumptions!$C$107)</f>
        <v>59.01626757096</v>
      </c>
      <c r="K9565" s="25" t="n">
        <f aca="false">K9550*CHOOSE($C$9537,Assumptions!$C$69,Assumptions!$C$88,Assumptions!$C$107)</f>
        <v>64.3277316523464</v>
      </c>
    </row>
    <row r="9566" customFormat="false" ht="15" hidden="false" customHeight="false" outlineLevel="0" collapsed="false">
      <c r="A9566" s="5" t="s">
        <v>250</v>
      </c>
      <c r="G9566" s="25" t="n">
        <f aca="false">CHOOSE($C$9537,Assumptions!$C$70,Assumptions!$C$89,Assumptions!$C$108)*(G9550-F9550)+CHOOSE($C$9537,Assumptions!$C$71,Assumptions!$C$90,Assumptions!$C$109)*G9550</f>
        <v>11.2416</v>
      </c>
      <c r="H9566" s="25" t="n">
        <f aca="false">CHOOSE($C$9537,Assumptions!$C$70,Assumptions!$C$89,Assumptions!$C$108)*(H9550-G9550)+CHOOSE($C$9537,Assumptions!$C$71,Assumptions!$C$90,Assumptions!$C$109)*H9550</f>
        <v>23.1593376</v>
      </c>
      <c r="I9566" s="25" t="n">
        <f aca="false">CHOOSE($C$9537,Assumptions!$C$70,Assumptions!$C$89,Assumptions!$C$108)*(I9550-H9550)+CHOOSE($C$9537,Assumptions!$C$71,Assumptions!$C$90,Assumptions!$C$109)*I9550</f>
        <v>35.366898672</v>
      </c>
      <c r="J9566" s="25" t="n">
        <f aca="false">CHOOSE($C$9537,Assumptions!$C$70,Assumptions!$C$89,Assumptions!$C$108)*(J9550-I9550)+CHOOSE($C$9537,Assumptions!$C$71,Assumptions!$C$90,Assumptions!$C$109)*J9550</f>
        <v>36.98846707248</v>
      </c>
      <c r="K9566" s="25" t="n">
        <f aca="false">CHOOSE($C$9537,Assumptions!$C$70,Assumptions!$C$89,Assumptions!$C$108)*(K9550-J9550)+CHOOSE($C$9537,Assumptions!$C$71,Assumptions!$C$90,Assumptions!$C$109)*K9550</f>
        <v>40.3174291090032</v>
      </c>
    </row>
    <row r="9567" customFormat="false" ht="15" hidden="false" customHeight="false" outlineLevel="0" collapsed="false">
      <c r="A9567" s="2" t="s">
        <v>251</v>
      </c>
      <c r="G9567" s="16" t="n">
        <f aca="false">G9563+G9555+G9556+G9559-G9565-G9566</f>
        <v>-101.5368</v>
      </c>
      <c r="H9567" s="16" t="n">
        <f aca="false">H9563+H9555+H9556+H9559-H9565-H9566</f>
        <v>-146.0201292</v>
      </c>
      <c r="I9567" s="16" t="n">
        <f aca="false">I9563+I9555+I9556+I9559-I9565-I9566</f>
        <v>-137.661923712</v>
      </c>
      <c r="J9567" s="16" t="n">
        <f aca="false">J9563+J9555+J9556+J9559-J9565-J9566</f>
        <v>-117.49449033904</v>
      </c>
      <c r="K9567" s="16" t="n">
        <f aca="false">K9563+K9555+K9556+K9559-K9565-K9566</f>
        <v>-95.4490199957601</v>
      </c>
    </row>
    <row r="9569" customFormat="false" ht="15" hidden="false" customHeight="false" outlineLevel="0" collapsed="false">
      <c r="A9569" s="23" t="s">
        <v>253</v>
      </c>
      <c r="B9569" s="24"/>
      <c r="C9569" s="24"/>
      <c r="D9569" s="24"/>
      <c r="E9569" s="24"/>
      <c r="F9569" s="24"/>
      <c r="G9569" s="24"/>
      <c r="H9569" s="24"/>
      <c r="I9569" s="24"/>
      <c r="J9569" s="24"/>
      <c r="K9569" s="24"/>
    </row>
    <row r="9570" customFormat="false" ht="15" hidden="false" customHeight="false" outlineLevel="0" collapsed="false">
      <c r="A9570" s="5" t="s">
        <v>254</v>
      </c>
      <c r="G9570" s="29" t="n">
        <f aca="false">Assumptions!$G$49</f>
        <v>0.0425</v>
      </c>
      <c r="H9570" s="29" t="n">
        <f aca="false">Assumptions!$H$49</f>
        <v>0.04</v>
      </c>
      <c r="I9570" s="29" t="n">
        <f aca="false">Assumptions!$I$49</f>
        <v>0.0375</v>
      </c>
      <c r="J9570" s="29" t="n">
        <f aca="false">Assumptions!$J$49</f>
        <v>0.0375</v>
      </c>
      <c r="K9570" s="29" t="n">
        <f aca="false">Assumptions!$K$49</f>
        <v>0.0375</v>
      </c>
    </row>
    <row r="9571" customFormat="false" ht="15" hidden="false" customHeight="false" outlineLevel="0" collapsed="false">
      <c r="A9571" s="5" t="s">
        <v>255</v>
      </c>
      <c r="C9571" s="30" t="n">
        <f aca="false">CHOOSE($C$9537,Assumptions!$C$72,Assumptions!$C$91,Assumptions!$C$110)+$C$9540</f>
        <v>0.015</v>
      </c>
    </row>
    <row r="9572" customFormat="false" ht="15" hidden="false" customHeight="false" outlineLevel="0" collapsed="false">
      <c r="A9572" s="5" t="s">
        <v>256</v>
      </c>
      <c r="C9572" s="30" t="n">
        <f aca="false">CHOOSE($C$9537,Assumptions!$C$73,Assumptions!$C$92,Assumptions!$C$111)</f>
        <v>0.135</v>
      </c>
    </row>
    <row r="9573" customFormat="false" ht="15" hidden="false" customHeight="false" outlineLevel="0" collapsed="false">
      <c r="A9573" s="5" t="s">
        <v>257</v>
      </c>
      <c r="C9573" s="31" t="n">
        <f aca="false">CHOOSE($C$9537,Assumptions!$C$74,Assumptions!$C$93,Assumptions!$C$112)</f>
        <v>5.5</v>
      </c>
    </row>
    <row r="9574" customFormat="false" ht="15" hidden="false" customHeight="false" outlineLevel="0" collapsed="false">
      <c r="A9574" s="5" t="s">
        <v>258</v>
      </c>
      <c r="C9574" s="31" t="n">
        <f aca="false">CHOOSE($C$9537,Assumptions!$C$75,Assumptions!$C$94,Assumptions!$C$113)</f>
        <v>1.8</v>
      </c>
    </row>
    <row r="9575" customFormat="false" ht="15" hidden="false" customHeight="false" outlineLevel="0" collapsed="false">
      <c r="A9575" s="5" t="s">
        <v>259</v>
      </c>
      <c r="G9575" s="25" t="n">
        <f aca="false">G9580+G9593+G9606+G9619</f>
        <v>1250</v>
      </c>
      <c r="H9575" s="25" t="n">
        <f aca="false">H9580+H9593+H9606+H9619</f>
        <v>1306.5368</v>
      </c>
      <c r="I9575" s="25" t="n">
        <f aca="false">I9580+I9593+I9606+I9619</f>
        <v>1301.3368</v>
      </c>
      <c r="J9575" s="25" t="n">
        <f aca="false">J9580+J9593+J9606+J9619</f>
        <v>1296.1368</v>
      </c>
      <c r="K9575" s="25" t="n">
        <f aca="false">K9580+K9593+K9606+K9619</f>
        <v>1290.9368</v>
      </c>
    </row>
    <row r="9576" customFormat="false" ht="15" hidden="false" customHeight="false" outlineLevel="0" collapsed="false">
      <c r="A9576" s="5" t="s">
        <v>260</v>
      </c>
      <c r="G9576" s="25" t="n">
        <f aca="false">F9666</f>
        <v>45</v>
      </c>
      <c r="H9576" s="25" t="n">
        <f aca="false">G9666</f>
        <v>0</v>
      </c>
      <c r="I9576" s="25" t="n">
        <f aca="false">H9666</f>
        <v>-151.2201292</v>
      </c>
      <c r="J9576" s="25" t="n">
        <f aca="false">I9666</f>
        <v>-294.082052912</v>
      </c>
      <c r="K9576" s="25" t="n">
        <f aca="false">J9666</f>
        <v>-416.77654325104</v>
      </c>
    </row>
    <row r="9577" customFormat="false" ht="15" hidden="false" customHeight="false" outlineLevel="0" collapsed="false">
      <c r="A9577" s="5" t="s">
        <v>261</v>
      </c>
      <c r="G9577" s="25" t="n">
        <f aca="false">G9580*IF(G9581=1,$C$9572,IF(Assumptions!$I$53=1,MAX(G9570,Assumptions!$G$53)+Assumptions!$F$53+$C$9571,Assumptions!$E$53))+G9593*IF(G9594=1,$C$9572,IF(Assumptions!$I$54=1,MAX(G9570,Assumptions!$G$54)+Assumptions!$F$54+$C$9571,Assumptions!$E$54))+G9606*IF(G9607=1,$C$9572,IF(Assumptions!$I$55=1,MAX(G9570,Assumptions!$G$55)+Assumptions!$F$55+$C$9571,Assumptions!$E$55))+G9619*IF(G9620=1,$C$9572,IF(Assumptions!$I$56=1,MAX(G9570,Assumptions!$G$56)+Assumptions!$F$56+$C$9571,Assumptions!$E$56))</f>
        <v>129.54</v>
      </c>
      <c r="H9577" s="25" t="n">
        <f aca="false">H9580*IF(OR(H9581=1,G9732=1),$C$9572,IF(Assumptions!$I$53=1,MAX(H9570,Assumptions!$G$53)+Assumptions!$F$53+$C$9571,Assumptions!$E$53))+H9593*IF(OR(H9594=1,G9733=1),$C$9572,IF(Assumptions!$I$54=1,MAX(H9570,Assumptions!$G$54)+Assumptions!$F$54+$C$9571,Assumptions!$E$54))+H9606*IF(OR(H9607=1,G9734=1),$C$9572,IF(Assumptions!$I$55=1,MAX(H9570,Assumptions!$G$55)+Assumptions!$F$55+$C$9571,Assumptions!$E$55))+H9619*IF(OR(H9620=1,G9735=1),$C$9572,IF(Assumptions!$I$56=1,MAX(H9570,Assumptions!$G$56)+Assumptions!$F$56+$C$9571,Assumptions!$E$56))</f>
        <v>160.093868</v>
      </c>
      <c r="I9577" s="25" t="n">
        <f aca="false">I9580*IF(OR(I9581=1,H9732=1),$C$9572,IF(Assumptions!$I$53=1,MAX(I9570,Assumptions!$G$53)+Assumptions!$F$53+$C$9571,Assumptions!$E$53))+I9593*IF(OR(I9594=1,H9733=1),$C$9572,IF(Assumptions!$I$54=1,MAX(I9570,Assumptions!$G$54)+Assumptions!$F$54+$C$9571,Assumptions!$E$54))+I9606*IF(OR(I9607=1,H9734=1),$C$9572,IF(Assumptions!$I$55=1,MAX(I9570,Assumptions!$G$55)+Assumptions!$F$55+$C$9571,Assumptions!$E$55))+I9619*IF(OR(I9620=1,H9735=1),$C$9572,IF(Assumptions!$I$56=1,MAX(I9570,Assumptions!$G$56)+Assumptions!$F$56+$C$9571,Assumptions!$E$56))</f>
        <v>142.0027328</v>
      </c>
      <c r="J9577" s="25" t="n">
        <f aca="false">J9580*IF(OR(J9581=1,I9732=1),$C$9572,IF(Assumptions!$I$53=1,MAX(J9570,Assumptions!$G$53)+Assumptions!$F$53+$C$9571,Assumptions!$E$53))+J9593*IF(OR(J9594=1,I9733=1),$C$9572,IF(Assumptions!$I$54=1,MAX(J9570,Assumptions!$G$54)+Assumptions!$F$54+$C$9571,Assumptions!$E$54))+J9606*IF(OR(J9607=1,I9734=1),$C$9572,IF(Assumptions!$I$55=1,MAX(J9570,Assumptions!$G$55)+Assumptions!$F$55+$C$9571,Assumptions!$E$55))+J9619*IF(OR(J9620=1,I9735=1),$C$9572,IF(Assumptions!$I$56=1,MAX(J9570,Assumptions!$G$56)+Assumptions!$F$56+$C$9571,Assumptions!$E$56))</f>
        <v>136.4539328</v>
      </c>
      <c r="K9577" s="25" t="n">
        <f aca="false">K9580*IF(OR(K9581=1,J9732=1),$C$9572,IF(Assumptions!$I$53=1,MAX(K9570,Assumptions!$G$53)+Assumptions!$F$53+$C$9571,Assumptions!$E$53))+K9593*IF(OR(K9594=1,J9733=1),$C$9572,IF(Assumptions!$I$54=1,MAX(K9570,Assumptions!$G$54)+Assumptions!$F$54+$C$9571,Assumptions!$E$54))+K9606*IF(OR(K9607=1,J9734=1),$C$9572,IF(Assumptions!$I$55=1,MAX(K9570,Assumptions!$G$55)+Assumptions!$F$55+$C$9571,Assumptions!$E$55))+K9619*IF(OR(K9620=1,J9735=1),$C$9572,IF(Assumptions!$I$56=1,MAX(K9570,Assumptions!$G$56)+Assumptions!$F$56+$C$9571,Assumptions!$E$56))</f>
        <v>129.6163328</v>
      </c>
    </row>
    <row r="9578" customFormat="false" ht="15" hidden="false" customHeight="false" outlineLevel="0" collapsed="false">
      <c r="A9578" s="5" t="s">
        <v>262</v>
      </c>
      <c r="G9578" s="20" t="n">
        <f aca="false">IF(G9554&lt;=0,0,IF(AND((G9575-G9576)/G9554&lt;=$C$9573,G9554/G9577&gt;=$C$9574),1,0))</f>
        <v>0</v>
      </c>
      <c r="H9578" s="20" t="n">
        <f aca="false">IF(H9554&lt;=0,0,IF(AND((H9575-H9576)/H9554&lt;=$C$9573,H9554/H9577&gt;=$C$9574),1,0))</f>
        <v>0</v>
      </c>
      <c r="I9578" s="20" t="n">
        <f aca="false">IF(I9554&lt;=0,0,IF(AND((I9575-I9576)/I9554&lt;=$C$9573,I9554/I9577&gt;=$C$9574),1,0))</f>
        <v>0</v>
      </c>
      <c r="J9578" s="20" t="n">
        <f aca="false">IF(J9554&lt;=0,0,IF(AND((J9575-J9576)/J9554&lt;=$C$9573,J9554/J9577&gt;=$C$9574),1,0))</f>
        <v>0</v>
      </c>
      <c r="K9578" s="20" t="n">
        <f aca="false">IF(K9554&lt;=0,0,IF(AND((K9575-K9576)/K9554&lt;=$C$9573,K9554/K9577&gt;=$C$9574),1,0))</f>
        <v>0</v>
      </c>
    </row>
    <row r="9579" customFormat="false" ht="15" hidden="false" customHeight="false" outlineLevel="0" collapsed="false">
      <c r="A9579" s="23" t="s">
        <v>263</v>
      </c>
      <c r="B9579" s="24"/>
      <c r="C9579" s="24"/>
      <c r="D9579" s="24"/>
      <c r="E9579" s="24"/>
      <c r="F9579" s="24"/>
      <c r="G9579" s="24"/>
      <c r="H9579" s="24"/>
      <c r="I9579" s="24"/>
      <c r="J9579" s="24"/>
      <c r="K9579" s="24"/>
    </row>
    <row r="9580" customFormat="false" ht="15" hidden="false" customHeight="false" outlineLevel="0" collapsed="false">
      <c r="A9580" s="5" t="s">
        <v>264</v>
      </c>
      <c r="G9580" s="25" t="n">
        <f aca="false">F9591</f>
        <v>180</v>
      </c>
      <c r="H9580" s="25" t="n">
        <f aca="false">G9591</f>
        <v>241.7368</v>
      </c>
      <c r="I9580" s="25" t="n">
        <f aca="false">H9591</f>
        <v>241.7368</v>
      </c>
      <c r="J9580" s="25" t="n">
        <f aca="false">I9591</f>
        <v>241.7368</v>
      </c>
      <c r="K9580" s="25" t="n">
        <f aca="false">J9591</f>
        <v>241.7368</v>
      </c>
    </row>
    <row r="9581" customFormat="false" ht="15" hidden="false" customHeight="false" outlineLevel="0" collapsed="false">
      <c r="A9581" s="5" t="s">
        <v>265</v>
      </c>
      <c r="G9581" s="20" t="n">
        <f aca="false">IF(G9544=Assumptions!$K$53,1,0)</f>
        <v>0</v>
      </c>
      <c r="H9581" s="20" t="n">
        <f aca="false">IF(H9544=Assumptions!$K$53,1,0)</f>
        <v>1</v>
      </c>
      <c r="I9581" s="20" t="n">
        <f aca="false">IF(I9544=Assumptions!$K$53,1,0)</f>
        <v>0</v>
      </c>
      <c r="J9581" s="20" t="n">
        <f aca="false">IF(J9544=Assumptions!$K$53,1,0)</f>
        <v>0</v>
      </c>
      <c r="K9581" s="20" t="n">
        <f aca="false">IF(K9544=Assumptions!$K$53,1,0)</f>
        <v>0</v>
      </c>
    </row>
    <row r="9583" customFormat="false" ht="15" hidden="false" customHeight="false" outlineLevel="0" collapsed="false">
      <c r="A9583" s="5" t="s">
        <v>266</v>
      </c>
      <c r="G9583" s="30" t="n">
        <f aca="false">IF(Assumptions!$I$53=1,MAX(G9570,Assumptions!$G$53)+Assumptions!$F$53+$C$9571,Assumptions!$E$53)</f>
        <v>0.101</v>
      </c>
      <c r="H9583" s="30" t="n">
        <f aca="false">IF(G9732=1,$C$9572,IF(Assumptions!$I$53=1,MAX(H9570,Assumptions!$G$53)+Assumptions!$F$53+$C$9571,Assumptions!$E$53))</f>
        <v>0.0985</v>
      </c>
      <c r="I9583" s="30" t="n">
        <f aca="false">IF(H9732=1,$C$9572,IF(Assumptions!$I$53=1,MAX(I9570,Assumptions!$G$53)+Assumptions!$F$53+$C$9571,Assumptions!$E$53))</f>
        <v>0.096</v>
      </c>
      <c r="J9583" s="30" t="n">
        <f aca="false">IF(I9732=1,$C$9572,IF(Assumptions!$I$53=1,MAX(J9570,Assumptions!$G$53)+Assumptions!$F$53+$C$9571,Assumptions!$E$53))</f>
        <v>0.096</v>
      </c>
      <c r="K9583" s="30" t="n">
        <f aca="false">IF(J9732=1,$C$9572,IF(Assumptions!$I$53=1,MAX(K9570,Assumptions!$G$53)+Assumptions!$F$53+$C$9571,Assumptions!$E$53))</f>
        <v>0.096</v>
      </c>
    </row>
    <row r="9584" customFormat="false" ht="15" hidden="false" customHeight="false" outlineLevel="0" collapsed="false">
      <c r="A9584" s="5" t="s">
        <v>267</v>
      </c>
      <c r="G9584" s="25" t="n">
        <f aca="false">G9580*G9583</f>
        <v>18.18</v>
      </c>
      <c r="H9584" s="25" t="n">
        <f aca="false">H9580*H9583</f>
        <v>23.8110748</v>
      </c>
      <c r="I9584" s="25" t="n">
        <f aca="false">I9580*I9583</f>
        <v>23.2067328</v>
      </c>
      <c r="J9584" s="25" t="n">
        <f aca="false">J9580*J9583</f>
        <v>23.2067328</v>
      </c>
      <c r="K9584" s="25" t="n">
        <f aca="false">K9580*K9583</f>
        <v>23.2067328</v>
      </c>
    </row>
    <row r="9585" customFormat="false" ht="15" hidden="false" customHeight="false" outlineLevel="0" collapsed="false">
      <c r="A9585" s="5" t="s">
        <v>268</v>
      </c>
      <c r="G9585" s="25" t="n">
        <f aca="false">G9580*Assumptions!$H$53</f>
        <v>0</v>
      </c>
      <c r="H9585" s="25" t="n">
        <f aca="false">H9580*Assumptions!$H$53</f>
        <v>0</v>
      </c>
      <c r="I9585" s="25" t="n">
        <f aca="false">I9580*Assumptions!$H$53</f>
        <v>0</v>
      </c>
      <c r="J9585" s="25" t="n">
        <f aca="false">J9580*Assumptions!$H$53</f>
        <v>0</v>
      </c>
      <c r="K9585" s="25" t="n">
        <f aca="false">K9580*Assumptions!$H$53</f>
        <v>0</v>
      </c>
    </row>
    <row r="9586" customFormat="false" ht="15" hidden="false" customHeight="false" outlineLevel="0" collapsed="false">
      <c r="A9586" s="5" t="s">
        <v>269</v>
      </c>
      <c r="G9586" s="25" t="n">
        <f aca="false">MIN(G9580,Assumptions!$L$53*Assumptions!$C$53)</f>
        <v>0</v>
      </c>
      <c r="H9586" s="25" t="n">
        <f aca="false">MIN(H9580,Assumptions!$L$53*Assumptions!$C$53)</f>
        <v>0</v>
      </c>
      <c r="I9586" s="25" t="n">
        <f aca="false">MIN(I9580,Assumptions!$L$53*Assumptions!$C$53)</f>
        <v>0</v>
      </c>
      <c r="J9586" s="25" t="n">
        <f aca="false">MIN(J9580,Assumptions!$L$53*Assumptions!$C$53)</f>
        <v>0</v>
      </c>
      <c r="K9586" s="25" t="n">
        <f aca="false">MIN(K9580,Assumptions!$L$53*Assumptions!$C$53)</f>
        <v>0</v>
      </c>
    </row>
    <row r="9587" customFormat="false" ht="15" hidden="false" customHeight="false" outlineLevel="0" collapsed="false">
      <c r="A9587" s="5" t="s">
        <v>270</v>
      </c>
      <c r="G9587" s="25" t="n">
        <f aca="false">IF(AND(Assumptions!$P$53=1,G9544&lt;Assumptions!$K$53),MIN(MAX(0,-G9658),MAX(0,Assumptions!$D$53-G9580)),0)</f>
        <v>61.7368</v>
      </c>
      <c r="H9587" s="25" t="n">
        <f aca="false">IF(AND(Assumptions!$P$53=1,OR(H9544&lt;Assumptions!$K$53,G9732=1)),MIN(MAX(0,-H9658),MAX(0,Assumptions!$D$53-H9580)),0)</f>
        <v>0</v>
      </c>
      <c r="I9587" s="25" t="n">
        <f aca="false">IF(AND(Assumptions!$P$53=1,OR(I9544&lt;Assumptions!$K$53,H9732=1)),MIN(MAX(0,-I9658),MAX(0,Assumptions!$D$53-I9580)),0)</f>
        <v>0</v>
      </c>
      <c r="J9587" s="25" t="n">
        <f aca="false">IF(AND(Assumptions!$P$53=1,OR(J9544&lt;Assumptions!$K$53,I9732=1)),MIN(MAX(0,-J9658),MAX(0,Assumptions!$D$53-J9580)),0)</f>
        <v>0</v>
      </c>
      <c r="K9587" s="25" t="n">
        <f aca="false">IF(AND(Assumptions!$P$53=1,OR(K9544&lt;Assumptions!$K$53,J9732=1)),MIN(MAX(0,-K9658),MAX(0,Assumptions!$D$53-K9580)),0)</f>
        <v>0</v>
      </c>
    </row>
    <row r="9588" customFormat="false" ht="15" hidden="false" customHeight="false" outlineLevel="0" collapsed="false">
      <c r="A9588" s="5" t="s">
        <v>271</v>
      </c>
      <c r="G9588" s="25" t="n">
        <f aca="false">G9581*MIN(G9580-G9586+G9585,MAX(0,G9660-Assumptions!$C$12*G9578))</f>
        <v>0</v>
      </c>
      <c r="H9588" s="25" t="n">
        <f aca="false">H9581*MIN(H9580-H9586+H9585,MAX(0,H9660-Assumptions!$C$12*H9578))</f>
        <v>0</v>
      </c>
      <c r="I9588" s="25" t="n">
        <f aca="false">I9581*MIN(I9580-I9586+I9585,MAX(0,I9660-Assumptions!$C$12*I9578))</f>
        <v>0</v>
      </c>
      <c r="J9588" s="25" t="n">
        <f aca="false">J9581*MIN(J9580-J9586+J9585,MAX(0,J9660-Assumptions!$C$12*J9578))</f>
        <v>0</v>
      </c>
      <c r="K9588" s="25" t="n">
        <f aca="false">K9581*MIN(K9580-K9586+K9585,MAX(0,K9660-Assumptions!$C$12*K9578))</f>
        <v>0</v>
      </c>
    </row>
    <row r="9589" customFormat="false" ht="15" hidden="false" customHeight="false" outlineLevel="0" collapsed="false">
      <c r="A9589" s="5" t="s">
        <v>272</v>
      </c>
      <c r="G9589" s="25" t="n">
        <f aca="false">Assumptions!$N$53*MIN(G9580+G9587+G9585-G9586-G9588,MAX(0,G9664))</f>
        <v>0</v>
      </c>
      <c r="H9589" s="25" t="n">
        <f aca="false">Assumptions!$N$53*MIN(H9580+H9587+H9585-H9586-H9588,MAX(0,H9664))</f>
        <v>0</v>
      </c>
      <c r="I9589" s="25" t="n">
        <f aca="false">Assumptions!$N$53*MIN(I9580+I9587+I9585-I9586-I9588,MAX(0,I9664))</f>
        <v>0</v>
      </c>
      <c r="J9589" s="25" t="n">
        <f aca="false">Assumptions!$N$53*MIN(J9580+J9587+J9585-J9586-J9588,MAX(0,J9664))</f>
        <v>0</v>
      </c>
      <c r="K9589" s="25" t="n">
        <f aca="false">Assumptions!$N$53*MIN(K9580+K9587+K9585-K9586-K9588,MAX(0,K9664))</f>
        <v>0</v>
      </c>
    </row>
    <row r="9590" customFormat="false" ht="15" hidden="false" customHeight="false" outlineLevel="0" collapsed="false">
      <c r="A9590" s="5" t="s">
        <v>273</v>
      </c>
      <c r="G9590" s="25" t="n">
        <f aca="false">G9581*(1-G9578)*(G9580-G9586+G9585-G9588)</f>
        <v>0</v>
      </c>
      <c r="H9590" s="25" t="n">
        <f aca="false">H9581*(1-H9578)*(H9580-H9586+H9585-H9588)</f>
        <v>241.7368</v>
      </c>
      <c r="I9590" s="25" t="n">
        <f aca="false">I9581*(1-I9578)*(I9580-I9586+I9585-I9588)</f>
        <v>0</v>
      </c>
      <c r="J9590" s="25" t="n">
        <f aca="false">J9581*(1-J9578)*(J9580-J9586+J9585-J9588)</f>
        <v>0</v>
      </c>
      <c r="K9590" s="25" t="n">
        <f aca="false">K9581*(1-K9578)*(K9580-K9586+K9585-K9588)</f>
        <v>0</v>
      </c>
    </row>
    <row r="9591" customFormat="false" ht="15" hidden="false" customHeight="false" outlineLevel="0" collapsed="false">
      <c r="A9591" s="2" t="s">
        <v>274</v>
      </c>
      <c r="F9591" s="27" t="n">
        <f aca="false">Assumptions!$C$53</f>
        <v>180</v>
      </c>
      <c r="G9591" s="16" t="n">
        <f aca="false">G9580+G9587+G9585-G9586-G9588-G9589</f>
        <v>241.7368</v>
      </c>
      <c r="H9591" s="16" t="n">
        <f aca="false">H9580+H9587+H9585-H9586-H9588-H9589</f>
        <v>241.7368</v>
      </c>
      <c r="I9591" s="16" t="n">
        <f aca="false">I9580+I9587+I9585-I9586-I9588-I9589</f>
        <v>241.7368</v>
      </c>
      <c r="J9591" s="16" t="n">
        <f aca="false">J9580+J9587+J9585-J9586-J9588-J9589</f>
        <v>241.7368</v>
      </c>
      <c r="K9591" s="16" t="n">
        <f aca="false">K9580+K9587+K9585-K9586-K9588-K9589</f>
        <v>241.7368</v>
      </c>
    </row>
    <row r="9592" customFormat="false" ht="15" hidden="false" customHeight="false" outlineLevel="0" collapsed="false">
      <c r="A9592" s="23" t="s">
        <v>275</v>
      </c>
      <c r="B9592" s="24"/>
      <c r="C9592" s="24"/>
      <c r="D9592" s="24"/>
      <c r="E9592" s="24"/>
      <c r="F9592" s="24"/>
      <c r="G9592" s="24"/>
      <c r="H9592" s="24"/>
      <c r="I9592" s="24"/>
      <c r="J9592" s="24"/>
      <c r="K9592" s="24"/>
    </row>
    <row r="9593" customFormat="false" ht="15" hidden="false" customHeight="false" outlineLevel="0" collapsed="false">
      <c r="A9593" s="5" t="s">
        <v>264</v>
      </c>
      <c r="G9593" s="25" t="n">
        <f aca="false">F9604</f>
        <v>520</v>
      </c>
      <c r="H9593" s="25" t="n">
        <f aca="false">G9604</f>
        <v>514.8</v>
      </c>
      <c r="I9593" s="25" t="n">
        <f aca="false">H9604</f>
        <v>509.6</v>
      </c>
      <c r="J9593" s="25" t="n">
        <f aca="false">I9604</f>
        <v>504.4</v>
      </c>
      <c r="K9593" s="25" t="n">
        <f aca="false">J9604</f>
        <v>499.2</v>
      </c>
    </row>
    <row r="9594" customFormat="false" ht="15" hidden="false" customHeight="false" outlineLevel="0" collapsed="false">
      <c r="A9594" s="5" t="s">
        <v>265</v>
      </c>
      <c r="G9594" s="20" t="n">
        <f aca="false">IF(G9544=Assumptions!$K$54,1,0)</f>
        <v>0</v>
      </c>
      <c r="H9594" s="20" t="n">
        <f aca="false">IF(H9544=Assumptions!$K$54,1,0)</f>
        <v>0</v>
      </c>
      <c r="I9594" s="20" t="n">
        <f aca="false">IF(I9544=Assumptions!$K$54,1,0)</f>
        <v>1</v>
      </c>
      <c r="J9594" s="20" t="n">
        <f aca="false">IF(J9544=Assumptions!$K$54,1,0)</f>
        <v>0</v>
      </c>
      <c r="K9594" s="20" t="n">
        <f aca="false">IF(K9544=Assumptions!$K$54,1,0)</f>
        <v>0</v>
      </c>
    </row>
    <row r="9596" customFormat="false" ht="15" hidden="false" customHeight="false" outlineLevel="0" collapsed="false">
      <c r="A9596" s="5" t="s">
        <v>266</v>
      </c>
      <c r="G9596" s="30" t="n">
        <f aca="false">IF(Assumptions!$I$54=1,MAX(G9570,Assumptions!$G$54)+Assumptions!$F$54+$C$9571,Assumptions!$E$54)</f>
        <v>0.118</v>
      </c>
      <c r="H9596" s="30" t="n">
        <f aca="false">IF(G9733=1,$C$9572,IF(Assumptions!$I$54=1,MAX(H9570,Assumptions!$G$54)+Assumptions!$F$54+$C$9571,Assumptions!$E$54))</f>
        <v>0.1155</v>
      </c>
      <c r="I9596" s="30" t="n">
        <f aca="false">IF(H9733=1,$C$9572,IF(Assumptions!$I$54=1,MAX(I9570,Assumptions!$G$54)+Assumptions!$F$54+$C$9571,Assumptions!$E$54))</f>
        <v>0.113</v>
      </c>
      <c r="J9596" s="30" t="n">
        <f aca="false">IF(I9733=1,$C$9572,IF(Assumptions!$I$54=1,MAX(J9570,Assumptions!$G$54)+Assumptions!$F$54+$C$9571,Assumptions!$E$54))</f>
        <v>0.113</v>
      </c>
      <c r="K9596" s="30" t="n">
        <f aca="false">IF(J9733=1,$C$9572,IF(Assumptions!$I$54=1,MAX(K9570,Assumptions!$G$54)+Assumptions!$F$54+$C$9571,Assumptions!$E$54))</f>
        <v>0.113</v>
      </c>
    </row>
    <row r="9597" customFormat="false" ht="15" hidden="false" customHeight="false" outlineLevel="0" collapsed="false">
      <c r="A9597" s="5" t="s">
        <v>267</v>
      </c>
      <c r="G9597" s="25" t="n">
        <f aca="false">G9593*G9596</f>
        <v>61.36</v>
      </c>
      <c r="H9597" s="25" t="n">
        <f aca="false">H9593*H9596</f>
        <v>59.4594</v>
      </c>
      <c r="I9597" s="25" t="n">
        <f aca="false">I9593*I9596</f>
        <v>57.5848</v>
      </c>
      <c r="J9597" s="25" t="n">
        <f aca="false">J9593*J9596</f>
        <v>56.9972</v>
      </c>
      <c r="K9597" s="25" t="n">
        <f aca="false">K9593*K9596</f>
        <v>56.4096</v>
      </c>
    </row>
    <row r="9598" customFormat="false" ht="15" hidden="false" customHeight="false" outlineLevel="0" collapsed="false">
      <c r="A9598" s="5" t="s">
        <v>268</v>
      </c>
      <c r="G9598" s="25" t="n">
        <f aca="false">G9593*Assumptions!$H$54</f>
        <v>0</v>
      </c>
      <c r="H9598" s="25" t="n">
        <f aca="false">H9593*Assumptions!$H$54</f>
        <v>0</v>
      </c>
      <c r="I9598" s="25" t="n">
        <f aca="false">I9593*Assumptions!$H$54</f>
        <v>0</v>
      </c>
      <c r="J9598" s="25" t="n">
        <f aca="false">J9593*Assumptions!$H$54</f>
        <v>0</v>
      </c>
      <c r="K9598" s="25" t="n">
        <f aca="false">K9593*Assumptions!$H$54</f>
        <v>0</v>
      </c>
    </row>
    <row r="9599" customFormat="false" ht="15" hidden="false" customHeight="false" outlineLevel="0" collapsed="false">
      <c r="A9599" s="5" t="s">
        <v>269</v>
      </c>
      <c r="G9599" s="25" t="n">
        <f aca="false">MIN(G9593,Assumptions!$L$54*Assumptions!$C$54)</f>
        <v>5.2</v>
      </c>
      <c r="H9599" s="25" t="n">
        <f aca="false">MIN(H9593,Assumptions!$L$54*Assumptions!$C$54)</f>
        <v>5.2</v>
      </c>
      <c r="I9599" s="25" t="n">
        <f aca="false">MIN(I9593,Assumptions!$L$54*Assumptions!$C$54)</f>
        <v>5.2</v>
      </c>
      <c r="J9599" s="25" t="n">
        <f aca="false">MIN(J9593,Assumptions!$L$54*Assumptions!$C$54)</f>
        <v>5.2</v>
      </c>
      <c r="K9599" s="25" t="n">
        <f aca="false">MIN(K9593,Assumptions!$L$54*Assumptions!$C$54)</f>
        <v>5.2</v>
      </c>
    </row>
    <row r="9600" customFormat="false" ht="15" hidden="false" customHeight="false" outlineLevel="0" collapsed="false">
      <c r="A9600" s="5" t="s">
        <v>270</v>
      </c>
      <c r="G9600" s="25" t="n">
        <f aca="false">IF(AND(Assumptions!$P$54=1,G9544&lt;Assumptions!$K$54),MIN(MAX(0,-G9658),MAX(0,Assumptions!$D$54-G9593)),0)</f>
        <v>0</v>
      </c>
      <c r="H9600" s="25" t="n">
        <f aca="false">IF(AND(Assumptions!$P$54=1,OR(H9544&lt;Assumptions!$K$54,G9733=1)),MIN(MAX(0,-H9658),MAX(0,Assumptions!$D$54-H9593)),0)</f>
        <v>0</v>
      </c>
      <c r="I9600" s="25" t="n">
        <f aca="false">IF(AND(Assumptions!$P$54=1,OR(I9544&lt;Assumptions!$K$54,H9733=1)),MIN(MAX(0,-I9658),MAX(0,Assumptions!$D$54-I9593)),0)</f>
        <v>0</v>
      </c>
      <c r="J9600" s="25" t="n">
        <f aca="false">IF(AND(Assumptions!$P$54=1,OR(J9544&lt;Assumptions!$K$54,I9733=1)),MIN(MAX(0,-J9658),MAX(0,Assumptions!$D$54-J9593)),0)</f>
        <v>0</v>
      </c>
      <c r="K9600" s="25" t="n">
        <f aca="false">IF(AND(Assumptions!$P$54=1,OR(K9544&lt;Assumptions!$K$54,J9733=1)),MIN(MAX(0,-K9658),MAX(0,Assumptions!$D$54-K9593)),0)</f>
        <v>0</v>
      </c>
    </row>
    <row r="9601" customFormat="false" ht="15" hidden="false" customHeight="false" outlineLevel="0" collapsed="false">
      <c r="A9601" s="5" t="s">
        <v>271</v>
      </c>
      <c r="G9601" s="25" t="n">
        <f aca="false">G9594*MIN(G9593-G9599+G9598,MAX(0,G9660-Assumptions!$C$12*G9578-G9588))</f>
        <v>0</v>
      </c>
      <c r="H9601" s="25" t="n">
        <f aca="false">H9594*MIN(H9593-H9599+H9598,MAX(0,H9660-Assumptions!$C$12*H9578-H9588))</f>
        <v>0</v>
      </c>
      <c r="I9601" s="25" t="n">
        <f aca="false">I9594*MIN(I9593-I9599+I9598,MAX(0,I9660-Assumptions!$C$12*I9578-I9588))</f>
        <v>0</v>
      </c>
      <c r="J9601" s="25" t="n">
        <f aca="false">J9594*MIN(J9593-J9599+J9598,MAX(0,J9660-Assumptions!$C$12*J9578-J9588))</f>
        <v>0</v>
      </c>
      <c r="K9601" s="25" t="n">
        <f aca="false">K9594*MIN(K9593-K9599+K9598,MAX(0,K9660-Assumptions!$C$12*K9578-K9588))</f>
        <v>0</v>
      </c>
    </row>
    <row r="9602" customFormat="false" ht="15" hidden="false" customHeight="false" outlineLevel="0" collapsed="false">
      <c r="A9602" s="5" t="s">
        <v>272</v>
      </c>
      <c r="G9602" s="25" t="n">
        <f aca="false">Assumptions!$N$54*MIN(G9593+G9600+G9598-G9599-G9601,MAX(0,G9664-G9589))</f>
        <v>0</v>
      </c>
      <c r="H9602" s="25" t="n">
        <f aca="false">Assumptions!$N$54*MIN(H9593+H9600+H9598-H9599-H9601,MAX(0,H9664-H9589))</f>
        <v>0</v>
      </c>
      <c r="I9602" s="25" t="n">
        <f aca="false">Assumptions!$N$54*MIN(I9593+I9600+I9598-I9599-I9601,MAX(0,I9664-I9589))</f>
        <v>0</v>
      </c>
      <c r="J9602" s="25" t="n">
        <f aca="false">Assumptions!$N$54*MIN(J9593+J9600+J9598-J9599-J9601,MAX(0,J9664-J9589))</f>
        <v>0</v>
      </c>
      <c r="K9602" s="25" t="n">
        <f aca="false">Assumptions!$N$54*MIN(K9593+K9600+K9598-K9599-K9601,MAX(0,K9664-K9589))</f>
        <v>0</v>
      </c>
    </row>
    <row r="9603" customFormat="false" ht="15" hidden="false" customHeight="false" outlineLevel="0" collapsed="false">
      <c r="A9603" s="5" t="s">
        <v>273</v>
      </c>
      <c r="G9603" s="25" t="n">
        <f aca="false">G9594*(1-G9578)*(G9593-G9599+G9598-G9601)</f>
        <v>0</v>
      </c>
      <c r="H9603" s="25" t="n">
        <f aca="false">H9594*(1-H9578)*(H9593-H9599+H9598-H9601)</f>
        <v>0</v>
      </c>
      <c r="I9603" s="25" t="n">
        <f aca="false">I9594*(1-I9578)*(I9593-I9599+I9598-I9601)</f>
        <v>504.4</v>
      </c>
      <c r="J9603" s="25" t="n">
        <f aca="false">J9594*(1-J9578)*(J9593-J9599+J9598-J9601)</f>
        <v>0</v>
      </c>
      <c r="K9603" s="25" t="n">
        <f aca="false">K9594*(1-K9578)*(K9593-K9599+K9598-K9601)</f>
        <v>0</v>
      </c>
    </row>
    <row r="9604" customFormat="false" ht="15" hidden="false" customHeight="false" outlineLevel="0" collapsed="false">
      <c r="A9604" s="2" t="s">
        <v>274</v>
      </c>
      <c r="F9604" s="27" t="n">
        <f aca="false">Assumptions!$C$54</f>
        <v>520</v>
      </c>
      <c r="G9604" s="16" t="n">
        <f aca="false">G9593+G9600+G9598-G9599-G9601-G9602</f>
        <v>514.8</v>
      </c>
      <c r="H9604" s="16" t="n">
        <f aca="false">H9593+H9600+H9598-H9599-H9601-H9602</f>
        <v>509.6</v>
      </c>
      <c r="I9604" s="16" t="n">
        <f aca="false">I9593+I9600+I9598-I9599-I9601-I9602</f>
        <v>504.4</v>
      </c>
      <c r="J9604" s="16" t="n">
        <f aca="false">J9593+J9600+J9598-J9599-J9601-J9602</f>
        <v>499.2</v>
      </c>
      <c r="K9604" s="16" t="n">
        <f aca="false">K9593+K9600+K9598-K9599-K9601-K9602</f>
        <v>494</v>
      </c>
    </row>
    <row r="9605" customFormat="false" ht="15" hidden="false" customHeight="false" outlineLevel="0" collapsed="false">
      <c r="A9605" s="23" t="s">
        <v>276</v>
      </c>
      <c r="B9605" s="24"/>
      <c r="C9605" s="24"/>
      <c r="D9605" s="24"/>
      <c r="E9605" s="24"/>
      <c r="F9605" s="24"/>
      <c r="G9605" s="24"/>
      <c r="H9605" s="24"/>
      <c r="I9605" s="24"/>
      <c r="J9605" s="24"/>
      <c r="K9605" s="24"/>
    </row>
    <row r="9606" customFormat="false" ht="15" hidden="false" customHeight="false" outlineLevel="0" collapsed="false">
      <c r="A9606" s="5" t="s">
        <v>264</v>
      </c>
      <c r="G9606" s="25" t="n">
        <f aca="false">F9617</f>
        <v>250</v>
      </c>
      <c r="H9606" s="25" t="n">
        <f aca="false">G9617</f>
        <v>250</v>
      </c>
      <c r="I9606" s="25" t="n">
        <f aca="false">H9617</f>
        <v>250</v>
      </c>
      <c r="J9606" s="25" t="n">
        <f aca="false">I9617</f>
        <v>250</v>
      </c>
      <c r="K9606" s="25" t="n">
        <f aca="false">J9617</f>
        <v>250</v>
      </c>
    </row>
    <row r="9607" customFormat="false" ht="15" hidden="false" customHeight="false" outlineLevel="0" collapsed="false">
      <c r="A9607" s="5" t="s">
        <v>265</v>
      </c>
      <c r="G9607" s="20" t="n">
        <f aca="false">IF(G9544=Assumptions!$K$55,1,0)</f>
        <v>0</v>
      </c>
      <c r="H9607" s="20" t="n">
        <f aca="false">IF(H9544=Assumptions!$K$55,1,0)</f>
        <v>0</v>
      </c>
      <c r="I9607" s="20" t="n">
        <f aca="false">IF(I9544=Assumptions!$K$55,1,0)</f>
        <v>0</v>
      </c>
      <c r="J9607" s="20" t="n">
        <f aca="false">IF(J9544=Assumptions!$K$55,1,0)</f>
        <v>1</v>
      </c>
      <c r="K9607" s="20" t="n">
        <f aca="false">IF(K9544=Assumptions!$K$55,1,0)</f>
        <v>0</v>
      </c>
    </row>
    <row r="9609" customFormat="false" ht="15" hidden="false" customHeight="false" outlineLevel="0" collapsed="false">
      <c r="A9609" s="5" t="s">
        <v>266</v>
      </c>
      <c r="G9609" s="30" t="n">
        <f aca="false">IF(Assumptions!$I$55=1,MAX(G9570,Assumptions!$G$55)+Assumptions!$F$55+$C$9571,Assumptions!$E$55)</f>
        <v>0.11</v>
      </c>
      <c r="H9609" s="30" t="n">
        <f aca="false">IF(G9734=1,$C$9572,IF(Assumptions!$I$55=1,MAX(H9570,Assumptions!$G$55)+Assumptions!$F$55+$C$9571,Assumptions!$E$55))</f>
        <v>0.11</v>
      </c>
      <c r="I9609" s="30" t="n">
        <f aca="false">IF(H9734=1,$C$9572,IF(Assumptions!$I$55=1,MAX(I9570,Assumptions!$G$55)+Assumptions!$F$55+$C$9571,Assumptions!$E$55))</f>
        <v>0.11</v>
      </c>
      <c r="J9609" s="30" t="n">
        <f aca="false">IF(I9734=1,$C$9572,IF(Assumptions!$I$55=1,MAX(J9570,Assumptions!$G$55)+Assumptions!$F$55+$C$9571,Assumptions!$E$55))</f>
        <v>0.11</v>
      </c>
      <c r="K9609" s="30" t="n">
        <f aca="false">IF(J9734=1,$C$9572,IF(Assumptions!$I$55=1,MAX(K9570,Assumptions!$G$55)+Assumptions!$F$55+$C$9571,Assumptions!$E$55))</f>
        <v>0.11</v>
      </c>
    </row>
    <row r="9610" customFormat="false" ht="15" hidden="false" customHeight="false" outlineLevel="0" collapsed="false">
      <c r="A9610" s="5" t="s">
        <v>267</v>
      </c>
      <c r="G9610" s="25" t="n">
        <f aca="false">G9606*G9609</f>
        <v>27.5</v>
      </c>
      <c r="H9610" s="25" t="n">
        <f aca="false">H9606*H9609</f>
        <v>27.5</v>
      </c>
      <c r="I9610" s="25" t="n">
        <f aca="false">I9606*I9609</f>
        <v>27.5</v>
      </c>
      <c r="J9610" s="25" t="n">
        <f aca="false">J9606*J9609</f>
        <v>27.5</v>
      </c>
      <c r="K9610" s="25" t="n">
        <f aca="false">K9606*K9609</f>
        <v>27.5</v>
      </c>
    </row>
    <row r="9611" customFormat="false" ht="15" hidden="false" customHeight="false" outlineLevel="0" collapsed="false">
      <c r="A9611" s="5" t="s">
        <v>268</v>
      </c>
      <c r="G9611" s="25" t="n">
        <f aca="false">G9606*Assumptions!$H$55</f>
        <v>0</v>
      </c>
      <c r="H9611" s="25" t="n">
        <f aca="false">H9606*Assumptions!$H$55</f>
        <v>0</v>
      </c>
      <c r="I9611" s="25" t="n">
        <f aca="false">I9606*Assumptions!$H$55</f>
        <v>0</v>
      </c>
      <c r="J9611" s="25" t="n">
        <f aca="false">J9606*Assumptions!$H$55</f>
        <v>0</v>
      </c>
      <c r="K9611" s="25" t="n">
        <f aca="false">K9606*Assumptions!$H$55</f>
        <v>0</v>
      </c>
    </row>
    <row r="9612" customFormat="false" ht="15" hidden="false" customHeight="false" outlineLevel="0" collapsed="false">
      <c r="A9612" s="5" t="s">
        <v>269</v>
      </c>
      <c r="G9612" s="25" t="n">
        <f aca="false">MIN(G9606,Assumptions!$L$55*Assumptions!$C$55)</f>
        <v>0</v>
      </c>
      <c r="H9612" s="25" t="n">
        <f aca="false">MIN(H9606,Assumptions!$L$55*Assumptions!$C$55)</f>
        <v>0</v>
      </c>
      <c r="I9612" s="25" t="n">
        <f aca="false">MIN(I9606,Assumptions!$L$55*Assumptions!$C$55)</f>
        <v>0</v>
      </c>
      <c r="J9612" s="25" t="n">
        <f aca="false">MIN(J9606,Assumptions!$L$55*Assumptions!$C$55)</f>
        <v>0</v>
      </c>
      <c r="K9612" s="25" t="n">
        <f aca="false">MIN(K9606,Assumptions!$L$55*Assumptions!$C$55)</f>
        <v>0</v>
      </c>
    </row>
    <row r="9613" customFormat="false" ht="15" hidden="false" customHeight="false" outlineLevel="0" collapsed="false">
      <c r="A9613" s="5" t="s">
        <v>270</v>
      </c>
      <c r="G9613" s="25" t="n">
        <f aca="false">IF(AND(Assumptions!$P$55=1,G9544&lt;Assumptions!$K$55),MIN(MAX(0,-G9658),MAX(0,Assumptions!$D$55-G9606)),0)</f>
        <v>0</v>
      </c>
      <c r="H9613" s="25" t="n">
        <f aca="false">IF(AND(Assumptions!$P$55=1,OR(H9544&lt;Assumptions!$K$55,G9734=1)),MIN(MAX(0,-H9658),MAX(0,Assumptions!$D$55-H9606)),0)</f>
        <v>0</v>
      </c>
      <c r="I9613" s="25" t="n">
        <f aca="false">IF(AND(Assumptions!$P$55=1,OR(I9544&lt;Assumptions!$K$55,H9734=1)),MIN(MAX(0,-I9658),MAX(0,Assumptions!$D$55-I9606)),0)</f>
        <v>0</v>
      </c>
      <c r="J9613" s="25" t="n">
        <f aca="false">IF(AND(Assumptions!$P$55=1,OR(J9544&lt;Assumptions!$K$55,I9734=1)),MIN(MAX(0,-J9658),MAX(0,Assumptions!$D$55-J9606)),0)</f>
        <v>0</v>
      </c>
      <c r="K9613" s="25" t="n">
        <f aca="false">IF(AND(Assumptions!$P$55=1,OR(K9544&lt;Assumptions!$K$55,J9734=1)),MIN(MAX(0,-K9658),MAX(0,Assumptions!$D$55-K9606)),0)</f>
        <v>0</v>
      </c>
    </row>
    <row r="9614" customFormat="false" ht="15" hidden="false" customHeight="false" outlineLevel="0" collapsed="false">
      <c r="A9614" s="5" t="s">
        <v>271</v>
      </c>
      <c r="G9614" s="25" t="n">
        <f aca="false">G9607*MIN(G9606-G9612+G9611,MAX(0,G9660-Assumptions!$C$12*G9578-G9588-G9601))</f>
        <v>0</v>
      </c>
      <c r="H9614" s="25" t="n">
        <f aca="false">H9607*MIN(H9606-H9612+H9611,MAX(0,H9660-Assumptions!$C$12*H9578-H9588-H9601))</f>
        <v>0</v>
      </c>
      <c r="I9614" s="25" t="n">
        <f aca="false">I9607*MIN(I9606-I9612+I9611,MAX(0,I9660-Assumptions!$C$12*I9578-I9588-I9601))</f>
        <v>0</v>
      </c>
      <c r="J9614" s="25" t="n">
        <f aca="false">J9607*MIN(J9606-J9612+J9611,MAX(0,J9660-Assumptions!$C$12*J9578-J9588-J9601))</f>
        <v>0</v>
      </c>
      <c r="K9614" s="25" t="n">
        <f aca="false">K9607*MIN(K9606-K9612+K9611,MAX(0,K9660-Assumptions!$C$12*K9578-K9588-K9601))</f>
        <v>0</v>
      </c>
    </row>
    <row r="9615" customFormat="false" ht="15" hidden="false" customHeight="false" outlineLevel="0" collapsed="false">
      <c r="A9615" s="5" t="s">
        <v>272</v>
      </c>
      <c r="G9615" s="25" t="n">
        <f aca="false">Assumptions!$N$55*MIN(G9606+G9613+G9611-G9612-G9614,MAX(0,G9664-G9589-G9602))</f>
        <v>0</v>
      </c>
      <c r="H9615" s="25" t="n">
        <f aca="false">Assumptions!$N$55*MIN(H9606+H9613+H9611-H9612-H9614,MAX(0,H9664-H9589-H9602))</f>
        <v>0</v>
      </c>
      <c r="I9615" s="25" t="n">
        <f aca="false">Assumptions!$N$55*MIN(I9606+I9613+I9611-I9612-I9614,MAX(0,I9664-I9589-I9602))</f>
        <v>0</v>
      </c>
      <c r="J9615" s="25" t="n">
        <f aca="false">Assumptions!$N$55*MIN(J9606+J9613+J9611-J9612-J9614,MAX(0,J9664-J9589-J9602))</f>
        <v>0</v>
      </c>
      <c r="K9615" s="25" t="n">
        <f aca="false">Assumptions!$N$55*MIN(K9606+K9613+K9611-K9612-K9614,MAX(0,K9664-K9589-K9602))</f>
        <v>0</v>
      </c>
    </row>
    <row r="9616" customFormat="false" ht="15" hidden="false" customHeight="false" outlineLevel="0" collapsed="false">
      <c r="A9616" s="5" t="s">
        <v>273</v>
      </c>
      <c r="G9616" s="25" t="n">
        <f aca="false">G9607*(1-G9578)*(G9606-G9612+G9611-G9614)</f>
        <v>0</v>
      </c>
      <c r="H9616" s="25" t="n">
        <f aca="false">H9607*(1-H9578)*(H9606-H9612+H9611-H9614)</f>
        <v>0</v>
      </c>
      <c r="I9616" s="25" t="n">
        <f aca="false">I9607*(1-I9578)*(I9606-I9612+I9611-I9614)</f>
        <v>0</v>
      </c>
      <c r="J9616" s="25" t="n">
        <f aca="false">J9607*(1-J9578)*(J9606-J9612+J9611-J9614)</f>
        <v>250</v>
      </c>
      <c r="K9616" s="25" t="n">
        <f aca="false">K9607*(1-K9578)*(K9606-K9612+K9611-K9614)</f>
        <v>0</v>
      </c>
    </row>
    <row r="9617" customFormat="false" ht="15" hidden="false" customHeight="false" outlineLevel="0" collapsed="false">
      <c r="A9617" s="2" t="s">
        <v>274</v>
      </c>
      <c r="F9617" s="27" t="n">
        <f aca="false">Assumptions!$C$55</f>
        <v>250</v>
      </c>
      <c r="G9617" s="16" t="n">
        <f aca="false">G9606+G9613+G9611-G9612-G9614-G9615</f>
        <v>250</v>
      </c>
      <c r="H9617" s="16" t="n">
        <f aca="false">H9606+H9613+H9611-H9612-H9614-H9615</f>
        <v>250</v>
      </c>
      <c r="I9617" s="16" t="n">
        <f aca="false">I9606+I9613+I9611-I9612-I9614-I9615</f>
        <v>250</v>
      </c>
      <c r="J9617" s="16" t="n">
        <f aca="false">J9606+J9613+J9611-J9612-J9614-J9615</f>
        <v>250</v>
      </c>
      <c r="K9617" s="16" t="n">
        <f aca="false">K9606+K9613+K9611-K9612-K9614-K9615</f>
        <v>250</v>
      </c>
    </row>
    <row r="9618" customFormat="false" ht="15" hidden="false" customHeight="false" outlineLevel="0" collapsed="false">
      <c r="A9618" s="23" t="s">
        <v>277</v>
      </c>
      <c r="B9618" s="24"/>
      <c r="C9618" s="24"/>
      <c r="D9618" s="24"/>
      <c r="E9618" s="24"/>
      <c r="F9618" s="24"/>
      <c r="G9618" s="24"/>
      <c r="H9618" s="24"/>
      <c r="I9618" s="24"/>
      <c r="J9618" s="24"/>
      <c r="K9618" s="24"/>
    </row>
    <row r="9619" customFormat="false" ht="15" hidden="false" customHeight="false" outlineLevel="0" collapsed="false">
      <c r="A9619" s="5" t="s">
        <v>264</v>
      </c>
      <c r="G9619" s="25" t="n">
        <f aca="false">F9630</f>
        <v>300</v>
      </c>
      <c r="H9619" s="25" t="n">
        <f aca="false">G9630</f>
        <v>300</v>
      </c>
      <c r="I9619" s="25" t="n">
        <f aca="false">H9630</f>
        <v>300</v>
      </c>
      <c r="J9619" s="25" t="n">
        <f aca="false">I9630</f>
        <v>300</v>
      </c>
      <c r="K9619" s="25" t="n">
        <f aca="false">J9630</f>
        <v>300</v>
      </c>
    </row>
    <row r="9620" customFormat="false" ht="15" hidden="false" customHeight="false" outlineLevel="0" collapsed="false">
      <c r="A9620" s="5" t="s">
        <v>265</v>
      </c>
      <c r="G9620" s="20" t="n">
        <f aca="false">IF(G9544=Assumptions!$K$56,1,0)</f>
        <v>0</v>
      </c>
      <c r="H9620" s="20" t="n">
        <f aca="false">IF(H9544=Assumptions!$K$56,1,0)</f>
        <v>1</v>
      </c>
      <c r="I9620" s="20" t="n">
        <f aca="false">IF(I9544=Assumptions!$K$56,1,0)</f>
        <v>0</v>
      </c>
      <c r="J9620" s="20" t="n">
        <f aca="false">IF(J9544=Assumptions!$K$56,1,0)</f>
        <v>0</v>
      </c>
      <c r="K9620" s="20" t="n">
        <f aca="false">IF(K9544=Assumptions!$K$56,1,0)</f>
        <v>0</v>
      </c>
    </row>
    <row r="9622" customFormat="false" ht="15" hidden="false" customHeight="false" outlineLevel="0" collapsed="false">
      <c r="A9622" s="5" t="s">
        <v>266</v>
      </c>
      <c r="G9622" s="30" t="n">
        <f aca="false">IF(Assumptions!$I$56=1,MAX(G9570,Assumptions!$G$56)+Assumptions!$F$56+$C$9571,Assumptions!$E$56)</f>
        <v>0.075</v>
      </c>
      <c r="H9622" s="30" t="n">
        <f aca="false">IF(G9735=1,$C$9572,IF(Assumptions!$I$56=1,MAX(H9570,Assumptions!$G$56)+Assumptions!$F$56+$C$9571,Assumptions!$E$56))</f>
        <v>0.075</v>
      </c>
      <c r="I9622" s="30" t="n">
        <f aca="false">IF(H9735=1,$C$9572,IF(Assumptions!$I$56=1,MAX(I9570,Assumptions!$G$56)+Assumptions!$F$56+$C$9571,Assumptions!$E$56))</f>
        <v>0.075</v>
      </c>
      <c r="J9622" s="30" t="n">
        <f aca="false">IF(I9735=1,$C$9572,IF(Assumptions!$I$56=1,MAX(J9570,Assumptions!$G$56)+Assumptions!$F$56+$C$9571,Assumptions!$E$56))</f>
        <v>0.075</v>
      </c>
      <c r="K9622" s="30" t="n">
        <f aca="false">IF(J9735=1,$C$9572,IF(Assumptions!$I$56=1,MAX(K9570,Assumptions!$G$56)+Assumptions!$F$56+$C$9571,Assumptions!$E$56))</f>
        <v>0.075</v>
      </c>
    </row>
    <row r="9623" customFormat="false" ht="15" hidden="false" customHeight="false" outlineLevel="0" collapsed="false">
      <c r="A9623" s="5" t="s">
        <v>267</v>
      </c>
      <c r="G9623" s="25" t="n">
        <f aca="false">G9619*G9622</f>
        <v>22.5</v>
      </c>
      <c r="H9623" s="25" t="n">
        <f aca="false">H9619*H9622</f>
        <v>22.5</v>
      </c>
      <c r="I9623" s="25" t="n">
        <f aca="false">I9619*I9622</f>
        <v>22.5</v>
      </c>
      <c r="J9623" s="25" t="n">
        <f aca="false">J9619*J9622</f>
        <v>22.5</v>
      </c>
      <c r="K9623" s="25" t="n">
        <f aca="false">K9619*K9622</f>
        <v>22.5</v>
      </c>
    </row>
    <row r="9624" customFormat="false" ht="15" hidden="false" customHeight="false" outlineLevel="0" collapsed="false">
      <c r="A9624" s="5" t="s">
        <v>268</v>
      </c>
      <c r="G9624" s="25" t="n">
        <f aca="false">G9619*Assumptions!$H$56</f>
        <v>0</v>
      </c>
      <c r="H9624" s="25" t="n">
        <f aca="false">H9619*Assumptions!$H$56</f>
        <v>0</v>
      </c>
      <c r="I9624" s="25" t="n">
        <f aca="false">I9619*Assumptions!$H$56</f>
        <v>0</v>
      </c>
      <c r="J9624" s="25" t="n">
        <f aca="false">J9619*Assumptions!$H$56</f>
        <v>0</v>
      </c>
      <c r="K9624" s="25" t="n">
        <f aca="false">K9619*Assumptions!$H$56</f>
        <v>0</v>
      </c>
    </row>
    <row r="9625" customFormat="false" ht="15" hidden="false" customHeight="false" outlineLevel="0" collapsed="false">
      <c r="A9625" s="5" t="s">
        <v>269</v>
      </c>
      <c r="G9625" s="25" t="n">
        <f aca="false">MIN(G9619,Assumptions!$L$56*Assumptions!$C$56)</f>
        <v>0</v>
      </c>
      <c r="H9625" s="25" t="n">
        <f aca="false">MIN(H9619,Assumptions!$L$56*Assumptions!$C$56)</f>
        <v>0</v>
      </c>
      <c r="I9625" s="25" t="n">
        <f aca="false">MIN(I9619,Assumptions!$L$56*Assumptions!$C$56)</f>
        <v>0</v>
      </c>
      <c r="J9625" s="25" t="n">
        <f aca="false">MIN(J9619,Assumptions!$L$56*Assumptions!$C$56)</f>
        <v>0</v>
      </c>
      <c r="K9625" s="25" t="n">
        <f aca="false">MIN(K9619,Assumptions!$L$56*Assumptions!$C$56)</f>
        <v>0</v>
      </c>
    </row>
    <row r="9626" customFormat="false" ht="15" hidden="false" customHeight="false" outlineLevel="0" collapsed="false">
      <c r="A9626" s="5" t="s">
        <v>270</v>
      </c>
      <c r="G9626" s="25" t="n">
        <f aca="false">IF(AND(Assumptions!$P$56=1,G9544&lt;Assumptions!$K$56),MIN(MAX(0,-G9658),MAX(0,Assumptions!$D$56-G9619)),0)</f>
        <v>0</v>
      </c>
      <c r="H9626" s="25" t="n">
        <f aca="false">IF(AND(Assumptions!$P$56=1,OR(H9544&lt;Assumptions!$K$56,G9735=1)),MIN(MAX(0,-H9658),MAX(0,Assumptions!$D$56-H9619)),0)</f>
        <v>0</v>
      </c>
      <c r="I9626" s="25" t="n">
        <f aca="false">IF(AND(Assumptions!$P$56=1,OR(I9544&lt;Assumptions!$K$56,H9735=1)),MIN(MAX(0,-I9658),MAX(0,Assumptions!$D$56-I9619)),0)</f>
        <v>0</v>
      </c>
      <c r="J9626" s="25" t="n">
        <f aca="false">IF(AND(Assumptions!$P$56=1,OR(J9544&lt;Assumptions!$K$56,I9735=1)),MIN(MAX(0,-J9658),MAX(0,Assumptions!$D$56-J9619)),0)</f>
        <v>0</v>
      </c>
      <c r="K9626" s="25" t="n">
        <f aca="false">IF(AND(Assumptions!$P$56=1,OR(K9544&lt;Assumptions!$K$56,J9735=1)),MIN(MAX(0,-K9658),MAX(0,Assumptions!$D$56-K9619)),0)</f>
        <v>0</v>
      </c>
    </row>
    <row r="9627" customFormat="false" ht="15" hidden="false" customHeight="false" outlineLevel="0" collapsed="false">
      <c r="A9627" s="5" t="s">
        <v>271</v>
      </c>
      <c r="G9627" s="25" t="n">
        <f aca="false">G9620*MIN(G9619-G9625+G9624,MAX(0,G9660-Assumptions!$C$12*G9578-G9588-G9601-G9614))</f>
        <v>0</v>
      </c>
      <c r="H9627" s="25" t="n">
        <f aca="false">H9620*MIN(H9619-H9625+H9624,MAX(0,H9660-Assumptions!$C$12*H9578-H9588-H9601-H9614))</f>
        <v>0</v>
      </c>
      <c r="I9627" s="25" t="n">
        <f aca="false">I9620*MIN(I9619-I9625+I9624,MAX(0,I9660-Assumptions!$C$12*I9578-I9588-I9601-I9614))</f>
        <v>0</v>
      </c>
      <c r="J9627" s="25" t="n">
        <f aca="false">J9620*MIN(J9619-J9625+J9624,MAX(0,J9660-Assumptions!$C$12*J9578-J9588-J9601-J9614))</f>
        <v>0</v>
      </c>
      <c r="K9627" s="25" t="n">
        <f aca="false">K9620*MIN(K9619-K9625+K9624,MAX(0,K9660-Assumptions!$C$12*K9578-K9588-K9601-K9614))</f>
        <v>0</v>
      </c>
    </row>
    <row r="9628" customFormat="false" ht="15" hidden="false" customHeight="false" outlineLevel="0" collapsed="false">
      <c r="A9628" s="5" t="s">
        <v>272</v>
      </c>
      <c r="G9628" s="25" t="n">
        <f aca="false">Assumptions!$N$56*MIN(G9619+G9626+G9624-G9625-G9627,MAX(0,G9664-G9589-G9602-G9615))</f>
        <v>0</v>
      </c>
      <c r="H9628" s="25" t="n">
        <f aca="false">Assumptions!$N$56*MIN(H9619+H9626+H9624-H9625-H9627,MAX(0,H9664-H9589-H9602-H9615))</f>
        <v>0</v>
      </c>
      <c r="I9628" s="25" t="n">
        <f aca="false">Assumptions!$N$56*MIN(I9619+I9626+I9624-I9625-I9627,MAX(0,I9664-I9589-I9602-I9615))</f>
        <v>0</v>
      </c>
      <c r="J9628" s="25" t="n">
        <f aca="false">Assumptions!$N$56*MIN(J9619+J9626+J9624-J9625-J9627,MAX(0,J9664-J9589-J9602-J9615))</f>
        <v>0</v>
      </c>
      <c r="K9628" s="25" t="n">
        <f aca="false">Assumptions!$N$56*MIN(K9619+K9626+K9624-K9625-K9627,MAX(0,K9664-K9589-K9602-K9615))</f>
        <v>0</v>
      </c>
    </row>
    <row r="9629" customFormat="false" ht="15" hidden="false" customHeight="false" outlineLevel="0" collapsed="false">
      <c r="A9629" s="5" t="s">
        <v>273</v>
      </c>
      <c r="G9629" s="25" t="n">
        <f aca="false">G9620*(1-G9578)*(G9619-G9625+G9624-G9627)</f>
        <v>0</v>
      </c>
      <c r="H9629" s="25" t="n">
        <f aca="false">H9620*(1-H9578)*(H9619-H9625+H9624-H9627)</f>
        <v>300</v>
      </c>
      <c r="I9629" s="25" t="n">
        <f aca="false">I9620*(1-I9578)*(I9619-I9625+I9624-I9627)</f>
        <v>0</v>
      </c>
      <c r="J9629" s="25" t="n">
        <f aca="false">J9620*(1-J9578)*(J9619-J9625+J9624-J9627)</f>
        <v>0</v>
      </c>
      <c r="K9629" s="25" t="n">
        <f aca="false">K9620*(1-K9578)*(K9619-K9625+K9624-K9627)</f>
        <v>0</v>
      </c>
    </row>
    <row r="9630" customFormat="false" ht="15" hidden="false" customHeight="false" outlineLevel="0" collapsed="false">
      <c r="A9630" s="2" t="s">
        <v>274</v>
      </c>
      <c r="F9630" s="27" t="n">
        <f aca="false">Assumptions!$C$56</f>
        <v>300</v>
      </c>
      <c r="G9630" s="16" t="n">
        <f aca="false">G9619+G9626+G9624-G9625-G9627-G9628</f>
        <v>300</v>
      </c>
      <c r="H9630" s="16" t="n">
        <f aca="false">H9619+H9626+H9624-H9625-H9627-H9628</f>
        <v>300</v>
      </c>
      <c r="I9630" s="16" t="n">
        <f aca="false">I9619+I9626+I9624-I9625-I9627-I9628</f>
        <v>300</v>
      </c>
      <c r="J9630" s="16" t="n">
        <f aca="false">J9619+J9626+J9624-J9625-J9627-J9628</f>
        <v>300</v>
      </c>
      <c r="K9630" s="16" t="n">
        <f aca="false">K9619+K9626+K9624-K9625-K9627-K9628</f>
        <v>300</v>
      </c>
    </row>
    <row r="9631" customFormat="false" ht="15" hidden="false" customHeight="false" outlineLevel="0" collapsed="false">
      <c r="A9631" s="23" t="s">
        <v>278</v>
      </c>
      <c r="B9631" s="24"/>
      <c r="C9631" s="24"/>
      <c r="D9631" s="24"/>
      <c r="E9631" s="24"/>
      <c r="F9631" s="24"/>
      <c r="G9631" s="24"/>
      <c r="H9631" s="24"/>
      <c r="I9631" s="24"/>
      <c r="J9631" s="24"/>
      <c r="K9631" s="24"/>
    </row>
    <row r="9632" customFormat="false" ht="15" hidden="false" customHeight="false" outlineLevel="0" collapsed="false">
      <c r="A9632" s="2" t="s">
        <v>279</v>
      </c>
      <c r="F9632" s="16" t="n">
        <f aca="false">F9591+F9604+F9617+F9630</f>
        <v>1250</v>
      </c>
      <c r="G9632" s="16" t="n">
        <f aca="false">G9591+G9604+G9617+G9630</f>
        <v>1306.5368</v>
      </c>
      <c r="H9632" s="16" t="n">
        <f aca="false">H9591+H9604+H9617+H9630</f>
        <v>1301.3368</v>
      </c>
      <c r="I9632" s="16" t="n">
        <f aca="false">I9591+I9604+I9617+I9630</f>
        <v>1296.1368</v>
      </c>
      <c r="J9632" s="16" t="n">
        <f aca="false">J9591+J9604+J9617+J9630</f>
        <v>1290.9368</v>
      </c>
      <c r="K9632" s="16" t="n">
        <f aca="false">K9591+K9604+K9617+K9630</f>
        <v>1285.7368</v>
      </c>
    </row>
    <row r="9633" customFormat="false" ht="15" hidden="false" customHeight="false" outlineLevel="0" collapsed="false">
      <c r="A9633" s="5" t="s">
        <v>280</v>
      </c>
      <c r="G9633" s="25" t="n">
        <f aca="false">G9581*Assumptions!$C$53+G9594*Assumptions!$C$54+G9607*Assumptions!$C$55+G9620*Assumptions!$C$56</f>
        <v>0</v>
      </c>
      <c r="H9633" s="25" t="n">
        <f aca="false">H9581*Assumptions!$C$53+H9594*Assumptions!$C$54+H9607*Assumptions!$C$55+H9620*Assumptions!$C$56</f>
        <v>480</v>
      </c>
      <c r="I9633" s="25" t="n">
        <f aca="false">I9581*Assumptions!$C$53+I9594*Assumptions!$C$54+I9607*Assumptions!$C$55+I9620*Assumptions!$C$56</f>
        <v>520</v>
      </c>
      <c r="J9633" s="25" t="n">
        <f aca="false">J9581*Assumptions!$C$53+J9594*Assumptions!$C$54+J9607*Assumptions!$C$55+J9620*Assumptions!$C$56</f>
        <v>250</v>
      </c>
      <c r="K9633" s="25" t="n">
        <f aca="false">K9581*Assumptions!$C$53+K9594*Assumptions!$C$54+K9607*Assumptions!$C$55+K9620*Assumptions!$C$56</f>
        <v>0</v>
      </c>
    </row>
    <row r="9634" customFormat="false" ht="15" hidden="false" customHeight="false" outlineLevel="0" collapsed="false">
      <c r="A9634" s="23" t="s">
        <v>281</v>
      </c>
      <c r="B9634" s="24"/>
      <c r="C9634" s="24"/>
      <c r="D9634" s="24"/>
      <c r="E9634" s="24"/>
      <c r="F9634" s="24"/>
      <c r="G9634" s="24"/>
      <c r="H9634" s="24"/>
      <c r="I9634" s="24"/>
      <c r="J9634" s="24"/>
      <c r="K9634" s="24"/>
    </row>
    <row r="9635" customFormat="false" ht="15" hidden="false" customHeight="false" outlineLevel="0" collapsed="false">
      <c r="A9635" s="5" t="s">
        <v>282</v>
      </c>
      <c r="C9635" s="25" t="n">
        <f aca="false">SUMPRODUCT($G$9581:$K$9581,$G$9580:$K$9580-$G$9586:$K$9586+$G$9585:$K$9585)</f>
        <v>241.7368</v>
      </c>
    </row>
    <row r="9636" customFormat="false" ht="15" hidden="false" customHeight="false" outlineLevel="0" collapsed="false">
      <c r="A9636" s="5" t="s">
        <v>283</v>
      </c>
      <c r="C9636" s="25" t="n">
        <f aca="false">SUMPRODUCT($G$9581:$K$9581,$G$9588:$K$9588)</f>
        <v>0</v>
      </c>
    </row>
    <row r="9637" customFormat="false" ht="15" hidden="false" customHeight="false" outlineLevel="0" collapsed="false">
      <c r="A9637" s="5" t="s">
        <v>284</v>
      </c>
      <c r="C9637" s="5" t="str">
        <f aca="false">IF(SUM($G$9581:$K$9581)=0,"n/a (beyond horizon)",IF(SUMPRODUCT($G$9581:$K$9581,$G$9578:$K$9578)&gt;0,"REFINANCING PASS","REFINANCING FAILURE"))</f>
        <v>REFINANCING FAILURE</v>
      </c>
    </row>
    <row r="9638" customFormat="false" ht="15" hidden="false" customHeight="false" outlineLevel="0" collapsed="false">
      <c r="A9638" s="5" t="s">
        <v>285</v>
      </c>
      <c r="C9638" s="5" t="str">
        <f aca="false">IF(SUM($G$9581:$K$9581)=0,"n/a",IF(C9636&gt;=C9635-0.001,"Repaid from cash",IF(SUMPRODUCT($G$9581:$K$9581,$G$9578:$K$9578)&gt;0,IF(C9636&gt;0,"Partly repaid; remainder refinanced","Refinanced"),IF(SUM($G$9590:$K$9590)&gt;0.001,IF(C9636&gt;0,"Partial repayment; PAYMENT DEFAULT","PAYMENT DEFAULT"),"Repaid from cash"))))</f>
        <v>PAYMENT DEFAULT</v>
      </c>
    </row>
    <row r="9639" customFormat="false" ht="15" hidden="false" customHeight="false" outlineLevel="0" collapsed="false">
      <c r="A9639" s="5" t="s">
        <v>286</v>
      </c>
      <c r="C9639" s="25" t="n">
        <f aca="false">SUMPRODUCT($G$9594:$K$9594,$G$9593:$K$9593-$G$9599:$K$9599+$G$9598:$K$9598)</f>
        <v>504.4</v>
      </c>
    </row>
    <row r="9640" customFormat="false" ht="15" hidden="false" customHeight="false" outlineLevel="0" collapsed="false">
      <c r="A9640" s="5" t="s">
        <v>287</v>
      </c>
      <c r="C9640" s="25" t="n">
        <f aca="false">SUMPRODUCT($G$9594:$K$9594,$G$9601:$K$9601)</f>
        <v>0</v>
      </c>
    </row>
    <row r="9641" customFormat="false" ht="15" hidden="false" customHeight="false" outlineLevel="0" collapsed="false">
      <c r="A9641" s="5" t="s">
        <v>288</v>
      </c>
      <c r="C9641" s="5" t="str">
        <f aca="false">IF(SUM($G$9594:$K$9594)=0,"n/a (beyond horizon)",IF(SUMPRODUCT($G$9594:$K$9594,$G$9578:$K$9578)&gt;0,"REFINANCING PASS","REFINANCING FAILURE"))</f>
        <v>REFINANCING FAILURE</v>
      </c>
    </row>
    <row r="9642" customFormat="false" ht="15" hidden="false" customHeight="false" outlineLevel="0" collapsed="false">
      <c r="A9642" s="5" t="s">
        <v>289</v>
      </c>
      <c r="C9642" s="5" t="str">
        <f aca="false">IF(SUM($G$9594:$K$9594)=0,"n/a",IF(C9640&gt;=C9639-0.001,"Repaid from cash",IF(SUMPRODUCT($G$9594:$K$9594,$G$9578:$K$9578)&gt;0,IF(C9640&gt;0,"Partly repaid; remainder refinanced","Refinanced"),IF(SUM($G$9603:$K$9603)&gt;0.001,IF(C9640&gt;0,"Partial repayment; PAYMENT DEFAULT","PAYMENT DEFAULT"),"Repaid from cash"))))</f>
        <v>PAYMENT DEFAULT</v>
      </c>
    </row>
    <row r="9643" customFormat="false" ht="15" hidden="false" customHeight="false" outlineLevel="0" collapsed="false">
      <c r="A9643" s="5" t="s">
        <v>290</v>
      </c>
      <c r="C9643" s="25" t="n">
        <f aca="false">SUMPRODUCT($G$9607:$K$9607,$G$9606:$K$9606-$G$9612:$K$9612+$G$9611:$K$9611)</f>
        <v>250</v>
      </c>
    </row>
    <row r="9644" customFormat="false" ht="15" hidden="false" customHeight="false" outlineLevel="0" collapsed="false">
      <c r="A9644" s="5" t="s">
        <v>291</v>
      </c>
      <c r="C9644" s="25" t="n">
        <f aca="false">SUMPRODUCT($G$9607:$K$9607,$G$9614:$K$9614)</f>
        <v>0</v>
      </c>
    </row>
    <row r="9645" customFormat="false" ht="15" hidden="false" customHeight="false" outlineLevel="0" collapsed="false">
      <c r="A9645" s="5" t="s">
        <v>292</v>
      </c>
      <c r="C9645" s="5" t="str">
        <f aca="false">IF(SUM($G$9607:$K$9607)=0,"n/a (beyond horizon)",IF(SUMPRODUCT($G$9607:$K$9607,$G$9578:$K$9578)&gt;0,"REFINANCING PASS","REFINANCING FAILURE"))</f>
        <v>REFINANCING FAILURE</v>
      </c>
    </row>
    <row r="9646" customFormat="false" ht="15" hidden="false" customHeight="false" outlineLevel="0" collapsed="false">
      <c r="A9646" s="5" t="s">
        <v>293</v>
      </c>
      <c r="C9646" s="5" t="str">
        <f aca="false">IF(SUM($G$9607:$K$9607)=0,"n/a",IF(C9644&gt;=C9643-0.001,"Repaid from cash",IF(SUMPRODUCT($G$9607:$K$9607,$G$9578:$K$9578)&gt;0,IF(C9644&gt;0,"Partly repaid; remainder refinanced","Refinanced"),IF(SUM($G$9616:$K$9616)&gt;0.001,IF(C9644&gt;0,"Partial repayment; PAYMENT DEFAULT","PAYMENT DEFAULT"),"Repaid from cash"))))</f>
        <v>PAYMENT DEFAULT</v>
      </c>
    </row>
    <row r="9647" customFormat="false" ht="15" hidden="false" customHeight="false" outlineLevel="0" collapsed="false">
      <c r="A9647" s="5" t="s">
        <v>294</v>
      </c>
      <c r="C9647" s="25" t="n">
        <f aca="false">SUMPRODUCT($G$9620:$K$9620,$G$9619:$K$9619-$G$9625:$K$9625+$G$9624:$K$9624)</f>
        <v>300</v>
      </c>
    </row>
    <row r="9648" customFormat="false" ht="15" hidden="false" customHeight="false" outlineLevel="0" collapsed="false">
      <c r="A9648" s="5" t="s">
        <v>295</v>
      </c>
      <c r="C9648" s="25" t="n">
        <f aca="false">SUMPRODUCT($G$9620:$K$9620,$G$9627:$K$9627)</f>
        <v>0</v>
      </c>
    </row>
    <row r="9649" customFormat="false" ht="15" hidden="false" customHeight="false" outlineLevel="0" collapsed="false">
      <c r="A9649" s="5" t="s">
        <v>296</v>
      </c>
      <c r="C9649" s="5" t="str">
        <f aca="false">IF(SUM($G$9620:$K$9620)=0,"n/a (beyond horizon)",IF(SUMPRODUCT($G$9620:$K$9620,$G$9578:$K$9578)&gt;0,"REFINANCING PASS","REFINANCING FAILURE"))</f>
        <v>REFINANCING FAILURE</v>
      </c>
    </row>
    <row r="9650" customFormat="false" ht="15" hidden="false" customHeight="false" outlineLevel="0" collapsed="false">
      <c r="A9650" s="5" t="s">
        <v>297</v>
      </c>
      <c r="C9650" s="5" t="str">
        <f aca="false">IF(SUM($G$9620:$K$9620)=0,"n/a",IF(C9648&gt;=C9647-0.001,"Repaid from cash",IF(SUMPRODUCT($G$9620:$K$9620,$G$9578:$K$9578)&gt;0,IF(C9648&gt;0,"Partly repaid; remainder refinanced","Refinanced"),IF(SUM($G$9629:$K$9629)&gt;0.001,IF(C9648&gt;0,"Partial repayment; PAYMENT DEFAULT","PAYMENT DEFAULT"),"Repaid from cash"))))</f>
        <v>PAYMENT DEFAULT</v>
      </c>
    </row>
    <row r="9651" customFormat="false" ht="15" hidden="false" customHeight="false" outlineLevel="0" collapsed="false">
      <c r="A9651" s="5" t="s">
        <v>298</v>
      </c>
      <c r="C9651" s="20" t="n">
        <f aca="false">IF(C9637="REFINANCING FAILURE",1,0)+IF(C9641="REFINANCING FAILURE",1,0)+IF(C9645="REFINANCING FAILURE",1,0)+IF(C9649="REFINANCING FAILURE",1,0)</f>
        <v>4</v>
      </c>
    </row>
    <row r="9653" customFormat="false" ht="15" hidden="false" customHeight="false" outlineLevel="0" collapsed="false">
      <c r="A9653" s="23" t="s">
        <v>300</v>
      </c>
      <c r="B9653" s="24"/>
      <c r="C9653" s="24"/>
      <c r="D9653" s="24"/>
      <c r="E9653" s="24"/>
      <c r="F9653" s="24"/>
      <c r="G9653" s="24"/>
      <c r="H9653" s="24"/>
      <c r="I9653" s="24"/>
      <c r="J9653" s="24"/>
      <c r="K9653" s="24"/>
    </row>
    <row r="9654" customFormat="false" ht="15" hidden="false" customHeight="false" outlineLevel="0" collapsed="false">
      <c r="A9654" s="5" t="s">
        <v>260</v>
      </c>
      <c r="G9654" s="25" t="n">
        <f aca="false">F9666</f>
        <v>45</v>
      </c>
      <c r="H9654" s="25" t="n">
        <f aca="false">G9666</f>
        <v>0</v>
      </c>
      <c r="I9654" s="25" t="n">
        <f aca="false">H9666</f>
        <v>-151.2201292</v>
      </c>
      <c r="J9654" s="25" t="n">
        <f aca="false">I9666</f>
        <v>-294.082052912</v>
      </c>
      <c r="K9654" s="25" t="n">
        <f aca="false">J9666</f>
        <v>-416.77654325104</v>
      </c>
    </row>
    <row r="9655" customFormat="false" ht="15" hidden="false" customHeight="false" outlineLevel="0" collapsed="false">
      <c r="A9655" s="5" t="s">
        <v>301</v>
      </c>
      <c r="G9655" s="25" t="n">
        <f aca="false">G9567</f>
        <v>-101.5368</v>
      </c>
      <c r="H9655" s="25" t="n">
        <f aca="false">H9567</f>
        <v>-146.0201292</v>
      </c>
      <c r="I9655" s="25" t="n">
        <f aca="false">I9567</f>
        <v>-137.661923712</v>
      </c>
      <c r="J9655" s="25" t="n">
        <f aca="false">J9567</f>
        <v>-117.49449033904</v>
      </c>
      <c r="K9655" s="25" t="n">
        <f aca="false">K9567</f>
        <v>-95.4490199957601</v>
      </c>
    </row>
    <row r="9656" customFormat="false" ht="15" hidden="false" customHeight="false" outlineLevel="0" collapsed="false">
      <c r="A9656" s="5" t="s">
        <v>302</v>
      </c>
      <c r="G9656" s="25" t="n">
        <f aca="false">CHOOSE($C$9537,Assumptions!$G$68,Assumptions!$G$87,Assumptions!$G$106)</f>
        <v>0</v>
      </c>
      <c r="H9656" s="25" t="n">
        <f aca="false">CHOOSE($C$9537,Assumptions!$H$68,Assumptions!$H$87,Assumptions!$H$106)</f>
        <v>0</v>
      </c>
      <c r="I9656" s="25" t="n">
        <f aca="false">CHOOSE($C$9537,Assumptions!$I$68,Assumptions!$I$87,Assumptions!$I$106)</f>
        <v>0</v>
      </c>
      <c r="J9656" s="25" t="n">
        <f aca="false">CHOOSE($C$9537,Assumptions!$J$68,Assumptions!$J$87,Assumptions!$J$106)</f>
        <v>0</v>
      </c>
      <c r="K9656" s="25" t="n">
        <f aca="false">CHOOSE($C$9537,Assumptions!$K$68,Assumptions!$K$87,Assumptions!$K$106)</f>
        <v>0</v>
      </c>
    </row>
    <row r="9657" customFormat="false" ht="15" hidden="false" customHeight="false" outlineLevel="0" collapsed="false">
      <c r="A9657" s="5" t="s">
        <v>303</v>
      </c>
      <c r="G9657" s="25" t="n">
        <f aca="false">G9586+G9599+G9612+G9625</f>
        <v>5.2</v>
      </c>
      <c r="H9657" s="25" t="n">
        <f aca="false">H9586+H9599+H9612+H9625</f>
        <v>5.2</v>
      </c>
      <c r="I9657" s="25" t="n">
        <f aca="false">I9586+I9599+I9612+I9625</f>
        <v>5.2</v>
      </c>
      <c r="J9657" s="25" t="n">
        <f aca="false">J9586+J9599+J9612+J9625</f>
        <v>5.2</v>
      </c>
      <c r="K9657" s="25" t="n">
        <f aca="false">K9586+K9599+K9612+K9625</f>
        <v>5.2</v>
      </c>
    </row>
    <row r="9658" customFormat="false" ht="15" hidden="false" customHeight="false" outlineLevel="0" collapsed="false">
      <c r="A9658" s="2" t="s">
        <v>304</v>
      </c>
      <c r="G9658" s="16" t="n">
        <f aca="false">G9654+G9655+G9656-G9657</f>
        <v>-61.7368</v>
      </c>
      <c r="H9658" s="16" t="n">
        <f aca="false">H9654+H9655+H9656-H9657</f>
        <v>-151.2201292</v>
      </c>
      <c r="I9658" s="16" t="n">
        <f aca="false">I9654+I9655+I9656-I9657</f>
        <v>-294.082052912</v>
      </c>
      <c r="J9658" s="16" t="n">
        <f aca="false">J9654+J9655+J9656-J9657</f>
        <v>-416.77654325104</v>
      </c>
      <c r="K9658" s="16" t="n">
        <f aca="false">K9654+K9655+K9656-K9657</f>
        <v>-517.4255632468</v>
      </c>
    </row>
    <row r="9659" customFormat="false" ht="15" hidden="false" customHeight="false" outlineLevel="0" collapsed="false">
      <c r="A9659" s="5" t="s">
        <v>305</v>
      </c>
      <c r="G9659" s="25" t="n">
        <f aca="false">G9587+G9600+G9613+G9626</f>
        <v>61.7368</v>
      </c>
      <c r="H9659" s="25" t="n">
        <f aca="false">H9587+H9600+H9613+H9626</f>
        <v>0</v>
      </c>
      <c r="I9659" s="25" t="n">
        <f aca="false">I9587+I9600+I9613+I9626</f>
        <v>0</v>
      </c>
      <c r="J9659" s="25" t="n">
        <f aca="false">J9587+J9600+J9613+J9626</f>
        <v>0</v>
      </c>
      <c r="K9659" s="25" t="n">
        <f aca="false">K9587+K9600+K9613+K9626</f>
        <v>0</v>
      </c>
    </row>
    <row r="9660" customFormat="false" ht="15" hidden="false" customHeight="false" outlineLevel="0" collapsed="false">
      <c r="A9660" s="2" t="s">
        <v>306</v>
      </c>
      <c r="G9660" s="16" t="n">
        <f aca="false">G9658+G9659</f>
        <v>0</v>
      </c>
      <c r="H9660" s="16" t="n">
        <f aca="false">H9658+H9659</f>
        <v>-151.2201292</v>
      </c>
      <c r="I9660" s="16" t="n">
        <f aca="false">I9658+I9659</f>
        <v>-294.082052912</v>
      </c>
      <c r="J9660" s="16" t="n">
        <f aca="false">J9658+J9659</f>
        <v>-416.77654325104</v>
      </c>
      <c r="K9660" s="16" t="n">
        <f aca="false">K9658+K9659</f>
        <v>-517.4255632468</v>
      </c>
    </row>
    <row r="9661" customFormat="false" ht="15" hidden="false" customHeight="false" outlineLevel="0" collapsed="false">
      <c r="A9661" s="5" t="s">
        <v>307</v>
      </c>
      <c r="G9661" s="25" t="n">
        <f aca="false">G9588+G9601+G9614+G9627</f>
        <v>0</v>
      </c>
      <c r="H9661" s="25" t="n">
        <f aca="false">H9588+H9601+H9614+H9627</f>
        <v>0</v>
      </c>
      <c r="I9661" s="25" t="n">
        <f aca="false">I9588+I9601+I9614+I9627</f>
        <v>0</v>
      </c>
      <c r="J9661" s="25" t="n">
        <f aca="false">J9588+J9601+J9614+J9627</f>
        <v>0</v>
      </c>
      <c r="K9661" s="25" t="n">
        <f aca="false">K9588+K9601+K9614+K9627</f>
        <v>0</v>
      </c>
    </row>
    <row r="9662" customFormat="false" ht="15" hidden="false" customHeight="false" outlineLevel="0" collapsed="false">
      <c r="A9662" s="2" t="s">
        <v>308</v>
      </c>
      <c r="G9662" s="16" t="n">
        <f aca="false">G9660-G9661</f>
        <v>0</v>
      </c>
      <c r="H9662" s="16" t="n">
        <f aca="false">H9660-H9661</f>
        <v>-151.2201292</v>
      </c>
      <c r="I9662" s="16" t="n">
        <f aca="false">I9660-I9661</f>
        <v>-294.082052912</v>
      </c>
      <c r="J9662" s="16" t="n">
        <f aca="false">J9660-J9661</f>
        <v>-416.77654325104</v>
      </c>
      <c r="K9662" s="16" t="n">
        <f aca="false">K9660-K9661</f>
        <v>-517.4255632468</v>
      </c>
    </row>
    <row r="9663" customFormat="false" ht="15" hidden="false" customHeight="false" outlineLevel="0" collapsed="false">
      <c r="A9663" s="5" t="s">
        <v>309</v>
      </c>
      <c r="G9663" s="25" t="n">
        <f aca="false">MAX(0,-G9662)</f>
        <v>-0</v>
      </c>
      <c r="H9663" s="25" t="n">
        <f aca="false">MAX(0,-H9662)</f>
        <v>151.2201292</v>
      </c>
      <c r="I9663" s="25" t="n">
        <f aca="false">MAX(0,-I9662)</f>
        <v>294.082052912</v>
      </c>
      <c r="J9663" s="25" t="n">
        <f aca="false">MAX(0,-J9662)</f>
        <v>416.77654325104</v>
      </c>
      <c r="K9663" s="25" t="n">
        <f aca="false">MAX(0,-K9662)</f>
        <v>517.4255632468</v>
      </c>
    </row>
    <row r="9664" customFormat="false" ht="15" hidden="false" customHeight="false" outlineLevel="0" collapsed="false">
      <c r="A9664" s="5" t="s">
        <v>310</v>
      </c>
      <c r="G9664" s="25" t="n">
        <f aca="false">MAX(0,G9662-Assumptions!$C$12)*Assumptions!$C$13</f>
        <v>0</v>
      </c>
      <c r="H9664" s="25" t="n">
        <f aca="false">MAX(0,H9662-Assumptions!$C$12)*Assumptions!$C$13</f>
        <v>0</v>
      </c>
      <c r="I9664" s="25" t="n">
        <f aca="false">MAX(0,I9662-Assumptions!$C$12)*Assumptions!$C$13</f>
        <v>0</v>
      </c>
      <c r="J9664" s="25" t="n">
        <f aca="false">MAX(0,J9662-Assumptions!$C$12)*Assumptions!$C$13</f>
        <v>0</v>
      </c>
      <c r="K9664" s="25" t="n">
        <f aca="false">MAX(0,K9662-Assumptions!$C$12)*Assumptions!$C$13</f>
        <v>0</v>
      </c>
    </row>
    <row r="9665" customFormat="false" ht="15" hidden="false" customHeight="false" outlineLevel="0" collapsed="false">
      <c r="A9665" s="5" t="s">
        <v>311</v>
      </c>
      <c r="G9665" s="25" t="n">
        <f aca="false">G9589+G9602+G9615+G9628</f>
        <v>0</v>
      </c>
      <c r="H9665" s="25" t="n">
        <f aca="false">H9589+H9602+H9615+H9628</f>
        <v>0</v>
      </c>
      <c r="I9665" s="25" t="n">
        <f aca="false">I9589+I9602+I9615+I9628</f>
        <v>0</v>
      </c>
      <c r="J9665" s="25" t="n">
        <f aca="false">J9589+J9602+J9615+J9628</f>
        <v>0</v>
      </c>
      <c r="K9665" s="25" t="n">
        <f aca="false">K9589+K9602+K9615+K9628</f>
        <v>0</v>
      </c>
    </row>
    <row r="9666" customFormat="false" ht="15" hidden="false" customHeight="false" outlineLevel="0" collapsed="false">
      <c r="A9666" s="2" t="s">
        <v>312</v>
      </c>
      <c r="F9666" s="27" t="n">
        <f aca="false">Assumptions!$C$11</f>
        <v>45</v>
      </c>
      <c r="G9666" s="16" t="n">
        <f aca="false">G9662-G9665</f>
        <v>0</v>
      </c>
      <c r="H9666" s="16" t="n">
        <f aca="false">H9662-H9665</f>
        <v>-151.2201292</v>
      </c>
      <c r="I9666" s="16" t="n">
        <f aca="false">I9662-I9665</f>
        <v>-294.082052912</v>
      </c>
      <c r="J9666" s="16" t="n">
        <f aca="false">J9662-J9665</f>
        <v>-416.77654325104</v>
      </c>
      <c r="K9666" s="16" t="n">
        <f aca="false">K9662-K9665</f>
        <v>-517.4255632468</v>
      </c>
    </row>
    <row r="9667" customFormat="false" ht="15" hidden="false" customHeight="false" outlineLevel="0" collapsed="false">
      <c r="A9667" s="5" t="s">
        <v>313</v>
      </c>
      <c r="G9667" s="25" t="n">
        <f aca="false">G9590+G9603+G9616+G9629</f>
        <v>0</v>
      </c>
      <c r="H9667" s="25" t="n">
        <f aca="false">H9590+H9603+H9616+H9629</f>
        <v>541.7368</v>
      </c>
      <c r="I9667" s="25" t="n">
        <f aca="false">I9590+I9603+I9616+I9629</f>
        <v>504.4</v>
      </c>
      <c r="J9667" s="25" t="n">
        <f aca="false">J9590+J9603+J9616+J9629</f>
        <v>250</v>
      </c>
      <c r="K9667" s="25" t="n">
        <f aca="false">K9590+K9603+K9616+K9629</f>
        <v>0</v>
      </c>
    </row>
    <row r="9668" customFormat="false" ht="15" hidden="false" customHeight="false" outlineLevel="0" collapsed="false">
      <c r="A9668" s="5" t="s">
        <v>314</v>
      </c>
      <c r="G9668" s="20" t="n">
        <f aca="false">IF(OR(G9663&gt;0.001,G9667&gt;0.001),1,0)</f>
        <v>0</v>
      </c>
      <c r="H9668" s="20" t="n">
        <f aca="false">IF(OR(H9663&gt;0.001,H9667&gt;0.001),1,0)</f>
        <v>1</v>
      </c>
      <c r="I9668" s="20" t="n">
        <f aca="false">IF(OR(I9663&gt;0.001,I9667&gt;0.001),1,0)</f>
        <v>1</v>
      </c>
      <c r="J9668" s="20" t="n">
        <f aca="false">IF(OR(J9663&gt;0.001,J9667&gt;0.001),1,0)</f>
        <v>1</v>
      </c>
      <c r="K9668" s="20" t="n">
        <f aca="false">IF(OR(K9663&gt;0.001,K9667&gt;0.001),1,0)</f>
        <v>1</v>
      </c>
    </row>
    <row r="9669" customFormat="false" ht="15" hidden="false" customHeight="false" outlineLevel="0" collapsed="false">
      <c r="A9669" s="5" t="s">
        <v>315</v>
      </c>
      <c r="G9669" s="20" t="n">
        <f aca="false">IF(G9668=1,1,0)</f>
        <v>0</v>
      </c>
      <c r="H9669" s="20" t="n">
        <f aca="false">IF(AND(H9668=1,SUM($G$9668:G9668)=0),1,0)</f>
        <v>1</v>
      </c>
      <c r="I9669" s="20" t="n">
        <f aca="false">IF(AND(I9668=1,SUM($G$9668:H9668)=0),1,0)</f>
        <v>0</v>
      </c>
      <c r="J9669" s="20" t="n">
        <f aca="false">IF(AND(J9668=1,SUM($G$9668:I9668)=0),1,0)</f>
        <v>0</v>
      </c>
      <c r="K9669" s="20" t="n">
        <f aca="false">IF(AND(K9668=1,SUM($G$9668:J9668)=0),1,0)</f>
        <v>0</v>
      </c>
    </row>
    <row r="9670" customFormat="false" ht="15" hidden="false" customHeight="false" outlineLevel="0" collapsed="false">
      <c r="A9670" s="5" t="s">
        <v>316</v>
      </c>
      <c r="G9670" s="25" t="n">
        <f aca="false">(G9632-F9632)-(G9659+G9559-G9657-G9661-G9665)</f>
        <v>0</v>
      </c>
      <c r="H9670" s="25" t="n">
        <f aca="false">(H9632-G9632)-(H9659+H9559-H9657-H9661-H9665)</f>
        <v>1.82076576038526E-013</v>
      </c>
      <c r="I9670" s="25" t="n">
        <f aca="false">(I9632-H9632)-(I9659+I9559-I9657-I9661-I9665)</f>
        <v>-4.52970994047064E-014</v>
      </c>
      <c r="J9670" s="25" t="n">
        <f aca="false">(J9632-I9632)-(J9659+J9559-J9657-J9661-J9665)</f>
        <v>-4.52970994047064E-014</v>
      </c>
      <c r="K9670" s="25" t="n">
        <f aca="false">(K9632-J9632)-(K9659+K9559-K9657-K9661-K9665)</f>
        <v>1.82076576038526E-013</v>
      </c>
    </row>
    <row r="9672" customFormat="false" ht="15" hidden="false" customHeight="false" outlineLevel="0" collapsed="false">
      <c r="A9672" s="23" t="s">
        <v>318</v>
      </c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</row>
    <row r="9673" customFormat="false" ht="15" hidden="false" customHeight="false" outlineLevel="0" collapsed="false">
      <c r="A9673" s="5" t="s">
        <v>319</v>
      </c>
      <c r="G9673" s="25" t="n">
        <f aca="false">G9632</f>
        <v>1306.5368</v>
      </c>
      <c r="H9673" s="25" t="n">
        <f aca="false">H9632</f>
        <v>1301.3368</v>
      </c>
      <c r="I9673" s="25" t="n">
        <f aca="false">I9632</f>
        <v>1296.1368</v>
      </c>
      <c r="J9673" s="25" t="n">
        <f aca="false">J9632</f>
        <v>1290.9368</v>
      </c>
      <c r="K9673" s="25" t="n">
        <f aca="false">K9632</f>
        <v>1285.7368</v>
      </c>
    </row>
    <row r="9674" customFormat="false" ht="15" hidden="false" customHeight="false" outlineLevel="0" collapsed="false">
      <c r="A9674" s="5" t="s">
        <v>320</v>
      </c>
      <c r="G9674" s="25" t="n">
        <f aca="false">Assumptions!$O$53*G9591+Assumptions!$O$54*G9604+Assumptions!$O$55*G9617+Assumptions!$O$56*G9630</f>
        <v>1006.5368</v>
      </c>
      <c r="H9674" s="25" t="n">
        <f aca="false">Assumptions!$O$53*H9591+Assumptions!$O$54*H9604+Assumptions!$O$55*H9617+Assumptions!$O$56*H9630</f>
        <v>1001.3368</v>
      </c>
      <c r="I9674" s="25" t="n">
        <f aca="false">Assumptions!$O$53*I9591+Assumptions!$O$54*I9604+Assumptions!$O$55*I9617+Assumptions!$O$56*I9630</f>
        <v>996.1368</v>
      </c>
      <c r="J9674" s="25" t="n">
        <f aca="false">Assumptions!$O$53*J9591+Assumptions!$O$54*J9604+Assumptions!$O$55*J9617+Assumptions!$O$56*J9630</f>
        <v>990.9368</v>
      </c>
      <c r="K9674" s="25" t="n">
        <f aca="false">Assumptions!$O$53*K9591+Assumptions!$O$54*K9604+Assumptions!$O$55*K9617+Assumptions!$O$56*K9630</f>
        <v>985.7368</v>
      </c>
    </row>
    <row r="9675" customFormat="false" ht="15" hidden="false" customHeight="false" outlineLevel="0" collapsed="false">
      <c r="A9675" s="5" t="s">
        <v>321</v>
      </c>
      <c r="G9675" s="25" t="n">
        <f aca="false">G9673-G9666</f>
        <v>1306.5368</v>
      </c>
      <c r="H9675" s="25" t="n">
        <f aca="false">H9673-H9666</f>
        <v>1452.5569292</v>
      </c>
      <c r="I9675" s="25" t="n">
        <f aca="false">I9673-I9666</f>
        <v>1590.218852912</v>
      </c>
      <c r="J9675" s="25" t="n">
        <f aca="false">J9673-J9666</f>
        <v>1707.71334325104</v>
      </c>
      <c r="K9675" s="25" t="n">
        <f aca="false">K9673-K9666</f>
        <v>1803.1623632468</v>
      </c>
    </row>
    <row r="9676" customFormat="false" ht="15" hidden="false" customHeight="false" outlineLevel="0" collapsed="false">
      <c r="A9676" s="5" t="s">
        <v>322</v>
      </c>
      <c r="G9676" s="31" t="n">
        <f aca="false">IF(G9554&gt;0,G9673/G9554,0)</f>
        <v>15.2191874009878</v>
      </c>
      <c r="H9676" s="31" t="n">
        <f aca="false">IF(H9554&gt;0,H9673/H9554,0)</f>
        <v>21.7412421809591</v>
      </c>
      <c r="I9676" s="31" t="n">
        <f aca="false">IF(I9554&gt;0,I9673/I9554,0)</f>
        <v>15.6841577888115</v>
      </c>
      <c r="J9676" s="31" t="n">
        <f aca="false">IF(J9554&gt;0,J9673/J9554,0)</f>
        <v>11.8745947804056</v>
      </c>
      <c r="K9676" s="31" t="n">
        <f aca="false">IF(K9554&gt;0,K9673/K9554,0)</f>
        <v>9.2624010434659</v>
      </c>
    </row>
    <row r="9677" customFormat="false" ht="15" hidden="false" customHeight="false" outlineLevel="0" collapsed="false">
      <c r="A9677" s="5" t="s">
        <v>323</v>
      </c>
      <c r="G9677" s="31" t="n">
        <f aca="false">IF(G9554&gt;0,G9675/G9554,0)</f>
        <v>15.2191874009878</v>
      </c>
      <c r="H9677" s="31" t="n">
        <f aca="false">IF(H9554&gt;0,H9675/H9554,0)</f>
        <v>24.2676545989996</v>
      </c>
      <c r="I9677" s="31" t="n">
        <f aca="false">IF(I9554&gt;0,I9675/I9554,0)</f>
        <v>19.2427554003672</v>
      </c>
      <c r="J9677" s="31" t="n">
        <f aca="false">IF(J9554&gt;0,J9675/J9554,0)</f>
        <v>15.7082856048397</v>
      </c>
      <c r="K9677" s="31" t="n">
        <f aca="false">IF(K9554&gt;0,K9675/K9554,0)</f>
        <v>12.9899159414863</v>
      </c>
    </row>
    <row r="9678" customFormat="false" ht="15" hidden="false" customHeight="false" outlineLevel="0" collapsed="false">
      <c r="A9678" s="5" t="s">
        <v>324</v>
      </c>
      <c r="G9678" s="31" t="n">
        <f aca="false">IF(G9558&gt;0,G9554/G9558,0)</f>
        <v>0.662714219546086</v>
      </c>
      <c r="H9678" s="31" t="n">
        <f aca="false">IF(H9558&gt;0,H9554/H9558,0)</f>
        <v>0.449129325079886</v>
      </c>
      <c r="I9678" s="31" t="n">
        <f aca="false">IF(I9558&gt;0,I9554/I9558,0)</f>
        <v>0.631844208373709</v>
      </c>
      <c r="J9678" s="31" t="n">
        <f aca="false">IF(J9558&gt;0,J9554/J9558,0)</f>
        <v>0.834953098316858</v>
      </c>
      <c r="K9678" s="31" t="n">
        <f aca="false">IF(K9558&gt;0,K9554/K9558,0)</f>
        <v>1.07094893496007</v>
      </c>
    </row>
    <row r="9679" customFormat="false" ht="15" hidden="false" customHeight="false" outlineLevel="0" collapsed="false">
      <c r="A9679" s="5" t="s">
        <v>325</v>
      </c>
      <c r="G9679" s="31" t="n">
        <f aca="false">IF(G9558&gt;0,G9557/G9558,0)</f>
        <v>0.246150995831404</v>
      </c>
      <c r="H9679" s="31" t="n">
        <f aca="false">IF(H9558&gt;0,H9557/H9558,0)</f>
        <v>0.0195273619599948</v>
      </c>
      <c r="I9679" s="31" t="n">
        <f aca="false">IF(I9558&gt;0,I9557/I9558,0)</f>
        <v>0.152514119262619</v>
      </c>
      <c r="J9679" s="31" t="n">
        <f aca="false">IF(J9558&gt;0,J9557/J9558,0)</f>
        <v>0.31012543651769</v>
      </c>
      <c r="K9679" s="31" t="n">
        <f aca="false">IF(K9558&gt;0,K9557/K9558,0)</f>
        <v>0.496293408883933</v>
      </c>
    </row>
    <row r="9680" customFormat="false" ht="15" hidden="false" customHeight="false" outlineLevel="0" collapsed="false">
      <c r="A9680" s="5" t="s">
        <v>182</v>
      </c>
      <c r="G9680" s="21" t="n">
        <f aca="false">IF(G9673&gt;0,G9567/G9673,0)</f>
        <v>-0.0777144585594528</v>
      </c>
      <c r="H9680" s="21" t="n">
        <f aca="false">IF(H9673&gt;0,H9567/H9673,0)</f>
        <v>-0.112207792171865</v>
      </c>
      <c r="I9680" s="21" t="n">
        <f aca="false">IF(I9673&gt;0,I9567/I9673,0)</f>
        <v>-0.10620940915496</v>
      </c>
      <c r="J9680" s="21" t="n">
        <f aca="false">IF(J9673&gt;0,J9567/J9673,0)</f>
        <v>-0.0910149050976315</v>
      </c>
      <c r="K9680" s="21" t="n">
        <f aca="false">IF(K9673&gt;0,K9567/K9673,0)</f>
        <v>-0.0742368266940482</v>
      </c>
    </row>
    <row r="9681" customFormat="false" ht="15" hidden="false" customHeight="false" outlineLevel="0" collapsed="false">
      <c r="A9681" s="5" t="s">
        <v>326</v>
      </c>
      <c r="G9681" s="31" t="n">
        <f aca="false">IF(G9558+G9657&gt;0,(G9554-G9565-G9562)/(G9558+G9657),0)</f>
        <v>0.291263173519371</v>
      </c>
      <c r="H9681" s="31" t="n">
        <f aca="false">IF(H9558+H9657&gt;0,(H9554-H9565-H9562)/(H9558+H9657),0)</f>
        <v>0.0751761934451024</v>
      </c>
      <c r="I9681" s="31" t="n">
        <f aca="false">IF(I9558+I9657&gt;0,(I9554-I9565-I9562)/(I9558+I9657),0)</f>
        <v>0.209546191393469</v>
      </c>
      <c r="J9681" s="31" t="n">
        <f aca="false">IF(J9558+J9657&gt;0,(J9554-J9565-J9562)/(J9558+J9657),0)</f>
        <v>0.367034461302146</v>
      </c>
      <c r="K9681" s="31" t="n">
        <f aca="false">IF(K9558+K9657&gt;0,(K9554-K9565-K9562)/(K9558+K9657),0)</f>
        <v>0.552490491072334</v>
      </c>
    </row>
    <row r="9682" customFormat="false" ht="15" hidden="false" customHeight="false" outlineLevel="0" collapsed="false">
      <c r="A9682" s="5" t="s">
        <v>327</v>
      </c>
      <c r="G9682" s="25" t="n">
        <f aca="false">MAX(0,G9666)+Assumptions!$P$53*MAX(0,Assumptions!$D$53-G9591)+Assumptions!$P$54*MAX(0,Assumptions!$D$54-G9604)+Assumptions!$P$55*MAX(0,Assumptions!$D$55-G9617)+Assumptions!$P$56*MAX(0,Assumptions!$D$56-G9630)</f>
        <v>58.2632</v>
      </c>
      <c r="H9682" s="25" t="n">
        <f aca="false">MAX(0,H9666)+Assumptions!$P$53*MAX(0,Assumptions!$D$53-H9591)+Assumptions!$P$54*MAX(0,Assumptions!$D$54-H9604)+Assumptions!$P$55*MAX(0,Assumptions!$D$55-H9617)+Assumptions!$P$56*MAX(0,Assumptions!$D$56-H9630)</f>
        <v>58.2632</v>
      </c>
      <c r="I9682" s="25" t="n">
        <f aca="false">MAX(0,I9666)+Assumptions!$P$53*MAX(0,Assumptions!$D$53-I9591)+Assumptions!$P$54*MAX(0,Assumptions!$D$54-I9604)+Assumptions!$P$55*MAX(0,Assumptions!$D$55-I9617)+Assumptions!$P$56*MAX(0,Assumptions!$D$56-I9630)</f>
        <v>58.2632</v>
      </c>
      <c r="J9682" s="25" t="n">
        <f aca="false">MAX(0,J9666)+Assumptions!$P$53*MAX(0,Assumptions!$D$53-J9591)+Assumptions!$P$54*MAX(0,Assumptions!$D$54-J9604)+Assumptions!$P$55*MAX(0,Assumptions!$D$55-J9617)+Assumptions!$P$56*MAX(0,Assumptions!$D$56-J9630)</f>
        <v>58.2632</v>
      </c>
      <c r="K9682" s="25" t="n">
        <f aca="false">MAX(0,K9666)+Assumptions!$P$53*MAX(0,Assumptions!$D$53-K9591)+Assumptions!$P$54*MAX(0,Assumptions!$D$54-K9604)+Assumptions!$P$55*MAX(0,Assumptions!$D$55-K9617)+Assumptions!$P$56*MAX(0,Assumptions!$D$56-K9630)</f>
        <v>58.2632</v>
      </c>
    </row>
    <row r="9683" customFormat="false" ht="15" hidden="false" customHeight="false" outlineLevel="0" collapsed="false">
      <c r="A9683" s="5" t="s">
        <v>328</v>
      </c>
      <c r="G9683" s="21" t="n">
        <f aca="false">IF(G9673&gt;0,G9673/(G9673+MAX(0,G9554*CHOOSE($C$9537,Assumptions!$C$76,Assumptions!$C$95,Assumptions!$C$114)-G9675)),0)</f>
        <v>1</v>
      </c>
      <c r="H9683" s="21" t="n">
        <f aca="false">IF(H9673&gt;0,H9673/(H9673+MAX(0,H9554*CHOOSE($C$9537,Assumptions!$C$76,Assumptions!$C$95,Assumptions!$C$114)-H9675)),0)</f>
        <v>1</v>
      </c>
      <c r="I9683" s="21" t="n">
        <f aca="false">IF(I9673&gt;0,I9673/(I9673+MAX(0,I9554*CHOOSE($C$9537,Assumptions!$C$76,Assumptions!$C$95,Assumptions!$C$114)-I9675)),0)</f>
        <v>1</v>
      </c>
      <c r="J9683" s="21" t="n">
        <f aca="false">IF(J9673&gt;0,J9673/(J9673+MAX(0,J9554*CHOOSE($C$9537,Assumptions!$C$76,Assumptions!$C$95,Assumptions!$C$114)-J9675)),0)</f>
        <v>1</v>
      </c>
      <c r="K9683" s="21" t="n">
        <f aca="false">IF(K9673&gt;0,K9673/(K9673+MAX(0,K9554*CHOOSE($C$9537,Assumptions!$C$76,Assumptions!$C$95,Assumptions!$C$114)-K9675)),0)</f>
        <v>1</v>
      </c>
    </row>
    <row r="9684" customFormat="false" ht="15" hidden="false" customHeight="false" outlineLevel="0" collapsed="false">
      <c r="A9684" s="5" t="s">
        <v>329</v>
      </c>
      <c r="G9684" s="21" t="n">
        <f aca="false">IF(G9673&gt;0,MAX(0,G9666)/G9673,0)</f>
        <v>0</v>
      </c>
      <c r="H9684" s="21" t="n">
        <f aca="false">IF(H9673&gt;0,MAX(0,H9666)/H9673,0)</f>
        <v>0</v>
      </c>
      <c r="I9684" s="21" t="n">
        <f aca="false">IF(I9673&gt;0,MAX(0,I9666)/I9673,0)</f>
        <v>0</v>
      </c>
      <c r="J9684" s="21" t="n">
        <f aca="false">IF(J9673&gt;0,MAX(0,J9666)/J9673,0)</f>
        <v>0</v>
      </c>
      <c r="K9684" s="21" t="n">
        <f aca="false">IF(K9673&gt;0,MAX(0,K9666)/K9673,0)</f>
        <v>0</v>
      </c>
    </row>
    <row r="9685" customFormat="false" ht="15" hidden="false" customHeight="false" outlineLevel="0" collapsed="false">
      <c r="A9685" s="5" t="s">
        <v>330</v>
      </c>
      <c r="G9685" s="25" t="n">
        <f aca="false">Assumptions!$C$27*(1-CHOOSE($C$9537,Assumptions!$C$79,Assumptions!$C$98,Assumptions!$C$117))</f>
        <v>884</v>
      </c>
      <c r="H9685" s="25" t="n">
        <f aca="false">Assumptions!$C$27*(1-CHOOSE($C$9537,Assumptions!$C$79,Assumptions!$C$98,Assumptions!$C$117))</f>
        <v>884</v>
      </c>
      <c r="I9685" s="25" t="n">
        <f aca="false">Assumptions!$C$27*(1-CHOOSE($C$9537,Assumptions!$C$79,Assumptions!$C$98,Assumptions!$C$117))</f>
        <v>884</v>
      </c>
      <c r="J9685" s="25" t="n">
        <f aca="false">Assumptions!$C$27*(1-CHOOSE($C$9537,Assumptions!$C$79,Assumptions!$C$98,Assumptions!$C$117))</f>
        <v>884</v>
      </c>
      <c r="K9685" s="25" t="n">
        <f aca="false">Assumptions!$C$27*(1-CHOOSE($C$9537,Assumptions!$C$79,Assumptions!$C$98,Assumptions!$C$117))</f>
        <v>884</v>
      </c>
    </row>
    <row r="9686" customFormat="false" ht="15" hidden="false" customHeight="false" outlineLevel="0" collapsed="false">
      <c r="A9686" s="23" t="s">
        <v>331</v>
      </c>
      <c r="B9686" s="24"/>
      <c r="C9686" s="24"/>
      <c r="D9686" s="24"/>
      <c r="E9686" s="24"/>
      <c r="F9686" s="24"/>
      <c r="G9686" s="24"/>
      <c r="H9686" s="24"/>
      <c r="I9686" s="24"/>
      <c r="J9686" s="24"/>
      <c r="K9686" s="24"/>
    </row>
    <row r="9687" customFormat="false" ht="15" hidden="false" customHeight="false" outlineLevel="0" collapsed="false">
      <c r="A9687" s="23" t="s">
        <v>332</v>
      </c>
      <c r="B9687" s="24"/>
      <c r="C9687" s="24"/>
      <c r="D9687" s="24"/>
      <c r="E9687" s="24"/>
      <c r="F9687" s="24"/>
      <c r="G9687" s="24"/>
      <c r="H9687" s="24"/>
      <c r="I9687" s="24"/>
      <c r="J9687" s="24"/>
      <c r="K9687" s="24"/>
    </row>
    <row r="9688" customFormat="false" ht="15" hidden="false" customHeight="false" outlineLevel="0" collapsed="false">
      <c r="A9688" s="5" t="s">
        <v>333</v>
      </c>
      <c r="G9688" s="31" t="n">
        <f aca="false">IF(G9554&gt;0,G9675/G9554,99)</f>
        <v>15.2191874009878</v>
      </c>
      <c r="H9688" s="31" t="n">
        <f aca="false">IF(H9554&gt;0,H9675/H9554,99)</f>
        <v>24.2676545989996</v>
      </c>
      <c r="I9688" s="31" t="n">
        <f aca="false">IF(I9554&gt;0,I9675/I9554,99)</f>
        <v>19.2427554003672</v>
      </c>
      <c r="J9688" s="31" t="n">
        <f aca="false">IF(J9554&gt;0,J9675/J9554,99)</f>
        <v>15.7082856048397</v>
      </c>
      <c r="K9688" s="31" t="n">
        <f aca="false">IF(K9554&gt;0,K9675/K9554,99)</f>
        <v>12.9899159414863</v>
      </c>
    </row>
    <row r="9689" customFormat="false" ht="15" hidden="false" customHeight="false" outlineLevel="0" collapsed="false">
      <c r="A9689" s="5" t="s">
        <v>334</v>
      </c>
      <c r="G9689" s="32" t="n">
        <f aca="false">Assumptions!$G$61</f>
        <v>8.5</v>
      </c>
      <c r="H9689" s="32" t="n">
        <f aca="false">Assumptions!$H$61</f>
        <v>8.5</v>
      </c>
      <c r="I9689" s="32" t="n">
        <f aca="false">Assumptions!$I$61</f>
        <v>8.5</v>
      </c>
      <c r="J9689" s="32" t="n">
        <f aca="false">Assumptions!$J$61</f>
        <v>8.5</v>
      </c>
      <c r="K9689" s="32" t="n">
        <f aca="false">Assumptions!$K$61</f>
        <v>8.5</v>
      </c>
    </row>
    <row r="9690" customFormat="false" ht="15" hidden="false" customHeight="false" outlineLevel="0" collapsed="false">
      <c r="A9690" s="5" t="s">
        <v>335</v>
      </c>
      <c r="G9690" s="31" t="n">
        <f aca="false">G9689-G9688</f>
        <v>-6.71918740098779</v>
      </c>
      <c r="H9690" s="31" t="n">
        <f aca="false">H9689-H9688</f>
        <v>-15.7676545989996</v>
      </c>
      <c r="I9690" s="31" t="n">
        <f aca="false">I9689-I9688</f>
        <v>-10.7427554003672</v>
      </c>
      <c r="J9690" s="31" t="n">
        <f aca="false">J9689-J9688</f>
        <v>-7.2082856048397</v>
      </c>
      <c r="K9690" s="31" t="n">
        <f aca="false">K9689-K9688</f>
        <v>-4.48991594148632</v>
      </c>
    </row>
    <row r="9691" customFormat="false" ht="15" hidden="false" customHeight="false" outlineLevel="0" collapsed="false">
      <c r="A9691" s="5" t="s">
        <v>336</v>
      </c>
      <c r="G9691" s="21" t="n">
        <f aca="false">IF(G9689=0,0,G9690/ABS(G9689))</f>
        <v>-0.790492635410328</v>
      </c>
      <c r="H9691" s="21" t="n">
        <f aca="false">IF(H9689=0,0,H9690/ABS(H9689))</f>
        <v>-1.8550181881176</v>
      </c>
      <c r="I9691" s="21" t="n">
        <f aca="false">IF(I9689=0,0,I9690/ABS(I9689))</f>
        <v>-1.26385357651378</v>
      </c>
      <c r="J9691" s="21" t="n">
        <f aca="false">IF(J9689=0,0,J9690/ABS(J9689))</f>
        <v>-0.848033600569376</v>
      </c>
      <c r="K9691" s="21" t="n">
        <f aca="false">IF(K9689=0,0,K9690/ABS(K9689))</f>
        <v>-0.528225404880743</v>
      </c>
    </row>
    <row r="9692" customFormat="false" ht="15" hidden="false" customHeight="false" outlineLevel="0" collapsed="false">
      <c r="A9692" s="5" t="s">
        <v>337</v>
      </c>
      <c r="G9692" s="20" t="n">
        <f aca="false">IF(G9690&lt;0,1,0)</f>
        <v>1</v>
      </c>
      <c r="H9692" s="20" t="n">
        <f aca="false">IF(H9690&lt;0,1,0)</f>
        <v>1</v>
      </c>
      <c r="I9692" s="20" t="n">
        <f aca="false">IF(I9690&lt;0,1,0)</f>
        <v>1</v>
      </c>
      <c r="J9692" s="20" t="n">
        <f aca="false">IF(J9690&lt;0,1,0)</f>
        <v>1</v>
      </c>
      <c r="K9692" s="20" t="n">
        <f aca="false">IF(K9690&lt;0,1,0)</f>
        <v>1</v>
      </c>
    </row>
    <row r="9693" customFormat="false" ht="15" hidden="false" customHeight="false" outlineLevel="0" collapsed="false">
      <c r="A9693" s="5" t="s">
        <v>338</v>
      </c>
      <c r="C9693" s="20" t="n">
        <f aca="false">IFERROR(INDEX($G$9544:$K$9544,MATCH(1,$G$9692:$K$9692,0)),0)</f>
        <v>2026</v>
      </c>
    </row>
    <row r="9694" customFormat="false" ht="15" hidden="false" customHeight="false" outlineLevel="0" collapsed="false">
      <c r="A9694" s="5" t="s">
        <v>339</v>
      </c>
      <c r="C9694" s="21" t="n">
        <f aca="false">MIN($G$9691:$K$9691)</f>
        <v>-1.8550181881176</v>
      </c>
    </row>
    <row r="9695" customFormat="false" ht="15" hidden="false" customHeight="false" outlineLevel="0" collapsed="false">
      <c r="A9695" s="5" t="s">
        <v>340</v>
      </c>
      <c r="G9695" s="20" t="n">
        <f aca="false">G9692</f>
        <v>1</v>
      </c>
      <c r="H9695" s="20" t="n">
        <f aca="false">H9692</f>
        <v>1</v>
      </c>
      <c r="I9695" s="20" t="n">
        <f aca="false">I9692</f>
        <v>1</v>
      </c>
      <c r="J9695" s="20" t="n">
        <f aca="false">J9692</f>
        <v>1</v>
      </c>
      <c r="K9695" s="20" t="n">
        <f aca="false">K9692</f>
        <v>1</v>
      </c>
    </row>
    <row r="9696" customFormat="false" ht="15" hidden="false" customHeight="false" outlineLevel="0" collapsed="false">
      <c r="A9696" s="5" t="s">
        <v>341</v>
      </c>
      <c r="C9696" s="20" t="n">
        <f aca="false">SUM($G$9695:$K$9695)</f>
        <v>5</v>
      </c>
    </row>
    <row r="9697" customFormat="false" ht="15" hidden="false" customHeight="false" outlineLevel="0" collapsed="false">
      <c r="A9697" s="5" t="s">
        <v>342</v>
      </c>
      <c r="C9697" s="21" t="n">
        <f aca="false">MIN(C9694)</f>
        <v>-1.8550181881176</v>
      </c>
    </row>
    <row r="9699" customFormat="false" ht="15" hidden="false" customHeight="false" outlineLevel="0" collapsed="false">
      <c r="A9699" s="23" t="s">
        <v>444</v>
      </c>
      <c r="B9699" s="24"/>
      <c r="C9699" s="24"/>
      <c r="D9699" s="24"/>
      <c r="E9699" s="24"/>
      <c r="F9699" s="24"/>
      <c r="G9699" s="24"/>
      <c r="H9699" s="24"/>
      <c r="I9699" s="24"/>
      <c r="J9699" s="24"/>
      <c r="K9699" s="24"/>
    </row>
    <row r="9700" customFormat="false" ht="15" hidden="false" customHeight="false" outlineLevel="0" collapsed="false">
      <c r="A9700" s="5" t="s">
        <v>445</v>
      </c>
      <c r="G9700" s="20" t="n">
        <f aca="false">IF($C$9701=1,G9669,IF(G9554=MIN($G$9554:$K$9554),1,0))</f>
        <v>0</v>
      </c>
      <c r="H9700" s="20" t="n">
        <f aca="false">IF($C$9701=1,H9669,IF(AND(H9554=MIN($G$9554:$K$9554),SUM($G$9700:G9700)=0),1,0))</f>
        <v>1</v>
      </c>
      <c r="I9700" s="20" t="n">
        <f aca="false">IF($C$9701=1,I9669,IF(AND(I9554=MIN($G$9554:$K$9554),SUM($G$9700:H9700)=0),1,0))</f>
        <v>0</v>
      </c>
      <c r="J9700" s="20" t="n">
        <f aca="false">IF($C$9701=1,J9669,IF(AND(J9554=MIN($G$9554:$K$9554),SUM($G$9700:I9700)=0),1,0))</f>
        <v>0</v>
      </c>
      <c r="K9700" s="20" t="n">
        <f aca="false">IF($C$9701=1,K9669,IF(AND(K9554=MIN($G$9554:$K$9554),SUM($G$9700:J9700)=0),1,0))</f>
        <v>0</v>
      </c>
    </row>
    <row r="9701" customFormat="false" ht="15" hidden="false" customHeight="false" outlineLevel="0" collapsed="false">
      <c r="A9701" s="5" t="s">
        <v>446</v>
      </c>
      <c r="C9701" s="20" t="n">
        <f aca="false">IF(SUM($G$9669:$K$9669)&gt;0,1,0)</f>
        <v>1</v>
      </c>
    </row>
    <row r="9702" customFormat="false" ht="15" hidden="false" customHeight="false" outlineLevel="0" collapsed="false">
      <c r="A9702" s="5" t="s">
        <v>447</v>
      </c>
      <c r="C9702" s="20" t="n">
        <f aca="false">SUMPRODUCT($G$9700:$K$9700,$G$9544:$K$9544)</f>
        <v>2027</v>
      </c>
    </row>
    <row r="9703" customFormat="false" ht="15" hidden="false" customHeight="false" outlineLevel="0" collapsed="false">
      <c r="A9703" s="5" t="s">
        <v>448</v>
      </c>
      <c r="C9703" s="25" t="n">
        <f aca="false">SUMPRODUCT($G$9700:$K$9700,$G$9554:$K$9554)</f>
        <v>59.8556784</v>
      </c>
    </row>
    <row r="9704" customFormat="false" ht="15" hidden="false" customHeight="false" outlineLevel="0" collapsed="false">
      <c r="A9704" s="5" t="s">
        <v>449</v>
      </c>
      <c r="C9704" s="25" t="n">
        <f aca="false">MAX(0,SUMPRODUCT($G$9700:$K$9700,$G$9666:$K$9666))</f>
        <v>0</v>
      </c>
    </row>
    <row r="9705" customFormat="false" ht="15" hidden="false" customHeight="false" outlineLevel="0" collapsed="false">
      <c r="A9705" s="5" t="s">
        <v>450</v>
      </c>
      <c r="C9705" s="25" t="n">
        <f aca="false">(CHOOSE($C$9537,Assumptions!$C$78,Assumptions!$C$97,Assumptions!$C$116)+$C$9541)*C9703</f>
        <v>239.4227136</v>
      </c>
    </row>
    <row r="9706" customFormat="false" ht="15" hidden="false" customHeight="false" outlineLevel="0" collapsed="false">
      <c r="A9706" s="5" t="s">
        <v>451</v>
      </c>
      <c r="C9706" s="25" t="n">
        <f aca="false">Assumptions!$C$27*(1-CHOOSE($C$9537,Assumptions!$C$79,Assumptions!$C$98,Assumptions!$C$117))*CHOOSE($C$9537,Assumptions!$C$80,Assumptions!$C$99,Assumptions!$C$118)</f>
        <v>530.4</v>
      </c>
    </row>
    <row r="9707" customFormat="false" ht="15" hidden="false" customHeight="false" outlineLevel="0" collapsed="false">
      <c r="A9707" s="5" t="s">
        <v>452</v>
      </c>
      <c r="C9707" s="25" t="n">
        <f aca="false">MAX(C9705,C9706)+C9704</f>
        <v>530.4</v>
      </c>
    </row>
    <row r="9708" customFormat="false" ht="15" hidden="false" customHeight="false" outlineLevel="0" collapsed="false">
      <c r="A9708" s="2" t="s">
        <v>453</v>
      </c>
      <c r="C9708" s="16" t="n">
        <f aca="false">IF(ISNUMBER(Assumptions!$C$14),Assumptions!$C$14,C9707)</f>
        <v>530.4</v>
      </c>
    </row>
    <row r="9709" customFormat="false" ht="15" hidden="false" customHeight="false" outlineLevel="0" collapsed="false">
      <c r="A9709" s="5" t="s">
        <v>454</v>
      </c>
      <c r="C9709" s="25" t="n">
        <f aca="false">C9708*Assumptions!$C$15</f>
        <v>21.216</v>
      </c>
    </row>
    <row r="9710" customFormat="false" ht="15" hidden="false" customHeight="false" outlineLevel="0" collapsed="false">
      <c r="A9710" s="2" t="s">
        <v>455</v>
      </c>
      <c r="C9710" s="16" t="n">
        <f aca="false">C9708-C9709</f>
        <v>509.184</v>
      </c>
    </row>
    <row r="9711" customFormat="false" ht="15" hidden="false" customHeight="false" outlineLevel="0" collapsed="false">
      <c r="A9711" s="23" t="s">
        <v>456</v>
      </c>
      <c r="B9711" s="24"/>
      <c r="C9711" s="24"/>
      <c r="D9711" s="24"/>
      <c r="E9711" s="24"/>
      <c r="F9711" s="24"/>
      <c r="G9711" s="24"/>
      <c r="H9711" s="24"/>
      <c r="I9711" s="24"/>
      <c r="J9711" s="24"/>
      <c r="K9711" s="24"/>
    </row>
    <row r="9712" customFormat="false" ht="15" hidden="false" customHeight="false" outlineLevel="0" collapsed="false">
      <c r="A9712" s="5" t="s">
        <v>457</v>
      </c>
      <c r="C9712" s="25" t="n">
        <f aca="false">SUMPRODUCT($G$9700:$K$9700,$G$9591:$K$9591)*(1+SUMPRODUCT($G$9700:$K$9700,$G$9583:$K$9583)*Assumptions!$C$16/12)</f>
        <v>247.6895687</v>
      </c>
    </row>
    <row r="9713" customFormat="false" ht="15" hidden="false" customHeight="false" outlineLevel="0" collapsed="false">
      <c r="A9713" s="5" t="s">
        <v>458</v>
      </c>
      <c r="C9713" s="25" t="n">
        <f aca="false">SUMPRODUCT($G$9700:$K$9700,$G$9604:$K$9604)*(1+SUMPRODUCT($G$9700:$K$9700,$G$9596:$K$9596)*Assumptions!$C$16/12)</f>
        <v>524.3147</v>
      </c>
    </row>
    <row r="9714" customFormat="false" ht="15" hidden="false" customHeight="false" outlineLevel="0" collapsed="false">
      <c r="A9714" s="5" t="s">
        <v>459</v>
      </c>
      <c r="C9714" s="25" t="n">
        <f aca="false">SUMPRODUCT($G$9700:$K$9700,$G$9617:$K$9617)*(1+SUMPRODUCT($G$9700:$K$9700,$G$9609:$K$9609)*Assumptions!$C$16/12)</f>
        <v>256.875</v>
      </c>
    </row>
    <row r="9715" customFormat="false" ht="15" hidden="false" customHeight="false" outlineLevel="0" collapsed="false">
      <c r="A9715" s="5" t="s">
        <v>460</v>
      </c>
      <c r="C9715" s="25" t="n">
        <f aca="false">SUMPRODUCT($G$9700:$K$9700,$G$9630:$K$9630)*(1+SUMPRODUCT($G$9700:$K$9700,$G$9622:$K$9622)*Assumptions!$C$16/12)</f>
        <v>305.625</v>
      </c>
    </row>
    <row r="9716" customFormat="false" ht="15" hidden="false" customHeight="false" outlineLevel="0" collapsed="false">
      <c r="A9716" s="23" t="s">
        <v>461</v>
      </c>
      <c r="B9716" s="24"/>
      <c r="C9716" s="24"/>
      <c r="D9716" s="24"/>
      <c r="E9716" s="24"/>
      <c r="F9716" s="24"/>
      <c r="G9716" s="24"/>
      <c r="H9716" s="24"/>
      <c r="I9716" s="24"/>
      <c r="J9716" s="24"/>
      <c r="K9716" s="24"/>
    </row>
    <row r="9717" customFormat="false" ht="15" hidden="false" customHeight="false" outlineLevel="0" collapsed="false">
      <c r="A9717" s="5" t="s">
        <v>457</v>
      </c>
      <c r="C9717" s="26" t="n">
        <f aca="false">Assumptions!$M$53</f>
        <v>1</v>
      </c>
    </row>
    <row r="9718" customFormat="false" ht="15" hidden="false" customHeight="false" outlineLevel="0" collapsed="false">
      <c r="A9718" s="5" t="s">
        <v>458</v>
      </c>
      <c r="C9718" s="26" t="n">
        <f aca="false">Assumptions!$M$54</f>
        <v>2</v>
      </c>
    </row>
    <row r="9719" customFormat="false" ht="15" hidden="false" customHeight="false" outlineLevel="0" collapsed="false">
      <c r="A9719" s="5" t="s">
        <v>459</v>
      </c>
      <c r="C9719" s="26" t="n">
        <f aca="false">Assumptions!$M$55</f>
        <v>3</v>
      </c>
    </row>
    <row r="9720" customFormat="false" ht="15" hidden="false" customHeight="false" outlineLevel="0" collapsed="false">
      <c r="A9720" s="5" t="s">
        <v>460</v>
      </c>
      <c r="C9720" s="26" t="n">
        <f aca="false">Assumptions!$M$56</f>
        <v>4</v>
      </c>
    </row>
    <row r="9721" customFormat="false" ht="15" hidden="false" customHeight="false" outlineLevel="0" collapsed="false">
      <c r="A9721" s="23" t="s">
        <v>462</v>
      </c>
      <c r="B9721" s="24"/>
      <c r="C9721" s="24"/>
      <c r="D9721" s="24"/>
      <c r="E9721" s="24"/>
      <c r="F9721" s="24"/>
      <c r="G9721" s="24"/>
      <c r="H9721" s="24"/>
      <c r="I9721" s="24"/>
      <c r="J9721" s="24"/>
      <c r="K9721" s="24"/>
    </row>
    <row r="9722" customFormat="false" ht="15" hidden="false" customHeight="false" outlineLevel="0" collapsed="false">
      <c r="A9722" s="5" t="s">
        <v>457</v>
      </c>
      <c r="C9722" s="34" t="n">
        <f aca="false">Assumptions!$Q$53</f>
        <v>0</v>
      </c>
    </row>
    <row r="9723" customFormat="false" ht="15" hidden="false" customHeight="false" outlineLevel="0" collapsed="false">
      <c r="A9723" s="5" t="s">
        <v>458</v>
      </c>
      <c r="C9723" s="34" t="n">
        <f aca="false">Assumptions!$Q$54</f>
        <v>0</v>
      </c>
    </row>
    <row r="9724" customFormat="false" ht="15" hidden="false" customHeight="false" outlineLevel="0" collapsed="false">
      <c r="A9724" s="5" t="s">
        <v>459</v>
      </c>
      <c r="C9724" s="34" t="n">
        <f aca="false">Assumptions!$Q$55</f>
        <v>0</v>
      </c>
    </row>
    <row r="9725" customFormat="false" ht="15" hidden="false" customHeight="false" outlineLevel="0" collapsed="false">
      <c r="A9725" s="5" t="s">
        <v>460</v>
      </c>
      <c r="C9725" s="34" t="n">
        <f aca="false">Assumptions!$Q$56</f>
        <v>0</v>
      </c>
    </row>
    <row r="9726" customFormat="false" ht="15" hidden="false" customHeight="false" outlineLevel="0" collapsed="false">
      <c r="A9726" s="23" t="s">
        <v>463</v>
      </c>
      <c r="B9726" s="24"/>
      <c r="C9726" s="24"/>
      <c r="D9726" s="24"/>
      <c r="E9726" s="24"/>
      <c r="F9726" s="24"/>
      <c r="G9726" s="24"/>
      <c r="H9726" s="24"/>
      <c r="I9726" s="24"/>
      <c r="J9726" s="24"/>
      <c r="K9726" s="24"/>
    </row>
    <row r="9727" customFormat="false" ht="15" hidden="false" customHeight="false" outlineLevel="0" collapsed="false">
      <c r="A9727" s="5" t="s">
        <v>457</v>
      </c>
      <c r="C9727" s="25" t="n">
        <f aca="false">IF(C9722&gt;0,MIN(C9712,C9722*$C$9710),0)</f>
        <v>0</v>
      </c>
    </row>
    <row r="9728" customFormat="false" ht="15" hidden="false" customHeight="false" outlineLevel="0" collapsed="false">
      <c r="A9728" s="5" t="s">
        <v>458</v>
      </c>
      <c r="C9728" s="25" t="n">
        <f aca="false">IF(C9723&gt;0,MIN(C9713,C9723*$C$9710),0)</f>
        <v>0</v>
      </c>
    </row>
    <row r="9729" customFormat="false" ht="15" hidden="false" customHeight="false" outlineLevel="0" collapsed="false">
      <c r="A9729" s="5" t="s">
        <v>459</v>
      </c>
      <c r="C9729" s="25" t="n">
        <f aca="false">IF(C9724&gt;0,MIN(C9714,C9724*$C$9710),0)</f>
        <v>0</v>
      </c>
    </row>
    <row r="9730" customFormat="false" ht="15" hidden="false" customHeight="false" outlineLevel="0" collapsed="false">
      <c r="A9730" s="5" t="s">
        <v>460</v>
      </c>
      <c r="C9730" s="25" t="n">
        <f aca="false">IF(C9725&gt;0,MIN(C9715,C9725*$C$9710),0)</f>
        <v>0</v>
      </c>
    </row>
    <row r="9731" customFormat="false" ht="15" hidden="false" customHeight="false" outlineLevel="0" collapsed="false">
      <c r="A9731" s="23" t="s">
        <v>464</v>
      </c>
      <c r="B9731" s="24"/>
      <c r="C9731" s="24"/>
      <c r="D9731" s="24"/>
      <c r="E9731" s="24"/>
      <c r="F9731" s="24"/>
      <c r="G9731" s="24"/>
      <c r="H9731" s="24"/>
      <c r="I9731" s="24"/>
      <c r="J9731" s="24"/>
      <c r="K9731" s="24"/>
    </row>
    <row r="9732" customFormat="false" ht="15" hidden="false" customHeight="false" outlineLevel="0" collapsed="false">
      <c r="A9732" s="5" t="s">
        <v>457</v>
      </c>
      <c r="C9732" s="25" t="n">
        <f aca="false">IF(C9722&gt;0,C9712-C9727,0)</f>
        <v>0</v>
      </c>
      <c r="G9732" s="20" t="n">
        <f aca="false">IF(AND(G9581=1,G9578=1),1,0)</f>
        <v>0</v>
      </c>
      <c r="H9732" s="20" t="n">
        <f aca="false">IF(G9732=1,1,IF(AND(H9581=1,H9578=1),1,0))</f>
        <v>0</v>
      </c>
      <c r="I9732" s="20" t="n">
        <f aca="false">IF(H9732=1,1,IF(AND(I9581=1,I9578=1),1,0))</f>
        <v>0</v>
      </c>
      <c r="J9732" s="20" t="n">
        <f aca="false">IF(I9732=1,1,IF(AND(J9581=1,J9578=1),1,0))</f>
        <v>0</v>
      </c>
      <c r="K9732" s="20" t="n">
        <f aca="false">IF(J9732=1,1,IF(AND(K9581=1,K9578=1),1,0))</f>
        <v>0</v>
      </c>
    </row>
    <row r="9733" customFormat="false" ht="15" hidden="false" customHeight="false" outlineLevel="0" collapsed="false">
      <c r="A9733" s="5" t="s">
        <v>458</v>
      </c>
      <c r="C9733" s="25" t="n">
        <f aca="false">IF(C9723&gt;0,C9713-C9728,0)</f>
        <v>0</v>
      </c>
      <c r="G9733" s="20" t="n">
        <f aca="false">IF(AND(G9594=1,G9578=1),1,0)</f>
        <v>0</v>
      </c>
      <c r="H9733" s="20" t="n">
        <f aca="false">IF(G9733=1,1,IF(AND(H9594=1,H9578=1),1,0))</f>
        <v>0</v>
      </c>
      <c r="I9733" s="20" t="n">
        <f aca="false">IF(H9733=1,1,IF(AND(I9594=1,I9578=1),1,0))</f>
        <v>0</v>
      </c>
      <c r="J9733" s="20" t="n">
        <f aca="false">IF(I9733=1,1,IF(AND(J9594=1,J9578=1),1,0))</f>
        <v>0</v>
      </c>
      <c r="K9733" s="20" t="n">
        <f aca="false">IF(J9733=1,1,IF(AND(K9594=1,K9578=1),1,0))</f>
        <v>0</v>
      </c>
    </row>
    <row r="9734" customFormat="false" ht="15" hidden="false" customHeight="false" outlineLevel="0" collapsed="false">
      <c r="A9734" s="5" t="s">
        <v>459</v>
      </c>
      <c r="C9734" s="25" t="n">
        <f aca="false">IF(C9724&gt;0,C9714-C9729,0)</f>
        <v>0</v>
      </c>
      <c r="G9734" s="20" t="n">
        <f aca="false">IF(AND(G9607=1,G9578=1),1,0)</f>
        <v>0</v>
      </c>
      <c r="H9734" s="20" t="n">
        <f aca="false">IF(G9734=1,1,IF(AND(H9607=1,H9578=1),1,0))</f>
        <v>0</v>
      </c>
      <c r="I9734" s="20" t="n">
        <f aca="false">IF(H9734=1,1,IF(AND(I9607=1,I9578=1),1,0))</f>
        <v>0</v>
      </c>
      <c r="J9734" s="20" t="n">
        <f aca="false">IF(I9734=1,1,IF(AND(J9607=1,J9578=1),1,0))</f>
        <v>0</v>
      </c>
      <c r="K9734" s="20" t="n">
        <f aca="false">IF(J9734=1,1,IF(AND(K9607=1,K9578=1),1,0))</f>
        <v>0</v>
      </c>
    </row>
    <row r="9735" customFormat="false" ht="15" hidden="false" customHeight="false" outlineLevel="0" collapsed="false">
      <c r="A9735" s="5" t="s">
        <v>460</v>
      </c>
      <c r="C9735" s="25" t="n">
        <f aca="false">IF(C9725&gt;0,C9715-C9730,0)</f>
        <v>0</v>
      </c>
      <c r="G9735" s="20" t="n">
        <f aca="false">IF(AND(G9620=1,G9578=1),1,0)</f>
        <v>0</v>
      </c>
      <c r="H9735" s="20" t="n">
        <f aca="false">IF(G9735=1,1,IF(AND(H9620=1,H9578=1),1,0))</f>
        <v>0</v>
      </c>
      <c r="I9735" s="20" t="n">
        <f aca="false">IF(H9735=1,1,IF(AND(I9620=1,I9578=1),1,0))</f>
        <v>0</v>
      </c>
      <c r="J9735" s="20" t="n">
        <f aca="false">IF(I9735=1,1,IF(AND(J9620=1,J9578=1),1,0))</f>
        <v>0</v>
      </c>
      <c r="K9735" s="20" t="n">
        <f aca="false">IF(J9735=1,1,IF(AND(K9620=1,K9578=1),1,0))</f>
        <v>0</v>
      </c>
    </row>
    <row r="9736" customFormat="false" ht="15" hidden="false" customHeight="false" outlineLevel="0" collapsed="false">
      <c r="A9736" s="23" t="s">
        <v>465</v>
      </c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</row>
    <row r="9737" customFormat="false" ht="15" hidden="false" customHeight="false" outlineLevel="0" collapsed="false">
      <c r="A9737" s="5" t="s">
        <v>457</v>
      </c>
      <c r="C9737" s="25" t="n">
        <f aca="false">IF(C9722&gt;0,C9732,C9712)</f>
        <v>247.6895687</v>
      </c>
    </row>
    <row r="9738" customFormat="false" ht="15" hidden="false" customHeight="false" outlineLevel="0" collapsed="false">
      <c r="A9738" s="5" t="s">
        <v>458</v>
      </c>
      <c r="C9738" s="25" t="n">
        <f aca="false">IF(C9723&gt;0,C9733,C9713)</f>
        <v>524.3147</v>
      </c>
    </row>
    <row r="9739" customFormat="false" ht="15" hidden="false" customHeight="false" outlineLevel="0" collapsed="false">
      <c r="A9739" s="5" t="s">
        <v>459</v>
      </c>
      <c r="C9739" s="25" t="n">
        <f aca="false">IF(C9724&gt;0,C9734,C9714)</f>
        <v>256.875</v>
      </c>
    </row>
    <row r="9740" customFormat="false" ht="15" hidden="false" customHeight="false" outlineLevel="0" collapsed="false">
      <c r="A9740" s="5" t="s">
        <v>460</v>
      </c>
      <c r="C9740" s="25" t="n">
        <f aca="false">IF(C9725&gt;0,C9735,C9715)</f>
        <v>305.625</v>
      </c>
    </row>
    <row r="9741" customFormat="false" ht="15" hidden="false" customHeight="false" outlineLevel="0" collapsed="false">
      <c r="A9741" s="23" t="s">
        <v>466</v>
      </c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</row>
    <row r="9742" customFormat="false" ht="15" hidden="false" customHeight="false" outlineLevel="0" collapsed="false">
      <c r="A9742" s="5" t="s">
        <v>457</v>
      </c>
      <c r="C9742" s="20" t="n">
        <f aca="false">IF(C9722&gt;0,Assumptions!$C$17,C9717)</f>
        <v>1</v>
      </c>
    </row>
    <row r="9743" customFormat="false" ht="15" hidden="false" customHeight="false" outlineLevel="0" collapsed="false">
      <c r="A9743" s="5" t="s">
        <v>458</v>
      </c>
      <c r="C9743" s="20" t="n">
        <f aca="false">IF(C9723&gt;0,Assumptions!$C$17,C9718)</f>
        <v>2</v>
      </c>
    </row>
    <row r="9744" customFormat="false" ht="15" hidden="false" customHeight="false" outlineLevel="0" collapsed="false">
      <c r="A9744" s="5" t="s">
        <v>459</v>
      </c>
      <c r="C9744" s="20" t="n">
        <f aca="false">IF(C9724&gt;0,Assumptions!$C$17,C9719)</f>
        <v>3</v>
      </c>
    </row>
    <row r="9745" customFormat="false" ht="15" hidden="false" customHeight="false" outlineLevel="0" collapsed="false">
      <c r="A9745" s="5" t="s">
        <v>460</v>
      </c>
      <c r="C9745" s="20" t="n">
        <f aca="false">IF(C9725&gt;0,Assumptions!$C$17,C9720)</f>
        <v>4</v>
      </c>
    </row>
    <row r="9746" customFormat="false" ht="15" hidden="false" customHeight="false" outlineLevel="0" collapsed="false">
      <c r="A9746" s="23" t="s">
        <v>467</v>
      </c>
      <c r="B9746" s="24"/>
      <c r="C9746" s="24"/>
      <c r="D9746" s="24"/>
      <c r="E9746" s="24"/>
      <c r="F9746" s="24"/>
      <c r="G9746" s="24"/>
      <c r="H9746" s="24"/>
      <c r="I9746" s="24"/>
      <c r="J9746" s="24"/>
      <c r="K9746" s="24"/>
    </row>
    <row r="9747" customFormat="false" ht="15" hidden="false" customHeight="false" outlineLevel="0" collapsed="false">
      <c r="A9747" s="5" t="s">
        <v>457</v>
      </c>
      <c r="C9747" s="25" t="n">
        <f aca="false">SUMPRODUCT(($C$9742:$C$9745&lt;C9742)*$C$9737:$C$9740)</f>
        <v>0</v>
      </c>
    </row>
    <row r="9748" customFormat="false" ht="15" hidden="false" customHeight="false" outlineLevel="0" collapsed="false">
      <c r="A9748" s="5" t="s">
        <v>458</v>
      </c>
      <c r="C9748" s="25" t="n">
        <f aca="false">SUMPRODUCT(($C$9742:$C$9745&lt;C9743)*$C$9737:$C$9740)</f>
        <v>247.6895687</v>
      </c>
    </row>
    <row r="9749" customFormat="false" ht="15" hidden="false" customHeight="false" outlineLevel="0" collapsed="false">
      <c r="A9749" s="5" t="s">
        <v>459</v>
      </c>
      <c r="C9749" s="25" t="n">
        <f aca="false">SUMPRODUCT(($C$9742:$C$9745&lt;C9744)*$C$9737:$C$9740)</f>
        <v>772.0042687</v>
      </c>
    </row>
    <row r="9750" customFormat="false" ht="15" hidden="false" customHeight="false" outlineLevel="0" collapsed="false">
      <c r="A9750" s="5" t="s">
        <v>460</v>
      </c>
      <c r="C9750" s="25" t="n">
        <f aca="false">SUMPRODUCT(($C$9742:$C$9745&lt;C9745)*$C$9737:$C$9740)</f>
        <v>1028.8792687</v>
      </c>
    </row>
    <row r="9751" customFormat="false" ht="15" hidden="false" customHeight="false" outlineLevel="0" collapsed="false">
      <c r="A9751" s="23" t="s">
        <v>468</v>
      </c>
      <c r="B9751" s="24"/>
      <c r="C9751" s="24"/>
      <c r="D9751" s="24"/>
      <c r="E9751" s="24"/>
      <c r="F9751" s="24"/>
      <c r="G9751" s="24"/>
      <c r="H9751" s="24"/>
      <c r="I9751" s="24"/>
      <c r="J9751" s="24"/>
      <c r="K9751" s="24"/>
    </row>
    <row r="9752" customFormat="false" ht="15" hidden="false" customHeight="false" outlineLevel="0" collapsed="false">
      <c r="A9752" s="5" t="s">
        <v>457</v>
      </c>
      <c r="C9752" s="25" t="n">
        <f aca="false">SUMPRODUCT(($C$9742:$C$9745=C9742)*$C$9737:$C$9740)</f>
        <v>247.6895687</v>
      </c>
    </row>
    <row r="9753" customFormat="false" ht="15" hidden="false" customHeight="false" outlineLevel="0" collapsed="false">
      <c r="A9753" s="5" t="s">
        <v>458</v>
      </c>
      <c r="C9753" s="25" t="n">
        <f aca="false">SUMPRODUCT(($C$9742:$C$9745=C9743)*$C$9737:$C$9740)</f>
        <v>524.3147</v>
      </c>
    </row>
    <row r="9754" customFormat="false" ht="15" hidden="false" customHeight="false" outlineLevel="0" collapsed="false">
      <c r="A9754" s="5" t="s">
        <v>459</v>
      </c>
      <c r="C9754" s="25" t="n">
        <f aca="false">SUMPRODUCT(($C$9742:$C$9745=C9744)*$C$9737:$C$9740)</f>
        <v>256.875</v>
      </c>
    </row>
    <row r="9755" customFormat="false" ht="15" hidden="false" customHeight="false" outlineLevel="0" collapsed="false">
      <c r="A9755" s="5" t="s">
        <v>460</v>
      </c>
      <c r="C9755" s="25" t="n">
        <f aca="false">SUMPRODUCT(($C$9742:$C$9745=C9745)*$C$9737:$C$9740)</f>
        <v>305.625</v>
      </c>
    </row>
    <row r="9756" customFormat="false" ht="15" hidden="false" customHeight="false" outlineLevel="0" collapsed="false">
      <c r="A9756" s="23" t="s">
        <v>469</v>
      </c>
      <c r="B9756" s="24"/>
      <c r="C9756" s="24"/>
      <c r="D9756" s="24"/>
      <c r="E9756" s="24"/>
      <c r="F9756" s="24"/>
      <c r="G9756" s="24"/>
      <c r="H9756" s="24"/>
      <c r="I9756" s="24"/>
      <c r="J9756" s="24"/>
      <c r="K9756" s="24"/>
    </row>
    <row r="9757" customFormat="false" ht="15" hidden="false" customHeight="false" outlineLevel="0" collapsed="false">
      <c r="A9757" s="5" t="s">
        <v>457</v>
      </c>
      <c r="C9757" s="25" t="n">
        <f aca="false">IF(C9752=0,0,C9737/C9752*MAX(0,MIN(C9752,$C$9710-SUM($C$9727:$C$9730)-C9747)))</f>
        <v>247.6895687</v>
      </c>
    </row>
    <row r="9758" customFormat="false" ht="15" hidden="false" customHeight="false" outlineLevel="0" collapsed="false">
      <c r="A9758" s="5" t="s">
        <v>458</v>
      </c>
      <c r="C9758" s="25" t="n">
        <f aca="false">IF(C9753=0,0,C9738/C9753*MAX(0,MIN(C9753,$C$9710-SUM($C$9727:$C$9730)-C9748)))</f>
        <v>261.4944313</v>
      </c>
    </row>
    <row r="9759" customFormat="false" ht="15" hidden="false" customHeight="false" outlineLevel="0" collapsed="false">
      <c r="A9759" s="5" t="s">
        <v>459</v>
      </c>
      <c r="C9759" s="25" t="n">
        <f aca="false">IF(C9754=0,0,C9739/C9754*MAX(0,MIN(C9754,$C$9710-SUM($C$9727:$C$9730)-C9749)))</f>
        <v>0</v>
      </c>
    </row>
    <row r="9760" customFormat="false" ht="15" hidden="false" customHeight="false" outlineLevel="0" collapsed="false">
      <c r="A9760" s="5" t="s">
        <v>460</v>
      </c>
      <c r="C9760" s="25" t="n">
        <f aca="false">IF(C9755=0,0,C9740/C9755*MAX(0,MIN(C9755,$C$9710-SUM($C$9727:$C$9730)-C9750)))</f>
        <v>0</v>
      </c>
    </row>
    <row r="9761" customFormat="false" ht="15" hidden="false" customHeight="false" outlineLevel="0" collapsed="false">
      <c r="A9761" s="23" t="s">
        <v>470</v>
      </c>
      <c r="B9761" s="24"/>
      <c r="C9761" s="24"/>
      <c r="D9761" s="24"/>
      <c r="E9761" s="24"/>
      <c r="F9761" s="24"/>
      <c r="G9761" s="24"/>
      <c r="H9761" s="24"/>
      <c r="I9761" s="24"/>
      <c r="J9761" s="24"/>
      <c r="K9761" s="24"/>
    </row>
    <row r="9762" customFormat="false" ht="15" hidden="false" customHeight="false" outlineLevel="0" collapsed="false">
      <c r="A9762" s="2" t="s">
        <v>457</v>
      </c>
      <c r="C9762" s="16" t="n">
        <f aca="false">C9727+C9757</f>
        <v>247.6895687</v>
      </c>
    </row>
    <row r="9763" customFormat="false" ht="15" hidden="false" customHeight="false" outlineLevel="0" collapsed="false">
      <c r="A9763" s="2" t="s">
        <v>458</v>
      </c>
      <c r="C9763" s="16" t="n">
        <f aca="false">C9728+C9758</f>
        <v>261.4944313</v>
      </c>
    </row>
    <row r="9764" customFormat="false" ht="15" hidden="false" customHeight="false" outlineLevel="0" collapsed="false">
      <c r="A9764" s="2" t="s">
        <v>459</v>
      </c>
      <c r="C9764" s="16" t="n">
        <f aca="false">C9729+C9759</f>
        <v>0</v>
      </c>
    </row>
    <row r="9765" customFormat="false" ht="15" hidden="false" customHeight="false" outlineLevel="0" collapsed="false">
      <c r="A9765" s="2" t="s">
        <v>460</v>
      </c>
      <c r="C9765" s="16" t="n">
        <f aca="false">C9730+C9760</f>
        <v>0</v>
      </c>
    </row>
    <row r="9766" customFormat="false" ht="15" hidden="false" customHeight="false" outlineLevel="0" collapsed="false">
      <c r="A9766" s="23" t="s">
        <v>471</v>
      </c>
      <c r="B9766" s="24"/>
      <c r="C9766" s="24"/>
      <c r="D9766" s="24"/>
      <c r="E9766" s="24"/>
      <c r="F9766" s="24"/>
      <c r="G9766" s="24"/>
      <c r="H9766" s="24"/>
      <c r="I9766" s="24"/>
      <c r="J9766" s="24"/>
      <c r="K9766" s="24"/>
    </row>
    <row r="9767" customFormat="false" ht="15" hidden="false" customHeight="false" outlineLevel="0" collapsed="false">
      <c r="A9767" s="5" t="s">
        <v>457</v>
      </c>
      <c r="C9767" s="21" t="n">
        <f aca="false">IF(C9712=0,1,C9762/C9712)</f>
        <v>1</v>
      </c>
    </row>
    <row r="9768" customFormat="false" ht="15" hidden="false" customHeight="false" outlineLevel="0" collapsed="false">
      <c r="A9768" s="5" t="s">
        <v>458</v>
      </c>
      <c r="C9768" s="21" t="n">
        <f aca="false">IF(C9713=0,1,C9763/C9713)</f>
        <v>0.498735647312578</v>
      </c>
    </row>
    <row r="9769" customFormat="false" ht="15" hidden="false" customHeight="false" outlineLevel="0" collapsed="false">
      <c r="A9769" s="5" t="s">
        <v>459</v>
      </c>
      <c r="C9769" s="21" t="n">
        <f aca="false">IF(C9714=0,1,C9764/C9714)</f>
        <v>0</v>
      </c>
    </row>
    <row r="9770" customFormat="false" ht="15" hidden="false" customHeight="false" outlineLevel="0" collapsed="false">
      <c r="A9770" s="5" t="s">
        <v>460</v>
      </c>
      <c r="C9770" s="21" t="n">
        <f aca="false">IF(C9715=0,1,C9765/C9715)</f>
        <v>0</v>
      </c>
    </row>
    <row r="9771" customFormat="false" ht="15" hidden="false" customHeight="false" outlineLevel="0" collapsed="false">
      <c r="A9771" s="23" t="s">
        <v>472</v>
      </c>
      <c r="B9771" s="24"/>
      <c r="C9771" s="24"/>
      <c r="D9771" s="24"/>
      <c r="E9771" s="24"/>
      <c r="F9771" s="24"/>
      <c r="G9771" s="24"/>
      <c r="H9771" s="24"/>
      <c r="I9771" s="24"/>
      <c r="J9771" s="24"/>
      <c r="K9771" s="24"/>
    </row>
    <row r="9772" customFormat="false" ht="15" hidden="false" customHeight="false" outlineLevel="0" collapsed="false">
      <c r="A9772" s="5" t="s">
        <v>457</v>
      </c>
      <c r="C9772" s="25" t="n">
        <f aca="false">C9712-C9762</f>
        <v>0</v>
      </c>
    </row>
    <row r="9773" customFormat="false" ht="15" hidden="false" customHeight="false" outlineLevel="0" collapsed="false">
      <c r="A9773" s="5" t="s">
        <v>458</v>
      </c>
      <c r="C9773" s="25" t="n">
        <f aca="false">C9713-C9763</f>
        <v>262.8202687</v>
      </c>
    </row>
    <row r="9774" customFormat="false" ht="15" hidden="false" customHeight="false" outlineLevel="0" collapsed="false">
      <c r="A9774" s="5" t="s">
        <v>459</v>
      </c>
      <c r="C9774" s="25" t="n">
        <f aca="false">C9714-C9764</f>
        <v>256.875</v>
      </c>
    </row>
    <row r="9775" customFormat="false" ht="15" hidden="false" customHeight="false" outlineLevel="0" collapsed="false">
      <c r="A9775" s="5" t="s">
        <v>460</v>
      </c>
      <c r="C9775" s="25" t="n">
        <f aca="false">C9715-C9765</f>
        <v>305.625</v>
      </c>
    </row>
    <row r="9776" customFormat="false" ht="15" hidden="false" customHeight="false" outlineLevel="0" collapsed="false">
      <c r="A9776" s="23" t="s">
        <v>473</v>
      </c>
      <c r="B9776" s="24"/>
      <c r="C9776" s="24"/>
      <c r="D9776" s="24"/>
      <c r="E9776" s="24"/>
      <c r="F9776" s="24"/>
      <c r="G9776" s="24"/>
      <c r="H9776" s="24"/>
      <c r="I9776" s="24"/>
      <c r="J9776" s="24"/>
      <c r="K9776" s="24"/>
    </row>
    <row r="9777" customFormat="false" ht="15" hidden="false" customHeight="false" outlineLevel="0" collapsed="false">
      <c r="A9777" s="5" t="s">
        <v>457</v>
      </c>
      <c r="C9777" s="21" t="n">
        <f aca="false">IF(C9712=0,0,C9772/C9712)</f>
        <v>0</v>
      </c>
    </row>
    <row r="9778" customFormat="false" ht="15" hidden="false" customHeight="false" outlineLevel="0" collapsed="false">
      <c r="A9778" s="5" t="s">
        <v>458</v>
      </c>
      <c r="C9778" s="21" t="n">
        <f aca="false">IF(C9713=0,0,C9773/C9713)</f>
        <v>0.501264352687422</v>
      </c>
    </row>
    <row r="9779" customFormat="false" ht="15" hidden="false" customHeight="false" outlineLevel="0" collapsed="false">
      <c r="A9779" s="5" t="s">
        <v>459</v>
      </c>
      <c r="C9779" s="21" t="n">
        <f aca="false">IF(C9714=0,0,C9774/C9714)</f>
        <v>1</v>
      </c>
    </row>
    <row r="9780" customFormat="false" ht="15" hidden="false" customHeight="false" outlineLevel="0" collapsed="false">
      <c r="A9780" s="5" t="s">
        <v>460</v>
      </c>
      <c r="C9780" s="21" t="n">
        <f aca="false">IF(C9715=0,0,C9775/C9715)</f>
        <v>1</v>
      </c>
    </row>
    <row r="9781" customFormat="false" ht="15" hidden="false" customHeight="false" outlineLevel="0" collapsed="false">
      <c r="A9781" s="2" t="s">
        <v>474</v>
      </c>
      <c r="C9781" s="16" t="n">
        <f aca="false">MAX(0,$C$9710-SUM($C$9727:$C$9730)-SUM($C$9737:$C$9740))</f>
        <v>0</v>
      </c>
    </row>
    <row r="9782" customFormat="false" ht="15" hidden="false" customHeight="false" outlineLevel="0" collapsed="false">
      <c r="A9782" s="5" t="s">
        <v>475</v>
      </c>
      <c r="C9782" s="25" t="n">
        <f aca="false">SUM($C$9762:$C$9765)+C9781+C9709-C9708</f>
        <v>0</v>
      </c>
    </row>
    <row r="9784" customFormat="false" ht="15" hidden="false" customHeight="false" outlineLevel="0" collapsed="false">
      <c r="A9784" s="23" t="s">
        <v>478</v>
      </c>
      <c r="B9784" s="24"/>
      <c r="C9784" s="24"/>
      <c r="D9784" s="24"/>
      <c r="E9784" s="24"/>
      <c r="F9784" s="24"/>
      <c r="G9784" s="24"/>
      <c r="H9784" s="24"/>
      <c r="I9784" s="24"/>
      <c r="J9784" s="24"/>
      <c r="K9784" s="24"/>
    </row>
    <row r="9785" customFormat="false" ht="15" hidden="false" customHeight="false" outlineLevel="0" collapsed="false">
      <c r="A9785" s="5" t="s">
        <v>479</v>
      </c>
      <c r="C9785" s="26" t="n">
        <f aca="false">Assumptions!$C$30</f>
        <v>2</v>
      </c>
    </row>
    <row r="9786" customFormat="false" ht="15" hidden="false" customHeight="false" outlineLevel="0" collapsed="false">
      <c r="A9786" s="5" t="s">
        <v>480</v>
      </c>
      <c r="C9786" s="28" t="n">
        <f aca="false">Assumptions!$C$31</f>
        <v>100</v>
      </c>
    </row>
    <row r="9787" customFormat="false" ht="15" hidden="false" customHeight="false" outlineLevel="0" collapsed="false">
      <c r="A9787" s="5" t="s">
        <v>481</v>
      </c>
      <c r="C9787" s="39" t="n">
        <f aca="false">Assumptions!$C$32</f>
        <v>78</v>
      </c>
    </row>
    <row r="9788" customFormat="false" ht="15" hidden="false" customHeight="false" outlineLevel="0" collapsed="false">
      <c r="A9788" s="5" t="s">
        <v>482</v>
      </c>
      <c r="C9788" s="25" t="n">
        <f aca="false">C9786*C9787/100*(1+Assumptions!$C$33)</f>
        <v>78.39</v>
      </c>
    </row>
    <row r="9789" customFormat="false" ht="15" hidden="false" customHeight="false" outlineLevel="0" collapsed="false">
      <c r="A9789" s="5" t="s">
        <v>483</v>
      </c>
      <c r="C9789" s="26" t="n">
        <f aca="false">Assumptions!$C$34</f>
        <v>2</v>
      </c>
    </row>
    <row r="9790" customFormat="false" ht="15" hidden="false" customHeight="false" outlineLevel="0" collapsed="false">
      <c r="A9790" s="5" t="s">
        <v>484</v>
      </c>
      <c r="C9790" s="20" t="n">
        <f aca="false">IF(C9701=1,SUMPRODUCT($G$9669:$K$9669,$G$9545:$K$9545),0)</f>
        <v>2</v>
      </c>
    </row>
    <row r="9791" customFormat="false" ht="15" hidden="false" customHeight="false" outlineLevel="0" collapsed="false">
      <c r="A9791" s="5" t="s">
        <v>485</v>
      </c>
      <c r="C9791" s="21" t="n">
        <f aca="false">IFERROR(C9786/CHOOSE(C9785,SUMPRODUCT($G$9700:$K$9700,$G$9591:$K$9591),SUMPRODUCT($G$9700:$K$9700,$G$9604:$K$9604),SUMPRODUCT($G$9700:$K$9700,$G$9617:$K$9617),SUMPRODUCT($G$9700:$K$9700,$G$9630:$K$9630)),0)</f>
        <v>0.196232339089482</v>
      </c>
    </row>
    <row r="9792" customFormat="false" ht="15" hidden="false" customHeight="false" outlineLevel="0" collapsed="false">
      <c r="A9792" s="5" t="s">
        <v>486</v>
      </c>
      <c r="C9792" s="25" t="n">
        <f aca="false">CHOOSE(C9785,C9762,C9763,C9764,C9765)*C9791</f>
        <v>51.3136639128728</v>
      </c>
    </row>
    <row r="9793" customFormat="false" ht="15" hidden="false" customHeight="false" outlineLevel="0" collapsed="false">
      <c r="A9793" s="5" t="s">
        <v>487</v>
      </c>
      <c r="C9793" s="21" t="n">
        <f aca="false">CHOOSE(C9785,C9767,C9768,C9769,C9770)</f>
        <v>0.498735647312578</v>
      </c>
    </row>
    <row r="9794" customFormat="false" ht="15" hidden="false" customHeight="false" outlineLevel="0" collapsed="false">
      <c r="A9794" s="5" t="s">
        <v>488</v>
      </c>
      <c r="C9794" s="20" t="n">
        <f aca="false">IF(C9701=1,C9790,C9789)</f>
        <v>2</v>
      </c>
    </row>
    <row r="9795" customFormat="false" ht="15" hidden="false" customHeight="false" outlineLevel="0" collapsed="false">
      <c r="A9795" s="5" t="s">
        <v>489</v>
      </c>
      <c r="C9795" s="33" t="n">
        <f aca="false">CHOOSE($C$9537,Assumptions!$C$77,Assumptions!$C$96,Assumptions!$C$115)</f>
        <v>90</v>
      </c>
    </row>
    <row r="9796" customFormat="false" ht="15" hidden="false" customHeight="false" outlineLevel="0" collapsed="false">
      <c r="A9796" s="5" t="s">
        <v>490</v>
      </c>
      <c r="C9796" s="25" t="n">
        <f aca="false">INDEX($G$9554:$K$9554,C9789)*CHOOSE($C$9537,Assumptions!$C$76,Assumptions!$C$95,Assumptions!$C$114)+MAX(0,INDEX($G$9666:$K$9666,C9789))</f>
        <v>299.278392</v>
      </c>
    </row>
    <row r="9797" customFormat="false" ht="15" hidden="false" customHeight="false" outlineLevel="0" collapsed="false">
      <c r="A9797" s="23" t="s">
        <v>491</v>
      </c>
      <c r="B9797" s="24"/>
      <c r="C9797" s="24"/>
      <c r="D9797" s="24"/>
      <c r="E9797" s="24"/>
      <c r="F9797" s="24"/>
      <c r="G9797" s="24"/>
      <c r="H9797" s="24"/>
      <c r="I9797" s="24"/>
      <c r="J9797" s="24"/>
      <c r="K9797" s="24"/>
    </row>
    <row r="9798" customFormat="false" ht="15" hidden="false" customHeight="false" outlineLevel="0" collapsed="false">
      <c r="A9798" s="5" t="s">
        <v>457</v>
      </c>
      <c r="C9798" s="25" t="n">
        <f aca="false">INDEX($G$9591:$K$9591,C9789)</f>
        <v>241.7368</v>
      </c>
    </row>
    <row r="9799" customFormat="false" ht="15" hidden="false" customHeight="false" outlineLevel="0" collapsed="false">
      <c r="A9799" s="5" t="s">
        <v>458</v>
      </c>
      <c r="C9799" s="25" t="n">
        <f aca="false">INDEX($G$9604:$K$9604,C9789)</f>
        <v>509.6</v>
      </c>
    </row>
    <row r="9800" customFormat="false" ht="15" hidden="false" customHeight="false" outlineLevel="0" collapsed="false">
      <c r="A9800" s="5" t="s">
        <v>459</v>
      </c>
      <c r="C9800" s="25" t="n">
        <f aca="false">INDEX($G$9617:$K$9617,C9789)</f>
        <v>250</v>
      </c>
    </row>
    <row r="9801" customFormat="false" ht="15" hidden="false" customHeight="false" outlineLevel="0" collapsed="false">
      <c r="A9801" s="5" t="s">
        <v>460</v>
      </c>
      <c r="C9801" s="25" t="n">
        <f aca="false">INDEX($G$9630:$K$9630,C9789)</f>
        <v>300</v>
      </c>
    </row>
    <row r="9802" customFormat="false" ht="15" hidden="false" customHeight="false" outlineLevel="0" collapsed="false">
      <c r="A9802" s="23" t="s">
        <v>461</v>
      </c>
      <c r="B9802" s="24"/>
      <c r="C9802" s="24"/>
      <c r="D9802" s="24"/>
      <c r="E9802" s="24"/>
      <c r="F9802" s="24"/>
      <c r="G9802" s="24"/>
      <c r="H9802" s="24"/>
      <c r="I9802" s="24"/>
      <c r="J9802" s="24"/>
      <c r="K9802" s="24"/>
    </row>
    <row r="9803" customFormat="false" ht="15" hidden="false" customHeight="false" outlineLevel="0" collapsed="false">
      <c r="A9803" s="5" t="s">
        <v>457</v>
      </c>
      <c r="C9803" s="26" t="n">
        <f aca="false">Assumptions!$M$53</f>
        <v>1</v>
      </c>
    </row>
    <row r="9804" customFormat="false" ht="15" hidden="false" customHeight="false" outlineLevel="0" collapsed="false">
      <c r="A9804" s="5" t="s">
        <v>458</v>
      </c>
      <c r="C9804" s="26" t="n">
        <f aca="false">Assumptions!$M$54</f>
        <v>2</v>
      </c>
    </row>
    <row r="9805" customFormat="false" ht="15" hidden="false" customHeight="false" outlineLevel="0" collapsed="false">
      <c r="A9805" s="5" t="s">
        <v>459</v>
      </c>
      <c r="C9805" s="26" t="n">
        <f aca="false">Assumptions!$M$55</f>
        <v>3</v>
      </c>
    </row>
    <row r="9806" customFormat="false" ht="15" hidden="false" customHeight="false" outlineLevel="0" collapsed="false">
      <c r="A9806" s="5" t="s">
        <v>460</v>
      </c>
      <c r="C9806" s="26" t="n">
        <f aca="false">Assumptions!$M$56</f>
        <v>4</v>
      </c>
    </row>
    <row r="9807" customFormat="false" ht="15" hidden="false" customHeight="false" outlineLevel="0" collapsed="false">
      <c r="A9807" s="23" t="s">
        <v>462</v>
      </c>
      <c r="B9807" s="24"/>
      <c r="C9807" s="24"/>
      <c r="D9807" s="24"/>
      <c r="E9807" s="24"/>
      <c r="F9807" s="24"/>
      <c r="G9807" s="24"/>
      <c r="H9807" s="24"/>
      <c r="I9807" s="24"/>
      <c r="J9807" s="24"/>
      <c r="K9807" s="24"/>
    </row>
    <row r="9808" customFormat="false" ht="15" hidden="false" customHeight="false" outlineLevel="0" collapsed="false">
      <c r="A9808" s="5" t="s">
        <v>457</v>
      </c>
      <c r="C9808" s="34" t="n">
        <f aca="false">Assumptions!$Q$53</f>
        <v>0</v>
      </c>
    </row>
    <row r="9809" customFormat="false" ht="15" hidden="false" customHeight="false" outlineLevel="0" collapsed="false">
      <c r="A9809" s="5" t="s">
        <v>458</v>
      </c>
      <c r="C9809" s="34" t="n">
        <f aca="false">Assumptions!$Q$54</f>
        <v>0</v>
      </c>
    </row>
    <row r="9810" customFormat="false" ht="15" hidden="false" customHeight="false" outlineLevel="0" collapsed="false">
      <c r="A9810" s="5" t="s">
        <v>459</v>
      </c>
      <c r="C9810" s="34" t="n">
        <f aca="false">Assumptions!$Q$55</f>
        <v>0</v>
      </c>
    </row>
    <row r="9811" customFormat="false" ht="15" hidden="false" customHeight="false" outlineLevel="0" collapsed="false">
      <c r="A9811" s="5" t="s">
        <v>460</v>
      </c>
      <c r="C9811" s="34" t="n">
        <f aca="false">Assumptions!$Q$56</f>
        <v>0</v>
      </c>
    </row>
    <row r="9812" customFormat="false" ht="15" hidden="false" customHeight="false" outlineLevel="0" collapsed="false">
      <c r="A9812" s="23" t="s">
        <v>463</v>
      </c>
      <c r="B9812" s="24"/>
      <c r="C9812" s="24"/>
      <c r="D9812" s="24"/>
      <c r="E9812" s="24"/>
      <c r="F9812" s="24"/>
      <c r="G9812" s="24"/>
      <c r="H9812" s="24"/>
      <c r="I9812" s="24"/>
      <c r="J9812" s="24"/>
      <c r="K9812" s="24"/>
    </row>
    <row r="9813" customFormat="false" ht="15" hidden="false" customHeight="false" outlineLevel="0" collapsed="false">
      <c r="A9813" s="5" t="s">
        <v>457</v>
      </c>
      <c r="C9813" s="25" t="n">
        <f aca="false">IF(C9808&gt;0,MIN(C9798,C9808*$C$9796),0)</f>
        <v>0</v>
      </c>
    </row>
    <row r="9814" customFormat="false" ht="15" hidden="false" customHeight="false" outlineLevel="0" collapsed="false">
      <c r="A9814" s="5" t="s">
        <v>458</v>
      </c>
      <c r="C9814" s="25" t="n">
        <f aca="false">IF(C9809&gt;0,MIN(C9799,C9809*$C$9796),0)</f>
        <v>0</v>
      </c>
    </row>
    <row r="9815" customFormat="false" ht="15" hidden="false" customHeight="false" outlineLevel="0" collapsed="false">
      <c r="A9815" s="5" t="s">
        <v>459</v>
      </c>
      <c r="C9815" s="25" t="n">
        <f aca="false">IF(C9810&gt;0,MIN(C9800,C9810*$C$9796),0)</f>
        <v>0</v>
      </c>
    </row>
    <row r="9816" customFormat="false" ht="15" hidden="false" customHeight="false" outlineLevel="0" collapsed="false">
      <c r="A9816" s="5" t="s">
        <v>460</v>
      </c>
      <c r="C9816" s="25" t="n">
        <f aca="false">IF(C9811&gt;0,MIN(C9801,C9811*$C$9796),0)</f>
        <v>0</v>
      </c>
    </row>
    <row r="9817" customFormat="false" ht="15" hidden="false" customHeight="false" outlineLevel="0" collapsed="false">
      <c r="A9817" s="23" t="s">
        <v>464</v>
      </c>
      <c r="B9817" s="24"/>
      <c r="C9817" s="24"/>
      <c r="D9817" s="24"/>
      <c r="E9817" s="24"/>
      <c r="F9817" s="24"/>
      <c r="G9817" s="24"/>
      <c r="H9817" s="24"/>
      <c r="I9817" s="24"/>
      <c r="J9817" s="24"/>
      <c r="K9817" s="24"/>
    </row>
    <row r="9818" customFormat="false" ht="15" hidden="false" customHeight="false" outlineLevel="0" collapsed="false">
      <c r="A9818" s="5" t="s">
        <v>457</v>
      </c>
      <c r="C9818" s="25" t="n">
        <f aca="false">IF(C9808&gt;0,C9798-C9813,0)</f>
        <v>0</v>
      </c>
    </row>
    <row r="9819" customFormat="false" ht="15" hidden="false" customHeight="false" outlineLevel="0" collapsed="false">
      <c r="A9819" s="5" t="s">
        <v>458</v>
      </c>
      <c r="C9819" s="25" t="n">
        <f aca="false">IF(C9809&gt;0,C9799-C9814,0)</f>
        <v>0</v>
      </c>
    </row>
    <row r="9820" customFormat="false" ht="15" hidden="false" customHeight="false" outlineLevel="0" collapsed="false">
      <c r="A9820" s="5" t="s">
        <v>459</v>
      </c>
      <c r="C9820" s="25" t="n">
        <f aca="false">IF(C9810&gt;0,C9800-C9815,0)</f>
        <v>0</v>
      </c>
    </row>
    <row r="9821" customFormat="false" ht="15" hidden="false" customHeight="false" outlineLevel="0" collapsed="false">
      <c r="A9821" s="5" t="s">
        <v>460</v>
      </c>
      <c r="C9821" s="25" t="n">
        <f aca="false">IF(C9811&gt;0,C9801-C9816,0)</f>
        <v>0</v>
      </c>
    </row>
    <row r="9822" customFormat="false" ht="15" hidden="false" customHeight="false" outlineLevel="0" collapsed="false">
      <c r="A9822" s="23" t="s">
        <v>465</v>
      </c>
      <c r="B9822" s="24"/>
      <c r="C9822" s="24"/>
      <c r="D9822" s="24"/>
      <c r="E9822" s="24"/>
      <c r="F9822" s="24"/>
      <c r="G9822" s="24"/>
      <c r="H9822" s="24"/>
      <c r="I9822" s="24"/>
      <c r="J9822" s="24"/>
      <c r="K9822" s="24"/>
    </row>
    <row r="9823" customFormat="false" ht="15" hidden="false" customHeight="false" outlineLevel="0" collapsed="false">
      <c r="A9823" s="5" t="s">
        <v>457</v>
      </c>
      <c r="C9823" s="25" t="n">
        <f aca="false">IF(C9808&gt;0,C9818,C9798)</f>
        <v>241.7368</v>
      </c>
    </row>
    <row r="9824" customFormat="false" ht="15" hidden="false" customHeight="false" outlineLevel="0" collapsed="false">
      <c r="A9824" s="5" t="s">
        <v>458</v>
      </c>
      <c r="C9824" s="25" t="n">
        <f aca="false">IF(C9809&gt;0,C9819,C9799)</f>
        <v>509.6</v>
      </c>
    </row>
    <row r="9825" customFormat="false" ht="15" hidden="false" customHeight="false" outlineLevel="0" collapsed="false">
      <c r="A9825" s="5" t="s">
        <v>459</v>
      </c>
      <c r="C9825" s="25" t="n">
        <f aca="false">IF(C9810&gt;0,C9820,C9800)</f>
        <v>250</v>
      </c>
    </row>
    <row r="9826" customFormat="false" ht="15" hidden="false" customHeight="false" outlineLevel="0" collapsed="false">
      <c r="A9826" s="5" t="s">
        <v>460</v>
      </c>
      <c r="C9826" s="25" t="n">
        <f aca="false">IF(C9811&gt;0,C9821,C9801)</f>
        <v>300</v>
      </c>
    </row>
    <row r="9827" customFormat="false" ht="15" hidden="false" customHeight="false" outlineLevel="0" collapsed="false">
      <c r="A9827" s="23" t="s">
        <v>466</v>
      </c>
      <c r="B9827" s="24"/>
      <c r="C9827" s="24"/>
      <c r="D9827" s="24"/>
      <c r="E9827" s="24"/>
      <c r="F9827" s="24"/>
      <c r="G9827" s="24"/>
      <c r="H9827" s="24"/>
      <c r="I9827" s="24"/>
      <c r="J9827" s="24"/>
      <c r="K9827" s="24"/>
    </row>
    <row r="9828" customFormat="false" ht="15" hidden="false" customHeight="false" outlineLevel="0" collapsed="false">
      <c r="A9828" s="5" t="s">
        <v>457</v>
      </c>
      <c r="C9828" s="20" t="n">
        <f aca="false">IF(C9808&gt;0,Assumptions!$C$17,C9803)</f>
        <v>1</v>
      </c>
    </row>
    <row r="9829" customFormat="false" ht="15" hidden="false" customHeight="false" outlineLevel="0" collapsed="false">
      <c r="A9829" s="5" t="s">
        <v>458</v>
      </c>
      <c r="C9829" s="20" t="n">
        <f aca="false">IF(C9809&gt;0,Assumptions!$C$17,C9804)</f>
        <v>2</v>
      </c>
    </row>
    <row r="9830" customFormat="false" ht="15" hidden="false" customHeight="false" outlineLevel="0" collapsed="false">
      <c r="A9830" s="5" t="s">
        <v>459</v>
      </c>
      <c r="C9830" s="20" t="n">
        <f aca="false">IF(C9810&gt;0,Assumptions!$C$17,C9805)</f>
        <v>3</v>
      </c>
    </row>
    <row r="9831" customFormat="false" ht="15" hidden="false" customHeight="false" outlineLevel="0" collapsed="false">
      <c r="A9831" s="5" t="s">
        <v>460</v>
      </c>
      <c r="C9831" s="20" t="n">
        <f aca="false">IF(C9811&gt;0,Assumptions!$C$17,C9806)</f>
        <v>4</v>
      </c>
    </row>
    <row r="9832" customFormat="false" ht="15" hidden="false" customHeight="false" outlineLevel="0" collapsed="false">
      <c r="A9832" s="23" t="s">
        <v>467</v>
      </c>
      <c r="B9832" s="24"/>
      <c r="C9832" s="24"/>
      <c r="D9832" s="24"/>
      <c r="E9832" s="24"/>
      <c r="F9832" s="24"/>
      <c r="G9832" s="24"/>
      <c r="H9832" s="24"/>
      <c r="I9832" s="24"/>
      <c r="J9832" s="24"/>
      <c r="K9832" s="24"/>
    </row>
    <row r="9833" customFormat="false" ht="15" hidden="false" customHeight="false" outlineLevel="0" collapsed="false">
      <c r="A9833" s="5" t="s">
        <v>457</v>
      </c>
      <c r="C9833" s="25" t="n">
        <f aca="false">SUMPRODUCT(($C$9828:$C$9831&lt;C9828)*$C$9823:$C$9826)</f>
        <v>0</v>
      </c>
    </row>
    <row r="9834" customFormat="false" ht="15" hidden="false" customHeight="false" outlineLevel="0" collapsed="false">
      <c r="A9834" s="5" t="s">
        <v>458</v>
      </c>
      <c r="C9834" s="25" t="n">
        <f aca="false">SUMPRODUCT(($C$9828:$C$9831&lt;C9829)*$C$9823:$C$9826)</f>
        <v>241.7368</v>
      </c>
    </row>
    <row r="9835" customFormat="false" ht="15" hidden="false" customHeight="false" outlineLevel="0" collapsed="false">
      <c r="A9835" s="5" t="s">
        <v>459</v>
      </c>
      <c r="C9835" s="25" t="n">
        <f aca="false">SUMPRODUCT(($C$9828:$C$9831&lt;C9830)*$C$9823:$C$9826)</f>
        <v>751.3368</v>
      </c>
    </row>
    <row r="9836" customFormat="false" ht="15" hidden="false" customHeight="false" outlineLevel="0" collapsed="false">
      <c r="A9836" s="5" t="s">
        <v>460</v>
      </c>
      <c r="C9836" s="25" t="n">
        <f aca="false">SUMPRODUCT(($C$9828:$C$9831&lt;C9831)*$C$9823:$C$9826)</f>
        <v>1001.3368</v>
      </c>
    </row>
    <row r="9837" customFormat="false" ht="15" hidden="false" customHeight="false" outlineLevel="0" collapsed="false">
      <c r="A9837" s="23" t="s">
        <v>468</v>
      </c>
      <c r="B9837" s="24"/>
      <c r="C9837" s="24"/>
      <c r="D9837" s="24"/>
      <c r="E9837" s="24"/>
      <c r="F9837" s="24"/>
      <c r="G9837" s="24"/>
      <c r="H9837" s="24"/>
      <c r="I9837" s="24"/>
      <c r="J9837" s="24"/>
      <c r="K9837" s="24"/>
    </row>
    <row r="9838" customFormat="false" ht="15" hidden="false" customHeight="false" outlineLevel="0" collapsed="false">
      <c r="A9838" s="5" t="s">
        <v>457</v>
      </c>
      <c r="C9838" s="25" t="n">
        <f aca="false">SUMPRODUCT(($C$9828:$C$9831=C9828)*$C$9823:$C$9826)</f>
        <v>241.7368</v>
      </c>
    </row>
    <row r="9839" customFormat="false" ht="15" hidden="false" customHeight="false" outlineLevel="0" collapsed="false">
      <c r="A9839" s="5" t="s">
        <v>458</v>
      </c>
      <c r="C9839" s="25" t="n">
        <f aca="false">SUMPRODUCT(($C$9828:$C$9831=C9829)*$C$9823:$C$9826)</f>
        <v>509.6</v>
      </c>
    </row>
    <row r="9840" customFormat="false" ht="15" hidden="false" customHeight="false" outlineLevel="0" collapsed="false">
      <c r="A9840" s="5" t="s">
        <v>459</v>
      </c>
      <c r="C9840" s="25" t="n">
        <f aca="false">SUMPRODUCT(($C$9828:$C$9831=C9830)*$C$9823:$C$9826)</f>
        <v>250</v>
      </c>
    </row>
    <row r="9841" customFormat="false" ht="15" hidden="false" customHeight="false" outlineLevel="0" collapsed="false">
      <c r="A9841" s="5" t="s">
        <v>460</v>
      </c>
      <c r="C9841" s="25" t="n">
        <f aca="false">SUMPRODUCT(($C$9828:$C$9831=C9831)*$C$9823:$C$9826)</f>
        <v>300</v>
      </c>
    </row>
    <row r="9842" customFormat="false" ht="15" hidden="false" customHeight="false" outlineLevel="0" collapsed="false">
      <c r="A9842" s="23" t="s">
        <v>469</v>
      </c>
      <c r="B9842" s="24"/>
      <c r="C9842" s="24"/>
      <c r="D9842" s="24"/>
      <c r="E9842" s="24"/>
      <c r="F9842" s="24"/>
      <c r="G9842" s="24"/>
      <c r="H9842" s="24"/>
      <c r="I9842" s="24"/>
      <c r="J9842" s="24"/>
      <c r="K9842" s="24"/>
    </row>
    <row r="9843" customFormat="false" ht="15" hidden="false" customHeight="false" outlineLevel="0" collapsed="false">
      <c r="A9843" s="5" t="s">
        <v>457</v>
      </c>
      <c r="C9843" s="25" t="n">
        <f aca="false">IF(C9838=0,0,C9823/C9838*MAX(0,MIN(C9838,$C$9796-SUM($C$9813:$C$9816)-C9833)))</f>
        <v>241.7368</v>
      </c>
    </row>
    <row r="9844" customFormat="false" ht="15" hidden="false" customHeight="false" outlineLevel="0" collapsed="false">
      <c r="A9844" s="5" t="s">
        <v>458</v>
      </c>
      <c r="C9844" s="25" t="n">
        <f aca="false">IF(C9839=0,0,C9824/C9839*MAX(0,MIN(C9839,$C$9796-SUM($C$9813:$C$9816)-C9834)))</f>
        <v>57.5415919999998</v>
      </c>
    </row>
    <row r="9845" customFormat="false" ht="15" hidden="false" customHeight="false" outlineLevel="0" collapsed="false">
      <c r="A9845" s="5" t="s">
        <v>459</v>
      </c>
      <c r="C9845" s="25" t="n">
        <f aca="false">IF(C9840=0,0,C9825/C9840*MAX(0,MIN(C9840,$C$9796-SUM($C$9813:$C$9816)-C9835)))</f>
        <v>0</v>
      </c>
    </row>
    <row r="9846" customFormat="false" ht="15" hidden="false" customHeight="false" outlineLevel="0" collapsed="false">
      <c r="A9846" s="5" t="s">
        <v>460</v>
      </c>
      <c r="C9846" s="25" t="n">
        <f aca="false">IF(C9841=0,0,C9826/C9841*MAX(0,MIN(C9841,$C$9796-SUM($C$9813:$C$9816)-C9836)))</f>
        <v>0</v>
      </c>
    </row>
    <row r="9847" customFormat="false" ht="15" hidden="false" customHeight="false" outlineLevel="0" collapsed="false">
      <c r="A9847" s="23" t="s">
        <v>470</v>
      </c>
      <c r="B9847" s="24"/>
      <c r="C9847" s="24"/>
      <c r="D9847" s="24"/>
      <c r="E9847" s="24"/>
      <c r="F9847" s="24"/>
      <c r="G9847" s="24"/>
      <c r="H9847" s="24"/>
      <c r="I9847" s="24"/>
      <c r="J9847" s="24"/>
      <c r="K9847" s="24"/>
    </row>
    <row r="9848" customFormat="false" ht="15" hidden="false" customHeight="false" outlineLevel="0" collapsed="false">
      <c r="A9848" s="2" t="s">
        <v>457</v>
      </c>
      <c r="C9848" s="16" t="n">
        <f aca="false">C9813+C9843</f>
        <v>241.7368</v>
      </c>
    </row>
    <row r="9849" customFormat="false" ht="15" hidden="false" customHeight="false" outlineLevel="0" collapsed="false">
      <c r="A9849" s="2" t="s">
        <v>458</v>
      </c>
      <c r="C9849" s="16" t="n">
        <f aca="false">C9814+C9844</f>
        <v>57.5415919999998</v>
      </c>
    </row>
    <row r="9850" customFormat="false" ht="15" hidden="false" customHeight="false" outlineLevel="0" collapsed="false">
      <c r="A9850" s="2" t="s">
        <v>459</v>
      </c>
      <c r="C9850" s="16" t="n">
        <f aca="false">C9815+C9845</f>
        <v>0</v>
      </c>
    </row>
    <row r="9851" customFormat="false" ht="15" hidden="false" customHeight="false" outlineLevel="0" collapsed="false">
      <c r="A9851" s="2" t="s">
        <v>460</v>
      </c>
      <c r="C9851" s="16" t="n">
        <f aca="false">C9816+C9846</f>
        <v>0</v>
      </c>
    </row>
    <row r="9852" customFormat="false" ht="15" hidden="false" customHeight="false" outlineLevel="0" collapsed="false">
      <c r="A9852" s="23" t="s">
        <v>471</v>
      </c>
      <c r="B9852" s="24"/>
      <c r="C9852" s="24"/>
      <c r="D9852" s="24"/>
      <c r="E9852" s="24"/>
      <c r="F9852" s="24"/>
      <c r="G9852" s="24"/>
      <c r="H9852" s="24"/>
      <c r="I9852" s="24"/>
      <c r="J9852" s="24"/>
      <c r="K9852" s="24"/>
    </row>
    <row r="9853" customFormat="false" ht="15" hidden="false" customHeight="false" outlineLevel="0" collapsed="false">
      <c r="A9853" s="5" t="s">
        <v>457</v>
      </c>
      <c r="C9853" s="21" t="n">
        <f aca="false">IF(C9798=0,1,C9848/C9798)</f>
        <v>1</v>
      </c>
    </row>
    <row r="9854" customFormat="false" ht="15" hidden="false" customHeight="false" outlineLevel="0" collapsed="false">
      <c r="A9854" s="5" t="s">
        <v>458</v>
      </c>
      <c r="C9854" s="21" t="n">
        <f aca="false">IF(C9799=0,1,C9849/C9799)</f>
        <v>0.112915211930926</v>
      </c>
    </row>
    <row r="9855" customFormat="false" ht="15" hidden="false" customHeight="false" outlineLevel="0" collapsed="false">
      <c r="A9855" s="5" t="s">
        <v>459</v>
      </c>
      <c r="C9855" s="21" t="n">
        <f aca="false">IF(C9800=0,1,C9850/C9800)</f>
        <v>0</v>
      </c>
    </row>
    <row r="9856" customFormat="false" ht="15" hidden="false" customHeight="false" outlineLevel="0" collapsed="false">
      <c r="A9856" s="5" t="s">
        <v>460</v>
      </c>
      <c r="C9856" s="21" t="n">
        <f aca="false">IF(C9801=0,1,C9851/C9801)</f>
        <v>0</v>
      </c>
    </row>
    <row r="9857" customFormat="false" ht="15" hidden="false" customHeight="false" outlineLevel="0" collapsed="false">
      <c r="A9857" s="23" t="s">
        <v>472</v>
      </c>
      <c r="B9857" s="24"/>
      <c r="C9857" s="24"/>
      <c r="D9857" s="24"/>
      <c r="E9857" s="24"/>
      <c r="F9857" s="24"/>
      <c r="G9857" s="24"/>
      <c r="H9857" s="24"/>
      <c r="I9857" s="24"/>
      <c r="J9857" s="24"/>
      <c r="K9857" s="24"/>
    </row>
    <row r="9858" customFormat="false" ht="15" hidden="false" customHeight="false" outlineLevel="0" collapsed="false">
      <c r="A9858" s="5" t="s">
        <v>457</v>
      </c>
      <c r="C9858" s="25" t="n">
        <f aca="false">C9798-C9848</f>
        <v>0</v>
      </c>
    </row>
    <row r="9859" customFormat="false" ht="15" hidden="false" customHeight="false" outlineLevel="0" collapsed="false">
      <c r="A9859" s="5" t="s">
        <v>458</v>
      </c>
      <c r="C9859" s="25" t="n">
        <f aca="false">C9799-C9849</f>
        <v>452.058408</v>
      </c>
    </row>
    <row r="9860" customFormat="false" ht="15" hidden="false" customHeight="false" outlineLevel="0" collapsed="false">
      <c r="A9860" s="5" t="s">
        <v>459</v>
      </c>
      <c r="C9860" s="25" t="n">
        <f aca="false">C9800-C9850</f>
        <v>250</v>
      </c>
    </row>
    <row r="9861" customFormat="false" ht="15" hidden="false" customHeight="false" outlineLevel="0" collapsed="false">
      <c r="A9861" s="5" t="s">
        <v>460</v>
      </c>
      <c r="C9861" s="25" t="n">
        <f aca="false">C9801-C9851</f>
        <v>300</v>
      </c>
    </row>
    <row r="9862" customFormat="false" ht="15" hidden="false" customHeight="false" outlineLevel="0" collapsed="false">
      <c r="A9862" s="23" t="s">
        <v>473</v>
      </c>
      <c r="B9862" s="24"/>
      <c r="C9862" s="24"/>
      <c r="D9862" s="24"/>
      <c r="E9862" s="24"/>
      <c r="F9862" s="24"/>
      <c r="G9862" s="24"/>
      <c r="H9862" s="24"/>
      <c r="I9862" s="24"/>
      <c r="J9862" s="24"/>
      <c r="K9862" s="24"/>
    </row>
    <row r="9863" customFormat="false" ht="15" hidden="false" customHeight="false" outlineLevel="0" collapsed="false">
      <c r="A9863" s="5" t="s">
        <v>457</v>
      </c>
      <c r="C9863" s="21" t="n">
        <f aca="false">IF(C9798=0,0,C9858/C9798)</f>
        <v>0</v>
      </c>
    </row>
    <row r="9864" customFormat="false" ht="15" hidden="false" customHeight="false" outlineLevel="0" collapsed="false">
      <c r="A9864" s="5" t="s">
        <v>458</v>
      </c>
      <c r="C9864" s="21" t="n">
        <f aca="false">IF(C9799=0,0,C9859/C9799)</f>
        <v>0.887084788069074</v>
      </c>
    </row>
    <row r="9865" customFormat="false" ht="15" hidden="false" customHeight="false" outlineLevel="0" collapsed="false">
      <c r="A9865" s="5" t="s">
        <v>459</v>
      </c>
      <c r="C9865" s="21" t="n">
        <f aca="false">IF(C9800=0,0,C9860/C9800)</f>
        <v>1</v>
      </c>
    </row>
    <row r="9866" customFormat="false" ht="15" hidden="false" customHeight="false" outlineLevel="0" collapsed="false">
      <c r="A9866" s="5" t="s">
        <v>460</v>
      </c>
      <c r="C9866" s="21" t="n">
        <f aca="false">IF(C9801=0,0,C9861/C9801)</f>
        <v>1</v>
      </c>
    </row>
    <row r="9867" customFormat="false" ht="15" hidden="false" customHeight="false" outlineLevel="0" collapsed="false">
      <c r="A9867" s="2" t="s">
        <v>474</v>
      </c>
      <c r="C9867" s="16" t="n">
        <f aca="false">MAX(0,$C$9796-SUM($C$9813:$C$9816)-SUM($C$9823:$C$9826))</f>
        <v>0</v>
      </c>
    </row>
    <row r="9868" customFormat="false" ht="15" hidden="false" customHeight="false" outlineLevel="0" collapsed="false">
      <c r="A9868" s="5" t="s">
        <v>492</v>
      </c>
      <c r="C9868" s="33" t="n">
        <f aca="false">MIN(C9795,100*CHOOSE(C9785,C9853,C9854,C9855,C9856))</f>
        <v>11.2915211930926</v>
      </c>
    </row>
    <row r="9869" customFormat="false" ht="15" hidden="false" customHeight="false" outlineLevel="0" collapsed="false">
      <c r="A9869" s="5" t="s">
        <v>493</v>
      </c>
      <c r="C9869" s="20" t="n">
        <f aca="false">IF(C9701=1,C9790+Assumptions!$C$36,C9789)</f>
        <v>3</v>
      </c>
    </row>
    <row r="9870" customFormat="false" ht="15" hidden="false" customHeight="false" outlineLevel="0" collapsed="false">
      <c r="A9870" s="23" t="s">
        <v>494</v>
      </c>
      <c r="B9870" s="24"/>
      <c r="C9870" s="24"/>
      <c r="D9870" s="24"/>
      <c r="E9870" s="24"/>
      <c r="F9870" s="24"/>
      <c r="G9870" s="24"/>
      <c r="H9870" s="24"/>
      <c r="I9870" s="24"/>
      <c r="J9870" s="24"/>
      <c r="K9870" s="24"/>
    </row>
    <row r="9871" customFormat="false" ht="15" hidden="false" customHeight="false" outlineLevel="0" collapsed="false">
      <c r="A9871" s="5" t="s">
        <v>495</v>
      </c>
      <c r="C9871" s="20" t="n">
        <f aca="false">COLUMN()-COLUMN($C$1)</f>
        <v>0</v>
      </c>
      <c r="D9871" s="20" t="n">
        <f aca="false">COLUMN()-COLUMN($C$1)</f>
        <v>1</v>
      </c>
      <c r="E9871" s="20" t="n">
        <f aca="false">COLUMN()-COLUMN($C$1)</f>
        <v>2</v>
      </c>
      <c r="F9871" s="20" t="n">
        <f aca="false">COLUMN()-COLUMN($C$1)</f>
        <v>3</v>
      </c>
      <c r="G9871" s="20" t="n">
        <f aca="false">COLUMN()-COLUMN($C$1)</f>
        <v>4</v>
      </c>
      <c r="H9871" s="20" t="n">
        <f aca="false">COLUMN()-COLUMN($C$1)</f>
        <v>5</v>
      </c>
      <c r="I9871" s="20" t="n">
        <f aca="false">COLUMN()-COLUMN($C$1)</f>
        <v>6</v>
      </c>
    </row>
    <row r="9872" customFormat="false" ht="15" hidden="false" customHeight="false" outlineLevel="0" collapsed="false">
      <c r="A9872" s="5" t="s">
        <v>496</v>
      </c>
      <c r="D9872" s="30" t="n">
        <f aca="false">CHOOSE($C$9785,G9583,G9596,G9609,G9622)</f>
        <v>0.118</v>
      </c>
      <c r="E9872" s="30" t="n">
        <f aca="false">CHOOSE($C$9785,H9583,H9596,H9609,H9622)</f>
        <v>0.1155</v>
      </c>
      <c r="F9872" s="30" t="n">
        <f aca="false">CHOOSE($C$9785,I9583,I9596,I9609,I9622)</f>
        <v>0.113</v>
      </c>
      <c r="G9872" s="30" t="n">
        <f aca="false">CHOOSE($C$9785,J9583,J9596,J9609,J9622)</f>
        <v>0.113</v>
      </c>
      <c r="H9872" s="30" t="n">
        <f aca="false">CHOOSE($C$9785,K9583,K9596,K9609,K9622)</f>
        <v>0.113</v>
      </c>
    </row>
    <row r="9873" customFormat="false" ht="15" hidden="false" customHeight="false" outlineLevel="0" collapsed="false">
      <c r="A9873" s="5" t="s">
        <v>497</v>
      </c>
      <c r="D9873" s="25" t="n">
        <f aca="false">IF(D9871&lt;=$C$9794,$C$9786*D9872,0)</f>
        <v>11.8</v>
      </c>
      <c r="E9873" s="25" t="n">
        <f aca="false">IF(E9871&lt;=$C$9794,$C$9786*E9872,0)</f>
        <v>11.55</v>
      </c>
      <c r="F9873" s="25" t="n">
        <f aca="false">IF(F9871&lt;=$C$9794,$C$9786*F9872,0)</f>
        <v>0</v>
      </c>
      <c r="G9873" s="25" t="n">
        <f aca="false">IF(G9871&lt;=$C$9794,$C$9786*G9872,0)</f>
        <v>0</v>
      </c>
      <c r="H9873" s="25" t="n">
        <f aca="false">IF(H9871&lt;=$C$9794,$C$9786*H9872,0)</f>
        <v>0</v>
      </c>
    </row>
    <row r="9874" customFormat="false" ht="15" hidden="false" customHeight="false" outlineLevel="0" collapsed="false">
      <c r="A9874" s="5" t="s">
        <v>498</v>
      </c>
      <c r="D9874" s="25" t="n">
        <f aca="false">IF(AND($C$9701=0,D9871=$C$9789),$C$9786*$C$9868/100,0)+IF(AND($C$9701=1,D9871=$C$9869),$C$9792,0)</f>
        <v>0</v>
      </c>
      <c r="E9874" s="25" t="n">
        <f aca="false">IF(AND($C$9701=0,E9871=$C$9789),$C$9786*$C$9868/100,0)+IF(AND($C$9701=1,E9871=$C$9869),$C$9792,0)</f>
        <v>0</v>
      </c>
      <c r="F9874" s="25" t="n">
        <f aca="false">IF(AND($C$9701=0,F9871=$C$9789),$C$9786*$C$9868/100,0)+IF(AND($C$9701=1,F9871=$C$9869),$C$9792,0)</f>
        <v>51.3136639128728</v>
      </c>
      <c r="G9874" s="25" t="n">
        <f aca="false">IF(AND($C$9701=0,G9871=$C$9789),$C$9786*$C$9868/100,0)+IF(AND($C$9701=1,G9871=$C$9869),$C$9792,0)</f>
        <v>0</v>
      </c>
      <c r="H9874" s="25" t="n">
        <f aca="false">IF(AND($C$9701=0,H9871=$C$9789),$C$9786*$C$9868/100,0)+IF(AND($C$9701=1,H9871=$C$9869),$C$9792,0)</f>
        <v>0</v>
      </c>
      <c r="I9874" s="25" t="n">
        <f aca="false">IF(AND($C$9701=0,I9871=$C$9789),$C$9786*$C$9868/100,0)+IF(AND($C$9701=1,I9871=$C$9869),$C$9792,0)</f>
        <v>0</v>
      </c>
    </row>
    <row r="9875" customFormat="false" ht="15" hidden="false" customHeight="false" outlineLevel="0" collapsed="false">
      <c r="A9875" s="2" t="s">
        <v>499</v>
      </c>
      <c r="C9875" s="16" t="n">
        <f aca="false">-$C$9788</f>
        <v>-78.39</v>
      </c>
      <c r="D9875" s="16" t="n">
        <f aca="false">D9873+D9874</f>
        <v>11.8</v>
      </c>
      <c r="E9875" s="16" t="n">
        <f aca="false">E9873+E9874</f>
        <v>11.55</v>
      </c>
      <c r="F9875" s="16" t="n">
        <f aca="false">F9873+F9874</f>
        <v>51.3136639128728</v>
      </c>
      <c r="G9875" s="16" t="n">
        <f aca="false">G9873+G9874</f>
        <v>0</v>
      </c>
      <c r="H9875" s="16" t="n">
        <f aca="false">H9873+H9874</f>
        <v>0</v>
      </c>
      <c r="I9875" s="16" t="n">
        <f aca="false">I9873+I9874</f>
        <v>0</v>
      </c>
    </row>
    <row r="9876" customFormat="false" ht="15" hidden="false" customHeight="false" outlineLevel="0" collapsed="false">
      <c r="A9876" s="5" t="s">
        <v>500</v>
      </c>
      <c r="C9876" s="25" t="n">
        <f aca="false">SUM($C$9873:$I$9873)</f>
        <v>23.35</v>
      </c>
    </row>
    <row r="9877" customFormat="false" ht="15" hidden="false" customHeight="false" outlineLevel="0" collapsed="false">
      <c r="A9877" s="5" t="s">
        <v>501</v>
      </c>
      <c r="C9877" s="25" t="n">
        <f aca="false">SUM($C$9874:$I$9874)</f>
        <v>51.3136639128728</v>
      </c>
    </row>
    <row r="9878" customFormat="false" ht="15" hidden="false" customHeight="false" outlineLevel="0" collapsed="false">
      <c r="A9878" s="5" t="s">
        <v>502</v>
      </c>
      <c r="C9878" s="25" t="n">
        <f aca="false">C9876+C9877</f>
        <v>74.6636639128728</v>
      </c>
    </row>
    <row r="9879" customFormat="false" ht="15" hidden="false" customHeight="false" outlineLevel="0" collapsed="false">
      <c r="A9879" s="5" t="s">
        <v>503</v>
      </c>
      <c r="C9879" s="25" t="n">
        <f aca="false">C9877-C9786*C9787/100</f>
        <v>-26.6863360871272</v>
      </c>
    </row>
    <row r="9880" customFormat="false" ht="15" hidden="false" customHeight="false" outlineLevel="0" collapsed="false">
      <c r="A9880" s="5" t="s">
        <v>504</v>
      </c>
      <c r="C9880" s="25" t="n">
        <f aca="false">C9878-C9788</f>
        <v>-3.72633608712715</v>
      </c>
    </row>
    <row r="9881" customFormat="false" ht="15" hidden="false" customHeight="false" outlineLevel="0" collapsed="false">
      <c r="A9881" s="2" t="s">
        <v>385</v>
      </c>
      <c r="C9881" s="43" t="n">
        <f aca="false">C9878/C9788</f>
        <v>0.952464139722833</v>
      </c>
    </row>
    <row r="9882" customFormat="false" ht="15" hidden="false" customHeight="false" outlineLevel="0" collapsed="false">
      <c r="A9882" s="2" t="s">
        <v>384</v>
      </c>
      <c r="C9882" s="41" t="n">
        <f aca="false">IF(C9878&lt;=0,-1,IFERROR(IRR($C$9875:$I$9875,MAX(-0.9,C9881^(1/C9869)-1)),IRR($C$9875:$I$9875,0.1)))</f>
        <v>-0.0190316005567342</v>
      </c>
    </row>
    <row r="9883" customFormat="false" ht="15" hidden="false" customHeight="false" outlineLevel="0" collapsed="false">
      <c r="A9883" s="5" t="s">
        <v>505</v>
      </c>
      <c r="C9883" s="31" t="n">
        <f aca="false">MAX($G$9677:$K$9677)</f>
        <v>24.2676545989996</v>
      </c>
    </row>
    <row r="9884" customFormat="false" ht="15" hidden="false" customHeight="false" outlineLevel="0" collapsed="false">
      <c r="A9884" s="5" t="s">
        <v>506</v>
      </c>
      <c r="C9884" s="31" t="n">
        <f aca="false">MIN($G$9678:$K$9678)</f>
        <v>0.449129325079886</v>
      </c>
    </row>
    <row r="9885" customFormat="false" ht="15" hidden="false" customHeight="false" outlineLevel="0" collapsed="false">
      <c r="A9885" s="5" t="s">
        <v>507</v>
      </c>
      <c r="C9885" s="25" t="n">
        <f aca="false">SUM($G$9567:$K$9567)</f>
        <v>-598.1623632468</v>
      </c>
    </row>
    <row r="9889" customFormat="false" ht="15" hidden="false" customHeight="false" outlineLevel="0" collapsed="false">
      <c r="A9889" s="9" t="s">
        <v>654</v>
      </c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</row>
    <row r="9890" customFormat="false" ht="15" hidden="false" customHeight="false" outlineLevel="0" collapsed="false">
      <c r="A9890" s="5" t="s">
        <v>622</v>
      </c>
      <c r="C9890" s="11" t="n">
        <v>3</v>
      </c>
    </row>
    <row r="9891" customFormat="false" ht="15" hidden="false" customHeight="false" outlineLevel="0" collapsed="false">
      <c r="A9891" s="5" t="s">
        <v>623</v>
      </c>
      <c r="C9891" s="29" t="n">
        <f aca="false">Sensitivities!$A$40</f>
        <v>-0.1</v>
      </c>
    </row>
    <row r="9892" customFormat="false" ht="15" hidden="false" customHeight="false" outlineLevel="0" collapsed="false">
      <c r="A9892" s="5" t="s">
        <v>624</v>
      </c>
      <c r="C9892" s="18" t="n">
        <v>0</v>
      </c>
    </row>
    <row r="9893" customFormat="false" ht="15" hidden="false" customHeight="false" outlineLevel="0" collapsed="false">
      <c r="A9893" s="5" t="s">
        <v>625</v>
      </c>
      <c r="C9893" s="18" t="n">
        <v>0</v>
      </c>
    </row>
    <row r="9894" customFormat="false" ht="15" hidden="false" customHeight="false" outlineLevel="0" collapsed="false">
      <c r="A9894" s="5" t="s">
        <v>626</v>
      </c>
      <c r="C9894" s="15" t="n">
        <v>0</v>
      </c>
    </row>
    <row r="9896" customFormat="false" ht="15" hidden="false" customHeight="false" outlineLevel="0" collapsed="false">
      <c r="A9896" s="23" t="s">
        <v>237</v>
      </c>
      <c r="B9896" s="24"/>
      <c r="C9896" s="24"/>
      <c r="D9896" s="24"/>
      <c r="E9896" s="24"/>
      <c r="F9896" s="24"/>
      <c r="G9896" s="24"/>
      <c r="H9896" s="24"/>
      <c r="I9896" s="24"/>
      <c r="J9896" s="24"/>
      <c r="K9896" s="24"/>
    </row>
    <row r="9897" customFormat="false" ht="15" hidden="false" customHeight="false" outlineLevel="0" collapsed="false">
      <c r="A9897" s="5" t="s">
        <v>238</v>
      </c>
      <c r="F9897" s="26" t="n">
        <f aca="false">Assumptions!$C$6</f>
        <v>2025</v>
      </c>
      <c r="G9897" s="20" t="n">
        <f aca="false">F9897+1</f>
        <v>2026</v>
      </c>
      <c r="H9897" s="20" t="n">
        <f aca="false">G9897+1</f>
        <v>2027</v>
      </c>
      <c r="I9897" s="20" t="n">
        <f aca="false">H9897+1</f>
        <v>2028</v>
      </c>
      <c r="J9897" s="20" t="n">
        <f aca="false">I9897+1</f>
        <v>2029</v>
      </c>
      <c r="K9897" s="20" t="n">
        <f aca="false">J9897+1</f>
        <v>2030</v>
      </c>
    </row>
    <row r="9898" customFormat="false" ht="15" hidden="false" customHeight="false" outlineLevel="0" collapsed="false">
      <c r="A9898" s="5" t="s">
        <v>239</v>
      </c>
      <c r="G9898" s="20" t="n">
        <f aca="false">G9897-Assumptions!$C$6</f>
        <v>1</v>
      </c>
      <c r="H9898" s="20" t="n">
        <f aca="false">H9897-Assumptions!$C$6</f>
        <v>2</v>
      </c>
      <c r="I9898" s="20" t="n">
        <f aca="false">I9897-Assumptions!$C$6</f>
        <v>3</v>
      </c>
      <c r="J9898" s="20" t="n">
        <f aca="false">J9897-Assumptions!$C$6</f>
        <v>4</v>
      </c>
      <c r="K9898" s="20" t="n">
        <f aca="false">K9897-Assumptions!$C$6</f>
        <v>5</v>
      </c>
    </row>
    <row r="9899" customFormat="false" ht="15" hidden="false" customHeight="false" outlineLevel="0" collapsed="false">
      <c r="A9899" s="5" t="s">
        <v>149</v>
      </c>
      <c r="G9899" s="21" t="n">
        <f aca="false">CHOOSE($C$9890,Assumptions!$G$65,Assumptions!$G$84,Assumptions!$G$103)+$C$9891</f>
        <v>-0.334</v>
      </c>
      <c r="H9899" s="21" t="n">
        <f aca="false">CHOOSE($C$9890,Assumptions!$H$65,Assumptions!$H$84,Assumptions!$H$103)+$C$9891</f>
        <v>-0.23</v>
      </c>
      <c r="I9899" s="21" t="n">
        <f aca="false">CHOOSE($C$9890,Assumptions!$I$65,Assumptions!$I$84,Assumptions!$I$103)+$C$9891</f>
        <v>-0.126</v>
      </c>
      <c r="J9899" s="21" t="n">
        <f aca="false">CHOOSE($C$9890,Assumptions!$J$65,Assumptions!$J$84,Assumptions!$J$103)+$C$9891</f>
        <v>-0.11</v>
      </c>
      <c r="K9899" s="21" t="n">
        <f aca="false">CHOOSE($C$9890,Assumptions!$K$65,Assumptions!$K$84,Assumptions!$K$103)+$C$9891</f>
        <v>-0.11</v>
      </c>
    </row>
    <row r="9900" customFormat="false" ht="15" hidden="false" customHeight="false" outlineLevel="0" collapsed="false">
      <c r="A9900" s="5" t="s">
        <v>150</v>
      </c>
      <c r="G9900" s="21" t="n">
        <f aca="false">CHOOSE($C$9890,Assumptions!$G$66,Assumptions!$G$85,Assumptions!$G$104)</f>
        <v>0.305</v>
      </c>
      <c r="H9900" s="21" t="n">
        <f aca="false">CHOOSE($C$9890,Assumptions!$H$66,Assumptions!$H$85,Assumptions!$H$104)</f>
        <v>0.305</v>
      </c>
      <c r="I9900" s="21" t="n">
        <f aca="false">CHOOSE($C$9890,Assumptions!$I$66,Assumptions!$I$85,Assumptions!$I$104)</f>
        <v>0.305</v>
      </c>
      <c r="J9900" s="21" t="n">
        <f aca="false">CHOOSE($C$9890,Assumptions!$J$66,Assumptions!$J$85,Assumptions!$J$104)</f>
        <v>0.305</v>
      </c>
      <c r="K9900" s="21" t="n">
        <f aca="false">CHOOSE($C$9890,Assumptions!$K$66,Assumptions!$K$85,Assumptions!$K$104)</f>
        <v>0.305</v>
      </c>
    </row>
    <row r="9901" customFormat="false" ht="15" hidden="false" customHeight="false" outlineLevel="0" collapsed="false">
      <c r="A9901" s="5" t="s">
        <v>151</v>
      </c>
      <c r="G9901" s="21" t="n">
        <f aca="false">CHOOSE($C$9890,Assumptions!$G$67,Assumptions!$G$86,Assumptions!$G$105)+$C$9892</f>
        <v>0.01</v>
      </c>
      <c r="H9901" s="21" t="n">
        <f aca="false">CHOOSE($C$9890,Assumptions!$H$67,Assumptions!$H$86,Assumptions!$H$105)+$C$9892</f>
        <v>0.01</v>
      </c>
      <c r="I9901" s="21" t="n">
        <f aca="false">CHOOSE($C$9890,Assumptions!$I$67,Assumptions!$I$86,Assumptions!$I$105)+$C$9892</f>
        <v>0.01</v>
      </c>
      <c r="J9901" s="21" t="n">
        <f aca="false">CHOOSE($C$9890,Assumptions!$J$67,Assumptions!$J$86,Assumptions!$J$105)+$C$9892</f>
        <v>0.01</v>
      </c>
      <c r="K9901" s="21" t="n">
        <f aca="false">CHOOSE($C$9890,Assumptions!$K$67,Assumptions!$K$86,Assumptions!$K$105)+$C$9892</f>
        <v>0.01</v>
      </c>
    </row>
    <row r="9902" customFormat="false" ht="15" hidden="false" customHeight="false" outlineLevel="0" collapsed="false">
      <c r="A9902" s="23" t="s">
        <v>240</v>
      </c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</row>
    <row r="9903" customFormat="false" ht="15" hidden="false" customHeight="false" outlineLevel="0" collapsed="false">
      <c r="A9903" s="2" t="s">
        <v>207</v>
      </c>
      <c r="F9903" s="27" t="n">
        <f aca="false">'Historical Financials'!E17</f>
        <v>2400</v>
      </c>
      <c r="G9903" s="16" t="n">
        <f aca="false">F9903*(1+G9899)</f>
        <v>1598.4</v>
      </c>
      <c r="H9903" s="16" t="n">
        <f aca="false">G9903*(1+H9899)</f>
        <v>1230.768</v>
      </c>
      <c r="I9903" s="16" t="n">
        <f aca="false">H9903*(1+I9899)</f>
        <v>1075.691232</v>
      </c>
      <c r="J9903" s="16" t="n">
        <f aca="false">I9903*(1+J9899)</f>
        <v>957.36519648</v>
      </c>
      <c r="K9903" s="16" t="n">
        <f aca="false">J9903*(1+K9899)</f>
        <v>852.0550248672</v>
      </c>
    </row>
    <row r="9904" customFormat="false" ht="15" hidden="false" customHeight="false" outlineLevel="0" collapsed="false">
      <c r="A9904" s="5" t="s">
        <v>217</v>
      </c>
      <c r="G9904" s="25" t="n">
        <f aca="false">G9903*(1-G9900)</f>
        <v>1110.888</v>
      </c>
      <c r="H9904" s="25" t="n">
        <f aca="false">H9903*(1-H9900)</f>
        <v>855.38376</v>
      </c>
      <c r="I9904" s="25" t="n">
        <f aca="false">I9903*(1-I9900)</f>
        <v>747.60540624</v>
      </c>
      <c r="J9904" s="25" t="n">
        <f aca="false">J9903*(1-J9900)</f>
        <v>665.3688115536</v>
      </c>
      <c r="K9904" s="25" t="n">
        <f aca="false">K9903*(1-K9900)</f>
        <v>592.178242282704</v>
      </c>
    </row>
    <row r="9905" customFormat="false" ht="15" hidden="false" customHeight="false" outlineLevel="0" collapsed="false">
      <c r="A9905" s="2" t="s">
        <v>218</v>
      </c>
      <c r="G9905" s="16" t="n">
        <f aca="false">G9903-G9904</f>
        <v>487.512</v>
      </c>
      <c r="H9905" s="16" t="n">
        <f aca="false">H9903-H9904</f>
        <v>375.38424</v>
      </c>
      <c r="I9905" s="16" t="n">
        <f aca="false">I9903-I9904</f>
        <v>328.08582576</v>
      </c>
      <c r="J9905" s="16" t="n">
        <f aca="false">J9903-J9904</f>
        <v>291.9963849264</v>
      </c>
      <c r="K9905" s="16" t="n">
        <f aca="false">K9903-K9904</f>
        <v>259.876782584496</v>
      </c>
    </row>
    <row r="9906" customFormat="false" ht="15" hidden="false" customHeight="false" outlineLevel="0" collapsed="false">
      <c r="A9906" s="5" t="s">
        <v>241</v>
      </c>
      <c r="G9906" s="25" t="n">
        <f aca="false">G9905-G9907</f>
        <v>471.528</v>
      </c>
      <c r="H9906" s="25" t="n">
        <f aca="false">H9905-H9907</f>
        <v>363.07656</v>
      </c>
      <c r="I9906" s="25" t="n">
        <f aca="false">I9905-I9907</f>
        <v>317.32891344</v>
      </c>
      <c r="J9906" s="25" t="n">
        <f aca="false">J9905-J9907</f>
        <v>282.4227329616</v>
      </c>
      <c r="K9906" s="25" t="n">
        <f aca="false">K9905-K9907</f>
        <v>251.356232335824</v>
      </c>
    </row>
    <row r="9907" customFormat="false" ht="15" hidden="false" customHeight="false" outlineLevel="0" collapsed="false">
      <c r="A9907" s="2" t="s">
        <v>242</v>
      </c>
      <c r="G9907" s="16" t="n">
        <f aca="false">G9903*G9901</f>
        <v>15.984</v>
      </c>
      <c r="H9907" s="16" t="n">
        <f aca="false">H9903*H9901</f>
        <v>12.30768</v>
      </c>
      <c r="I9907" s="16" t="n">
        <f aca="false">I9903*I9901</f>
        <v>10.75691232</v>
      </c>
      <c r="J9907" s="16" t="n">
        <f aca="false">J9903*J9901</f>
        <v>9.5736519648</v>
      </c>
      <c r="K9907" s="16" t="n">
        <f aca="false">K9903*K9901</f>
        <v>8.520550248672</v>
      </c>
    </row>
    <row r="9908" customFormat="false" ht="15" hidden="false" customHeight="false" outlineLevel="0" collapsed="false">
      <c r="A9908" s="5" t="s">
        <v>243</v>
      </c>
      <c r="G9908" s="25" t="n">
        <f aca="false">G9903*'Historical Financials'!E22/'Historical Financials'!E17</f>
        <v>35.1648</v>
      </c>
      <c r="H9908" s="25" t="n">
        <f aca="false">H9903*'Historical Financials'!E22/'Historical Financials'!E17</f>
        <v>27.076896</v>
      </c>
      <c r="I9908" s="25" t="n">
        <f aca="false">I9903*'Historical Financials'!E22/'Historical Financials'!E17</f>
        <v>23.665207104</v>
      </c>
      <c r="J9908" s="25" t="n">
        <f aca="false">J9903*'Historical Financials'!E22/'Historical Financials'!E17</f>
        <v>21.06203432256</v>
      </c>
      <c r="K9908" s="25" t="n">
        <f aca="false">K9903*'Historical Financials'!E22/'Historical Financials'!E17</f>
        <v>18.7452105470784</v>
      </c>
    </row>
    <row r="9909" customFormat="false" ht="15" hidden="false" customHeight="false" outlineLevel="0" collapsed="false">
      <c r="A9909" s="5" t="s">
        <v>244</v>
      </c>
      <c r="G9909" s="25" t="n">
        <f aca="false">G9903*'Historical Financials'!E23/'Historical Financials'!E17</f>
        <v>0</v>
      </c>
      <c r="H9909" s="25" t="n">
        <f aca="false">H9903*'Historical Financials'!E23/'Historical Financials'!E17</f>
        <v>0</v>
      </c>
      <c r="I9909" s="25" t="n">
        <f aca="false">I9903*'Historical Financials'!E23/'Historical Financials'!E17</f>
        <v>0</v>
      </c>
      <c r="J9909" s="25" t="n">
        <f aca="false">J9903*'Historical Financials'!E23/'Historical Financials'!E17</f>
        <v>0</v>
      </c>
      <c r="K9909" s="25" t="n">
        <f aca="false">K9903*'Historical Financials'!E23/'Historical Financials'!E17</f>
        <v>0</v>
      </c>
    </row>
    <row r="9910" customFormat="false" ht="15" hidden="false" customHeight="false" outlineLevel="0" collapsed="false">
      <c r="A9910" s="2" t="s">
        <v>245</v>
      </c>
      <c r="G9910" s="16" t="n">
        <f aca="false">G9907-G9908-G9909</f>
        <v>-19.1808</v>
      </c>
      <c r="H9910" s="16" t="n">
        <f aca="false">H9907-H9908-H9909</f>
        <v>-14.769216</v>
      </c>
      <c r="I9910" s="16" t="n">
        <f aca="false">I9907-I9908-I9909</f>
        <v>-12.908294784</v>
      </c>
      <c r="J9910" s="16" t="n">
        <f aca="false">J9907-J9908-J9909</f>
        <v>-11.48838235776</v>
      </c>
      <c r="K9910" s="16" t="n">
        <f aca="false">K9907-K9908-K9909</f>
        <v>-10.2246602984064</v>
      </c>
    </row>
    <row r="9911" customFormat="false" ht="15" hidden="false" customHeight="false" outlineLevel="0" collapsed="false">
      <c r="A9911" s="5" t="s">
        <v>246</v>
      </c>
      <c r="G9911" s="25" t="n">
        <f aca="false">G9937+G9950+G9963+G9976</f>
        <v>140.04</v>
      </c>
      <c r="H9911" s="25" t="n">
        <f aca="false">H9937+H9950+H9963+H9976</f>
        <v>140.2478688</v>
      </c>
      <c r="I9911" s="25" t="n">
        <f aca="false">I9937+I9950+I9963+I9976</f>
        <v>137.7871968</v>
      </c>
      <c r="J9911" s="25" t="n">
        <f aca="false">J9937+J9950+J9963+J9976</f>
        <v>137.1215968</v>
      </c>
      <c r="K9911" s="25" t="n">
        <f aca="false">K9937+K9950+K9963+K9976</f>
        <v>136.4559968</v>
      </c>
    </row>
    <row r="9912" customFormat="false" ht="15" hidden="false" customHeight="false" outlineLevel="0" collapsed="false">
      <c r="A9912" s="5" t="s">
        <v>247</v>
      </c>
      <c r="G9912" s="25" t="n">
        <f aca="false">G9938+G9951+G9964+G9977</f>
        <v>0</v>
      </c>
      <c r="H9912" s="25" t="n">
        <f aca="false">H9938+H9951+H9964+H9977</f>
        <v>0</v>
      </c>
      <c r="I9912" s="25" t="n">
        <f aca="false">I9938+I9951+I9964+I9977</f>
        <v>0</v>
      </c>
      <c r="J9912" s="25" t="n">
        <f aca="false">J9938+J9951+J9964+J9977</f>
        <v>0</v>
      </c>
      <c r="K9912" s="25" t="n">
        <f aca="false">K9938+K9951+K9964+K9977</f>
        <v>0</v>
      </c>
    </row>
    <row r="9913" customFormat="false" ht="15" hidden="false" customHeight="false" outlineLevel="0" collapsed="false">
      <c r="A9913" s="5" t="s">
        <v>212</v>
      </c>
      <c r="G9913" s="25" t="n">
        <f aca="false">G9911+G9912</f>
        <v>140.04</v>
      </c>
      <c r="H9913" s="25" t="n">
        <f aca="false">H9911+H9912</f>
        <v>140.2478688</v>
      </c>
      <c r="I9913" s="25" t="n">
        <f aca="false">I9911+I9912</f>
        <v>137.7871968</v>
      </c>
      <c r="J9913" s="25" t="n">
        <f aca="false">J9911+J9912</f>
        <v>137.1215968</v>
      </c>
      <c r="K9913" s="25" t="n">
        <f aca="false">K9911+K9912</f>
        <v>136.4559968</v>
      </c>
    </row>
    <row r="9914" customFormat="false" ht="15" hidden="false" customHeight="false" outlineLevel="0" collapsed="false">
      <c r="A9914" s="2" t="s">
        <v>223</v>
      </c>
      <c r="G9914" s="16" t="n">
        <f aca="false">G9910-G9913</f>
        <v>-159.2208</v>
      </c>
      <c r="H9914" s="16" t="n">
        <f aca="false">H9910-H9913</f>
        <v>-155.0170848</v>
      </c>
      <c r="I9914" s="16" t="n">
        <f aca="false">I9910-I9913</f>
        <v>-150.695491584</v>
      </c>
      <c r="J9914" s="16" t="n">
        <f aca="false">J9910-J9913</f>
        <v>-148.60997915776</v>
      </c>
      <c r="K9914" s="16" t="n">
        <f aca="false">K9910-K9913</f>
        <v>-146.680657098406</v>
      </c>
    </row>
    <row r="9915" customFormat="false" ht="15" hidden="false" customHeight="false" outlineLevel="0" collapsed="false">
      <c r="A9915" s="5" t="s">
        <v>213</v>
      </c>
      <c r="G9915" s="25" t="n">
        <f aca="false">MAX(0,G9914)*Assumptions!$C$9</f>
        <v>0</v>
      </c>
      <c r="H9915" s="25" t="n">
        <f aca="false">MAX(0,H9914)*Assumptions!$C$9</f>
        <v>0</v>
      </c>
      <c r="I9915" s="25" t="n">
        <f aca="false">MAX(0,I9914)*Assumptions!$C$9</f>
        <v>0</v>
      </c>
      <c r="J9915" s="25" t="n">
        <f aca="false">MAX(0,J9914)*Assumptions!$C$9</f>
        <v>0</v>
      </c>
      <c r="K9915" s="25" t="n">
        <f aca="false">MAX(0,K9914)*Assumptions!$C$9</f>
        <v>0</v>
      </c>
    </row>
    <row r="9916" customFormat="false" ht="15" hidden="false" customHeight="false" outlineLevel="0" collapsed="false">
      <c r="A9916" s="2" t="s">
        <v>248</v>
      </c>
      <c r="G9916" s="16" t="n">
        <f aca="false">G9914-G9915</f>
        <v>-159.2208</v>
      </c>
      <c r="H9916" s="16" t="n">
        <f aca="false">H9914-H9915</f>
        <v>-155.0170848</v>
      </c>
      <c r="I9916" s="16" t="n">
        <f aca="false">I9914-I9915</f>
        <v>-150.695491584</v>
      </c>
      <c r="J9916" s="16" t="n">
        <f aca="false">J9914-J9915</f>
        <v>-148.60997915776</v>
      </c>
      <c r="K9916" s="16" t="n">
        <f aca="false">K9914-K9915</f>
        <v>-146.680657098406</v>
      </c>
    </row>
    <row r="9917" customFormat="false" ht="15" hidden="false" customHeight="false" outlineLevel="0" collapsed="false">
      <c r="A9917" s="23" t="s">
        <v>249</v>
      </c>
      <c r="B9917" s="24"/>
      <c r="C9917" s="24"/>
      <c r="D9917" s="24"/>
      <c r="E9917" s="24"/>
      <c r="F9917" s="24"/>
      <c r="G9917" s="24"/>
      <c r="H9917" s="24"/>
      <c r="I9917" s="24"/>
      <c r="J9917" s="24"/>
      <c r="K9917" s="24"/>
    </row>
    <row r="9918" customFormat="false" ht="15" hidden="false" customHeight="false" outlineLevel="0" collapsed="false">
      <c r="A9918" s="5" t="s">
        <v>153</v>
      </c>
      <c r="G9918" s="25" t="n">
        <f aca="false">G9903*CHOOSE($C$9890,Assumptions!$C$69,Assumptions!$C$88,Assumptions!$C$107)</f>
        <v>25.5744</v>
      </c>
      <c r="H9918" s="25" t="n">
        <f aca="false">H9903*CHOOSE($C$9890,Assumptions!$C$69,Assumptions!$C$88,Assumptions!$C$107)</f>
        <v>19.692288</v>
      </c>
      <c r="I9918" s="25" t="n">
        <f aca="false">I9903*CHOOSE($C$9890,Assumptions!$C$69,Assumptions!$C$88,Assumptions!$C$107)</f>
        <v>17.211059712</v>
      </c>
      <c r="J9918" s="25" t="n">
        <f aca="false">J9903*CHOOSE($C$9890,Assumptions!$C$69,Assumptions!$C$88,Assumptions!$C$107)</f>
        <v>15.31784314368</v>
      </c>
      <c r="K9918" s="25" t="n">
        <f aca="false">K9903*CHOOSE($C$9890,Assumptions!$C$69,Assumptions!$C$88,Assumptions!$C$107)</f>
        <v>13.6328803978752</v>
      </c>
    </row>
    <row r="9919" customFormat="false" ht="15" hidden="false" customHeight="false" outlineLevel="0" collapsed="false">
      <c r="A9919" s="5" t="s">
        <v>250</v>
      </c>
      <c r="G9919" s="25" t="n">
        <f aca="false">CHOOSE($C$9890,Assumptions!$C$70,Assumptions!$C$89,Assumptions!$C$108)*(G9903-F9903)+CHOOSE($C$9890,Assumptions!$C$71,Assumptions!$C$90,Assumptions!$C$109)*G9903</f>
        <v>-86.6016</v>
      </c>
      <c r="H9919" s="25" t="n">
        <f aca="false">CHOOSE($C$9890,Assumptions!$C$70,Assumptions!$C$89,Assumptions!$C$108)*(H9903-G9903)+CHOOSE($C$9890,Assumptions!$C$71,Assumptions!$C$90,Assumptions!$C$109)*H9903</f>
        <v>-36.731232</v>
      </c>
      <c r="I9919" s="25" t="n">
        <f aca="false">CHOOSE($C$9890,Assumptions!$C$70,Assumptions!$C$89,Assumptions!$C$108)*(I9903-H9903)+CHOOSE($C$9890,Assumptions!$C$71,Assumptions!$C$90,Assumptions!$C$109)*I9903</f>
        <v>-12.155064768</v>
      </c>
      <c r="J9919" s="25" t="n">
        <f aca="false">CHOOSE($C$9890,Assumptions!$C$70,Assumptions!$C$89,Assumptions!$C$108)*(J9903-I9903)+CHOOSE($C$9890,Assumptions!$C$71,Assumptions!$C$90,Assumptions!$C$109)*J9903</f>
        <v>-8.45493308352</v>
      </c>
      <c r="K9919" s="25" t="n">
        <f aca="false">CHOOSE($C$9890,Assumptions!$C$70,Assumptions!$C$89,Assumptions!$C$108)*(K9903-J9903)+CHOOSE($C$9890,Assumptions!$C$71,Assumptions!$C$90,Assumptions!$C$109)*K9903</f>
        <v>-7.5248904443328</v>
      </c>
    </row>
    <row r="9920" customFormat="false" ht="15" hidden="false" customHeight="false" outlineLevel="0" collapsed="false">
      <c r="A9920" s="2" t="s">
        <v>251</v>
      </c>
      <c r="G9920" s="16" t="n">
        <f aca="false">G9916+G9908+G9909+G9912-G9918-G9919</f>
        <v>-63.0288</v>
      </c>
      <c r="H9920" s="16" t="n">
        <f aca="false">H9916+H9908+H9909+H9912-H9918-H9919</f>
        <v>-110.9012448</v>
      </c>
      <c r="I9920" s="16" t="n">
        <f aca="false">I9916+I9908+I9909+I9912-I9918-I9919</f>
        <v>-132.086279424</v>
      </c>
      <c r="J9920" s="16" t="n">
        <f aca="false">J9916+J9908+J9909+J9912-J9918-J9919</f>
        <v>-134.41085489536</v>
      </c>
      <c r="K9920" s="16" t="n">
        <f aca="false">K9916+K9908+K9909+K9912-K9918-K9919</f>
        <v>-134.04343650487</v>
      </c>
    </row>
    <row r="9922" customFormat="false" ht="15" hidden="false" customHeight="false" outlineLevel="0" collapsed="false">
      <c r="A9922" s="23" t="s">
        <v>253</v>
      </c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</row>
    <row r="9923" customFormat="false" ht="15" hidden="false" customHeight="false" outlineLevel="0" collapsed="false">
      <c r="A9923" s="5" t="s">
        <v>254</v>
      </c>
      <c r="G9923" s="29" t="n">
        <f aca="false">Assumptions!$G$49</f>
        <v>0.0425</v>
      </c>
      <c r="H9923" s="29" t="n">
        <f aca="false">Assumptions!$H$49</f>
        <v>0.04</v>
      </c>
      <c r="I9923" s="29" t="n">
        <f aca="false">Assumptions!$I$49</f>
        <v>0.0375</v>
      </c>
      <c r="J9923" s="29" t="n">
        <f aca="false">Assumptions!$J$49</f>
        <v>0.0375</v>
      </c>
      <c r="K9923" s="29" t="n">
        <f aca="false">Assumptions!$K$49</f>
        <v>0.0375</v>
      </c>
    </row>
    <row r="9924" customFormat="false" ht="15" hidden="false" customHeight="false" outlineLevel="0" collapsed="false">
      <c r="A9924" s="5" t="s">
        <v>255</v>
      </c>
      <c r="C9924" s="30" t="n">
        <f aca="false">CHOOSE($C$9890,Assumptions!$C$72,Assumptions!$C$91,Assumptions!$C$110)+$C$9893</f>
        <v>0.03</v>
      </c>
    </row>
    <row r="9925" customFormat="false" ht="15" hidden="false" customHeight="false" outlineLevel="0" collapsed="false">
      <c r="A9925" s="5" t="s">
        <v>256</v>
      </c>
      <c r="C9925" s="30" t="n">
        <f aca="false">CHOOSE($C$9890,Assumptions!$C$73,Assumptions!$C$92,Assumptions!$C$111)</f>
        <v>0.16</v>
      </c>
    </row>
    <row r="9926" customFormat="false" ht="15" hidden="false" customHeight="false" outlineLevel="0" collapsed="false">
      <c r="A9926" s="5" t="s">
        <v>257</v>
      </c>
      <c r="C9926" s="31" t="n">
        <f aca="false">CHOOSE($C$9890,Assumptions!$C$74,Assumptions!$C$93,Assumptions!$C$112)</f>
        <v>5</v>
      </c>
    </row>
    <row r="9927" customFormat="false" ht="15" hidden="false" customHeight="false" outlineLevel="0" collapsed="false">
      <c r="A9927" s="5" t="s">
        <v>258</v>
      </c>
      <c r="C9927" s="31" t="n">
        <f aca="false">CHOOSE($C$9890,Assumptions!$C$75,Assumptions!$C$94,Assumptions!$C$113)</f>
        <v>2</v>
      </c>
    </row>
    <row r="9928" customFormat="false" ht="15" hidden="false" customHeight="false" outlineLevel="0" collapsed="false">
      <c r="A9928" s="5" t="s">
        <v>259</v>
      </c>
      <c r="G9928" s="25" t="n">
        <f aca="false">G9933+G9946+G9959+G9972</f>
        <v>1250</v>
      </c>
      <c r="H9928" s="25" t="n">
        <f aca="false">H9933+H9946+H9959+H9972</f>
        <v>1268.0288</v>
      </c>
      <c r="I9928" s="25" t="n">
        <f aca="false">I9933+I9946+I9959+I9972</f>
        <v>1262.8288</v>
      </c>
      <c r="J9928" s="25" t="n">
        <f aca="false">J9933+J9946+J9959+J9972</f>
        <v>1257.6288</v>
      </c>
      <c r="K9928" s="25" t="n">
        <f aca="false">K9933+K9946+K9959+K9972</f>
        <v>1252.4288</v>
      </c>
    </row>
    <row r="9929" customFormat="false" ht="15" hidden="false" customHeight="false" outlineLevel="0" collapsed="false">
      <c r="A9929" s="5" t="s">
        <v>260</v>
      </c>
      <c r="G9929" s="25" t="n">
        <f aca="false">F10019</f>
        <v>45</v>
      </c>
      <c r="H9929" s="25" t="n">
        <f aca="false">G10019</f>
        <v>0</v>
      </c>
      <c r="I9929" s="25" t="n">
        <f aca="false">H10019</f>
        <v>-116.1012448</v>
      </c>
      <c r="J9929" s="25" t="n">
        <f aca="false">I10019</f>
        <v>-253.387524224</v>
      </c>
      <c r="K9929" s="25" t="n">
        <f aca="false">J10019</f>
        <v>-392.99837911936</v>
      </c>
    </row>
    <row r="9930" customFormat="false" ht="15" hidden="false" customHeight="false" outlineLevel="0" collapsed="false">
      <c r="A9930" s="5" t="s">
        <v>261</v>
      </c>
      <c r="G9930" s="25" t="n">
        <f aca="false">G9933*IF(G9934=1,$C$9925,IF(Assumptions!$I$53=1,MAX(G9923,Assumptions!$G$53)+Assumptions!$F$53+$C$9924,Assumptions!$E$53))+G9946*IF(G9947=1,$C$9925,IF(Assumptions!$I$54=1,MAX(G9923,Assumptions!$G$54)+Assumptions!$F$54+$C$9924,Assumptions!$E$54))+G9959*IF(G9960=1,$C$9925,IF(Assumptions!$I$55=1,MAX(G9923,Assumptions!$G$55)+Assumptions!$F$55+$C$9924,Assumptions!$E$55))+G9972*IF(G9973=1,$C$9925,IF(Assumptions!$I$56=1,MAX(G9923,Assumptions!$G$56)+Assumptions!$F$56+$C$9924,Assumptions!$E$56))</f>
        <v>140.04</v>
      </c>
      <c r="H9930" s="25" t="n">
        <f aca="false">H9933*IF(OR(H9934=1,G10085=1),$C$9925,IF(Assumptions!$I$53=1,MAX(H9923,Assumptions!$G$53)+Assumptions!$F$53+$C$9924,Assumptions!$E$53))+H9946*IF(OR(H9947=1,G10086=1),$C$9925,IF(Assumptions!$I$54=1,MAX(H9923,Assumptions!$G$54)+Assumptions!$F$54+$C$9924,Assumptions!$E$54))+H9959*IF(OR(H9960=1,G10087=1),$C$9925,IF(Assumptions!$I$55=1,MAX(H9923,Assumptions!$G$55)+Assumptions!$F$55+$C$9924,Assumptions!$E$55))+H9972*IF(OR(H9973=1,G10088=1),$C$9925,IF(Assumptions!$I$56=1,MAX(H9923,Assumptions!$G$56)+Assumptions!$F$56+$C$9924,Assumptions!$E$56))</f>
        <v>175.198008</v>
      </c>
      <c r="I9930" s="25" t="n">
        <f aca="false">I9933*IF(OR(I9934=1,H10085=1),$C$9925,IF(Assumptions!$I$53=1,MAX(I9923,Assumptions!$G$53)+Assumptions!$F$53+$C$9924,Assumptions!$E$53))+I9946*IF(OR(I9947=1,H10086=1),$C$9925,IF(Assumptions!$I$54=1,MAX(I9923,Assumptions!$G$54)+Assumptions!$F$54+$C$9924,Assumptions!$E$54))+I9959*IF(OR(I9960=1,H10087=1),$C$9925,IF(Assumptions!$I$55=1,MAX(I9923,Assumptions!$G$55)+Assumptions!$F$55+$C$9924,Assumptions!$E$55))+I9972*IF(OR(I9973=1,H10088=1),$C$9925,IF(Assumptions!$I$56=1,MAX(I9923,Assumptions!$G$56)+Assumptions!$F$56+$C$9924,Assumptions!$E$56))</f>
        <v>154.0943968</v>
      </c>
      <c r="J9930" s="25" t="n">
        <f aca="false">J9933*IF(OR(J9934=1,I10085=1),$C$9925,IF(Assumptions!$I$53=1,MAX(J9923,Assumptions!$G$53)+Assumptions!$F$53+$C$9924,Assumptions!$E$53))+J9946*IF(OR(J9947=1,I10086=1),$C$9925,IF(Assumptions!$I$54=1,MAX(J9923,Assumptions!$G$54)+Assumptions!$F$54+$C$9924,Assumptions!$E$54))+J9959*IF(OR(J9960=1,I10087=1),$C$9925,IF(Assumptions!$I$55=1,MAX(J9923,Assumptions!$G$55)+Assumptions!$F$55+$C$9924,Assumptions!$E$55))+J9972*IF(OR(J9973=1,I10088=1),$C$9925,IF(Assumptions!$I$56=1,MAX(J9923,Assumptions!$G$56)+Assumptions!$F$56+$C$9924,Assumptions!$E$56))</f>
        <v>149.6215968</v>
      </c>
      <c r="K9930" s="25" t="n">
        <f aca="false">K9933*IF(OR(K9934=1,J10085=1),$C$9925,IF(Assumptions!$I$53=1,MAX(K9923,Assumptions!$G$53)+Assumptions!$F$53+$C$9924,Assumptions!$E$53))+K9946*IF(OR(K9947=1,J10086=1),$C$9925,IF(Assumptions!$I$54=1,MAX(K9923,Assumptions!$G$54)+Assumptions!$F$54+$C$9924,Assumptions!$E$54))+K9959*IF(OR(K9960=1,J10087=1),$C$9925,IF(Assumptions!$I$55=1,MAX(K9923,Assumptions!$G$55)+Assumptions!$F$55+$C$9924,Assumptions!$E$55))+K9972*IF(OR(K9973=1,J10088=1),$C$9925,IF(Assumptions!$I$56=1,MAX(K9923,Assumptions!$G$56)+Assumptions!$F$56+$C$9924,Assumptions!$E$56))</f>
        <v>136.4559968</v>
      </c>
    </row>
    <row r="9931" customFormat="false" ht="15" hidden="false" customHeight="false" outlineLevel="0" collapsed="false">
      <c r="A9931" s="5" t="s">
        <v>262</v>
      </c>
      <c r="G9931" s="20" t="n">
        <f aca="false">IF(G9907&lt;=0,0,IF(AND((G9928-G9929)/G9907&lt;=$C$9926,G9907/G9930&gt;=$C$9927),1,0))</f>
        <v>0</v>
      </c>
      <c r="H9931" s="20" t="n">
        <f aca="false">IF(H9907&lt;=0,0,IF(AND((H9928-H9929)/H9907&lt;=$C$9926,H9907/H9930&gt;=$C$9927),1,0))</f>
        <v>0</v>
      </c>
      <c r="I9931" s="20" t="n">
        <f aca="false">IF(I9907&lt;=0,0,IF(AND((I9928-I9929)/I9907&lt;=$C$9926,I9907/I9930&gt;=$C$9927),1,0))</f>
        <v>0</v>
      </c>
      <c r="J9931" s="20" t="n">
        <f aca="false">IF(J9907&lt;=0,0,IF(AND((J9928-J9929)/J9907&lt;=$C$9926,J9907/J9930&gt;=$C$9927),1,0))</f>
        <v>0</v>
      </c>
      <c r="K9931" s="20" t="n">
        <f aca="false">IF(K9907&lt;=0,0,IF(AND((K9928-K9929)/K9907&lt;=$C$9926,K9907/K9930&gt;=$C$9927),1,0))</f>
        <v>0</v>
      </c>
    </row>
    <row r="9932" customFormat="false" ht="15" hidden="false" customHeight="false" outlineLevel="0" collapsed="false">
      <c r="A9932" s="23" t="s">
        <v>263</v>
      </c>
      <c r="B9932" s="24"/>
      <c r="C9932" s="24"/>
      <c r="D9932" s="24"/>
      <c r="E9932" s="24"/>
      <c r="F9932" s="24"/>
      <c r="G9932" s="24"/>
      <c r="H9932" s="24"/>
      <c r="I9932" s="24"/>
      <c r="J9932" s="24"/>
      <c r="K9932" s="24"/>
    </row>
    <row r="9933" customFormat="false" ht="15" hidden="false" customHeight="false" outlineLevel="0" collapsed="false">
      <c r="A9933" s="5" t="s">
        <v>264</v>
      </c>
      <c r="G9933" s="25" t="n">
        <f aca="false">F9944</f>
        <v>180</v>
      </c>
      <c r="H9933" s="25" t="n">
        <f aca="false">G9944</f>
        <v>203.2288</v>
      </c>
      <c r="I9933" s="25" t="n">
        <f aca="false">H9944</f>
        <v>203.2288</v>
      </c>
      <c r="J9933" s="25" t="n">
        <f aca="false">I9944</f>
        <v>203.2288</v>
      </c>
      <c r="K9933" s="25" t="n">
        <f aca="false">J9944</f>
        <v>203.2288</v>
      </c>
    </row>
    <row r="9934" customFormat="false" ht="15" hidden="false" customHeight="false" outlineLevel="0" collapsed="false">
      <c r="A9934" s="5" t="s">
        <v>265</v>
      </c>
      <c r="G9934" s="20" t="n">
        <f aca="false">IF(G9897=Assumptions!$K$53,1,0)</f>
        <v>0</v>
      </c>
      <c r="H9934" s="20" t="n">
        <f aca="false">IF(H9897=Assumptions!$K$53,1,0)</f>
        <v>1</v>
      </c>
      <c r="I9934" s="20" t="n">
        <f aca="false">IF(I9897=Assumptions!$K$53,1,0)</f>
        <v>0</v>
      </c>
      <c r="J9934" s="20" t="n">
        <f aca="false">IF(J9897=Assumptions!$K$53,1,0)</f>
        <v>0</v>
      </c>
      <c r="K9934" s="20" t="n">
        <f aca="false">IF(K9897=Assumptions!$K$53,1,0)</f>
        <v>0</v>
      </c>
    </row>
    <row r="9936" customFormat="false" ht="15" hidden="false" customHeight="false" outlineLevel="0" collapsed="false">
      <c r="A9936" s="5" t="s">
        <v>266</v>
      </c>
      <c r="G9936" s="30" t="n">
        <f aca="false">IF(Assumptions!$I$53=1,MAX(G9923,Assumptions!$G$53)+Assumptions!$F$53+$C$9924,Assumptions!$E$53)</f>
        <v>0.116</v>
      </c>
      <c r="H9936" s="30" t="n">
        <f aca="false">IF(G10085=1,$C$9925,IF(Assumptions!$I$53=1,MAX(H9923,Assumptions!$G$53)+Assumptions!$F$53+$C$9924,Assumptions!$E$53))</f>
        <v>0.1135</v>
      </c>
      <c r="I9936" s="30" t="n">
        <f aca="false">IF(H10085=1,$C$9925,IF(Assumptions!$I$53=1,MAX(I9923,Assumptions!$G$53)+Assumptions!$F$53+$C$9924,Assumptions!$E$53))</f>
        <v>0.111</v>
      </c>
      <c r="J9936" s="30" t="n">
        <f aca="false">IF(I10085=1,$C$9925,IF(Assumptions!$I$53=1,MAX(J9923,Assumptions!$G$53)+Assumptions!$F$53+$C$9924,Assumptions!$E$53))</f>
        <v>0.111</v>
      </c>
      <c r="K9936" s="30" t="n">
        <f aca="false">IF(J10085=1,$C$9925,IF(Assumptions!$I$53=1,MAX(K9923,Assumptions!$G$53)+Assumptions!$F$53+$C$9924,Assumptions!$E$53))</f>
        <v>0.111</v>
      </c>
    </row>
    <row r="9937" customFormat="false" ht="15" hidden="false" customHeight="false" outlineLevel="0" collapsed="false">
      <c r="A9937" s="5" t="s">
        <v>267</v>
      </c>
      <c r="G9937" s="25" t="n">
        <f aca="false">G9933*G9936</f>
        <v>20.88</v>
      </c>
      <c r="H9937" s="25" t="n">
        <f aca="false">H9933*H9936</f>
        <v>23.0664688</v>
      </c>
      <c r="I9937" s="25" t="n">
        <f aca="false">I9933*I9936</f>
        <v>22.5583968</v>
      </c>
      <c r="J9937" s="25" t="n">
        <f aca="false">J9933*J9936</f>
        <v>22.5583968</v>
      </c>
      <c r="K9937" s="25" t="n">
        <f aca="false">K9933*K9936</f>
        <v>22.5583968</v>
      </c>
    </row>
    <row r="9938" customFormat="false" ht="15" hidden="false" customHeight="false" outlineLevel="0" collapsed="false">
      <c r="A9938" s="5" t="s">
        <v>268</v>
      </c>
      <c r="G9938" s="25" t="n">
        <f aca="false">G9933*Assumptions!$H$53</f>
        <v>0</v>
      </c>
      <c r="H9938" s="25" t="n">
        <f aca="false">H9933*Assumptions!$H$53</f>
        <v>0</v>
      </c>
      <c r="I9938" s="25" t="n">
        <f aca="false">I9933*Assumptions!$H$53</f>
        <v>0</v>
      </c>
      <c r="J9938" s="25" t="n">
        <f aca="false">J9933*Assumptions!$H$53</f>
        <v>0</v>
      </c>
      <c r="K9938" s="25" t="n">
        <f aca="false">K9933*Assumptions!$H$53</f>
        <v>0</v>
      </c>
    </row>
    <row r="9939" customFormat="false" ht="15" hidden="false" customHeight="false" outlineLevel="0" collapsed="false">
      <c r="A9939" s="5" t="s">
        <v>269</v>
      </c>
      <c r="G9939" s="25" t="n">
        <f aca="false">MIN(G9933,Assumptions!$L$53*Assumptions!$C$53)</f>
        <v>0</v>
      </c>
      <c r="H9939" s="25" t="n">
        <f aca="false">MIN(H9933,Assumptions!$L$53*Assumptions!$C$53)</f>
        <v>0</v>
      </c>
      <c r="I9939" s="25" t="n">
        <f aca="false">MIN(I9933,Assumptions!$L$53*Assumptions!$C$53)</f>
        <v>0</v>
      </c>
      <c r="J9939" s="25" t="n">
        <f aca="false">MIN(J9933,Assumptions!$L$53*Assumptions!$C$53)</f>
        <v>0</v>
      </c>
      <c r="K9939" s="25" t="n">
        <f aca="false">MIN(K9933,Assumptions!$L$53*Assumptions!$C$53)</f>
        <v>0</v>
      </c>
    </row>
    <row r="9940" customFormat="false" ht="15" hidden="false" customHeight="false" outlineLevel="0" collapsed="false">
      <c r="A9940" s="5" t="s">
        <v>270</v>
      </c>
      <c r="G9940" s="25" t="n">
        <f aca="false">IF(AND(Assumptions!$P$53=1,G9897&lt;Assumptions!$K$53),MIN(MAX(0,-G10011),MAX(0,Assumptions!$D$53-G9933)),0)</f>
        <v>23.2288</v>
      </c>
      <c r="H9940" s="25" t="n">
        <f aca="false">IF(AND(Assumptions!$P$53=1,OR(H9897&lt;Assumptions!$K$53,G10085=1)),MIN(MAX(0,-H10011),MAX(0,Assumptions!$D$53-H9933)),0)</f>
        <v>0</v>
      </c>
      <c r="I9940" s="25" t="n">
        <f aca="false">IF(AND(Assumptions!$P$53=1,OR(I9897&lt;Assumptions!$K$53,H10085=1)),MIN(MAX(0,-I10011),MAX(0,Assumptions!$D$53-I9933)),0)</f>
        <v>0</v>
      </c>
      <c r="J9940" s="25" t="n">
        <f aca="false">IF(AND(Assumptions!$P$53=1,OR(J9897&lt;Assumptions!$K$53,I10085=1)),MIN(MAX(0,-J10011),MAX(0,Assumptions!$D$53-J9933)),0)</f>
        <v>0</v>
      </c>
      <c r="K9940" s="25" t="n">
        <f aca="false">IF(AND(Assumptions!$P$53=1,OR(K9897&lt;Assumptions!$K$53,J10085=1)),MIN(MAX(0,-K10011),MAX(0,Assumptions!$D$53-K9933)),0)</f>
        <v>0</v>
      </c>
    </row>
    <row r="9941" customFormat="false" ht="15" hidden="false" customHeight="false" outlineLevel="0" collapsed="false">
      <c r="A9941" s="5" t="s">
        <v>271</v>
      </c>
      <c r="G9941" s="25" t="n">
        <f aca="false">G9934*MIN(G9933-G9939+G9938,MAX(0,G10013-Assumptions!$C$12*G9931))</f>
        <v>0</v>
      </c>
      <c r="H9941" s="25" t="n">
        <f aca="false">H9934*MIN(H9933-H9939+H9938,MAX(0,H10013-Assumptions!$C$12*H9931))</f>
        <v>0</v>
      </c>
      <c r="I9941" s="25" t="n">
        <f aca="false">I9934*MIN(I9933-I9939+I9938,MAX(0,I10013-Assumptions!$C$12*I9931))</f>
        <v>0</v>
      </c>
      <c r="J9941" s="25" t="n">
        <f aca="false">J9934*MIN(J9933-J9939+J9938,MAX(0,J10013-Assumptions!$C$12*J9931))</f>
        <v>0</v>
      </c>
      <c r="K9941" s="25" t="n">
        <f aca="false">K9934*MIN(K9933-K9939+K9938,MAX(0,K10013-Assumptions!$C$12*K9931))</f>
        <v>0</v>
      </c>
    </row>
    <row r="9942" customFormat="false" ht="15" hidden="false" customHeight="false" outlineLevel="0" collapsed="false">
      <c r="A9942" s="5" t="s">
        <v>272</v>
      </c>
      <c r="G9942" s="25" t="n">
        <f aca="false">Assumptions!$N$53*MIN(G9933+G9940+G9938-G9939-G9941,MAX(0,G10017))</f>
        <v>0</v>
      </c>
      <c r="H9942" s="25" t="n">
        <f aca="false">Assumptions!$N$53*MIN(H9933+H9940+H9938-H9939-H9941,MAX(0,H10017))</f>
        <v>0</v>
      </c>
      <c r="I9942" s="25" t="n">
        <f aca="false">Assumptions!$N$53*MIN(I9933+I9940+I9938-I9939-I9941,MAX(0,I10017))</f>
        <v>0</v>
      </c>
      <c r="J9942" s="25" t="n">
        <f aca="false">Assumptions!$N$53*MIN(J9933+J9940+J9938-J9939-J9941,MAX(0,J10017))</f>
        <v>0</v>
      </c>
      <c r="K9942" s="25" t="n">
        <f aca="false">Assumptions!$N$53*MIN(K9933+K9940+K9938-K9939-K9941,MAX(0,K10017))</f>
        <v>0</v>
      </c>
    </row>
    <row r="9943" customFormat="false" ht="15" hidden="false" customHeight="false" outlineLevel="0" collapsed="false">
      <c r="A9943" s="5" t="s">
        <v>273</v>
      </c>
      <c r="G9943" s="25" t="n">
        <f aca="false">G9934*(1-G9931)*(G9933-G9939+G9938-G9941)</f>
        <v>0</v>
      </c>
      <c r="H9943" s="25" t="n">
        <f aca="false">H9934*(1-H9931)*(H9933-H9939+H9938-H9941)</f>
        <v>203.2288</v>
      </c>
      <c r="I9943" s="25" t="n">
        <f aca="false">I9934*(1-I9931)*(I9933-I9939+I9938-I9941)</f>
        <v>0</v>
      </c>
      <c r="J9943" s="25" t="n">
        <f aca="false">J9934*(1-J9931)*(J9933-J9939+J9938-J9941)</f>
        <v>0</v>
      </c>
      <c r="K9943" s="25" t="n">
        <f aca="false">K9934*(1-K9931)*(K9933-K9939+K9938-K9941)</f>
        <v>0</v>
      </c>
    </row>
    <row r="9944" customFormat="false" ht="15" hidden="false" customHeight="false" outlineLevel="0" collapsed="false">
      <c r="A9944" s="2" t="s">
        <v>274</v>
      </c>
      <c r="F9944" s="27" t="n">
        <f aca="false">Assumptions!$C$53</f>
        <v>180</v>
      </c>
      <c r="G9944" s="16" t="n">
        <f aca="false">G9933+G9940+G9938-G9939-G9941-G9942</f>
        <v>203.2288</v>
      </c>
      <c r="H9944" s="16" t="n">
        <f aca="false">H9933+H9940+H9938-H9939-H9941-H9942</f>
        <v>203.2288</v>
      </c>
      <c r="I9944" s="16" t="n">
        <f aca="false">I9933+I9940+I9938-I9939-I9941-I9942</f>
        <v>203.2288</v>
      </c>
      <c r="J9944" s="16" t="n">
        <f aca="false">J9933+J9940+J9938-J9939-J9941-J9942</f>
        <v>203.2288</v>
      </c>
      <c r="K9944" s="16" t="n">
        <f aca="false">K9933+K9940+K9938-K9939-K9941-K9942</f>
        <v>203.2288</v>
      </c>
    </row>
    <row r="9945" customFormat="false" ht="15" hidden="false" customHeight="false" outlineLevel="0" collapsed="false">
      <c r="A9945" s="23" t="s">
        <v>275</v>
      </c>
      <c r="B9945" s="24"/>
      <c r="C9945" s="24"/>
      <c r="D9945" s="24"/>
      <c r="E9945" s="24"/>
      <c r="F9945" s="24"/>
      <c r="G9945" s="24"/>
      <c r="H9945" s="24"/>
      <c r="I9945" s="24"/>
      <c r="J9945" s="24"/>
      <c r="K9945" s="24"/>
    </row>
    <row r="9946" customFormat="false" ht="15" hidden="false" customHeight="false" outlineLevel="0" collapsed="false">
      <c r="A9946" s="5" t="s">
        <v>264</v>
      </c>
      <c r="G9946" s="25" t="n">
        <f aca="false">F9957</f>
        <v>520</v>
      </c>
      <c r="H9946" s="25" t="n">
        <f aca="false">G9957</f>
        <v>514.8</v>
      </c>
      <c r="I9946" s="25" t="n">
        <f aca="false">H9957</f>
        <v>509.6</v>
      </c>
      <c r="J9946" s="25" t="n">
        <f aca="false">I9957</f>
        <v>504.4</v>
      </c>
      <c r="K9946" s="25" t="n">
        <f aca="false">J9957</f>
        <v>499.2</v>
      </c>
    </row>
    <row r="9947" customFormat="false" ht="15" hidden="false" customHeight="false" outlineLevel="0" collapsed="false">
      <c r="A9947" s="5" t="s">
        <v>265</v>
      </c>
      <c r="G9947" s="20" t="n">
        <f aca="false">IF(G9897=Assumptions!$K$54,1,0)</f>
        <v>0</v>
      </c>
      <c r="H9947" s="20" t="n">
        <f aca="false">IF(H9897=Assumptions!$K$54,1,0)</f>
        <v>0</v>
      </c>
      <c r="I9947" s="20" t="n">
        <f aca="false">IF(I9897=Assumptions!$K$54,1,0)</f>
        <v>1</v>
      </c>
      <c r="J9947" s="20" t="n">
        <f aca="false">IF(J9897=Assumptions!$K$54,1,0)</f>
        <v>0</v>
      </c>
      <c r="K9947" s="20" t="n">
        <f aca="false">IF(K9897=Assumptions!$K$54,1,0)</f>
        <v>0</v>
      </c>
    </row>
    <row r="9949" customFormat="false" ht="15" hidden="false" customHeight="false" outlineLevel="0" collapsed="false">
      <c r="A9949" s="5" t="s">
        <v>266</v>
      </c>
      <c r="G9949" s="30" t="n">
        <f aca="false">IF(Assumptions!$I$54=1,MAX(G9923,Assumptions!$G$54)+Assumptions!$F$54+$C$9924,Assumptions!$E$54)</f>
        <v>0.133</v>
      </c>
      <c r="H9949" s="30" t="n">
        <f aca="false">IF(G10086=1,$C$9925,IF(Assumptions!$I$54=1,MAX(H9923,Assumptions!$G$54)+Assumptions!$F$54+$C$9924,Assumptions!$E$54))</f>
        <v>0.1305</v>
      </c>
      <c r="I9949" s="30" t="n">
        <f aca="false">IF(H10086=1,$C$9925,IF(Assumptions!$I$54=1,MAX(I9923,Assumptions!$G$54)+Assumptions!$F$54+$C$9924,Assumptions!$E$54))</f>
        <v>0.128</v>
      </c>
      <c r="J9949" s="30" t="n">
        <f aca="false">IF(I10086=1,$C$9925,IF(Assumptions!$I$54=1,MAX(J9923,Assumptions!$G$54)+Assumptions!$F$54+$C$9924,Assumptions!$E$54))</f>
        <v>0.128</v>
      </c>
      <c r="K9949" s="30" t="n">
        <f aca="false">IF(J10086=1,$C$9925,IF(Assumptions!$I$54=1,MAX(K9923,Assumptions!$G$54)+Assumptions!$F$54+$C$9924,Assumptions!$E$54))</f>
        <v>0.128</v>
      </c>
    </row>
    <row r="9950" customFormat="false" ht="15" hidden="false" customHeight="false" outlineLevel="0" collapsed="false">
      <c r="A9950" s="5" t="s">
        <v>267</v>
      </c>
      <c r="G9950" s="25" t="n">
        <f aca="false">G9946*G9949</f>
        <v>69.16</v>
      </c>
      <c r="H9950" s="25" t="n">
        <f aca="false">H9946*H9949</f>
        <v>67.1814</v>
      </c>
      <c r="I9950" s="25" t="n">
        <f aca="false">I9946*I9949</f>
        <v>65.2288</v>
      </c>
      <c r="J9950" s="25" t="n">
        <f aca="false">J9946*J9949</f>
        <v>64.5632</v>
      </c>
      <c r="K9950" s="25" t="n">
        <f aca="false">K9946*K9949</f>
        <v>63.8976</v>
      </c>
    </row>
    <row r="9951" customFormat="false" ht="15" hidden="false" customHeight="false" outlineLevel="0" collapsed="false">
      <c r="A9951" s="5" t="s">
        <v>268</v>
      </c>
      <c r="G9951" s="25" t="n">
        <f aca="false">G9946*Assumptions!$H$54</f>
        <v>0</v>
      </c>
      <c r="H9951" s="25" t="n">
        <f aca="false">H9946*Assumptions!$H$54</f>
        <v>0</v>
      </c>
      <c r="I9951" s="25" t="n">
        <f aca="false">I9946*Assumptions!$H$54</f>
        <v>0</v>
      </c>
      <c r="J9951" s="25" t="n">
        <f aca="false">J9946*Assumptions!$H$54</f>
        <v>0</v>
      </c>
      <c r="K9951" s="25" t="n">
        <f aca="false">K9946*Assumptions!$H$54</f>
        <v>0</v>
      </c>
    </row>
    <row r="9952" customFormat="false" ht="15" hidden="false" customHeight="false" outlineLevel="0" collapsed="false">
      <c r="A9952" s="5" t="s">
        <v>269</v>
      </c>
      <c r="G9952" s="25" t="n">
        <f aca="false">MIN(G9946,Assumptions!$L$54*Assumptions!$C$54)</f>
        <v>5.2</v>
      </c>
      <c r="H9952" s="25" t="n">
        <f aca="false">MIN(H9946,Assumptions!$L$54*Assumptions!$C$54)</f>
        <v>5.2</v>
      </c>
      <c r="I9952" s="25" t="n">
        <f aca="false">MIN(I9946,Assumptions!$L$54*Assumptions!$C$54)</f>
        <v>5.2</v>
      </c>
      <c r="J9952" s="25" t="n">
        <f aca="false">MIN(J9946,Assumptions!$L$54*Assumptions!$C$54)</f>
        <v>5.2</v>
      </c>
      <c r="K9952" s="25" t="n">
        <f aca="false">MIN(K9946,Assumptions!$L$54*Assumptions!$C$54)</f>
        <v>5.2</v>
      </c>
    </row>
    <row r="9953" customFormat="false" ht="15" hidden="false" customHeight="false" outlineLevel="0" collapsed="false">
      <c r="A9953" s="5" t="s">
        <v>270</v>
      </c>
      <c r="G9953" s="25" t="n">
        <f aca="false">IF(AND(Assumptions!$P$54=1,G9897&lt;Assumptions!$K$54),MIN(MAX(0,-G10011),MAX(0,Assumptions!$D$54-G9946)),0)</f>
        <v>0</v>
      </c>
      <c r="H9953" s="25" t="n">
        <f aca="false">IF(AND(Assumptions!$P$54=1,OR(H9897&lt;Assumptions!$K$54,G10086=1)),MIN(MAX(0,-H10011),MAX(0,Assumptions!$D$54-H9946)),0)</f>
        <v>0</v>
      </c>
      <c r="I9953" s="25" t="n">
        <f aca="false">IF(AND(Assumptions!$P$54=1,OR(I9897&lt;Assumptions!$K$54,H10086=1)),MIN(MAX(0,-I10011),MAX(0,Assumptions!$D$54-I9946)),0)</f>
        <v>0</v>
      </c>
      <c r="J9953" s="25" t="n">
        <f aca="false">IF(AND(Assumptions!$P$54=1,OR(J9897&lt;Assumptions!$K$54,I10086=1)),MIN(MAX(0,-J10011),MAX(0,Assumptions!$D$54-J9946)),0)</f>
        <v>0</v>
      </c>
      <c r="K9953" s="25" t="n">
        <f aca="false">IF(AND(Assumptions!$P$54=1,OR(K9897&lt;Assumptions!$K$54,J10086=1)),MIN(MAX(0,-K10011),MAX(0,Assumptions!$D$54-K9946)),0)</f>
        <v>0</v>
      </c>
    </row>
    <row r="9954" customFormat="false" ht="15" hidden="false" customHeight="false" outlineLevel="0" collapsed="false">
      <c r="A9954" s="5" t="s">
        <v>271</v>
      </c>
      <c r="G9954" s="25" t="n">
        <f aca="false">G9947*MIN(G9946-G9952+G9951,MAX(0,G10013-Assumptions!$C$12*G9931-G9941))</f>
        <v>0</v>
      </c>
      <c r="H9954" s="25" t="n">
        <f aca="false">H9947*MIN(H9946-H9952+H9951,MAX(0,H10013-Assumptions!$C$12*H9931-H9941))</f>
        <v>0</v>
      </c>
      <c r="I9954" s="25" t="n">
        <f aca="false">I9947*MIN(I9946-I9952+I9951,MAX(0,I10013-Assumptions!$C$12*I9931-I9941))</f>
        <v>0</v>
      </c>
      <c r="J9954" s="25" t="n">
        <f aca="false">J9947*MIN(J9946-J9952+J9951,MAX(0,J10013-Assumptions!$C$12*J9931-J9941))</f>
        <v>0</v>
      </c>
      <c r="K9954" s="25" t="n">
        <f aca="false">K9947*MIN(K9946-K9952+K9951,MAX(0,K10013-Assumptions!$C$12*K9931-K9941))</f>
        <v>0</v>
      </c>
    </row>
    <row r="9955" customFormat="false" ht="15" hidden="false" customHeight="false" outlineLevel="0" collapsed="false">
      <c r="A9955" s="5" t="s">
        <v>272</v>
      </c>
      <c r="G9955" s="25" t="n">
        <f aca="false">Assumptions!$N$54*MIN(G9946+G9953+G9951-G9952-G9954,MAX(0,G10017-G9942))</f>
        <v>0</v>
      </c>
      <c r="H9955" s="25" t="n">
        <f aca="false">Assumptions!$N$54*MIN(H9946+H9953+H9951-H9952-H9954,MAX(0,H10017-H9942))</f>
        <v>0</v>
      </c>
      <c r="I9955" s="25" t="n">
        <f aca="false">Assumptions!$N$54*MIN(I9946+I9953+I9951-I9952-I9954,MAX(0,I10017-I9942))</f>
        <v>0</v>
      </c>
      <c r="J9955" s="25" t="n">
        <f aca="false">Assumptions!$N$54*MIN(J9946+J9953+J9951-J9952-J9954,MAX(0,J10017-J9942))</f>
        <v>0</v>
      </c>
      <c r="K9955" s="25" t="n">
        <f aca="false">Assumptions!$N$54*MIN(K9946+K9953+K9951-K9952-K9954,MAX(0,K10017-K9942))</f>
        <v>0</v>
      </c>
    </row>
    <row r="9956" customFormat="false" ht="15" hidden="false" customHeight="false" outlineLevel="0" collapsed="false">
      <c r="A9956" s="5" t="s">
        <v>273</v>
      </c>
      <c r="G9956" s="25" t="n">
        <f aca="false">G9947*(1-G9931)*(G9946-G9952+G9951-G9954)</f>
        <v>0</v>
      </c>
      <c r="H9956" s="25" t="n">
        <f aca="false">H9947*(1-H9931)*(H9946-H9952+H9951-H9954)</f>
        <v>0</v>
      </c>
      <c r="I9956" s="25" t="n">
        <f aca="false">I9947*(1-I9931)*(I9946-I9952+I9951-I9954)</f>
        <v>504.4</v>
      </c>
      <c r="J9956" s="25" t="n">
        <f aca="false">J9947*(1-J9931)*(J9946-J9952+J9951-J9954)</f>
        <v>0</v>
      </c>
      <c r="K9956" s="25" t="n">
        <f aca="false">K9947*(1-K9931)*(K9946-K9952+K9951-K9954)</f>
        <v>0</v>
      </c>
    </row>
    <row r="9957" customFormat="false" ht="15" hidden="false" customHeight="false" outlineLevel="0" collapsed="false">
      <c r="A9957" s="2" t="s">
        <v>274</v>
      </c>
      <c r="F9957" s="27" t="n">
        <f aca="false">Assumptions!$C$54</f>
        <v>520</v>
      </c>
      <c r="G9957" s="16" t="n">
        <f aca="false">G9946+G9953+G9951-G9952-G9954-G9955</f>
        <v>514.8</v>
      </c>
      <c r="H9957" s="16" t="n">
        <f aca="false">H9946+H9953+H9951-H9952-H9954-H9955</f>
        <v>509.6</v>
      </c>
      <c r="I9957" s="16" t="n">
        <f aca="false">I9946+I9953+I9951-I9952-I9954-I9955</f>
        <v>504.4</v>
      </c>
      <c r="J9957" s="16" t="n">
        <f aca="false">J9946+J9953+J9951-J9952-J9954-J9955</f>
        <v>499.2</v>
      </c>
      <c r="K9957" s="16" t="n">
        <f aca="false">K9946+K9953+K9951-K9952-K9954-K9955</f>
        <v>494</v>
      </c>
    </row>
    <row r="9958" customFormat="false" ht="15" hidden="false" customHeight="false" outlineLevel="0" collapsed="false">
      <c r="A9958" s="23" t="s">
        <v>276</v>
      </c>
      <c r="B9958" s="24"/>
      <c r="C9958" s="24"/>
      <c r="D9958" s="24"/>
      <c r="E9958" s="24"/>
      <c r="F9958" s="24"/>
      <c r="G9958" s="24"/>
      <c r="H9958" s="24"/>
      <c r="I9958" s="24"/>
      <c r="J9958" s="24"/>
      <c r="K9958" s="24"/>
    </row>
    <row r="9959" customFormat="false" ht="15" hidden="false" customHeight="false" outlineLevel="0" collapsed="false">
      <c r="A9959" s="5" t="s">
        <v>264</v>
      </c>
      <c r="G9959" s="25" t="n">
        <f aca="false">F9970</f>
        <v>250</v>
      </c>
      <c r="H9959" s="25" t="n">
        <f aca="false">G9970</f>
        <v>250</v>
      </c>
      <c r="I9959" s="25" t="n">
        <f aca="false">H9970</f>
        <v>250</v>
      </c>
      <c r="J9959" s="25" t="n">
        <f aca="false">I9970</f>
        <v>250</v>
      </c>
      <c r="K9959" s="25" t="n">
        <f aca="false">J9970</f>
        <v>250</v>
      </c>
    </row>
    <row r="9960" customFormat="false" ht="15" hidden="false" customHeight="false" outlineLevel="0" collapsed="false">
      <c r="A9960" s="5" t="s">
        <v>265</v>
      </c>
      <c r="G9960" s="20" t="n">
        <f aca="false">IF(G9897=Assumptions!$K$55,1,0)</f>
        <v>0</v>
      </c>
      <c r="H9960" s="20" t="n">
        <f aca="false">IF(H9897=Assumptions!$K$55,1,0)</f>
        <v>0</v>
      </c>
      <c r="I9960" s="20" t="n">
        <f aca="false">IF(I9897=Assumptions!$K$55,1,0)</f>
        <v>0</v>
      </c>
      <c r="J9960" s="20" t="n">
        <f aca="false">IF(J9897=Assumptions!$K$55,1,0)</f>
        <v>1</v>
      </c>
      <c r="K9960" s="20" t="n">
        <f aca="false">IF(K9897=Assumptions!$K$55,1,0)</f>
        <v>0</v>
      </c>
    </row>
    <row r="9962" customFormat="false" ht="15" hidden="false" customHeight="false" outlineLevel="0" collapsed="false">
      <c r="A9962" s="5" t="s">
        <v>266</v>
      </c>
      <c r="G9962" s="30" t="n">
        <f aca="false">IF(Assumptions!$I$55=1,MAX(G9923,Assumptions!$G$55)+Assumptions!$F$55+$C$9924,Assumptions!$E$55)</f>
        <v>0.11</v>
      </c>
      <c r="H9962" s="30" t="n">
        <f aca="false">IF(G10087=1,$C$9925,IF(Assumptions!$I$55=1,MAX(H9923,Assumptions!$G$55)+Assumptions!$F$55+$C$9924,Assumptions!$E$55))</f>
        <v>0.11</v>
      </c>
      <c r="I9962" s="30" t="n">
        <f aca="false">IF(H10087=1,$C$9925,IF(Assumptions!$I$55=1,MAX(I9923,Assumptions!$G$55)+Assumptions!$F$55+$C$9924,Assumptions!$E$55))</f>
        <v>0.11</v>
      </c>
      <c r="J9962" s="30" t="n">
        <f aca="false">IF(I10087=1,$C$9925,IF(Assumptions!$I$55=1,MAX(J9923,Assumptions!$G$55)+Assumptions!$F$55+$C$9924,Assumptions!$E$55))</f>
        <v>0.11</v>
      </c>
      <c r="K9962" s="30" t="n">
        <f aca="false">IF(J10087=1,$C$9925,IF(Assumptions!$I$55=1,MAX(K9923,Assumptions!$G$55)+Assumptions!$F$55+$C$9924,Assumptions!$E$55))</f>
        <v>0.11</v>
      </c>
    </row>
    <row r="9963" customFormat="false" ht="15" hidden="false" customHeight="false" outlineLevel="0" collapsed="false">
      <c r="A9963" s="5" t="s">
        <v>267</v>
      </c>
      <c r="G9963" s="25" t="n">
        <f aca="false">G9959*G9962</f>
        <v>27.5</v>
      </c>
      <c r="H9963" s="25" t="n">
        <f aca="false">H9959*H9962</f>
        <v>27.5</v>
      </c>
      <c r="I9963" s="25" t="n">
        <f aca="false">I9959*I9962</f>
        <v>27.5</v>
      </c>
      <c r="J9963" s="25" t="n">
        <f aca="false">J9959*J9962</f>
        <v>27.5</v>
      </c>
      <c r="K9963" s="25" t="n">
        <f aca="false">K9959*K9962</f>
        <v>27.5</v>
      </c>
    </row>
    <row r="9964" customFormat="false" ht="15" hidden="false" customHeight="false" outlineLevel="0" collapsed="false">
      <c r="A9964" s="5" t="s">
        <v>268</v>
      </c>
      <c r="G9964" s="25" t="n">
        <f aca="false">G9959*Assumptions!$H$55</f>
        <v>0</v>
      </c>
      <c r="H9964" s="25" t="n">
        <f aca="false">H9959*Assumptions!$H$55</f>
        <v>0</v>
      </c>
      <c r="I9964" s="25" t="n">
        <f aca="false">I9959*Assumptions!$H$55</f>
        <v>0</v>
      </c>
      <c r="J9964" s="25" t="n">
        <f aca="false">J9959*Assumptions!$H$55</f>
        <v>0</v>
      </c>
      <c r="K9964" s="25" t="n">
        <f aca="false">K9959*Assumptions!$H$55</f>
        <v>0</v>
      </c>
    </row>
    <row r="9965" customFormat="false" ht="15" hidden="false" customHeight="false" outlineLevel="0" collapsed="false">
      <c r="A9965" s="5" t="s">
        <v>269</v>
      </c>
      <c r="G9965" s="25" t="n">
        <f aca="false">MIN(G9959,Assumptions!$L$55*Assumptions!$C$55)</f>
        <v>0</v>
      </c>
      <c r="H9965" s="25" t="n">
        <f aca="false">MIN(H9959,Assumptions!$L$55*Assumptions!$C$55)</f>
        <v>0</v>
      </c>
      <c r="I9965" s="25" t="n">
        <f aca="false">MIN(I9959,Assumptions!$L$55*Assumptions!$C$55)</f>
        <v>0</v>
      </c>
      <c r="J9965" s="25" t="n">
        <f aca="false">MIN(J9959,Assumptions!$L$55*Assumptions!$C$55)</f>
        <v>0</v>
      </c>
      <c r="K9965" s="25" t="n">
        <f aca="false">MIN(K9959,Assumptions!$L$55*Assumptions!$C$55)</f>
        <v>0</v>
      </c>
    </row>
    <row r="9966" customFormat="false" ht="15" hidden="false" customHeight="false" outlineLevel="0" collapsed="false">
      <c r="A9966" s="5" t="s">
        <v>270</v>
      </c>
      <c r="G9966" s="25" t="n">
        <f aca="false">IF(AND(Assumptions!$P$55=1,G9897&lt;Assumptions!$K$55),MIN(MAX(0,-G10011),MAX(0,Assumptions!$D$55-G9959)),0)</f>
        <v>0</v>
      </c>
      <c r="H9966" s="25" t="n">
        <f aca="false">IF(AND(Assumptions!$P$55=1,OR(H9897&lt;Assumptions!$K$55,G10087=1)),MIN(MAX(0,-H10011),MAX(0,Assumptions!$D$55-H9959)),0)</f>
        <v>0</v>
      </c>
      <c r="I9966" s="25" t="n">
        <f aca="false">IF(AND(Assumptions!$P$55=1,OR(I9897&lt;Assumptions!$K$55,H10087=1)),MIN(MAX(0,-I10011),MAX(0,Assumptions!$D$55-I9959)),0)</f>
        <v>0</v>
      </c>
      <c r="J9966" s="25" t="n">
        <f aca="false">IF(AND(Assumptions!$P$55=1,OR(J9897&lt;Assumptions!$K$55,I10087=1)),MIN(MAX(0,-J10011),MAX(0,Assumptions!$D$55-J9959)),0)</f>
        <v>0</v>
      </c>
      <c r="K9966" s="25" t="n">
        <f aca="false">IF(AND(Assumptions!$P$55=1,OR(K9897&lt;Assumptions!$K$55,J10087=1)),MIN(MAX(0,-K10011),MAX(0,Assumptions!$D$55-K9959)),0)</f>
        <v>0</v>
      </c>
    </row>
    <row r="9967" customFormat="false" ht="15" hidden="false" customHeight="false" outlineLevel="0" collapsed="false">
      <c r="A9967" s="5" t="s">
        <v>271</v>
      </c>
      <c r="G9967" s="25" t="n">
        <f aca="false">G9960*MIN(G9959-G9965+G9964,MAX(0,G10013-Assumptions!$C$12*G9931-G9941-G9954))</f>
        <v>0</v>
      </c>
      <c r="H9967" s="25" t="n">
        <f aca="false">H9960*MIN(H9959-H9965+H9964,MAX(0,H10013-Assumptions!$C$12*H9931-H9941-H9954))</f>
        <v>0</v>
      </c>
      <c r="I9967" s="25" t="n">
        <f aca="false">I9960*MIN(I9959-I9965+I9964,MAX(0,I10013-Assumptions!$C$12*I9931-I9941-I9954))</f>
        <v>0</v>
      </c>
      <c r="J9967" s="25" t="n">
        <f aca="false">J9960*MIN(J9959-J9965+J9964,MAX(0,J10013-Assumptions!$C$12*J9931-J9941-J9954))</f>
        <v>0</v>
      </c>
      <c r="K9967" s="25" t="n">
        <f aca="false">K9960*MIN(K9959-K9965+K9964,MAX(0,K10013-Assumptions!$C$12*K9931-K9941-K9954))</f>
        <v>0</v>
      </c>
    </row>
    <row r="9968" customFormat="false" ht="15" hidden="false" customHeight="false" outlineLevel="0" collapsed="false">
      <c r="A9968" s="5" t="s">
        <v>272</v>
      </c>
      <c r="G9968" s="25" t="n">
        <f aca="false">Assumptions!$N$55*MIN(G9959+G9966+G9964-G9965-G9967,MAX(0,G10017-G9942-G9955))</f>
        <v>0</v>
      </c>
      <c r="H9968" s="25" t="n">
        <f aca="false">Assumptions!$N$55*MIN(H9959+H9966+H9964-H9965-H9967,MAX(0,H10017-H9942-H9955))</f>
        <v>0</v>
      </c>
      <c r="I9968" s="25" t="n">
        <f aca="false">Assumptions!$N$55*MIN(I9959+I9966+I9964-I9965-I9967,MAX(0,I10017-I9942-I9955))</f>
        <v>0</v>
      </c>
      <c r="J9968" s="25" t="n">
        <f aca="false">Assumptions!$N$55*MIN(J9959+J9966+J9964-J9965-J9967,MAX(0,J10017-J9942-J9955))</f>
        <v>0</v>
      </c>
      <c r="K9968" s="25" t="n">
        <f aca="false">Assumptions!$N$55*MIN(K9959+K9966+K9964-K9965-K9967,MAX(0,K10017-K9942-K9955))</f>
        <v>0</v>
      </c>
    </row>
    <row r="9969" customFormat="false" ht="15" hidden="false" customHeight="false" outlineLevel="0" collapsed="false">
      <c r="A9969" s="5" t="s">
        <v>273</v>
      </c>
      <c r="G9969" s="25" t="n">
        <f aca="false">G9960*(1-G9931)*(G9959-G9965+G9964-G9967)</f>
        <v>0</v>
      </c>
      <c r="H9969" s="25" t="n">
        <f aca="false">H9960*(1-H9931)*(H9959-H9965+H9964-H9967)</f>
        <v>0</v>
      </c>
      <c r="I9969" s="25" t="n">
        <f aca="false">I9960*(1-I9931)*(I9959-I9965+I9964-I9967)</f>
        <v>0</v>
      </c>
      <c r="J9969" s="25" t="n">
        <f aca="false">J9960*(1-J9931)*(J9959-J9965+J9964-J9967)</f>
        <v>250</v>
      </c>
      <c r="K9969" s="25" t="n">
        <f aca="false">K9960*(1-K9931)*(K9959-K9965+K9964-K9967)</f>
        <v>0</v>
      </c>
    </row>
    <row r="9970" customFormat="false" ht="15" hidden="false" customHeight="false" outlineLevel="0" collapsed="false">
      <c r="A9970" s="2" t="s">
        <v>274</v>
      </c>
      <c r="F9970" s="27" t="n">
        <f aca="false">Assumptions!$C$55</f>
        <v>250</v>
      </c>
      <c r="G9970" s="16" t="n">
        <f aca="false">G9959+G9966+G9964-G9965-G9967-G9968</f>
        <v>250</v>
      </c>
      <c r="H9970" s="16" t="n">
        <f aca="false">H9959+H9966+H9964-H9965-H9967-H9968</f>
        <v>250</v>
      </c>
      <c r="I9970" s="16" t="n">
        <f aca="false">I9959+I9966+I9964-I9965-I9967-I9968</f>
        <v>250</v>
      </c>
      <c r="J9970" s="16" t="n">
        <f aca="false">J9959+J9966+J9964-J9965-J9967-J9968</f>
        <v>250</v>
      </c>
      <c r="K9970" s="16" t="n">
        <f aca="false">K9959+K9966+K9964-K9965-K9967-K9968</f>
        <v>250</v>
      </c>
    </row>
    <row r="9971" customFormat="false" ht="15" hidden="false" customHeight="false" outlineLevel="0" collapsed="false">
      <c r="A9971" s="23" t="s">
        <v>277</v>
      </c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</row>
    <row r="9972" customFormat="false" ht="15" hidden="false" customHeight="false" outlineLevel="0" collapsed="false">
      <c r="A9972" s="5" t="s">
        <v>264</v>
      </c>
      <c r="G9972" s="25" t="n">
        <f aca="false">F9983</f>
        <v>300</v>
      </c>
      <c r="H9972" s="25" t="n">
        <f aca="false">G9983</f>
        <v>300</v>
      </c>
      <c r="I9972" s="25" t="n">
        <f aca="false">H9983</f>
        <v>300</v>
      </c>
      <c r="J9972" s="25" t="n">
        <f aca="false">I9983</f>
        <v>300</v>
      </c>
      <c r="K9972" s="25" t="n">
        <f aca="false">J9983</f>
        <v>300</v>
      </c>
    </row>
    <row r="9973" customFormat="false" ht="15" hidden="false" customHeight="false" outlineLevel="0" collapsed="false">
      <c r="A9973" s="5" t="s">
        <v>265</v>
      </c>
      <c r="G9973" s="20" t="n">
        <f aca="false">IF(G9897=Assumptions!$K$56,1,0)</f>
        <v>0</v>
      </c>
      <c r="H9973" s="20" t="n">
        <f aca="false">IF(H9897=Assumptions!$K$56,1,0)</f>
        <v>1</v>
      </c>
      <c r="I9973" s="20" t="n">
        <f aca="false">IF(I9897=Assumptions!$K$56,1,0)</f>
        <v>0</v>
      </c>
      <c r="J9973" s="20" t="n">
        <f aca="false">IF(J9897=Assumptions!$K$56,1,0)</f>
        <v>0</v>
      </c>
      <c r="K9973" s="20" t="n">
        <f aca="false">IF(K9897=Assumptions!$K$56,1,0)</f>
        <v>0</v>
      </c>
    </row>
    <row r="9975" customFormat="false" ht="15" hidden="false" customHeight="false" outlineLevel="0" collapsed="false">
      <c r="A9975" s="5" t="s">
        <v>266</v>
      </c>
      <c r="G9975" s="30" t="n">
        <f aca="false">IF(Assumptions!$I$56=1,MAX(G9923,Assumptions!$G$56)+Assumptions!$F$56+$C$9924,Assumptions!$E$56)</f>
        <v>0.075</v>
      </c>
      <c r="H9975" s="30" t="n">
        <f aca="false">IF(G10088=1,$C$9925,IF(Assumptions!$I$56=1,MAX(H9923,Assumptions!$G$56)+Assumptions!$F$56+$C$9924,Assumptions!$E$56))</f>
        <v>0.075</v>
      </c>
      <c r="I9975" s="30" t="n">
        <f aca="false">IF(H10088=1,$C$9925,IF(Assumptions!$I$56=1,MAX(I9923,Assumptions!$G$56)+Assumptions!$F$56+$C$9924,Assumptions!$E$56))</f>
        <v>0.075</v>
      </c>
      <c r="J9975" s="30" t="n">
        <f aca="false">IF(I10088=1,$C$9925,IF(Assumptions!$I$56=1,MAX(J9923,Assumptions!$G$56)+Assumptions!$F$56+$C$9924,Assumptions!$E$56))</f>
        <v>0.075</v>
      </c>
      <c r="K9975" s="30" t="n">
        <f aca="false">IF(J10088=1,$C$9925,IF(Assumptions!$I$56=1,MAX(K9923,Assumptions!$G$56)+Assumptions!$F$56+$C$9924,Assumptions!$E$56))</f>
        <v>0.075</v>
      </c>
    </row>
    <row r="9976" customFormat="false" ht="15" hidden="false" customHeight="false" outlineLevel="0" collapsed="false">
      <c r="A9976" s="5" t="s">
        <v>267</v>
      </c>
      <c r="G9976" s="25" t="n">
        <f aca="false">G9972*G9975</f>
        <v>22.5</v>
      </c>
      <c r="H9976" s="25" t="n">
        <f aca="false">H9972*H9975</f>
        <v>22.5</v>
      </c>
      <c r="I9976" s="25" t="n">
        <f aca="false">I9972*I9975</f>
        <v>22.5</v>
      </c>
      <c r="J9976" s="25" t="n">
        <f aca="false">J9972*J9975</f>
        <v>22.5</v>
      </c>
      <c r="K9976" s="25" t="n">
        <f aca="false">K9972*K9975</f>
        <v>22.5</v>
      </c>
    </row>
    <row r="9977" customFormat="false" ht="15" hidden="false" customHeight="false" outlineLevel="0" collapsed="false">
      <c r="A9977" s="5" t="s">
        <v>268</v>
      </c>
      <c r="G9977" s="25" t="n">
        <f aca="false">G9972*Assumptions!$H$56</f>
        <v>0</v>
      </c>
      <c r="H9977" s="25" t="n">
        <f aca="false">H9972*Assumptions!$H$56</f>
        <v>0</v>
      </c>
      <c r="I9977" s="25" t="n">
        <f aca="false">I9972*Assumptions!$H$56</f>
        <v>0</v>
      </c>
      <c r="J9977" s="25" t="n">
        <f aca="false">J9972*Assumptions!$H$56</f>
        <v>0</v>
      </c>
      <c r="K9977" s="25" t="n">
        <f aca="false">K9972*Assumptions!$H$56</f>
        <v>0</v>
      </c>
    </row>
    <row r="9978" customFormat="false" ht="15" hidden="false" customHeight="false" outlineLevel="0" collapsed="false">
      <c r="A9978" s="5" t="s">
        <v>269</v>
      </c>
      <c r="G9978" s="25" t="n">
        <f aca="false">MIN(G9972,Assumptions!$L$56*Assumptions!$C$56)</f>
        <v>0</v>
      </c>
      <c r="H9978" s="25" t="n">
        <f aca="false">MIN(H9972,Assumptions!$L$56*Assumptions!$C$56)</f>
        <v>0</v>
      </c>
      <c r="I9978" s="25" t="n">
        <f aca="false">MIN(I9972,Assumptions!$L$56*Assumptions!$C$56)</f>
        <v>0</v>
      </c>
      <c r="J9978" s="25" t="n">
        <f aca="false">MIN(J9972,Assumptions!$L$56*Assumptions!$C$56)</f>
        <v>0</v>
      </c>
      <c r="K9978" s="25" t="n">
        <f aca="false">MIN(K9972,Assumptions!$L$56*Assumptions!$C$56)</f>
        <v>0</v>
      </c>
    </row>
    <row r="9979" customFormat="false" ht="15" hidden="false" customHeight="false" outlineLevel="0" collapsed="false">
      <c r="A9979" s="5" t="s">
        <v>270</v>
      </c>
      <c r="G9979" s="25" t="n">
        <f aca="false">IF(AND(Assumptions!$P$56=1,G9897&lt;Assumptions!$K$56),MIN(MAX(0,-G10011),MAX(0,Assumptions!$D$56-G9972)),0)</f>
        <v>0</v>
      </c>
      <c r="H9979" s="25" t="n">
        <f aca="false">IF(AND(Assumptions!$P$56=1,OR(H9897&lt;Assumptions!$K$56,G10088=1)),MIN(MAX(0,-H10011),MAX(0,Assumptions!$D$56-H9972)),0)</f>
        <v>0</v>
      </c>
      <c r="I9979" s="25" t="n">
        <f aca="false">IF(AND(Assumptions!$P$56=1,OR(I9897&lt;Assumptions!$K$56,H10088=1)),MIN(MAX(0,-I10011),MAX(0,Assumptions!$D$56-I9972)),0)</f>
        <v>0</v>
      </c>
      <c r="J9979" s="25" t="n">
        <f aca="false">IF(AND(Assumptions!$P$56=1,OR(J9897&lt;Assumptions!$K$56,I10088=1)),MIN(MAX(0,-J10011),MAX(0,Assumptions!$D$56-J9972)),0)</f>
        <v>0</v>
      </c>
      <c r="K9979" s="25" t="n">
        <f aca="false">IF(AND(Assumptions!$P$56=1,OR(K9897&lt;Assumptions!$K$56,J10088=1)),MIN(MAX(0,-K10011),MAX(0,Assumptions!$D$56-K9972)),0)</f>
        <v>0</v>
      </c>
    </row>
    <row r="9980" customFormat="false" ht="15" hidden="false" customHeight="false" outlineLevel="0" collapsed="false">
      <c r="A9980" s="5" t="s">
        <v>271</v>
      </c>
      <c r="G9980" s="25" t="n">
        <f aca="false">G9973*MIN(G9972-G9978+G9977,MAX(0,G10013-Assumptions!$C$12*G9931-G9941-G9954-G9967))</f>
        <v>0</v>
      </c>
      <c r="H9980" s="25" t="n">
        <f aca="false">H9973*MIN(H9972-H9978+H9977,MAX(0,H10013-Assumptions!$C$12*H9931-H9941-H9954-H9967))</f>
        <v>0</v>
      </c>
      <c r="I9980" s="25" t="n">
        <f aca="false">I9973*MIN(I9972-I9978+I9977,MAX(0,I10013-Assumptions!$C$12*I9931-I9941-I9954-I9967))</f>
        <v>0</v>
      </c>
      <c r="J9980" s="25" t="n">
        <f aca="false">J9973*MIN(J9972-J9978+J9977,MAX(0,J10013-Assumptions!$C$12*J9931-J9941-J9954-J9967))</f>
        <v>0</v>
      </c>
      <c r="K9980" s="25" t="n">
        <f aca="false">K9973*MIN(K9972-K9978+K9977,MAX(0,K10013-Assumptions!$C$12*K9931-K9941-K9954-K9967))</f>
        <v>0</v>
      </c>
    </row>
    <row r="9981" customFormat="false" ht="15" hidden="false" customHeight="false" outlineLevel="0" collapsed="false">
      <c r="A9981" s="5" t="s">
        <v>272</v>
      </c>
      <c r="G9981" s="25" t="n">
        <f aca="false">Assumptions!$N$56*MIN(G9972+G9979+G9977-G9978-G9980,MAX(0,G10017-G9942-G9955-G9968))</f>
        <v>0</v>
      </c>
      <c r="H9981" s="25" t="n">
        <f aca="false">Assumptions!$N$56*MIN(H9972+H9979+H9977-H9978-H9980,MAX(0,H10017-H9942-H9955-H9968))</f>
        <v>0</v>
      </c>
      <c r="I9981" s="25" t="n">
        <f aca="false">Assumptions!$N$56*MIN(I9972+I9979+I9977-I9978-I9980,MAX(0,I10017-I9942-I9955-I9968))</f>
        <v>0</v>
      </c>
      <c r="J9981" s="25" t="n">
        <f aca="false">Assumptions!$N$56*MIN(J9972+J9979+J9977-J9978-J9980,MAX(0,J10017-J9942-J9955-J9968))</f>
        <v>0</v>
      </c>
      <c r="K9981" s="25" t="n">
        <f aca="false">Assumptions!$N$56*MIN(K9972+K9979+K9977-K9978-K9980,MAX(0,K10017-K9942-K9955-K9968))</f>
        <v>0</v>
      </c>
    </row>
    <row r="9982" customFormat="false" ht="15" hidden="false" customHeight="false" outlineLevel="0" collapsed="false">
      <c r="A9982" s="5" t="s">
        <v>273</v>
      </c>
      <c r="G9982" s="25" t="n">
        <f aca="false">G9973*(1-G9931)*(G9972-G9978+G9977-G9980)</f>
        <v>0</v>
      </c>
      <c r="H9982" s="25" t="n">
        <f aca="false">H9973*(1-H9931)*(H9972-H9978+H9977-H9980)</f>
        <v>300</v>
      </c>
      <c r="I9982" s="25" t="n">
        <f aca="false">I9973*(1-I9931)*(I9972-I9978+I9977-I9980)</f>
        <v>0</v>
      </c>
      <c r="J9982" s="25" t="n">
        <f aca="false">J9973*(1-J9931)*(J9972-J9978+J9977-J9980)</f>
        <v>0</v>
      </c>
      <c r="K9982" s="25" t="n">
        <f aca="false">K9973*(1-K9931)*(K9972-K9978+K9977-K9980)</f>
        <v>0</v>
      </c>
    </row>
    <row r="9983" customFormat="false" ht="15" hidden="false" customHeight="false" outlineLevel="0" collapsed="false">
      <c r="A9983" s="2" t="s">
        <v>274</v>
      </c>
      <c r="F9983" s="27" t="n">
        <f aca="false">Assumptions!$C$56</f>
        <v>300</v>
      </c>
      <c r="G9983" s="16" t="n">
        <f aca="false">G9972+G9979+G9977-G9978-G9980-G9981</f>
        <v>300</v>
      </c>
      <c r="H9983" s="16" t="n">
        <f aca="false">H9972+H9979+H9977-H9978-H9980-H9981</f>
        <v>300</v>
      </c>
      <c r="I9983" s="16" t="n">
        <f aca="false">I9972+I9979+I9977-I9978-I9980-I9981</f>
        <v>300</v>
      </c>
      <c r="J9983" s="16" t="n">
        <f aca="false">J9972+J9979+J9977-J9978-J9980-J9981</f>
        <v>300</v>
      </c>
      <c r="K9983" s="16" t="n">
        <f aca="false">K9972+K9979+K9977-K9978-K9980-K9981</f>
        <v>300</v>
      </c>
    </row>
    <row r="9984" customFormat="false" ht="15" hidden="false" customHeight="false" outlineLevel="0" collapsed="false">
      <c r="A9984" s="23" t="s">
        <v>278</v>
      </c>
      <c r="B9984" s="24"/>
      <c r="C9984" s="24"/>
      <c r="D9984" s="24"/>
      <c r="E9984" s="24"/>
      <c r="F9984" s="24"/>
      <c r="G9984" s="24"/>
      <c r="H9984" s="24"/>
      <c r="I9984" s="24"/>
      <c r="J9984" s="24"/>
      <c r="K9984" s="24"/>
    </row>
    <row r="9985" customFormat="false" ht="15" hidden="false" customHeight="false" outlineLevel="0" collapsed="false">
      <c r="A9985" s="2" t="s">
        <v>279</v>
      </c>
      <c r="F9985" s="16" t="n">
        <f aca="false">F9944+F9957+F9970+F9983</f>
        <v>1250</v>
      </c>
      <c r="G9985" s="16" t="n">
        <f aca="false">G9944+G9957+G9970+G9983</f>
        <v>1268.0288</v>
      </c>
      <c r="H9985" s="16" t="n">
        <f aca="false">H9944+H9957+H9970+H9983</f>
        <v>1262.8288</v>
      </c>
      <c r="I9985" s="16" t="n">
        <f aca="false">I9944+I9957+I9970+I9983</f>
        <v>1257.6288</v>
      </c>
      <c r="J9985" s="16" t="n">
        <f aca="false">J9944+J9957+J9970+J9983</f>
        <v>1252.4288</v>
      </c>
      <c r="K9985" s="16" t="n">
        <f aca="false">K9944+K9957+K9970+K9983</f>
        <v>1247.2288</v>
      </c>
    </row>
    <row r="9986" customFormat="false" ht="15" hidden="false" customHeight="false" outlineLevel="0" collapsed="false">
      <c r="A9986" s="5" t="s">
        <v>280</v>
      </c>
      <c r="G9986" s="25" t="n">
        <f aca="false">G9934*Assumptions!$C$53+G9947*Assumptions!$C$54+G9960*Assumptions!$C$55+G9973*Assumptions!$C$56</f>
        <v>0</v>
      </c>
      <c r="H9986" s="25" t="n">
        <f aca="false">H9934*Assumptions!$C$53+H9947*Assumptions!$C$54+H9960*Assumptions!$C$55+H9973*Assumptions!$C$56</f>
        <v>480</v>
      </c>
      <c r="I9986" s="25" t="n">
        <f aca="false">I9934*Assumptions!$C$53+I9947*Assumptions!$C$54+I9960*Assumptions!$C$55+I9973*Assumptions!$C$56</f>
        <v>520</v>
      </c>
      <c r="J9986" s="25" t="n">
        <f aca="false">J9934*Assumptions!$C$53+J9947*Assumptions!$C$54+J9960*Assumptions!$C$55+J9973*Assumptions!$C$56</f>
        <v>250</v>
      </c>
      <c r="K9986" s="25" t="n">
        <f aca="false">K9934*Assumptions!$C$53+K9947*Assumptions!$C$54+K9960*Assumptions!$C$55+K9973*Assumptions!$C$56</f>
        <v>0</v>
      </c>
    </row>
    <row r="9987" customFormat="false" ht="15" hidden="false" customHeight="false" outlineLevel="0" collapsed="false">
      <c r="A9987" s="23" t="s">
        <v>281</v>
      </c>
      <c r="B9987" s="24"/>
      <c r="C9987" s="24"/>
      <c r="D9987" s="24"/>
      <c r="E9987" s="24"/>
      <c r="F9987" s="24"/>
      <c r="G9987" s="24"/>
      <c r="H9987" s="24"/>
      <c r="I9987" s="24"/>
      <c r="J9987" s="24"/>
      <c r="K9987" s="24"/>
    </row>
    <row r="9988" customFormat="false" ht="15" hidden="false" customHeight="false" outlineLevel="0" collapsed="false">
      <c r="A9988" s="5" t="s">
        <v>282</v>
      </c>
      <c r="C9988" s="25" t="n">
        <f aca="false">SUMPRODUCT($G$9934:$K$9934,$G$9933:$K$9933-$G$9939:$K$9939+$G$9938:$K$9938)</f>
        <v>203.2288</v>
      </c>
    </row>
    <row r="9989" customFormat="false" ht="15" hidden="false" customHeight="false" outlineLevel="0" collapsed="false">
      <c r="A9989" s="5" t="s">
        <v>283</v>
      </c>
      <c r="C9989" s="25" t="n">
        <f aca="false">SUMPRODUCT($G$9934:$K$9934,$G$9941:$K$9941)</f>
        <v>0</v>
      </c>
    </row>
    <row r="9990" customFormat="false" ht="15" hidden="false" customHeight="false" outlineLevel="0" collapsed="false">
      <c r="A9990" s="5" t="s">
        <v>284</v>
      </c>
      <c r="C9990" s="5" t="str">
        <f aca="false">IF(SUM($G$9934:$K$9934)=0,"n/a (beyond horizon)",IF(SUMPRODUCT($G$9934:$K$9934,$G$9931:$K$9931)&gt;0,"REFINANCING PASS","REFINANCING FAILURE"))</f>
        <v>REFINANCING FAILURE</v>
      </c>
    </row>
    <row r="9991" customFormat="false" ht="15" hidden="false" customHeight="false" outlineLevel="0" collapsed="false">
      <c r="A9991" s="5" t="s">
        <v>285</v>
      </c>
      <c r="C9991" s="5" t="str">
        <f aca="false">IF(SUM($G$9934:$K$9934)=0,"n/a",IF(C9989&gt;=C9988-0.001,"Repaid from cash",IF(SUMPRODUCT($G$9934:$K$9934,$G$9931:$K$9931)&gt;0,IF(C9989&gt;0,"Partly repaid; remainder refinanced","Refinanced"),IF(SUM($G$9943:$K$9943)&gt;0.001,IF(C9989&gt;0,"Partial repayment; PAYMENT DEFAULT","PAYMENT DEFAULT"),"Repaid from cash"))))</f>
        <v>PAYMENT DEFAULT</v>
      </c>
    </row>
    <row r="9992" customFormat="false" ht="15" hidden="false" customHeight="false" outlineLevel="0" collapsed="false">
      <c r="A9992" s="5" t="s">
        <v>286</v>
      </c>
      <c r="C9992" s="25" t="n">
        <f aca="false">SUMPRODUCT($G$9947:$K$9947,$G$9946:$K$9946-$G$9952:$K$9952+$G$9951:$K$9951)</f>
        <v>504.4</v>
      </c>
    </row>
    <row r="9993" customFormat="false" ht="15" hidden="false" customHeight="false" outlineLevel="0" collapsed="false">
      <c r="A9993" s="5" t="s">
        <v>287</v>
      </c>
      <c r="C9993" s="25" t="n">
        <f aca="false">SUMPRODUCT($G$9947:$K$9947,$G$9954:$K$9954)</f>
        <v>0</v>
      </c>
    </row>
    <row r="9994" customFormat="false" ht="15" hidden="false" customHeight="false" outlineLevel="0" collapsed="false">
      <c r="A9994" s="5" t="s">
        <v>288</v>
      </c>
      <c r="C9994" s="5" t="str">
        <f aca="false">IF(SUM($G$9947:$K$9947)=0,"n/a (beyond horizon)",IF(SUMPRODUCT($G$9947:$K$9947,$G$9931:$K$9931)&gt;0,"REFINANCING PASS","REFINANCING FAILURE"))</f>
        <v>REFINANCING FAILURE</v>
      </c>
    </row>
    <row r="9995" customFormat="false" ht="15" hidden="false" customHeight="false" outlineLevel="0" collapsed="false">
      <c r="A9995" s="5" t="s">
        <v>289</v>
      </c>
      <c r="C9995" s="5" t="str">
        <f aca="false">IF(SUM($G$9947:$K$9947)=0,"n/a",IF(C9993&gt;=C9992-0.001,"Repaid from cash",IF(SUMPRODUCT($G$9947:$K$9947,$G$9931:$K$9931)&gt;0,IF(C9993&gt;0,"Partly repaid; remainder refinanced","Refinanced"),IF(SUM($G$9956:$K$9956)&gt;0.001,IF(C9993&gt;0,"Partial repayment; PAYMENT DEFAULT","PAYMENT DEFAULT"),"Repaid from cash"))))</f>
        <v>PAYMENT DEFAULT</v>
      </c>
    </row>
    <row r="9996" customFormat="false" ht="15" hidden="false" customHeight="false" outlineLevel="0" collapsed="false">
      <c r="A9996" s="5" t="s">
        <v>290</v>
      </c>
      <c r="C9996" s="25" t="n">
        <f aca="false">SUMPRODUCT($G$9960:$K$9960,$G$9959:$K$9959-$G$9965:$K$9965+$G$9964:$K$9964)</f>
        <v>250</v>
      </c>
    </row>
    <row r="9997" customFormat="false" ht="15" hidden="false" customHeight="false" outlineLevel="0" collapsed="false">
      <c r="A9997" s="5" t="s">
        <v>291</v>
      </c>
      <c r="C9997" s="25" t="n">
        <f aca="false">SUMPRODUCT($G$9960:$K$9960,$G$9967:$K$9967)</f>
        <v>0</v>
      </c>
    </row>
    <row r="9998" customFormat="false" ht="15" hidden="false" customHeight="false" outlineLevel="0" collapsed="false">
      <c r="A9998" s="5" t="s">
        <v>292</v>
      </c>
      <c r="C9998" s="5" t="str">
        <f aca="false">IF(SUM($G$9960:$K$9960)=0,"n/a (beyond horizon)",IF(SUMPRODUCT($G$9960:$K$9960,$G$9931:$K$9931)&gt;0,"REFINANCING PASS","REFINANCING FAILURE"))</f>
        <v>REFINANCING FAILURE</v>
      </c>
    </row>
    <row r="9999" customFormat="false" ht="15" hidden="false" customHeight="false" outlineLevel="0" collapsed="false">
      <c r="A9999" s="5" t="s">
        <v>293</v>
      </c>
      <c r="C9999" s="5" t="str">
        <f aca="false">IF(SUM($G$9960:$K$9960)=0,"n/a",IF(C9997&gt;=C9996-0.001,"Repaid from cash",IF(SUMPRODUCT($G$9960:$K$9960,$G$9931:$K$9931)&gt;0,IF(C9997&gt;0,"Partly repaid; remainder refinanced","Refinanced"),IF(SUM($G$9969:$K$9969)&gt;0.001,IF(C9997&gt;0,"Partial repayment; PAYMENT DEFAULT","PAYMENT DEFAULT"),"Repaid from cash"))))</f>
        <v>PAYMENT DEFAULT</v>
      </c>
    </row>
    <row r="10000" customFormat="false" ht="15" hidden="false" customHeight="false" outlineLevel="0" collapsed="false">
      <c r="A10000" s="5" t="s">
        <v>294</v>
      </c>
      <c r="C10000" s="25" t="n">
        <f aca="false">SUMPRODUCT($G$9973:$K$9973,$G$9972:$K$9972-$G$9978:$K$9978+$G$9977:$K$9977)</f>
        <v>300</v>
      </c>
    </row>
    <row r="10001" customFormat="false" ht="15" hidden="false" customHeight="false" outlineLevel="0" collapsed="false">
      <c r="A10001" s="5" t="s">
        <v>295</v>
      </c>
      <c r="C10001" s="25" t="n">
        <f aca="false">SUMPRODUCT($G$9973:$K$9973,$G$9980:$K$9980)</f>
        <v>0</v>
      </c>
    </row>
    <row r="10002" customFormat="false" ht="15" hidden="false" customHeight="false" outlineLevel="0" collapsed="false">
      <c r="A10002" s="5" t="s">
        <v>296</v>
      </c>
      <c r="C10002" s="5" t="str">
        <f aca="false">IF(SUM($G$9973:$K$9973)=0,"n/a (beyond horizon)",IF(SUMPRODUCT($G$9973:$K$9973,$G$9931:$K$9931)&gt;0,"REFINANCING PASS","REFINANCING FAILURE"))</f>
        <v>REFINANCING FAILURE</v>
      </c>
    </row>
    <row r="10003" customFormat="false" ht="15" hidden="false" customHeight="false" outlineLevel="0" collapsed="false">
      <c r="A10003" s="5" t="s">
        <v>297</v>
      </c>
      <c r="C10003" s="5" t="str">
        <f aca="false">IF(SUM($G$9973:$K$9973)=0,"n/a",IF(C10001&gt;=C10000-0.001,"Repaid from cash",IF(SUMPRODUCT($G$9973:$K$9973,$G$9931:$K$9931)&gt;0,IF(C10001&gt;0,"Partly repaid; remainder refinanced","Refinanced"),IF(SUM($G$9982:$K$9982)&gt;0.001,IF(C10001&gt;0,"Partial repayment; PAYMENT DEFAULT","PAYMENT DEFAULT"),"Repaid from cash"))))</f>
        <v>PAYMENT DEFAULT</v>
      </c>
    </row>
    <row r="10004" customFormat="false" ht="15" hidden="false" customHeight="false" outlineLevel="0" collapsed="false">
      <c r="A10004" s="5" t="s">
        <v>298</v>
      </c>
      <c r="C10004" s="20" t="n">
        <f aca="false">IF(C9990="REFINANCING FAILURE",1,0)+IF(C9994="REFINANCING FAILURE",1,0)+IF(C9998="REFINANCING FAILURE",1,0)+IF(C10002="REFINANCING FAILURE",1,0)</f>
        <v>4</v>
      </c>
    </row>
    <row r="10006" customFormat="false" ht="15" hidden="false" customHeight="false" outlineLevel="0" collapsed="false">
      <c r="A10006" s="23" t="s">
        <v>300</v>
      </c>
      <c r="B10006" s="24"/>
      <c r="C10006" s="24"/>
      <c r="D10006" s="24"/>
      <c r="E10006" s="24"/>
      <c r="F10006" s="24"/>
      <c r="G10006" s="24"/>
      <c r="H10006" s="24"/>
      <c r="I10006" s="24"/>
      <c r="J10006" s="24"/>
      <c r="K10006" s="24"/>
    </row>
    <row r="10007" customFormat="false" ht="15" hidden="false" customHeight="false" outlineLevel="0" collapsed="false">
      <c r="A10007" s="5" t="s">
        <v>260</v>
      </c>
      <c r="G10007" s="25" t="n">
        <f aca="false">F10019</f>
        <v>45</v>
      </c>
      <c r="H10007" s="25" t="n">
        <f aca="false">G10019</f>
        <v>0</v>
      </c>
      <c r="I10007" s="25" t="n">
        <f aca="false">H10019</f>
        <v>-116.1012448</v>
      </c>
      <c r="J10007" s="25" t="n">
        <f aca="false">I10019</f>
        <v>-253.387524224</v>
      </c>
      <c r="K10007" s="25" t="n">
        <f aca="false">J10019</f>
        <v>-392.99837911936</v>
      </c>
    </row>
    <row r="10008" customFormat="false" ht="15" hidden="false" customHeight="false" outlineLevel="0" collapsed="false">
      <c r="A10008" s="5" t="s">
        <v>301</v>
      </c>
      <c r="G10008" s="25" t="n">
        <f aca="false">G9920</f>
        <v>-63.0288</v>
      </c>
      <c r="H10008" s="25" t="n">
        <f aca="false">H9920</f>
        <v>-110.9012448</v>
      </c>
      <c r="I10008" s="25" t="n">
        <f aca="false">I9920</f>
        <v>-132.086279424</v>
      </c>
      <c r="J10008" s="25" t="n">
        <f aca="false">J9920</f>
        <v>-134.41085489536</v>
      </c>
      <c r="K10008" s="25" t="n">
        <f aca="false">K9920</f>
        <v>-134.04343650487</v>
      </c>
    </row>
    <row r="10009" customFormat="false" ht="15" hidden="false" customHeight="false" outlineLevel="0" collapsed="false">
      <c r="A10009" s="5" t="s">
        <v>302</v>
      </c>
      <c r="G10009" s="25" t="n">
        <f aca="false">CHOOSE($C$9890,Assumptions!$G$68,Assumptions!$G$87,Assumptions!$G$106)</f>
        <v>0</v>
      </c>
      <c r="H10009" s="25" t="n">
        <f aca="false">CHOOSE($C$9890,Assumptions!$H$68,Assumptions!$H$87,Assumptions!$H$106)</f>
        <v>0</v>
      </c>
      <c r="I10009" s="25" t="n">
        <f aca="false">CHOOSE($C$9890,Assumptions!$I$68,Assumptions!$I$87,Assumptions!$I$106)</f>
        <v>0</v>
      </c>
      <c r="J10009" s="25" t="n">
        <f aca="false">CHOOSE($C$9890,Assumptions!$J$68,Assumptions!$J$87,Assumptions!$J$106)</f>
        <v>0</v>
      </c>
      <c r="K10009" s="25" t="n">
        <f aca="false">CHOOSE($C$9890,Assumptions!$K$68,Assumptions!$K$87,Assumptions!$K$106)</f>
        <v>0</v>
      </c>
    </row>
    <row r="10010" customFormat="false" ht="15" hidden="false" customHeight="false" outlineLevel="0" collapsed="false">
      <c r="A10010" s="5" t="s">
        <v>303</v>
      </c>
      <c r="G10010" s="25" t="n">
        <f aca="false">G9939+G9952+G9965+G9978</f>
        <v>5.2</v>
      </c>
      <c r="H10010" s="25" t="n">
        <f aca="false">H9939+H9952+H9965+H9978</f>
        <v>5.2</v>
      </c>
      <c r="I10010" s="25" t="n">
        <f aca="false">I9939+I9952+I9965+I9978</f>
        <v>5.2</v>
      </c>
      <c r="J10010" s="25" t="n">
        <f aca="false">J9939+J9952+J9965+J9978</f>
        <v>5.2</v>
      </c>
      <c r="K10010" s="25" t="n">
        <f aca="false">K9939+K9952+K9965+K9978</f>
        <v>5.2</v>
      </c>
    </row>
    <row r="10011" customFormat="false" ht="15" hidden="false" customHeight="false" outlineLevel="0" collapsed="false">
      <c r="A10011" s="2" t="s">
        <v>304</v>
      </c>
      <c r="G10011" s="16" t="n">
        <f aca="false">G10007+G10008+G10009-G10010</f>
        <v>-23.2288</v>
      </c>
      <c r="H10011" s="16" t="n">
        <f aca="false">H10007+H10008+H10009-H10010</f>
        <v>-116.1012448</v>
      </c>
      <c r="I10011" s="16" t="n">
        <f aca="false">I10007+I10008+I10009-I10010</f>
        <v>-253.387524224</v>
      </c>
      <c r="J10011" s="16" t="n">
        <f aca="false">J10007+J10008+J10009-J10010</f>
        <v>-392.99837911936</v>
      </c>
      <c r="K10011" s="16" t="n">
        <f aca="false">K10007+K10008+K10009-K10010</f>
        <v>-532.24181562423</v>
      </c>
    </row>
    <row r="10012" customFormat="false" ht="15" hidden="false" customHeight="false" outlineLevel="0" collapsed="false">
      <c r="A10012" s="5" t="s">
        <v>305</v>
      </c>
      <c r="G10012" s="25" t="n">
        <f aca="false">G9940+G9953+G9966+G9979</f>
        <v>23.2288</v>
      </c>
      <c r="H10012" s="25" t="n">
        <f aca="false">H9940+H9953+H9966+H9979</f>
        <v>0</v>
      </c>
      <c r="I10012" s="25" t="n">
        <f aca="false">I9940+I9953+I9966+I9979</f>
        <v>0</v>
      </c>
      <c r="J10012" s="25" t="n">
        <f aca="false">J9940+J9953+J9966+J9979</f>
        <v>0</v>
      </c>
      <c r="K10012" s="25" t="n">
        <f aca="false">K9940+K9953+K9966+K9979</f>
        <v>0</v>
      </c>
    </row>
    <row r="10013" customFormat="false" ht="15" hidden="false" customHeight="false" outlineLevel="0" collapsed="false">
      <c r="A10013" s="2" t="s">
        <v>306</v>
      </c>
      <c r="G10013" s="16" t="n">
        <f aca="false">G10011+G10012</f>
        <v>0</v>
      </c>
      <c r="H10013" s="16" t="n">
        <f aca="false">H10011+H10012</f>
        <v>-116.1012448</v>
      </c>
      <c r="I10013" s="16" t="n">
        <f aca="false">I10011+I10012</f>
        <v>-253.387524224</v>
      </c>
      <c r="J10013" s="16" t="n">
        <f aca="false">J10011+J10012</f>
        <v>-392.99837911936</v>
      </c>
      <c r="K10013" s="16" t="n">
        <f aca="false">K10011+K10012</f>
        <v>-532.24181562423</v>
      </c>
    </row>
    <row r="10014" customFormat="false" ht="15" hidden="false" customHeight="false" outlineLevel="0" collapsed="false">
      <c r="A10014" s="5" t="s">
        <v>307</v>
      </c>
      <c r="G10014" s="25" t="n">
        <f aca="false">G9941+G9954+G9967+G9980</f>
        <v>0</v>
      </c>
      <c r="H10014" s="25" t="n">
        <f aca="false">H9941+H9954+H9967+H9980</f>
        <v>0</v>
      </c>
      <c r="I10014" s="25" t="n">
        <f aca="false">I9941+I9954+I9967+I9980</f>
        <v>0</v>
      </c>
      <c r="J10014" s="25" t="n">
        <f aca="false">J9941+J9954+J9967+J9980</f>
        <v>0</v>
      </c>
      <c r="K10014" s="25" t="n">
        <f aca="false">K9941+K9954+K9967+K9980</f>
        <v>0</v>
      </c>
    </row>
    <row r="10015" customFormat="false" ht="15" hidden="false" customHeight="false" outlineLevel="0" collapsed="false">
      <c r="A10015" s="2" t="s">
        <v>308</v>
      </c>
      <c r="G10015" s="16" t="n">
        <f aca="false">G10013-G10014</f>
        <v>0</v>
      </c>
      <c r="H10015" s="16" t="n">
        <f aca="false">H10013-H10014</f>
        <v>-116.1012448</v>
      </c>
      <c r="I10015" s="16" t="n">
        <f aca="false">I10013-I10014</f>
        <v>-253.387524224</v>
      </c>
      <c r="J10015" s="16" t="n">
        <f aca="false">J10013-J10014</f>
        <v>-392.99837911936</v>
      </c>
      <c r="K10015" s="16" t="n">
        <f aca="false">K10013-K10014</f>
        <v>-532.24181562423</v>
      </c>
    </row>
    <row r="10016" customFormat="false" ht="15" hidden="false" customHeight="false" outlineLevel="0" collapsed="false">
      <c r="A10016" s="5" t="s">
        <v>309</v>
      </c>
      <c r="G10016" s="25" t="n">
        <f aca="false">MAX(0,-G10015)</f>
        <v>-0</v>
      </c>
      <c r="H10016" s="25" t="n">
        <f aca="false">MAX(0,-H10015)</f>
        <v>116.1012448</v>
      </c>
      <c r="I10016" s="25" t="n">
        <f aca="false">MAX(0,-I10015)</f>
        <v>253.387524224</v>
      </c>
      <c r="J10016" s="25" t="n">
        <f aca="false">MAX(0,-J10015)</f>
        <v>392.99837911936</v>
      </c>
      <c r="K10016" s="25" t="n">
        <f aca="false">MAX(0,-K10015)</f>
        <v>532.24181562423</v>
      </c>
    </row>
    <row r="10017" customFormat="false" ht="15" hidden="false" customHeight="false" outlineLevel="0" collapsed="false">
      <c r="A10017" s="5" t="s">
        <v>310</v>
      </c>
      <c r="G10017" s="25" t="n">
        <f aca="false">MAX(0,G10015-Assumptions!$C$12)*Assumptions!$C$13</f>
        <v>0</v>
      </c>
      <c r="H10017" s="25" t="n">
        <f aca="false">MAX(0,H10015-Assumptions!$C$12)*Assumptions!$C$13</f>
        <v>0</v>
      </c>
      <c r="I10017" s="25" t="n">
        <f aca="false">MAX(0,I10015-Assumptions!$C$12)*Assumptions!$C$13</f>
        <v>0</v>
      </c>
      <c r="J10017" s="25" t="n">
        <f aca="false">MAX(0,J10015-Assumptions!$C$12)*Assumptions!$C$13</f>
        <v>0</v>
      </c>
      <c r="K10017" s="25" t="n">
        <f aca="false">MAX(0,K10015-Assumptions!$C$12)*Assumptions!$C$13</f>
        <v>0</v>
      </c>
    </row>
    <row r="10018" customFormat="false" ht="15" hidden="false" customHeight="false" outlineLevel="0" collapsed="false">
      <c r="A10018" s="5" t="s">
        <v>311</v>
      </c>
      <c r="G10018" s="25" t="n">
        <f aca="false">G9942+G9955+G9968+G9981</f>
        <v>0</v>
      </c>
      <c r="H10018" s="25" t="n">
        <f aca="false">H9942+H9955+H9968+H9981</f>
        <v>0</v>
      </c>
      <c r="I10018" s="25" t="n">
        <f aca="false">I9942+I9955+I9968+I9981</f>
        <v>0</v>
      </c>
      <c r="J10018" s="25" t="n">
        <f aca="false">J9942+J9955+J9968+J9981</f>
        <v>0</v>
      </c>
      <c r="K10018" s="25" t="n">
        <f aca="false">K9942+K9955+K9968+K9981</f>
        <v>0</v>
      </c>
    </row>
    <row r="10019" customFormat="false" ht="15" hidden="false" customHeight="false" outlineLevel="0" collapsed="false">
      <c r="A10019" s="2" t="s">
        <v>312</v>
      </c>
      <c r="F10019" s="27" t="n">
        <f aca="false">Assumptions!$C$11</f>
        <v>45</v>
      </c>
      <c r="G10019" s="16" t="n">
        <f aca="false">G10015-G10018</f>
        <v>0</v>
      </c>
      <c r="H10019" s="16" t="n">
        <f aca="false">H10015-H10018</f>
        <v>-116.1012448</v>
      </c>
      <c r="I10019" s="16" t="n">
        <f aca="false">I10015-I10018</f>
        <v>-253.387524224</v>
      </c>
      <c r="J10019" s="16" t="n">
        <f aca="false">J10015-J10018</f>
        <v>-392.99837911936</v>
      </c>
      <c r="K10019" s="16" t="n">
        <f aca="false">K10015-K10018</f>
        <v>-532.24181562423</v>
      </c>
    </row>
    <row r="10020" customFormat="false" ht="15" hidden="false" customHeight="false" outlineLevel="0" collapsed="false">
      <c r="A10020" s="5" t="s">
        <v>313</v>
      </c>
      <c r="G10020" s="25" t="n">
        <f aca="false">G9943+G9956+G9969+G9982</f>
        <v>0</v>
      </c>
      <c r="H10020" s="25" t="n">
        <f aca="false">H9943+H9956+H9969+H9982</f>
        <v>503.2288</v>
      </c>
      <c r="I10020" s="25" t="n">
        <f aca="false">I9943+I9956+I9969+I9982</f>
        <v>504.4</v>
      </c>
      <c r="J10020" s="25" t="n">
        <f aca="false">J9943+J9956+J9969+J9982</f>
        <v>250</v>
      </c>
      <c r="K10020" s="25" t="n">
        <f aca="false">K9943+K9956+K9969+K9982</f>
        <v>0</v>
      </c>
    </row>
    <row r="10021" customFormat="false" ht="15" hidden="false" customHeight="false" outlineLevel="0" collapsed="false">
      <c r="A10021" s="5" t="s">
        <v>314</v>
      </c>
      <c r="G10021" s="20" t="n">
        <f aca="false">IF(OR(G10016&gt;0.001,G10020&gt;0.001),1,0)</f>
        <v>0</v>
      </c>
      <c r="H10021" s="20" t="n">
        <f aca="false">IF(OR(H10016&gt;0.001,H10020&gt;0.001),1,0)</f>
        <v>1</v>
      </c>
      <c r="I10021" s="20" t="n">
        <f aca="false">IF(OR(I10016&gt;0.001,I10020&gt;0.001),1,0)</f>
        <v>1</v>
      </c>
      <c r="J10021" s="20" t="n">
        <f aca="false">IF(OR(J10016&gt;0.001,J10020&gt;0.001),1,0)</f>
        <v>1</v>
      </c>
      <c r="K10021" s="20" t="n">
        <f aca="false">IF(OR(K10016&gt;0.001,K10020&gt;0.001),1,0)</f>
        <v>1</v>
      </c>
    </row>
    <row r="10022" customFormat="false" ht="15" hidden="false" customHeight="false" outlineLevel="0" collapsed="false">
      <c r="A10022" s="5" t="s">
        <v>315</v>
      </c>
      <c r="G10022" s="20" t="n">
        <f aca="false">IF(G10021=1,1,0)</f>
        <v>0</v>
      </c>
      <c r="H10022" s="20" t="n">
        <f aca="false">IF(AND(H10021=1,SUM($G$10021:G10021)=0),1,0)</f>
        <v>1</v>
      </c>
      <c r="I10022" s="20" t="n">
        <f aca="false">IF(AND(I10021=1,SUM($G$10021:H10021)=0),1,0)</f>
        <v>0</v>
      </c>
      <c r="J10022" s="20" t="n">
        <f aca="false">IF(AND(J10021=1,SUM($G$10021:I10021)=0),1,0)</f>
        <v>0</v>
      </c>
      <c r="K10022" s="20" t="n">
        <f aca="false">IF(AND(K10021=1,SUM($G$10021:J10021)=0),1,0)</f>
        <v>0</v>
      </c>
    </row>
    <row r="10023" customFormat="false" ht="15" hidden="false" customHeight="false" outlineLevel="0" collapsed="false">
      <c r="A10023" s="5" t="s">
        <v>316</v>
      </c>
      <c r="G10023" s="25" t="n">
        <f aca="false">(G9985-F9985)-(G10012+G9912-G10010-G10014-G10018)</f>
        <v>0</v>
      </c>
      <c r="H10023" s="25" t="n">
        <f aca="false">(H9985-G9985)-(H10012+H9912-H10010-H10014-H10018)</f>
        <v>-4.52970994047064E-014</v>
      </c>
      <c r="I10023" s="25" t="n">
        <f aca="false">(I9985-H9985)-(I10012+I9912-I10010-I10014-I10018)</f>
        <v>-4.52970994047064E-014</v>
      </c>
      <c r="J10023" s="25" t="n">
        <f aca="false">(J9985-I9985)-(J10012+J9912-J10010-J10014-J10018)</f>
        <v>1.82076576038526E-013</v>
      </c>
      <c r="K10023" s="25" t="n">
        <f aca="false">(K9985-J9985)-(K10012+K9912-K10010-K10014-K10018)</f>
        <v>-2.72670774847938E-013</v>
      </c>
    </row>
    <row r="10025" customFormat="false" ht="15" hidden="false" customHeight="false" outlineLevel="0" collapsed="false">
      <c r="A10025" s="23" t="s">
        <v>318</v>
      </c>
      <c r="B10025" s="24"/>
      <c r="C10025" s="24"/>
      <c r="D10025" s="24"/>
      <c r="E10025" s="24"/>
      <c r="F10025" s="24"/>
      <c r="G10025" s="24"/>
      <c r="H10025" s="24"/>
      <c r="I10025" s="24"/>
      <c r="J10025" s="24"/>
      <c r="K10025" s="24"/>
    </row>
    <row r="10026" customFormat="false" ht="15" hidden="false" customHeight="false" outlineLevel="0" collapsed="false">
      <c r="A10026" s="5" t="s">
        <v>319</v>
      </c>
      <c r="G10026" s="25" t="n">
        <f aca="false">G9985</f>
        <v>1268.0288</v>
      </c>
      <c r="H10026" s="25" t="n">
        <f aca="false">H9985</f>
        <v>1262.8288</v>
      </c>
      <c r="I10026" s="25" t="n">
        <f aca="false">I9985</f>
        <v>1257.6288</v>
      </c>
      <c r="J10026" s="25" t="n">
        <f aca="false">J9985</f>
        <v>1252.4288</v>
      </c>
      <c r="K10026" s="25" t="n">
        <f aca="false">K9985</f>
        <v>1247.2288</v>
      </c>
    </row>
    <row r="10027" customFormat="false" ht="15" hidden="false" customHeight="false" outlineLevel="0" collapsed="false">
      <c r="A10027" s="5" t="s">
        <v>320</v>
      </c>
      <c r="G10027" s="25" t="n">
        <f aca="false">Assumptions!$O$53*G9944+Assumptions!$O$54*G9957+Assumptions!$O$55*G9970+Assumptions!$O$56*G9983</f>
        <v>968.0288</v>
      </c>
      <c r="H10027" s="25" t="n">
        <f aca="false">Assumptions!$O$53*H9944+Assumptions!$O$54*H9957+Assumptions!$O$55*H9970+Assumptions!$O$56*H9983</f>
        <v>962.8288</v>
      </c>
      <c r="I10027" s="25" t="n">
        <f aca="false">Assumptions!$O$53*I9944+Assumptions!$O$54*I9957+Assumptions!$O$55*I9970+Assumptions!$O$56*I9983</f>
        <v>957.6288</v>
      </c>
      <c r="J10027" s="25" t="n">
        <f aca="false">Assumptions!$O$53*J9944+Assumptions!$O$54*J9957+Assumptions!$O$55*J9970+Assumptions!$O$56*J9983</f>
        <v>952.4288</v>
      </c>
      <c r="K10027" s="25" t="n">
        <f aca="false">Assumptions!$O$53*K9944+Assumptions!$O$54*K9957+Assumptions!$O$55*K9970+Assumptions!$O$56*K9983</f>
        <v>947.2288</v>
      </c>
    </row>
    <row r="10028" customFormat="false" ht="15" hidden="false" customHeight="false" outlineLevel="0" collapsed="false">
      <c r="A10028" s="5" t="s">
        <v>321</v>
      </c>
      <c r="G10028" s="25" t="n">
        <f aca="false">G10026-G10019</f>
        <v>1268.0288</v>
      </c>
      <c r="H10028" s="25" t="n">
        <f aca="false">H10026-H10019</f>
        <v>1378.9300448</v>
      </c>
      <c r="I10028" s="25" t="n">
        <f aca="false">I10026-I10019</f>
        <v>1511.016324224</v>
      </c>
      <c r="J10028" s="25" t="n">
        <f aca="false">J10026-J10019</f>
        <v>1645.42717911936</v>
      </c>
      <c r="K10028" s="25" t="n">
        <f aca="false">K10026-K10019</f>
        <v>1779.47061562423</v>
      </c>
    </row>
    <row r="10029" customFormat="false" ht="15" hidden="false" customHeight="false" outlineLevel="0" collapsed="false">
      <c r="A10029" s="5" t="s">
        <v>322</v>
      </c>
      <c r="G10029" s="31" t="n">
        <f aca="false">IF(G9907&gt;0,G10026/G9907,0)</f>
        <v>79.3311311311311</v>
      </c>
      <c r="H10029" s="31" t="n">
        <f aca="false">IF(H9907&gt;0,H10026/H9907,0)</f>
        <v>102.604942604943</v>
      </c>
      <c r="I10029" s="31" t="n">
        <f aca="false">IF(I9907&gt;0,I10026/I9907,0)</f>
        <v>116.913549407829</v>
      </c>
      <c r="J10029" s="31" t="n">
        <f aca="false">IF(J9907&gt;0,J10026/J9907,0)</f>
        <v>130.82038125105</v>
      </c>
      <c r="K10029" s="31" t="n">
        <f aca="false">IF(K9907&gt;0,K10026/K9907,0)</f>
        <v>146.37890319283</v>
      </c>
    </row>
    <row r="10030" customFormat="false" ht="15" hidden="false" customHeight="false" outlineLevel="0" collapsed="false">
      <c r="A10030" s="5" t="s">
        <v>323</v>
      </c>
      <c r="G10030" s="31" t="n">
        <f aca="false">IF(G9907&gt;0,G10028/G9907,0)</f>
        <v>79.3311311311311</v>
      </c>
      <c r="H10030" s="31" t="n">
        <f aca="false">IF(H9907&gt;0,H10028/H9907,0)</f>
        <v>112.038178178178</v>
      </c>
      <c r="I10030" s="31" t="n">
        <f aca="false">IF(I9907&gt;0,I10028/I9907,0)</f>
        <v>140.469335370022</v>
      </c>
      <c r="J10030" s="31" t="n">
        <f aca="false">IF(J9907&gt;0,J10028/J9907,0)</f>
        <v>171.870377695909</v>
      </c>
      <c r="K10030" s="31" t="n">
        <f aca="false">IF(K9907&gt;0,K10028/K9907,0)</f>
        <v>208.844565631378</v>
      </c>
    </row>
    <row r="10031" customFormat="false" ht="15" hidden="false" customHeight="false" outlineLevel="0" collapsed="false">
      <c r="A10031" s="5" t="s">
        <v>324</v>
      </c>
      <c r="G10031" s="31" t="n">
        <f aca="false">IF(G9911&gt;0,G9907/G9911,0)</f>
        <v>0.11413881748072</v>
      </c>
      <c r="H10031" s="31" t="n">
        <f aca="false">IF(H9911&gt;0,H9907/H9911,0)</f>
        <v>0.0877566276429578</v>
      </c>
      <c r="I10031" s="31" t="n">
        <f aca="false">IF(I9911&gt;0,I9907/I9911,0)</f>
        <v>0.0780690265120482</v>
      </c>
      <c r="J10031" s="31" t="n">
        <f aca="false">IF(J9911&gt;0,J9907/J9911,0)</f>
        <v>0.069818702437981</v>
      </c>
      <c r="K10031" s="31" t="n">
        <f aca="false">IF(K9911&gt;0,K9907/K9911,0)</f>
        <v>0.0624417427484726</v>
      </c>
    </row>
    <row r="10032" customFormat="false" ht="15" hidden="false" customHeight="false" outlineLevel="0" collapsed="false">
      <c r="A10032" s="5" t="s">
        <v>325</v>
      </c>
      <c r="G10032" s="31" t="n">
        <f aca="false">IF(G9911&gt;0,G9910/G9911,0)</f>
        <v>-0.136966580976864</v>
      </c>
      <c r="H10032" s="31" t="n">
        <f aca="false">IF(H9911&gt;0,H9910/H9911,0)</f>
        <v>-0.105307953171549</v>
      </c>
      <c r="I10032" s="31" t="n">
        <f aca="false">IF(I9911&gt;0,I9910/I9911,0)</f>
        <v>-0.0936828318144578</v>
      </c>
      <c r="J10032" s="31" t="n">
        <f aca="false">IF(J9911&gt;0,J9910/J9911,0)</f>
        <v>-0.0837824429255771</v>
      </c>
      <c r="K10032" s="31" t="n">
        <f aca="false">IF(K9911&gt;0,K9910/K9911,0)</f>
        <v>-0.0749300912981671</v>
      </c>
    </row>
    <row r="10033" customFormat="false" ht="15" hidden="false" customHeight="false" outlineLevel="0" collapsed="false">
      <c r="A10033" s="5" t="s">
        <v>182</v>
      </c>
      <c r="G10033" s="21" t="n">
        <f aca="false">IF(G10026&gt;0,G9920/G10026,0)</f>
        <v>-0.0497061265485453</v>
      </c>
      <c r="H10033" s="21" t="n">
        <f aca="false">IF(H10026&gt;0,H9920/H10026,0)</f>
        <v>-0.08781969875885</v>
      </c>
      <c r="I10033" s="21" t="n">
        <f aca="false">IF(I10026&gt;0,I9920/I10026,0)</f>
        <v>-0.105028033251147</v>
      </c>
      <c r="J10033" s="21" t="n">
        <f aca="false">IF(J10026&gt;0,J9920/J10026,0)</f>
        <v>-0.107320156559287</v>
      </c>
      <c r="K10033" s="21" t="n">
        <f aca="false">IF(K10026&gt;0,K9920/K10026,0)</f>
        <v>-0.107473012573852</v>
      </c>
    </row>
    <row r="10034" customFormat="false" ht="15" hidden="false" customHeight="false" outlineLevel="0" collapsed="false">
      <c r="A10034" s="5" t="s">
        <v>326</v>
      </c>
      <c r="G10034" s="31" t="n">
        <f aca="false">IF(G9911+G10010&gt;0,(G9907-G9918-G9915)/(G9911+G10010),0)</f>
        <v>-0.0660313963095566</v>
      </c>
      <c r="H10034" s="31" t="n">
        <f aca="false">IF(H9911+H10010&gt;0,(H9907-H9918-H9915)/(H9911+H10010),0)</f>
        <v>-0.0507715105138756</v>
      </c>
      <c r="I10034" s="31" t="n">
        <f aca="false">IF(I9911+I10010&gt;0,(I9907-I9918-I9915)/(I9911+I10010),0)</f>
        <v>-0.0451379391752647</v>
      </c>
      <c r="J10034" s="31" t="n">
        <f aca="false">IF(J9911+J10010&gt;0,(J9907-J9918-J9915)/(J9911+J10010),0)</f>
        <v>-0.0403606431352238</v>
      </c>
      <c r="K10034" s="31" t="n">
        <f aca="false">IF(K9911+K10010&gt;0,(K9907-K9918-K9915)/(K9911+K10010),0)</f>
        <v>-0.0360897545087424</v>
      </c>
    </row>
    <row r="10035" customFormat="false" ht="15" hidden="false" customHeight="false" outlineLevel="0" collapsed="false">
      <c r="A10035" s="5" t="s">
        <v>327</v>
      </c>
      <c r="G10035" s="25" t="n">
        <f aca="false">MAX(0,G10019)+Assumptions!$P$53*MAX(0,Assumptions!$D$53-G9944)+Assumptions!$P$54*MAX(0,Assumptions!$D$54-G9957)+Assumptions!$P$55*MAX(0,Assumptions!$D$55-G9970)+Assumptions!$P$56*MAX(0,Assumptions!$D$56-G9983)</f>
        <v>96.7712</v>
      </c>
      <c r="H10035" s="25" t="n">
        <f aca="false">MAX(0,H10019)+Assumptions!$P$53*MAX(0,Assumptions!$D$53-H9944)+Assumptions!$P$54*MAX(0,Assumptions!$D$54-H9957)+Assumptions!$P$55*MAX(0,Assumptions!$D$55-H9970)+Assumptions!$P$56*MAX(0,Assumptions!$D$56-H9983)</f>
        <v>96.7712</v>
      </c>
      <c r="I10035" s="25" t="n">
        <f aca="false">MAX(0,I10019)+Assumptions!$P$53*MAX(0,Assumptions!$D$53-I9944)+Assumptions!$P$54*MAX(0,Assumptions!$D$54-I9957)+Assumptions!$P$55*MAX(0,Assumptions!$D$55-I9970)+Assumptions!$P$56*MAX(0,Assumptions!$D$56-I9983)</f>
        <v>96.7712</v>
      </c>
      <c r="J10035" s="25" t="n">
        <f aca="false">MAX(0,J10019)+Assumptions!$P$53*MAX(0,Assumptions!$D$53-J9944)+Assumptions!$P$54*MAX(0,Assumptions!$D$54-J9957)+Assumptions!$P$55*MAX(0,Assumptions!$D$55-J9970)+Assumptions!$P$56*MAX(0,Assumptions!$D$56-J9983)</f>
        <v>96.7712</v>
      </c>
      <c r="K10035" s="25" t="n">
        <f aca="false">MAX(0,K10019)+Assumptions!$P$53*MAX(0,Assumptions!$D$53-K9944)+Assumptions!$P$54*MAX(0,Assumptions!$D$54-K9957)+Assumptions!$P$55*MAX(0,Assumptions!$D$55-K9970)+Assumptions!$P$56*MAX(0,Assumptions!$D$56-K9983)</f>
        <v>96.7712</v>
      </c>
    </row>
    <row r="10036" customFormat="false" ht="15" hidden="false" customHeight="false" outlineLevel="0" collapsed="false">
      <c r="A10036" s="5" t="s">
        <v>328</v>
      </c>
      <c r="G10036" s="21" t="n">
        <f aca="false">IF(G10026&gt;0,G10026/(G10026+MAX(0,G9907*CHOOSE($C$9890,Assumptions!$C$76,Assumptions!$C$95,Assumptions!$C$114)-G10028)),0)</f>
        <v>1</v>
      </c>
      <c r="H10036" s="21" t="n">
        <f aca="false">IF(H10026&gt;0,H10026/(H10026+MAX(0,H9907*CHOOSE($C$9890,Assumptions!$C$76,Assumptions!$C$95,Assumptions!$C$114)-H10028)),0)</f>
        <v>1</v>
      </c>
      <c r="I10036" s="21" t="n">
        <f aca="false">IF(I10026&gt;0,I10026/(I10026+MAX(0,I9907*CHOOSE($C$9890,Assumptions!$C$76,Assumptions!$C$95,Assumptions!$C$114)-I10028)),0)</f>
        <v>1</v>
      </c>
      <c r="J10036" s="21" t="n">
        <f aca="false">IF(J10026&gt;0,J10026/(J10026+MAX(0,J9907*CHOOSE($C$9890,Assumptions!$C$76,Assumptions!$C$95,Assumptions!$C$114)-J10028)),0)</f>
        <v>1</v>
      </c>
      <c r="K10036" s="21" t="n">
        <f aca="false">IF(K10026&gt;0,K10026/(K10026+MAX(0,K9907*CHOOSE($C$9890,Assumptions!$C$76,Assumptions!$C$95,Assumptions!$C$114)-K10028)),0)</f>
        <v>1</v>
      </c>
    </row>
    <row r="10037" customFormat="false" ht="15" hidden="false" customHeight="false" outlineLevel="0" collapsed="false">
      <c r="A10037" s="5" t="s">
        <v>329</v>
      </c>
      <c r="G10037" s="21" t="n">
        <f aca="false">IF(G10026&gt;0,MAX(0,G10019)/G10026,0)</f>
        <v>0</v>
      </c>
      <c r="H10037" s="21" t="n">
        <f aca="false">IF(H10026&gt;0,MAX(0,H10019)/H10026,0)</f>
        <v>0</v>
      </c>
      <c r="I10037" s="21" t="n">
        <f aca="false">IF(I10026&gt;0,MAX(0,I10019)/I10026,0)</f>
        <v>0</v>
      </c>
      <c r="J10037" s="21" t="n">
        <f aca="false">IF(J10026&gt;0,MAX(0,J10019)/J10026,0)</f>
        <v>0</v>
      </c>
      <c r="K10037" s="21" t="n">
        <f aca="false">IF(K10026&gt;0,MAX(0,K10019)/K10026,0)</f>
        <v>0</v>
      </c>
    </row>
    <row r="10038" customFormat="false" ht="15" hidden="false" customHeight="false" outlineLevel="0" collapsed="false">
      <c r="A10038" s="5" t="s">
        <v>330</v>
      </c>
      <c r="G10038" s="25" t="n">
        <f aca="false">Assumptions!$C$27*(1-CHOOSE($C$9890,Assumptions!$C$79,Assumptions!$C$98,Assumptions!$C$117))</f>
        <v>676</v>
      </c>
      <c r="H10038" s="25" t="n">
        <f aca="false">Assumptions!$C$27*(1-CHOOSE($C$9890,Assumptions!$C$79,Assumptions!$C$98,Assumptions!$C$117))</f>
        <v>676</v>
      </c>
      <c r="I10038" s="25" t="n">
        <f aca="false">Assumptions!$C$27*(1-CHOOSE($C$9890,Assumptions!$C$79,Assumptions!$C$98,Assumptions!$C$117))</f>
        <v>676</v>
      </c>
      <c r="J10038" s="25" t="n">
        <f aca="false">Assumptions!$C$27*(1-CHOOSE($C$9890,Assumptions!$C$79,Assumptions!$C$98,Assumptions!$C$117))</f>
        <v>676</v>
      </c>
      <c r="K10038" s="25" t="n">
        <f aca="false">Assumptions!$C$27*(1-CHOOSE($C$9890,Assumptions!$C$79,Assumptions!$C$98,Assumptions!$C$117))</f>
        <v>676</v>
      </c>
    </row>
    <row r="10039" customFormat="false" ht="15" hidden="false" customHeight="false" outlineLevel="0" collapsed="false">
      <c r="A10039" s="23" t="s">
        <v>331</v>
      </c>
      <c r="B10039" s="24"/>
      <c r="C10039" s="24"/>
      <c r="D10039" s="24"/>
      <c r="E10039" s="24"/>
      <c r="F10039" s="24"/>
      <c r="G10039" s="24"/>
      <c r="H10039" s="24"/>
      <c r="I10039" s="24"/>
      <c r="J10039" s="24"/>
      <c r="K10039" s="24"/>
    </row>
    <row r="10040" customFormat="false" ht="15" hidden="false" customHeight="false" outlineLevel="0" collapsed="false">
      <c r="A10040" s="23" t="s">
        <v>332</v>
      </c>
      <c r="B10040" s="24"/>
      <c r="C10040" s="24"/>
      <c r="D10040" s="24"/>
      <c r="E10040" s="24"/>
      <c r="F10040" s="24"/>
      <c r="G10040" s="24"/>
      <c r="H10040" s="24"/>
      <c r="I10040" s="24"/>
      <c r="J10040" s="24"/>
      <c r="K10040" s="24"/>
    </row>
    <row r="10041" customFormat="false" ht="15" hidden="false" customHeight="false" outlineLevel="0" collapsed="false">
      <c r="A10041" s="5" t="s">
        <v>333</v>
      </c>
      <c r="G10041" s="31" t="n">
        <f aca="false">IF(G9907&gt;0,G10028/G9907,99)</f>
        <v>79.3311311311311</v>
      </c>
      <c r="H10041" s="31" t="n">
        <f aca="false">IF(H9907&gt;0,H10028/H9907,99)</f>
        <v>112.038178178178</v>
      </c>
      <c r="I10041" s="31" t="n">
        <f aca="false">IF(I9907&gt;0,I10028/I9907,99)</f>
        <v>140.469335370022</v>
      </c>
      <c r="J10041" s="31" t="n">
        <f aca="false">IF(J9907&gt;0,J10028/J9907,99)</f>
        <v>171.870377695909</v>
      </c>
      <c r="K10041" s="31" t="n">
        <f aca="false">IF(K9907&gt;0,K10028/K9907,99)</f>
        <v>208.844565631378</v>
      </c>
    </row>
    <row r="10042" customFormat="false" ht="15" hidden="false" customHeight="false" outlineLevel="0" collapsed="false">
      <c r="A10042" s="5" t="s">
        <v>334</v>
      </c>
      <c r="G10042" s="32" t="n">
        <f aca="false">Assumptions!$G$61</f>
        <v>8.5</v>
      </c>
      <c r="H10042" s="32" t="n">
        <f aca="false">Assumptions!$H$61</f>
        <v>8.5</v>
      </c>
      <c r="I10042" s="32" t="n">
        <f aca="false">Assumptions!$I$61</f>
        <v>8.5</v>
      </c>
      <c r="J10042" s="32" t="n">
        <f aca="false">Assumptions!$J$61</f>
        <v>8.5</v>
      </c>
      <c r="K10042" s="32" t="n">
        <f aca="false">Assumptions!$K$61</f>
        <v>8.5</v>
      </c>
    </row>
    <row r="10043" customFormat="false" ht="15" hidden="false" customHeight="false" outlineLevel="0" collapsed="false">
      <c r="A10043" s="5" t="s">
        <v>335</v>
      </c>
      <c r="G10043" s="31" t="n">
        <f aca="false">G10042-G10041</f>
        <v>-70.8311311311311</v>
      </c>
      <c r="H10043" s="31" t="n">
        <f aca="false">H10042-H10041</f>
        <v>-103.538178178178</v>
      </c>
      <c r="I10043" s="31" t="n">
        <f aca="false">I10042-I10041</f>
        <v>-131.969335370022</v>
      </c>
      <c r="J10043" s="31" t="n">
        <f aca="false">J10042-J10041</f>
        <v>-163.370377695909</v>
      </c>
      <c r="K10043" s="31" t="n">
        <f aca="false">K10042-K10041</f>
        <v>-200.344565631378</v>
      </c>
    </row>
    <row r="10044" customFormat="false" ht="15" hidden="false" customHeight="false" outlineLevel="0" collapsed="false">
      <c r="A10044" s="5" t="s">
        <v>336</v>
      </c>
      <c r="G10044" s="21" t="n">
        <f aca="false">IF(G10042=0,0,G10043/ABS(G10042))</f>
        <v>-8.33307425072131</v>
      </c>
      <c r="H10044" s="21" t="n">
        <f aca="false">IF(H10042=0,0,H10043/ABS(H10042))</f>
        <v>-12.1809621386092</v>
      </c>
      <c r="I10044" s="21" t="n">
        <f aca="false">IF(I10042=0,0,I10043/ABS(I10042))</f>
        <v>-15.525804161179</v>
      </c>
      <c r="J10044" s="21" t="n">
        <f aca="false">IF(J10042=0,0,J10043/ABS(J10042))</f>
        <v>-19.2200444348129</v>
      </c>
      <c r="K10044" s="21" t="n">
        <f aca="false">IF(K10042=0,0,K10043/ABS(K10042))</f>
        <v>-23.5699488978091</v>
      </c>
    </row>
    <row r="10045" customFormat="false" ht="15" hidden="false" customHeight="false" outlineLevel="0" collapsed="false">
      <c r="A10045" s="5" t="s">
        <v>337</v>
      </c>
      <c r="G10045" s="20" t="n">
        <f aca="false">IF(G10043&lt;0,1,0)</f>
        <v>1</v>
      </c>
      <c r="H10045" s="20" t="n">
        <f aca="false">IF(H10043&lt;0,1,0)</f>
        <v>1</v>
      </c>
      <c r="I10045" s="20" t="n">
        <f aca="false">IF(I10043&lt;0,1,0)</f>
        <v>1</v>
      </c>
      <c r="J10045" s="20" t="n">
        <f aca="false">IF(J10043&lt;0,1,0)</f>
        <v>1</v>
      </c>
      <c r="K10045" s="20" t="n">
        <f aca="false">IF(K10043&lt;0,1,0)</f>
        <v>1</v>
      </c>
    </row>
    <row r="10046" customFormat="false" ht="15" hidden="false" customHeight="false" outlineLevel="0" collapsed="false">
      <c r="A10046" s="5" t="s">
        <v>338</v>
      </c>
      <c r="C10046" s="20" t="n">
        <f aca="false">IFERROR(INDEX($G$9897:$K$9897,MATCH(1,$G$10045:$K$10045,0)),0)</f>
        <v>2026</v>
      </c>
    </row>
    <row r="10047" customFormat="false" ht="15" hidden="false" customHeight="false" outlineLevel="0" collapsed="false">
      <c r="A10047" s="5" t="s">
        <v>339</v>
      </c>
      <c r="C10047" s="21" t="n">
        <f aca="false">MIN($G$10044:$K$10044)</f>
        <v>-23.5699488978091</v>
      </c>
    </row>
    <row r="10048" customFormat="false" ht="15" hidden="false" customHeight="false" outlineLevel="0" collapsed="false">
      <c r="A10048" s="5" t="s">
        <v>340</v>
      </c>
      <c r="G10048" s="20" t="n">
        <f aca="false">G10045</f>
        <v>1</v>
      </c>
      <c r="H10048" s="20" t="n">
        <f aca="false">H10045</f>
        <v>1</v>
      </c>
      <c r="I10048" s="20" t="n">
        <f aca="false">I10045</f>
        <v>1</v>
      </c>
      <c r="J10048" s="20" t="n">
        <f aca="false">J10045</f>
        <v>1</v>
      </c>
      <c r="K10048" s="20" t="n">
        <f aca="false">K10045</f>
        <v>1</v>
      </c>
    </row>
    <row r="10049" customFormat="false" ht="15" hidden="false" customHeight="false" outlineLevel="0" collapsed="false">
      <c r="A10049" s="5" t="s">
        <v>341</v>
      </c>
      <c r="C10049" s="20" t="n">
        <f aca="false">SUM($G$10048:$K$10048)</f>
        <v>5</v>
      </c>
    </row>
    <row r="10050" customFormat="false" ht="15" hidden="false" customHeight="false" outlineLevel="0" collapsed="false">
      <c r="A10050" s="5" t="s">
        <v>342</v>
      </c>
      <c r="C10050" s="21" t="n">
        <f aca="false">MIN(C10047)</f>
        <v>-23.5699488978091</v>
      </c>
    </row>
    <row r="10052" customFormat="false" ht="15" hidden="false" customHeight="false" outlineLevel="0" collapsed="false">
      <c r="A10052" s="23" t="s">
        <v>444</v>
      </c>
      <c r="B10052" s="24"/>
      <c r="C10052" s="24"/>
      <c r="D10052" s="24"/>
      <c r="E10052" s="24"/>
      <c r="F10052" s="24"/>
      <c r="G10052" s="24"/>
      <c r="H10052" s="24"/>
      <c r="I10052" s="24"/>
      <c r="J10052" s="24"/>
      <c r="K10052" s="24"/>
    </row>
    <row r="10053" customFormat="false" ht="15" hidden="false" customHeight="false" outlineLevel="0" collapsed="false">
      <c r="A10053" s="5" t="s">
        <v>445</v>
      </c>
      <c r="G10053" s="20" t="n">
        <f aca="false">IF($C$10054=1,G10022,IF(G9907=MIN($G$9907:$K$9907),1,0))</f>
        <v>0</v>
      </c>
      <c r="H10053" s="20" t="n">
        <f aca="false">IF($C$10054=1,H10022,IF(AND(H9907=MIN($G$9907:$K$9907),SUM($G$10053:G10053)=0),1,0))</f>
        <v>1</v>
      </c>
      <c r="I10053" s="20" t="n">
        <f aca="false">IF($C$10054=1,I10022,IF(AND(I9907=MIN($G$9907:$K$9907),SUM($G$10053:H10053)=0),1,0))</f>
        <v>0</v>
      </c>
      <c r="J10053" s="20" t="n">
        <f aca="false">IF($C$10054=1,J10022,IF(AND(J9907=MIN($G$9907:$K$9907),SUM($G$10053:I10053)=0),1,0))</f>
        <v>0</v>
      </c>
      <c r="K10053" s="20" t="n">
        <f aca="false">IF($C$10054=1,K10022,IF(AND(K9907=MIN($G$9907:$K$9907),SUM($G$10053:J10053)=0),1,0))</f>
        <v>0</v>
      </c>
    </row>
    <row r="10054" customFormat="false" ht="15" hidden="false" customHeight="false" outlineLevel="0" collapsed="false">
      <c r="A10054" s="5" t="s">
        <v>446</v>
      </c>
      <c r="C10054" s="20" t="n">
        <f aca="false">IF(SUM($G$10022:$K$10022)&gt;0,1,0)</f>
        <v>1</v>
      </c>
    </row>
    <row r="10055" customFormat="false" ht="15" hidden="false" customHeight="false" outlineLevel="0" collapsed="false">
      <c r="A10055" s="5" t="s">
        <v>447</v>
      </c>
      <c r="C10055" s="20" t="n">
        <f aca="false">SUMPRODUCT($G$10053:$K$10053,$G$9897:$K$9897)</f>
        <v>2027</v>
      </c>
    </row>
    <row r="10056" customFormat="false" ht="15" hidden="false" customHeight="false" outlineLevel="0" collapsed="false">
      <c r="A10056" s="5" t="s">
        <v>448</v>
      </c>
      <c r="C10056" s="25" t="n">
        <f aca="false">SUMPRODUCT($G$10053:$K$10053,$G$9907:$K$9907)</f>
        <v>12.30768</v>
      </c>
    </row>
    <row r="10057" customFormat="false" ht="15" hidden="false" customHeight="false" outlineLevel="0" collapsed="false">
      <c r="A10057" s="5" t="s">
        <v>449</v>
      </c>
      <c r="C10057" s="25" t="n">
        <f aca="false">MAX(0,SUMPRODUCT($G$10053:$K$10053,$G$10019:$K$10019))</f>
        <v>0</v>
      </c>
    </row>
    <row r="10058" customFormat="false" ht="15" hidden="false" customHeight="false" outlineLevel="0" collapsed="false">
      <c r="A10058" s="5" t="s">
        <v>450</v>
      </c>
      <c r="C10058" s="25" t="n">
        <f aca="false">(CHOOSE($C$9890,Assumptions!$C$78,Assumptions!$C$97,Assumptions!$C$116)+$C$9894)*C10056</f>
        <v>49.23072</v>
      </c>
    </row>
    <row r="10059" customFormat="false" ht="15" hidden="false" customHeight="false" outlineLevel="0" collapsed="false">
      <c r="A10059" s="5" t="s">
        <v>451</v>
      </c>
      <c r="C10059" s="25" t="n">
        <f aca="false">Assumptions!$C$27*(1-CHOOSE($C$9890,Assumptions!$C$79,Assumptions!$C$98,Assumptions!$C$117))*CHOOSE($C$9890,Assumptions!$C$80,Assumptions!$C$99,Assumptions!$C$118)</f>
        <v>405.6</v>
      </c>
    </row>
    <row r="10060" customFormat="false" ht="15" hidden="false" customHeight="false" outlineLevel="0" collapsed="false">
      <c r="A10060" s="5" t="s">
        <v>452</v>
      </c>
      <c r="C10060" s="25" t="n">
        <f aca="false">MAX(C10058,C10059)+C10057</f>
        <v>405.6</v>
      </c>
    </row>
    <row r="10061" customFormat="false" ht="15" hidden="false" customHeight="false" outlineLevel="0" collapsed="false">
      <c r="A10061" s="2" t="s">
        <v>453</v>
      </c>
      <c r="C10061" s="16" t="n">
        <f aca="false">IF(ISNUMBER(Assumptions!$C$14),Assumptions!$C$14,C10060)</f>
        <v>405.6</v>
      </c>
    </row>
    <row r="10062" customFormat="false" ht="15" hidden="false" customHeight="false" outlineLevel="0" collapsed="false">
      <c r="A10062" s="5" t="s">
        <v>454</v>
      </c>
      <c r="C10062" s="25" t="n">
        <f aca="false">C10061*Assumptions!$C$15</f>
        <v>16.224</v>
      </c>
    </row>
    <row r="10063" customFormat="false" ht="15" hidden="false" customHeight="false" outlineLevel="0" collapsed="false">
      <c r="A10063" s="2" t="s">
        <v>455</v>
      </c>
      <c r="C10063" s="16" t="n">
        <f aca="false">C10061-C10062</f>
        <v>389.376</v>
      </c>
    </row>
    <row r="10064" customFormat="false" ht="15" hidden="false" customHeight="false" outlineLevel="0" collapsed="false">
      <c r="A10064" s="23" t="s">
        <v>456</v>
      </c>
      <c r="B10064" s="24"/>
      <c r="C10064" s="24"/>
      <c r="D10064" s="24"/>
      <c r="E10064" s="24"/>
      <c r="F10064" s="24"/>
      <c r="G10064" s="24"/>
      <c r="H10064" s="24"/>
      <c r="I10064" s="24"/>
      <c r="J10064" s="24"/>
      <c r="K10064" s="24"/>
    </row>
    <row r="10065" customFormat="false" ht="15" hidden="false" customHeight="false" outlineLevel="0" collapsed="false">
      <c r="A10065" s="5" t="s">
        <v>457</v>
      </c>
      <c r="C10065" s="25" t="n">
        <f aca="false">SUMPRODUCT($G$10053:$K$10053,$G$9944:$K$9944)*(1+SUMPRODUCT($G$10053:$K$10053,$G$9936:$K$9936)*Assumptions!$C$16/12)</f>
        <v>208.9954172</v>
      </c>
    </row>
    <row r="10066" customFormat="false" ht="15" hidden="false" customHeight="false" outlineLevel="0" collapsed="false">
      <c r="A10066" s="5" t="s">
        <v>458</v>
      </c>
      <c r="C10066" s="25" t="n">
        <f aca="false">SUMPRODUCT($G$10053:$K$10053,$G$9957:$K$9957)*(1+SUMPRODUCT($G$10053:$K$10053,$G$9949:$K$9949)*Assumptions!$C$16/12)</f>
        <v>526.2257</v>
      </c>
    </row>
    <row r="10067" customFormat="false" ht="15" hidden="false" customHeight="false" outlineLevel="0" collapsed="false">
      <c r="A10067" s="5" t="s">
        <v>459</v>
      </c>
      <c r="C10067" s="25" t="n">
        <f aca="false">SUMPRODUCT($G$10053:$K$10053,$G$9970:$K$9970)*(1+SUMPRODUCT($G$10053:$K$10053,$G$9962:$K$9962)*Assumptions!$C$16/12)</f>
        <v>256.875</v>
      </c>
    </row>
    <row r="10068" customFormat="false" ht="15" hidden="false" customHeight="false" outlineLevel="0" collapsed="false">
      <c r="A10068" s="5" t="s">
        <v>460</v>
      </c>
      <c r="C10068" s="25" t="n">
        <f aca="false">SUMPRODUCT($G$10053:$K$10053,$G$9983:$K$9983)*(1+SUMPRODUCT($G$10053:$K$10053,$G$9975:$K$9975)*Assumptions!$C$16/12)</f>
        <v>305.625</v>
      </c>
    </row>
    <row r="10069" customFormat="false" ht="15" hidden="false" customHeight="false" outlineLevel="0" collapsed="false">
      <c r="A10069" s="23" t="s">
        <v>461</v>
      </c>
      <c r="B10069" s="24"/>
      <c r="C10069" s="24"/>
      <c r="D10069" s="24"/>
      <c r="E10069" s="24"/>
      <c r="F10069" s="24"/>
      <c r="G10069" s="24"/>
      <c r="H10069" s="24"/>
      <c r="I10069" s="24"/>
      <c r="J10069" s="24"/>
      <c r="K10069" s="24"/>
    </row>
    <row r="10070" customFormat="false" ht="15" hidden="false" customHeight="false" outlineLevel="0" collapsed="false">
      <c r="A10070" s="5" t="s">
        <v>457</v>
      </c>
      <c r="C10070" s="26" t="n">
        <f aca="false">Assumptions!$M$53</f>
        <v>1</v>
      </c>
    </row>
    <row r="10071" customFormat="false" ht="15" hidden="false" customHeight="false" outlineLevel="0" collapsed="false">
      <c r="A10071" s="5" t="s">
        <v>458</v>
      </c>
      <c r="C10071" s="26" t="n">
        <f aca="false">Assumptions!$M$54</f>
        <v>2</v>
      </c>
    </row>
    <row r="10072" customFormat="false" ht="15" hidden="false" customHeight="false" outlineLevel="0" collapsed="false">
      <c r="A10072" s="5" t="s">
        <v>459</v>
      </c>
      <c r="C10072" s="26" t="n">
        <f aca="false">Assumptions!$M$55</f>
        <v>3</v>
      </c>
    </row>
    <row r="10073" customFormat="false" ht="15" hidden="false" customHeight="false" outlineLevel="0" collapsed="false">
      <c r="A10073" s="5" t="s">
        <v>460</v>
      </c>
      <c r="C10073" s="26" t="n">
        <f aca="false">Assumptions!$M$56</f>
        <v>4</v>
      </c>
    </row>
    <row r="10074" customFormat="false" ht="15" hidden="false" customHeight="false" outlineLevel="0" collapsed="false">
      <c r="A10074" s="23" t="s">
        <v>462</v>
      </c>
      <c r="B10074" s="24"/>
      <c r="C10074" s="24"/>
      <c r="D10074" s="24"/>
      <c r="E10074" s="24"/>
      <c r="F10074" s="24"/>
      <c r="G10074" s="24"/>
      <c r="H10074" s="24"/>
      <c r="I10074" s="24"/>
      <c r="J10074" s="24"/>
      <c r="K10074" s="24"/>
    </row>
    <row r="10075" customFormat="false" ht="15" hidden="false" customHeight="false" outlineLevel="0" collapsed="false">
      <c r="A10075" s="5" t="s">
        <v>457</v>
      </c>
      <c r="C10075" s="34" t="n">
        <f aca="false">Assumptions!$Q$53</f>
        <v>0</v>
      </c>
    </row>
    <row r="10076" customFormat="false" ht="15" hidden="false" customHeight="false" outlineLevel="0" collapsed="false">
      <c r="A10076" s="5" t="s">
        <v>458</v>
      </c>
      <c r="C10076" s="34" t="n">
        <f aca="false">Assumptions!$Q$54</f>
        <v>0</v>
      </c>
    </row>
    <row r="10077" customFormat="false" ht="15" hidden="false" customHeight="false" outlineLevel="0" collapsed="false">
      <c r="A10077" s="5" t="s">
        <v>459</v>
      </c>
      <c r="C10077" s="34" t="n">
        <f aca="false">Assumptions!$Q$55</f>
        <v>0</v>
      </c>
    </row>
    <row r="10078" customFormat="false" ht="15" hidden="false" customHeight="false" outlineLevel="0" collapsed="false">
      <c r="A10078" s="5" t="s">
        <v>460</v>
      </c>
      <c r="C10078" s="34" t="n">
        <f aca="false">Assumptions!$Q$56</f>
        <v>0</v>
      </c>
    </row>
    <row r="10079" customFormat="false" ht="15" hidden="false" customHeight="false" outlineLevel="0" collapsed="false">
      <c r="A10079" s="23" t="s">
        <v>463</v>
      </c>
      <c r="B10079" s="24"/>
      <c r="C10079" s="24"/>
      <c r="D10079" s="24"/>
      <c r="E10079" s="24"/>
      <c r="F10079" s="24"/>
      <c r="G10079" s="24"/>
      <c r="H10079" s="24"/>
      <c r="I10079" s="24"/>
      <c r="J10079" s="24"/>
      <c r="K10079" s="24"/>
    </row>
    <row r="10080" customFormat="false" ht="15" hidden="false" customHeight="false" outlineLevel="0" collapsed="false">
      <c r="A10080" s="5" t="s">
        <v>457</v>
      </c>
      <c r="C10080" s="25" t="n">
        <f aca="false">IF(C10075&gt;0,MIN(C10065,C10075*$C$10063),0)</f>
        <v>0</v>
      </c>
    </row>
    <row r="10081" customFormat="false" ht="15" hidden="false" customHeight="false" outlineLevel="0" collapsed="false">
      <c r="A10081" s="5" t="s">
        <v>458</v>
      </c>
      <c r="C10081" s="25" t="n">
        <f aca="false">IF(C10076&gt;0,MIN(C10066,C10076*$C$10063),0)</f>
        <v>0</v>
      </c>
    </row>
    <row r="10082" customFormat="false" ht="15" hidden="false" customHeight="false" outlineLevel="0" collapsed="false">
      <c r="A10082" s="5" t="s">
        <v>459</v>
      </c>
      <c r="C10082" s="25" t="n">
        <f aca="false">IF(C10077&gt;0,MIN(C10067,C10077*$C$10063),0)</f>
        <v>0</v>
      </c>
    </row>
    <row r="10083" customFormat="false" ht="15" hidden="false" customHeight="false" outlineLevel="0" collapsed="false">
      <c r="A10083" s="5" t="s">
        <v>460</v>
      </c>
      <c r="C10083" s="25" t="n">
        <f aca="false">IF(C10078&gt;0,MIN(C10068,C10078*$C$10063),0)</f>
        <v>0</v>
      </c>
    </row>
    <row r="10084" customFormat="false" ht="15" hidden="false" customHeight="false" outlineLevel="0" collapsed="false">
      <c r="A10084" s="23" t="s">
        <v>464</v>
      </c>
      <c r="B10084" s="24"/>
      <c r="C10084" s="24"/>
      <c r="D10084" s="24"/>
      <c r="E10084" s="24"/>
      <c r="F10084" s="24"/>
      <c r="G10084" s="24"/>
      <c r="H10084" s="24"/>
      <c r="I10084" s="24"/>
      <c r="J10084" s="24"/>
      <c r="K10084" s="24"/>
    </row>
    <row r="10085" customFormat="false" ht="15" hidden="false" customHeight="false" outlineLevel="0" collapsed="false">
      <c r="A10085" s="5" t="s">
        <v>457</v>
      </c>
      <c r="C10085" s="25" t="n">
        <f aca="false">IF(C10075&gt;0,C10065-C10080,0)</f>
        <v>0</v>
      </c>
      <c r="G10085" s="20" t="n">
        <f aca="false">IF(AND(G9934=1,G9931=1),1,0)</f>
        <v>0</v>
      </c>
      <c r="H10085" s="20" t="n">
        <f aca="false">IF(G10085=1,1,IF(AND(H9934=1,H9931=1),1,0))</f>
        <v>0</v>
      </c>
      <c r="I10085" s="20" t="n">
        <f aca="false">IF(H10085=1,1,IF(AND(I9934=1,I9931=1),1,0))</f>
        <v>0</v>
      </c>
      <c r="J10085" s="20" t="n">
        <f aca="false">IF(I10085=1,1,IF(AND(J9934=1,J9931=1),1,0))</f>
        <v>0</v>
      </c>
      <c r="K10085" s="20" t="n">
        <f aca="false">IF(J10085=1,1,IF(AND(K9934=1,K9931=1),1,0))</f>
        <v>0</v>
      </c>
    </row>
    <row r="10086" customFormat="false" ht="15" hidden="false" customHeight="false" outlineLevel="0" collapsed="false">
      <c r="A10086" s="5" t="s">
        <v>458</v>
      </c>
      <c r="C10086" s="25" t="n">
        <f aca="false">IF(C10076&gt;0,C10066-C10081,0)</f>
        <v>0</v>
      </c>
      <c r="G10086" s="20" t="n">
        <f aca="false">IF(AND(G9947=1,G9931=1),1,0)</f>
        <v>0</v>
      </c>
      <c r="H10086" s="20" t="n">
        <f aca="false">IF(G10086=1,1,IF(AND(H9947=1,H9931=1),1,0))</f>
        <v>0</v>
      </c>
      <c r="I10086" s="20" t="n">
        <f aca="false">IF(H10086=1,1,IF(AND(I9947=1,I9931=1),1,0))</f>
        <v>0</v>
      </c>
      <c r="J10086" s="20" t="n">
        <f aca="false">IF(I10086=1,1,IF(AND(J9947=1,J9931=1),1,0))</f>
        <v>0</v>
      </c>
      <c r="K10086" s="20" t="n">
        <f aca="false">IF(J10086=1,1,IF(AND(K9947=1,K9931=1),1,0))</f>
        <v>0</v>
      </c>
    </row>
    <row r="10087" customFormat="false" ht="15" hidden="false" customHeight="false" outlineLevel="0" collapsed="false">
      <c r="A10087" s="5" t="s">
        <v>459</v>
      </c>
      <c r="C10087" s="25" t="n">
        <f aca="false">IF(C10077&gt;0,C10067-C10082,0)</f>
        <v>0</v>
      </c>
      <c r="G10087" s="20" t="n">
        <f aca="false">IF(AND(G9960=1,G9931=1),1,0)</f>
        <v>0</v>
      </c>
      <c r="H10087" s="20" t="n">
        <f aca="false">IF(G10087=1,1,IF(AND(H9960=1,H9931=1),1,0))</f>
        <v>0</v>
      </c>
      <c r="I10087" s="20" t="n">
        <f aca="false">IF(H10087=1,1,IF(AND(I9960=1,I9931=1),1,0))</f>
        <v>0</v>
      </c>
      <c r="J10087" s="20" t="n">
        <f aca="false">IF(I10087=1,1,IF(AND(J9960=1,J9931=1),1,0))</f>
        <v>0</v>
      </c>
      <c r="K10087" s="20" t="n">
        <f aca="false">IF(J10087=1,1,IF(AND(K9960=1,K9931=1),1,0))</f>
        <v>0</v>
      </c>
    </row>
    <row r="10088" customFormat="false" ht="15" hidden="false" customHeight="false" outlineLevel="0" collapsed="false">
      <c r="A10088" s="5" t="s">
        <v>460</v>
      </c>
      <c r="C10088" s="25" t="n">
        <f aca="false">IF(C10078&gt;0,C10068-C10083,0)</f>
        <v>0</v>
      </c>
      <c r="G10088" s="20" t="n">
        <f aca="false">IF(AND(G9973=1,G9931=1),1,0)</f>
        <v>0</v>
      </c>
      <c r="H10088" s="20" t="n">
        <f aca="false">IF(G10088=1,1,IF(AND(H9973=1,H9931=1),1,0))</f>
        <v>0</v>
      </c>
      <c r="I10088" s="20" t="n">
        <f aca="false">IF(H10088=1,1,IF(AND(I9973=1,I9931=1),1,0))</f>
        <v>0</v>
      </c>
      <c r="J10088" s="20" t="n">
        <f aca="false">IF(I10088=1,1,IF(AND(J9973=1,J9931=1),1,0))</f>
        <v>0</v>
      </c>
      <c r="K10088" s="20" t="n">
        <f aca="false">IF(J10088=1,1,IF(AND(K9973=1,K9931=1),1,0))</f>
        <v>0</v>
      </c>
    </row>
    <row r="10089" customFormat="false" ht="15" hidden="false" customHeight="false" outlineLevel="0" collapsed="false">
      <c r="A10089" s="23" t="s">
        <v>465</v>
      </c>
      <c r="B10089" s="24"/>
      <c r="C10089" s="24"/>
      <c r="D10089" s="24"/>
      <c r="E10089" s="24"/>
      <c r="F10089" s="24"/>
      <c r="G10089" s="24"/>
      <c r="H10089" s="24"/>
      <c r="I10089" s="24"/>
      <c r="J10089" s="24"/>
      <c r="K10089" s="24"/>
    </row>
    <row r="10090" customFormat="false" ht="15" hidden="false" customHeight="false" outlineLevel="0" collapsed="false">
      <c r="A10090" s="5" t="s">
        <v>457</v>
      </c>
      <c r="C10090" s="25" t="n">
        <f aca="false">IF(C10075&gt;0,C10085,C10065)</f>
        <v>208.9954172</v>
      </c>
    </row>
    <row r="10091" customFormat="false" ht="15" hidden="false" customHeight="false" outlineLevel="0" collapsed="false">
      <c r="A10091" s="5" t="s">
        <v>458</v>
      </c>
      <c r="C10091" s="25" t="n">
        <f aca="false">IF(C10076&gt;0,C10086,C10066)</f>
        <v>526.2257</v>
      </c>
    </row>
    <row r="10092" customFormat="false" ht="15" hidden="false" customHeight="false" outlineLevel="0" collapsed="false">
      <c r="A10092" s="5" t="s">
        <v>459</v>
      </c>
      <c r="C10092" s="25" t="n">
        <f aca="false">IF(C10077&gt;0,C10087,C10067)</f>
        <v>256.875</v>
      </c>
    </row>
    <row r="10093" customFormat="false" ht="15" hidden="false" customHeight="false" outlineLevel="0" collapsed="false">
      <c r="A10093" s="5" t="s">
        <v>460</v>
      </c>
      <c r="C10093" s="25" t="n">
        <f aca="false">IF(C10078&gt;0,C10088,C10068)</f>
        <v>305.625</v>
      </c>
    </row>
    <row r="10094" customFormat="false" ht="15" hidden="false" customHeight="false" outlineLevel="0" collapsed="false">
      <c r="A10094" s="23" t="s">
        <v>466</v>
      </c>
      <c r="B10094" s="24"/>
      <c r="C10094" s="24"/>
      <c r="D10094" s="24"/>
      <c r="E10094" s="24"/>
      <c r="F10094" s="24"/>
      <c r="G10094" s="24"/>
      <c r="H10094" s="24"/>
      <c r="I10094" s="24"/>
      <c r="J10094" s="24"/>
      <c r="K10094" s="24"/>
    </row>
    <row r="10095" customFormat="false" ht="15" hidden="false" customHeight="false" outlineLevel="0" collapsed="false">
      <c r="A10095" s="5" t="s">
        <v>457</v>
      </c>
      <c r="C10095" s="20" t="n">
        <f aca="false">IF(C10075&gt;0,Assumptions!$C$17,C10070)</f>
        <v>1</v>
      </c>
    </row>
    <row r="10096" customFormat="false" ht="15" hidden="false" customHeight="false" outlineLevel="0" collapsed="false">
      <c r="A10096" s="5" t="s">
        <v>458</v>
      </c>
      <c r="C10096" s="20" t="n">
        <f aca="false">IF(C10076&gt;0,Assumptions!$C$17,C10071)</f>
        <v>2</v>
      </c>
    </row>
    <row r="10097" customFormat="false" ht="15" hidden="false" customHeight="false" outlineLevel="0" collapsed="false">
      <c r="A10097" s="5" t="s">
        <v>459</v>
      </c>
      <c r="C10097" s="20" t="n">
        <f aca="false">IF(C10077&gt;0,Assumptions!$C$17,C10072)</f>
        <v>3</v>
      </c>
    </row>
    <row r="10098" customFormat="false" ht="15" hidden="false" customHeight="false" outlineLevel="0" collapsed="false">
      <c r="A10098" s="5" t="s">
        <v>460</v>
      </c>
      <c r="C10098" s="20" t="n">
        <f aca="false">IF(C10078&gt;0,Assumptions!$C$17,C10073)</f>
        <v>4</v>
      </c>
    </row>
    <row r="10099" customFormat="false" ht="15" hidden="false" customHeight="false" outlineLevel="0" collapsed="false">
      <c r="A10099" s="23" t="s">
        <v>467</v>
      </c>
      <c r="B10099" s="24"/>
      <c r="C10099" s="24"/>
      <c r="D10099" s="24"/>
      <c r="E10099" s="24"/>
      <c r="F10099" s="24"/>
      <c r="G10099" s="24"/>
      <c r="H10099" s="24"/>
      <c r="I10099" s="24"/>
      <c r="J10099" s="24"/>
      <c r="K10099" s="24"/>
    </row>
    <row r="10100" customFormat="false" ht="15" hidden="false" customHeight="false" outlineLevel="0" collapsed="false">
      <c r="A10100" s="5" t="s">
        <v>457</v>
      </c>
      <c r="C10100" s="25" t="n">
        <f aca="false">SUMPRODUCT(($C$10095:$C$10098&lt;C10095)*$C$10090:$C$10093)</f>
        <v>0</v>
      </c>
    </row>
    <row r="10101" customFormat="false" ht="15" hidden="false" customHeight="false" outlineLevel="0" collapsed="false">
      <c r="A10101" s="5" t="s">
        <v>458</v>
      </c>
      <c r="C10101" s="25" t="n">
        <f aca="false">SUMPRODUCT(($C$10095:$C$10098&lt;C10096)*$C$10090:$C$10093)</f>
        <v>208.9954172</v>
      </c>
    </row>
    <row r="10102" customFormat="false" ht="15" hidden="false" customHeight="false" outlineLevel="0" collapsed="false">
      <c r="A10102" s="5" t="s">
        <v>459</v>
      </c>
      <c r="C10102" s="25" t="n">
        <f aca="false">SUMPRODUCT(($C$10095:$C$10098&lt;C10097)*$C$10090:$C$10093)</f>
        <v>735.2211172</v>
      </c>
    </row>
    <row r="10103" customFormat="false" ht="15" hidden="false" customHeight="false" outlineLevel="0" collapsed="false">
      <c r="A10103" s="5" t="s">
        <v>460</v>
      </c>
      <c r="C10103" s="25" t="n">
        <f aca="false">SUMPRODUCT(($C$10095:$C$10098&lt;C10098)*$C$10090:$C$10093)</f>
        <v>992.0961172</v>
      </c>
    </row>
    <row r="10104" customFormat="false" ht="15" hidden="false" customHeight="false" outlineLevel="0" collapsed="false">
      <c r="A10104" s="23" t="s">
        <v>468</v>
      </c>
      <c r="B10104" s="24"/>
      <c r="C10104" s="24"/>
      <c r="D10104" s="24"/>
      <c r="E10104" s="24"/>
      <c r="F10104" s="24"/>
      <c r="G10104" s="24"/>
      <c r="H10104" s="24"/>
      <c r="I10104" s="24"/>
      <c r="J10104" s="24"/>
      <c r="K10104" s="24"/>
    </row>
    <row r="10105" customFormat="false" ht="15" hidden="false" customHeight="false" outlineLevel="0" collapsed="false">
      <c r="A10105" s="5" t="s">
        <v>457</v>
      </c>
      <c r="C10105" s="25" t="n">
        <f aca="false">SUMPRODUCT(($C$10095:$C$10098=C10095)*$C$10090:$C$10093)</f>
        <v>208.9954172</v>
      </c>
    </row>
    <row r="10106" customFormat="false" ht="15" hidden="false" customHeight="false" outlineLevel="0" collapsed="false">
      <c r="A10106" s="5" t="s">
        <v>458</v>
      </c>
      <c r="C10106" s="25" t="n">
        <f aca="false">SUMPRODUCT(($C$10095:$C$10098=C10096)*$C$10090:$C$10093)</f>
        <v>526.2257</v>
      </c>
    </row>
    <row r="10107" customFormat="false" ht="15" hidden="false" customHeight="false" outlineLevel="0" collapsed="false">
      <c r="A10107" s="5" t="s">
        <v>459</v>
      </c>
      <c r="C10107" s="25" t="n">
        <f aca="false">SUMPRODUCT(($C$10095:$C$10098=C10097)*$C$10090:$C$10093)</f>
        <v>256.875</v>
      </c>
    </row>
    <row r="10108" customFormat="false" ht="15" hidden="false" customHeight="false" outlineLevel="0" collapsed="false">
      <c r="A10108" s="5" t="s">
        <v>460</v>
      </c>
      <c r="C10108" s="25" t="n">
        <f aca="false">SUMPRODUCT(($C$10095:$C$10098=C10098)*$C$10090:$C$10093)</f>
        <v>305.625</v>
      </c>
    </row>
    <row r="10109" customFormat="false" ht="15" hidden="false" customHeight="false" outlineLevel="0" collapsed="false">
      <c r="A10109" s="23" t="s">
        <v>469</v>
      </c>
      <c r="B10109" s="24"/>
      <c r="C10109" s="24"/>
      <c r="D10109" s="24"/>
      <c r="E10109" s="24"/>
      <c r="F10109" s="24"/>
      <c r="G10109" s="24"/>
      <c r="H10109" s="24"/>
      <c r="I10109" s="24"/>
      <c r="J10109" s="24"/>
      <c r="K10109" s="24"/>
    </row>
    <row r="10110" customFormat="false" ht="15" hidden="false" customHeight="false" outlineLevel="0" collapsed="false">
      <c r="A10110" s="5" t="s">
        <v>457</v>
      </c>
      <c r="C10110" s="25" t="n">
        <f aca="false">IF(C10105=0,0,C10090/C10105*MAX(0,MIN(C10105,$C$10063-SUM($C$10080:$C$10083)-C10100)))</f>
        <v>208.9954172</v>
      </c>
    </row>
    <row r="10111" customFormat="false" ht="15" hidden="false" customHeight="false" outlineLevel="0" collapsed="false">
      <c r="A10111" s="5" t="s">
        <v>458</v>
      </c>
      <c r="C10111" s="25" t="n">
        <f aca="false">IF(C10106=0,0,C10091/C10106*MAX(0,MIN(C10106,$C$10063-SUM($C$10080:$C$10083)-C10101)))</f>
        <v>180.3805828</v>
      </c>
    </row>
    <row r="10112" customFormat="false" ht="15" hidden="false" customHeight="false" outlineLevel="0" collapsed="false">
      <c r="A10112" s="5" t="s">
        <v>459</v>
      </c>
      <c r="C10112" s="25" t="n">
        <f aca="false">IF(C10107=0,0,C10092/C10107*MAX(0,MIN(C10107,$C$10063-SUM($C$10080:$C$10083)-C10102)))</f>
        <v>0</v>
      </c>
    </row>
    <row r="10113" customFormat="false" ht="15" hidden="false" customHeight="false" outlineLevel="0" collapsed="false">
      <c r="A10113" s="5" t="s">
        <v>460</v>
      </c>
      <c r="C10113" s="25" t="n">
        <f aca="false">IF(C10108=0,0,C10093/C10108*MAX(0,MIN(C10108,$C$10063-SUM($C$10080:$C$10083)-C10103)))</f>
        <v>0</v>
      </c>
    </row>
    <row r="10114" customFormat="false" ht="15" hidden="false" customHeight="false" outlineLevel="0" collapsed="false">
      <c r="A10114" s="23" t="s">
        <v>470</v>
      </c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</row>
    <row r="10115" customFormat="false" ht="15" hidden="false" customHeight="false" outlineLevel="0" collapsed="false">
      <c r="A10115" s="2" t="s">
        <v>457</v>
      </c>
      <c r="C10115" s="16" t="n">
        <f aca="false">C10080+C10110</f>
        <v>208.9954172</v>
      </c>
    </row>
    <row r="10116" customFormat="false" ht="15" hidden="false" customHeight="false" outlineLevel="0" collapsed="false">
      <c r="A10116" s="2" t="s">
        <v>458</v>
      </c>
      <c r="C10116" s="16" t="n">
        <f aca="false">C10081+C10111</f>
        <v>180.3805828</v>
      </c>
    </row>
    <row r="10117" customFormat="false" ht="15" hidden="false" customHeight="false" outlineLevel="0" collapsed="false">
      <c r="A10117" s="2" t="s">
        <v>459</v>
      </c>
      <c r="C10117" s="16" t="n">
        <f aca="false">C10082+C10112</f>
        <v>0</v>
      </c>
    </row>
    <row r="10118" customFormat="false" ht="15" hidden="false" customHeight="false" outlineLevel="0" collapsed="false">
      <c r="A10118" s="2" t="s">
        <v>460</v>
      </c>
      <c r="C10118" s="16" t="n">
        <f aca="false">C10083+C10113</f>
        <v>0</v>
      </c>
    </row>
    <row r="10119" customFormat="false" ht="15" hidden="false" customHeight="false" outlineLevel="0" collapsed="false">
      <c r="A10119" s="23" t="s">
        <v>471</v>
      </c>
      <c r="B10119" s="24"/>
      <c r="C10119" s="24"/>
      <c r="D10119" s="24"/>
      <c r="E10119" s="24"/>
      <c r="F10119" s="24"/>
      <c r="G10119" s="24"/>
      <c r="H10119" s="24"/>
      <c r="I10119" s="24"/>
      <c r="J10119" s="24"/>
      <c r="K10119" s="24"/>
    </row>
    <row r="10120" customFormat="false" ht="15" hidden="false" customHeight="false" outlineLevel="0" collapsed="false">
      <c r="A10120" s="5" t="s">
        <v>457</v>
      </c>
      <c r="C10120" s="21" t="n">
        <f aca="false">IF(C10065=0,1,C10115/C10065)</f>
        <v>1</v>
      </c>
    </row>
    <row r="10121" customFormat="false" ht="15" hidden="false" customHeight="false" outlineLevel="0" collapsed="false">
      <c r="A10121" s="5" t="s">
        <v>458</v>
      </c>
      <c r="C10121" s="21" t="n">
        <f aca="false">IF(C10066=0,1,C10116/C10066)</f>
        <v>0.342781781277501</v>
      </c>
    </row>
    <row r="10122" customFormat="false" ht="15" hidden="false" customHeight="false" outlineLevel="0" collapsed="false">
      <c r="A10122" s="5" t="s">
        <v>459</v>
      </c>
      <c r="C10122" s="21" t="n">
        <f aca="false">IF(C10067=0,1,C10117/C10067)</f>
        <v>0</v>
      </c>
    </row>
    <row r="10123" customFormat="false" ht="15" hidden="false" customHeight="false" outlineLevel="0" collapsed="false">
      <c r="A10123" s="5" t="s">
        <v>460</v>
      </c>
      <c r="C10123" s="21" t="n">
        <f aca="false">IF(C10068=0,1,C10118/C10068)</f>
        <v>0</v>
      </c>
    </row>
    <row r="10124" customFormat="false" ht="15" hidden="false" customHeight="false" outlineLevel="0" collapsed="false">
      <c r="A10124" s="23" t="s">
        <v>472</v>
      </c>
      <c r="B10124" s="24"/>
      <c r="C10124" s="24"/>
      <c r="D10124" s="24"/>
      <c r="E10124" s="24"/>
      <c r="F10124" s="24"/>
      <c r="G10124" s="24"/>
      <c r="H10124" s="24"/>
      <c r="I10124" s="24"/>
      <c r="J10124" s="24"/>
      <c r="K10124" s="24"/>
    </row>
    <row r="10125" customFormat="false" ht="15" hidden="false" customHeight="false" outlineLevel="0" collapsed="false">
      <c r="A10125" s="5" t="s">
        <v>457</v>
      </c>
      <c r="C10125" s="25" t="n">
        <f aca="false">C10065-C10115</f>
        <v>0</v>
      </c>
    </row>
    <row r="10126" customFormat="false" ht="15" hidden="false" customHeight="false" outlineLevel="0" collapsed="false">
      <c r="A10126" s="5" t="s">
        <v>458</v>
      </c>
      <c r="C10126" s="25" t="n">
        <f aca="false">C10066-C10116</f>
        <v>345.8451172</v>
      </c>
    </row>
    <row r="10127" customFormat="false" ht="15" hidden="false" customHeight="false" outlineLevel="0" collapsed="false">
      <c r="A10127" s="5" t="s">
        <v>459</v>
      </c>
      <c r="C10127" s="25" t="n">
        <f aca="false">C10067-C10117</f>
        <v>256.875</v>
      </c>
    </row>
    <row r="10128" customFormat="false" ht="15" hidden="false" customHeight="false" outlineLevel="0" collapsed="false">
      <c r="A10128" s="5" t="s">
        <v>460</v>
      </c>
      <c r="C10128" s="25" t="n">
        <f aca="false">C10068-C10118</f>
        <v>305.625</v>
      </c>
    </row>
    <row r="10129" customFormat="false" ht="15" hidden="false" customHeight="false" outlineLevel="0" collapsed="false">
      <c r="A10129" s="23" t="s">
        <v>473</v>
      </c>
      <c r="B10129" s="24"/>
      <c r="C10129" s="24"/>
      <c r="D10129" s="24"/>
      <c r="E10129" s="24"/>
      <c r="F10129" s="24"/>
      <c r="G10129" s="24"/>
      <c r="H10129" s="24"/>
      <c r="I10129" s="24"/>
      <c r="J10129" s="24"/>
      <c r="K10129" s="24"/>
    </row>
    <row r="10130" customFormat="false" ht="15" hidden="false" customHeight="false" outlineLevel="0" collapsed="false">
      <c r="A10130" s="5" t="s">
        <v>457</v>
      </c>
      <c r="C10130" s="21" t="n">
        <f aca="false">IF(C10065=0,0,C10125/C10065)</f>
        <v>0</v>
      </c>
    </row>
    <row r="10131" customFormat="false" ht="15" hidden="false" customHeight="false" outlineLevel="0" collapsed="false">
      <c r="A10131" s="5" t="s">
        <v>458</v>
      </c>
      <c r="C10131" s="21" t="n">
        <f aca="false">IF(C10066=0,0,C10126/C10066)</f>
        <v>0.657218218722499</v>
      </c>
    </row>
    <row r="10132" customFormat="false" ht="15" hidden="false" customHeight="false" outlineLevel="0" collapsed="false">
      <c r="A10132" s="5" t="s">
        <v>459</v>
      </c>
      <c r="C10132" s="21" t="n">
        <f aca="false">IF(C10067=0,0,C10127/C10067)</f>
        <v>1</v>
      </c>
    </row>
    <row r="10133" customFormat="false" ht="15" hidden="false" customHeight="false" outlineLevel="0" collapsed="false">
      <c r="A10133" s="5" t="s">
        <v>460</v>
      </c>
      <c r="C10133" s="21" t="n">
        <f aca="false">IF(C10068=0,0,C10128/C10068)</f>
        <v>1</v>
      </c>
    </row>
    <row r="10134" customFormat="false" ht="15" hidden="false" customHeight="false" outlineLevel="0" collapsed="false">
      <c r="A10134" s="2" t="s">
        <v>474</v>
      </c>
      <c r="C10134" s="16" t="n">
        <f aca="false">MAX(0,$C$10063-SUM($C$10080:$C$10083)-SUM($C$10090:$C$10093))</f>
        <v>0</v>
      </c>
    </row>
    <row r="10135" customFormat="false" ht="15" hidden="false" customHeight="false" outlineLevel="0" collapsed="false">
      <c r="A10135" s="5" t="s">
        <v>475</v>
      </c>
      <c r="C10135" s="25" t="n">
        <f aca="false">SUM($C$10115:$C$10118)+C10134+C10062-C10061</f>
        <v>0</v>
      </c>
    </row>
    <row r="10137" customFormat="false" ht="15" hidden="false" customHeight="false" outlineLevel="0" collapsed="false">
      <c r="A10137" s="23" t="s">
        <v>478</v>
      </c>
      <c r="B10137" s="24"/>
      <c r="C10137" s="24"/>
      <c r="D10137" s="24"/>
      <c r="E10137" s="24"/>
      <c r="F10137" s="24"/>
      <c r="G10137" s="24"/>
      <c r="H10137" s="24"/>
      <c r="I10137" s="24"/>
      <c r="J10137" s="24"/>
      <c r="K10137" s="24"/>
    </row>
    <row r="10138" customFormat="false" ht="15" hidden="false" customHeight="false" outlineLevel="0" collapsed="false">
      <c r="A10138" s="5" t="s">
        <v>479</v>
      </c>
      <c r="C10138" s="26" t="n">
        <f aca="false">Assumptions!$C$30</f>
        <v>2</v>
      </c>
    </row>
    <row r="10139" customFormat="false" ht="15" hidden="false" customHeight="false" outlineLevel="0" collapsed="false">
      <c r="A10139" s="5" t="s">
        <v>480</v>
      </c>
      <c r="C10139" s="28" t="n">
        <f aca="false">Assumptions!$C$31</f>
        <v>100</v>
      </c>
    </row>
    <row r="10140" customFormat="false" ht="15" hidden="false" customHeight="false" outlineLevel="0" collapsed="false">
      <c r="A10140" s="5" t="s">
        <v>481</v>
      </c>
      <c r="C10140" s="39" t="n">
        <f aca="false">Assumptions!$C$32</f>
        <v>78</v>
      </c>
    </row>
    <row r="10141" customFormat="false" ht="15" hidden="false" customHeight="false" outlineLevel="0" collapsed="false">
      <c r="A10141" s="5" t="s">
        <v>482</v>
      </c>
      <c r="C10141" s="25" t="n">
        <f aca="false">C10139*C10140/100*(1+Assumptions!$C$33)</f>
        <v>78.39</v>
      </c>
    </row>
    <row r="10142" customFormat="false" ht="15" hidden="false" customHeight="false" outlineLevel="0" collapsed="false">
      <c r="A10142" s="5" t="s">
        <v>483</v>
      </c>
      <c r="C10142" s="26" t="n">
        <f aca="false">Assumptions!$C$34</f>
        <v>2</v>
      </c>
    </row>
    <row r="10143" customFormat="false" ht="15" hidden="false" customHeight="false" outlineLevel="0" collapsed="false">
      <c r="A10143" s="5" t="s">
        <v>484</v>
      </c>
      <c r="C10143" s="20" t="n">
        <f aca="false">IF(C10054=1,SUMPRODUCT($G$10022:$K$10022,$G$9898:$K$9898),0)</f>
        <v>2</v>
      </c>
    </row>
    <row r="10144" customFormat="false" ht="15" hidden="false" customHeight="false" outlineLevel="0" collapsed="false">
      <c r="A10144" s="5" t="s">
        <v>485</v>
      </c>
      <c r="C10144" s="21" t="n">
        <f aca="false">IFERROR(C10139/CHOOSE(C10138,SUMPRODUCT($G$10053:$K$10053,$G$9944:$K$9944),SUMPRODUCT($G$10053:$K$10053,$G$9957:$K$9957),SUMPRODUCT($G$10053:$K$10053,$G$9970:$K$9970),SUMPRODUCT($G$10053:$K$10053,$G$9983:$K$9983)),0)</f>
        <v>0.196232339089482</v>
      </c>
    </row>
    <row r="10145" customFormat="false" ht="15" hidden="false" customHeight="false" outlineLevel="0" collapsed="false">
      <c r="A10145" s="5" t="s">
        <v>486</v>
      </c>
      <c r="C10145" s="25" t="n">
        <f aca="false">CHOOSE(C10138,C10115,C10116,C10117,C10118)*C10144</f>
        <v>35.396503689168</v>
      </c>
    </row>
    <row r="10146" customFormat="false" ht="15" hidden="false" customHeight="false" outlineLevel="0" collapsed="false">
      <c r="A10146" s="5" t="s">
        <v>487</v>
      </c>
      <c r="C10146" s="21" t="n">
        <f aca="false">CHOOSE(C10138,C10120,C10121,C10122,C10123)</f>
        <v>0.342781781277501</v>
      </c>
    </row>
    <row r="10147" customFormat="false" ht="15" hidden="false" customHeight="false" outlineLevel="0" collapsed="false">
      <c r="A10147" s="5" t="s">
        <v>488</v>
      </c>
      <c r="C10147" s="20" t="n">
        <f aca="false">IF(C10054=1,C10143,C10142)</f>
        <v>2</v>
      </c>
    </row>
    <row r="10148" customFormat="false" ht="15" hidden="false" customHeight="false" outlineLevel="0" collapsed="false">
      <c r="A10148" s="5" t="s">
        <v>489</v>
      </c>
      <c r="C10148" s="33" t="n">
        <f aca="false">CHOOSE($C$9890,Assumptions!$C$77,Assumptions!$C$96,Assumptions!$C$115)</f>
        <v>70</v>
      </c>
    </row>
    <row r="10149" customFormat="false" ht="15" hidden="false" customHeight="false" outlineLevel="0" collapsed="false">
      <c r="A10149" s="5" t="s">
        <v>490</v>
      </c>
      <c r="C10149" s="25" t="n">
        <f aca="false">INDEX($G$9907:$K$9907,C10142)*CHOOSE($C$9890,Assumptions!$C$76,Assumptions!$C$95,Assumptions!$C$114)+MAX(0,INDEX($G$10019:$K$10019,C10142))</f>
        <v>43.07688</v>
      </c>
    </row>
    <row r="10150" customFormat="false" ht="15" hidden="false" customHeight="false" outlineLevel="0" collapsed="false">
      <c r="A10150" s="23" t="s">
        <v>491</v>
      </c>
      <c r="B10150" s="24"/>
      <c r="C10150" s="24"/>
      <c r="D10150" s="24"/>
      <c r="E10150" s="24"/>
      <c r="F10150" s="24"/>
      <c r="G10150" s="24"/>
      <c r="H10150" s="24"/>
      <c r="I10150" s="24"/>
      <c r="J10150" s="24"/>
      <c r="K10150" s="24"/>
    </row>
    <row r="10151" customFormat="false" ht="15" hidden="false" customHeight="false" outlineLevel="0" collapsed="false">
      <c r="A10151" s="5" t="s">
        <v>457</v>
      </c>
      <c r="C10151" s="25" t="n">
        <f aca="false">INDEX($G$9944:$K$9944,C10142)</f>
        <v>203.2288</v>
      </c>
    </row>
    <row r="10152" customFormat="false" ht="15" hidden="false" customHeight="false" outlineLevel="0" collapsed="false">
      <c r="A10152" s="5" t="s">
        <v>458</v>
      </c>
      <c r="C10152" s="25" t="n">
        <f aca="false">INDEX($G$9957:$K$9957,C10142)</f>
        <v>509.6</v>
      </c>
    </row>
    <row r="10153" customFormat="false" ht="15" hidden="false" customHeight="false" outlineLevel="0" collapsed="false">
      <c r="A10153" s="5" t="s">
        <v>459</v>
      </c>
      <c r="C10153" s="25" t="n">
        <f aca="false">INDEX($G$9970:$K$9970,C10142)</f>
        <v>250</v>
      </c>
    </row>
    <row r="10154" customFormat="false" ht="15" hidden="false" customHeight="false" outlineLevel="0" collapsed="false">
      <c r="A10154" s="5" t="s">
        <v>460</v>
      </c>
      <c r="C10154" s="25" t="n">
        <f aca="false">INDEX($G$9983:$K$9983,C10142)</f>
        <v>300</v>
      </c>
    </row>
    <row r="10155" customFormat="false" ht="15" hidden="false" customHeight="false" outlineLevel="0" collapsed="false">
      <c r="A10155" s="23" t="s">
        <v>461</v>
      </c>
      <c r="B10155" s="24"/>
      <c r="C10155" s="24"/>
      <c r="D10155" s="24"/>
      <c r="E10155" s="24"/>
      <c r="F10155" s="24"/>
      <c r="G10155" s="24"/>
      <c r="H10155" s="24"/>
      <c r="I10155" s="24"/>
      <c r="J10155" s="24"/>
      <c r="K10155" s="24"/>
    </row>
    <row r="10156" customFormat="false" ht="15" hidden="false" customHeight="false" outlineLevel="0" collapsed="false">
      <c r="A10156" s="5" t="s">
        <v>457</v>
      </c>
      <c r="C10156" s="26" t="n">
        <f aca="false">Assumptions!$M$53</f>
        <v>1</v>
      </c>
    </row>
    <row r="10157" customFormat="false" ht="15" hidden="false" customHeight="false" outlineLevel="0" collapsed="false">
      <c r="A10157" s="5" t="s">
        <v>458</v>
      </c>
      <c r="C10157" s="26" t="n">
        <f aca="false">Assumptions!$M$54</f>
        <v>2</v>
      </c>
    </row>
    <row r="10158" customFormat="false" ht="15" hidden="false" customHeight="false" outlineLevel="0" collapsed="false">
      <c r="A10158" s="5" t="s">
        <v>459</v>
      </c>
      <c r="C10158" s="26" t="n">
        <f aca="false">Assumptions!$M$55</f>
        <v>3</v>
      </c>
    </row>
    <row r="10159" customFormat="false" ht="15" hidden="false" customHeight="false" outlineLevel="0" collapsed="false">
      <c r="A10159" s="5" t="s">
        <v>460</v>
      </c>
      <c r="C10159" s="26" t="n">
        <f aca="false">Assumptions!$M$56</f>
        <v>4</v>
      </c>
    </row>
    <row r="10160" customFormat="false" ht="15" hidden="false" customHeight="false" outlineLevel="0" collapsed="false">
      <c r="A10160" s="23" t="s">
        <v>462</v>
      </c>
      <c r="B10160" s="24"/>
      <c r="C10160" s="24"/>
      <c r="D10160" s="24"/>
      <c r="E10160" s="24"/>
      <c r="F10160" s="24"/>
      <c r="G10160" s="24"/>
      <c r="H10160" s="24"/>
      <c r="I10160" s="24"/>
      <c r="J10160" s="24"/>
      <c r="K10160" s="24"/>
    </row>
    <row r="10161" customFormat="false" ht="15" hidden="false" customHeight="false" outlineLevel="0" collapsed="false">
      <c r="A10161" s="5" t="s">
        <v>457</v>
      </c>
      <c r="C10161" s="34" t="n">
        <f aca="false">Assumptions!$Q$53</f>
        <v>0</v>
      </c>
    </row>
    <row r="10162" customFormat="false" ht="15" hidden="false" customHeight="false" outlineLevel="0" collapsed="false">
      <c r="A10162" s="5" t="s">
        <v>458</v>
      </c>
      <c r="C10162" s="34" t="n">
        <f aca="false">Assumptions!$Q$54</f>
        <v>0</v>
      </c>
    </row>
    <row r="10163" customFormat="false" ht="15" hidden="false" customHeight="false" outlineLevel="0" collapsed="false">
      <c r="A10163" s="5" t="s">
        <v>459</v>
      </c>
      <c r="C10163" s="34" t="n">
        <f aca="false">Assumptions!$Q$55</f>
        <v>0</v>
      </c>
    </row>
    <row r="10164" customFormat="false" ht="15" hidden="false" customHeight="false" outlineLevel="0" collapsed="false">
      <c r="A10164" s="5" t="s">
        <v>460</v>
      </c>
      <c r="C10164" s="34" t="n">
        <f aca="false">Assumptions!$Q$56</f>
        <v>0</v>
      </c>
    </row>
    <row r="10165" customFormat="false" ht="15" hidden="false" customHeight="false" outlineLevel="0" collapsed="false">
      <c r="A10165" s="23" t="s">
        <v>463</v>
      </c>
      <c r="B10165" s="24"/>
      <c r="C10165" s="24"/>
      <c r="D10165" s="24"/>
      <c r="E10165" s="24"/>
      <c r="F10165" s="24"/>
      <c r="G10165" s="24"/>
      <c r="H10165" s="24"/>
      <c r="I10165" s="24"/>
      <c r="J10165" s="24"/>
      <c r="K10165" s="24"/>
    </row>
    <row r="10166" customFormat="false" ht="15" hidden="false" customHeight="false" outlineLevel="0" collapsed="false">
      <c r="A10166" s="5" t="s">
        <v>457</v>
      </c>
      <c r="C10166" s="25" t="n">
        <f aca="false">IF(C10161&gt;0,MIN(C10151,C10161*$C$10149),0)</f>
        <v>0</v>
      </c>
    </row>
    <row r="10167" customFormat="false" ht="15" hidden="false" customHeight="false" outlineLevel="0" collapsed="false">
      <c r="A10167" s="5" t="s">
        <v>458</v>
      </c>
      <c r="C10167" s="25" t="n">
        <f aca="false">IF(C10162&gt;0,MIN(C10152,C10162*$C$10149),0)</f>
        <v>0</v>
      </c>
    </row>
    <row r="10168" customFormat="false" ht="15" hidden="false" customHeight="false" outlineLevel="0" collapsed="false">
      <c r="A10168" s="5" t="s">
        <v>459</v>
      </c>
      <c r="C10168" s="25" t="n">
        <f aca="false">IF(C10163&gt;0,MIN(C10153,C10163*$C$10149),0)</f>
        <v>0</v>
      </c>
    </row>
    <row r="10169" customFormat="false" ht="15" hidden="false" customHeight="false" outlineLevel="0" collapsed="false">
      <c r="A10169" s="5" t="s">
        <v>460</v>
      </c>
      <c r="C10169" s="25" t="n">
        <f aca="false">IF(C10164&gt;0,MIN(C10154,C10164*$C$10149),0)</f>
        <v>0</v>
      </c>
    </row>
    <row r="10170" customFormat="false" ht="15" hidden="false" customHeight="false" outlineLevel="0" collapsed="false">
      <c r="A10170" s="23" t="s">
        <v>464</v>
      </c>
      <c r="B10170" s="24"/>
      <c r="C10170" s="24"/>
      <c r="D10170" s="24"/>
      <c r="E10170" s="24"/>
      <c r="F10170" s="24"/>
      <c r="G10170" s="24"/>
      <c r="H10170" s="24"/>
      <c r="I10170" s="24"/>
      <c r="J10170" s="24"/>
      <c r="K10170" s="24"/>
    </row>
    <row r="10171" customFormat="false" ht="15" hidden="false" customHeight="false" outlineLevel="0" collapsed="false">
      <c r="A10171" s="5" t="s">
        <v>457</v>
      </c>
      <c r="C10171" s="25" t="n">
        <f aca="false">IF(C10161&gt;0,C10151-C10166,0)</f>
        <v>0</v>
      </c>
    </row>
    <row r="10172" customFormat="false" ht="15" hidden="false" customHeight="false" outlineLevel="0" collapsed="false">
      <c r="A10172" s="5" t="s">
        <v>458</v>
      </c>
      <c r="C10172" s="25" t="n">
        <f aca="false">IF(C10162&gt;0,C10152-C10167,0)</f>
        <v>0</v>
      </c>
    </row>
    <row r="10173" customFormat="false" ht="15" hidden="false" customHeight="false" outlineLevel="0" collapsed="false">
      <c r="A10173" s="5" t="s">
        <v>459</v>
      </c>
      <c r="C10173" s="25" t="n">
        <f aca="false">IF(C10163&gt;0,C10153-C10168,0)</f>
        <v>0</v>
      </c>
    </row>
    <row r="10174" customFormat="false" ht="15" hidden="false" customHeight="false" outlineLevel="0" collapsed="false">
      <c r="A10174" s="5" t="s">
        <v>460</v>
      </c>
      <c r="C10174" s="25" t="n">
        <f aca="false">IF(C10164&gt;0,C10154-C10169,0)</f>
        <v>0</v>
      </c>
    </row>
    <row r="10175" customFormat="false" ht="15" hidden="false" customHeight="false" outlineLevel="0" collapsed="false">
      <c r="A10175" s="23" t="s">
        <v>465</v>
      </c>
      <c r="B10175" s="24"/>
      <c r="C10175" s="24"/>
      <c r="D10175" s="24"/>
      <c r="E10175" s="24"/>
      <c r="F10175" s="24"/>
      <c r="G10175" s="24"/>
      <c r="H10175" s="24"/>
      <c r="I10175" s="24"/>
      <c r="J10175" s="24"/>
      <c r="K10175" s="24"/>
    </row>
    <row r="10176" customFormat="false" ht="15" hidden="false" customHeight="false" outlineLevel="0" collapsed="false">
      <c r="A10176" s="5" t="s">
        <v>457</v>
      </c>
      <c r="C10176" s="25" t="n">
        <f aca="false">IF(C10161&gt;0,C10171,C10151)</f>
        <v>203.2288</v>
      </c>
    </row>
    <row r="10177" customFormat="false" ht="15" hidden="false" customHeight="false" outlineLevel="0" collapsed="false">
      <c r="A10177" s="5" t="s">
        <v>458</v>
      </c>
      <c r="C10177" s="25" t="n">
        <f aca="false">IF(C10162&gt;0,C10172,C10152)</f>
        <v>509.6</v>
      </c>
    </row>
    <row r="10178" customFormat="false" ht="15" hidden="false" customHeight="false" outlineLevel="0" collapsed="false">
      <c r="A10178" s="5" t="s">
        <v>459</v>
      </c>
      <c r="C10178" s="25" t="n">
        <f aca="false">IF(C10163&gt;0,C10173,C10153)</f>
        <v>250</v>
      </c>
    </row>
    <row r="10179" customFormat="false" ht="15" hidden="false" customHeight="false" outlineLevel="0" collapsed="false">
      <c r="A10179" s="5" t="s">
        <v>460</v>
      </c>
      <c r="C10179" s="25" t="n">
        <f aca="false">IF(C10164&gt;0,C10174,C10154)</f>
        <v>300</v>
      </c>
    </row>
    <row r="10180" customFormat="false" ht="15" hidden="false" customHeight="false" outlineLevel="0" collapsed="false">
      <c r="A10180" s="23" t="s">
        <v>466</v>
      </c>
      <c r="B10180" s="24"/>
      <c r="C10180" s="24"/>
      <c r="D10180" s="24"/>
      <c r="E10180" s="24"/>
      <c r="F10180" s="24"/>
      <c r="G10180" s="24"/>
      <c r="H10180" s="24"/>
      <c r="I10180" s="24"/>
      <c r="J10180" s="24"/>
      <c r="K10180" s="24"/>
    </row>
    <row r="10181" customFormat="false" ht="15" hidden="false" customHeight="false" outlineLevel="0" collapsed="false">
      <c r="A10181" s="5" t="s">
        <v>457</v>
      </c>
      <c r="C10181" s="20" t="n">
        <f aca="false">IF(C10161&gt;0,Assumptions!$C$17,C10156)</f>
        <v>1</v>
      </c>
    </row>
    <row r="10182" customFormat="false" ht="15" hidden="false" customHeight="false" outlineLevel="0" collapsed="false">
      <c r="A10182" s="5" t="s">
        <v>458</v>
      </c>
      <c r="C10182" s="20" t="n">
        <f aca="false">IF(C10162&gt;0,Assumptions!$C$17,C10157)</f>
        <v>2</v>
      </c>
    </row>
    <row r="10183" customFormat="false" ht="15" hidden="false" customHeight="false" outlineLevel="0" collapsed="false">
      <c r="A10183" s="5" t="s">
        <v>459</v>
      </c>
      <c r="C10183" s="20" t="n">
        <f aca="false">IF(C10163&gt;0,Assumptions!$C$17,C10158)</f>
        <v>3</v>
      </c>
    </row>
    <row r="10184" customFormat="false" ht="15" hidden="false" customHeight="false" outlineLevel="0" collapsed="false">
      <c r="A10184" s="5" t="s">
        <v>460</v>
      </c>
      <c r="C10184" s="20" t="n">
        <f aca="false">IF(C10164&gt;0,Assumptions!$C$17,C10159)</f>
        <v>4</v>
      </c>
    </row>
    <row r="10185" customFormat="false" ht="15" hidden="false" customHeight="false" outlineLevel="0" collapsed="false">
      <c r="A10185" s="23" t="s">
        <v>467</v>
      </c>
      <c r="B10185" s="24"/>
      <c r="C10185" s="24"/>
      <c r="D10185" s="24"/>
      <c r="E10185" s="24"/>
      <c r="F10185" s="24"/>
      <c r="G10185" s="24"/>
      <c r="H10185" s="24"/>
      <c r="I10185" s="24"/>
      <c r="J10185" s="24"/>
      <c r="K10185" s="24"/>
    </row>
    <row r="10186" customFormat="false" ht="15" hidden="false" customHeight="false" outlineLevel="0" collapsed="false">
      <c r="A10186" s="5" t="s">
        <v>457</v>
      </c>
      <c r="C10186" s="25" t="n">
        <f aca="false">SUMPRODUCT(($C$10181:$C$10184&lt;C10181)*$C$10176:$C$10179)</f>
        <v>0</v>
      </c>
    </row>
    <row r="10187" customFormat="false" ht="15" hidden="false" customHeight="false" outlineLevel="0" collapsed="false">
      <c r="A10187" s="5" t="s">
        <v>458</v>
      </c>
      <c r="C10187" s="25" t="n">
        <f aca="false">SUMPRODUCT(($C$10181:$C$10184&lt;C10182)*$C$10176:$C$10179)</f>
        <v>203.2288</v>
      </c>
    </row>
    <row r="10188" customFormat="false" ht="15" hidden="false" customHeight="false" outlineLevel="0" collapsed="false">
      <c r="A10188" s="5" t="s">
        <v>459</v>
      </c>
      <c r="C10188" s="25" t="n">
        <f aca="false">SUMPRODUCT(($C$10181:$C$10184&lt;C10183)*$C$10176:$C$10179)</f>
        <v>712.8288</v>
      </c>
    </row>
    <row r="10189" customFormat="false" ht="15" hidden="false" customHeight="false" outlineLevel="0" collapsed="false">
      <c r="A10189" s="5" t="s">
        <v>460</v>
      </c>
      <c r="C10189" s="25" t="n">
        <f aca="false">SUMPRODUCT(($C$10181:$C$10184&lt;C10184)*$C$10176:$C$10179)</f>
        <v>962.8288</v>
      </c>
    </row>
    <row r="10190" customFormat="false" ht="15" hidden="false" customHeight="false" outlineLevel="0" collapsed="false">
      <c r="A10190" s="23" t="s">
        <v>468</v>
      </c>
      <c r="B10190" s="24"/>
      <c r="C10190" s="24"/>
      <c r="D10190" s="24"/>
      <c r="E10190" s="24"/>
      <c r="F10190" s="24"/>
      <c r="G10190" s="24"/>
      <c r="H10190" s="24"/>
      <c r="I10190" s="24"/>
      <c r="J10190" s="24"/>
      <c r="K10190" s="24"/>
    </row>
    <row r="10191" customFormat="false" ht="15" hidden="false" customHeight="false" outlineLevel="0" collapsed="false">
      <c r="A10191" s="5" t="s">
        <v>457</v>
      </c>
      <c r="C10191" s="25" t="n">
        <f aca="false">SUMPRODUCT(($C$10181:$C$10184=C10181)*$C$10176:$C$10179)</f>
        <v>203.2288</v>
      </c>
    </row>
    <row r="10192" customFormat="false" ht="15" hidden="false" customHeight="false" outlineLevel="0" collapsed="false">
      <c r="A10192" s="5" t="s">
        <v>458</v>
      </c>
      <c r="C10192" s="25" t="n">
        <f aca="false">SUMPRODUCT(($C$10181:$C$10184=C10182)*$C$10176:$C$10179)</f>
        <v>509.6</v>
      </c>
    </row>
    <row r="10193" customFormat="false" ht="15" hidden="false" customHeight="false" outlineLevel="0" collapsed="false">
      <c r="A10193" s="5" t="s">
        <v>459</v>
      </c>
      <c r="C10193" s="25" t="n">
        <f aca="false">SUMPRODUCT(($C$10181:$C$10184=C10183)*$C$10176:$C$10179)</f>
        <v>250</v>
      </c>
    </row>
    <row r="10194" customFormat="false" ht="15" hidden="false" customHeight="false" outlineLevel="0" collapsed="false">
      <c r="A10194" s="5" t="s">
        <v>460</v>
      </c>
      <c r="C10194" s="25" t="n">
        <f aca="false">SUMPRODUCT(($C$10181:$C$10184=C10184)*$C$10176:$C$10179)</f>
        <v>300</v>
      </c>
    </row>
    <row r="10195" customFormat="false" ht="15" hidden="false" customHeight="false" outlineLevel="0" collapsed="false">
      <c r="A10195" s="23" t="s">
        <v>469</v>
      </c>
      <c r="B10195" s="24"/>
      <c r="C10195" s="24"/>
      <c r="D10195" s="24"/>
      <c r="E10195" s="24"/>
      <c r="F10195" s="24"/>
      <c r="G10195" s="24"/>
      <c r="H10195" s="24"/>
      <c r="I10195" s="24"/>
      <c r="J10195" s="24"/>
      <c r="K10195" s="24"/>
    </row>
    <row r="10196" customFormat="false" ht="15" hidden="false" customHeight="false" outlineLevel="0" collapsed="false">
      <c r="A10196" s="5" t="s">
        <v>457</v>
      </c>
      <c r="C10196" s="25" t="n">
        <f aca="false">IF(C10191=0,0,C10176/C10191*MAX(0,MIN(C10191,$C$10149-SUM($C$10166:$C$10169)-C10186)))</f>
        <v>43.07688</v>
      </c>
    </row>
    <row r="10197" customFormat="false" ht="15" hidden="false" customHeight="false" outlineLevel="0" collapsed="false">
      <c r="A10197" s="5" t="s">
        <v>458</v>
      </c>
      <c r="C10197" s="25" t="n">
        <f aca="false">IF(C10192=0,0,C10177/C10192*MAX(0,MIN(C10192,$C$10149-SUM($C$10166:$C$10169)-C10187)))</f>
        <v>0</v>
      </c>
    </row>
    <row r="10198" customFormat="false" ht="15" hidden="false" customHeight="false" outlineLevel="0" collapsed="false">
      <c r="A10198" s="5" t="s">
        <v>459</v>
      </c>
      <c r="C10198" s="25" t="n">
        <f aca="false">IF(C10193=0,0,C10178/C10193*MAX(0,MIN(C10193,$C$10149-SUM($C$10166:$C$10169)-C10188)))</f>
        <v>0</v>
      </c>
    </row>
    <row r="10199" customFormat="false" ht="15" hidden="false" customHeight="false" outlineLevel="0" collapsed="false">
      <c r="A10199" s="5" t="s">
        <v>460</v>
      </c>
      <c r="C10199" s="25" t="n">
        <f aca="false">IF(C10194=0,0,C10179/C10194*MAX(0,MIN(C10194,$C$10149-SUM($C$10166:$C$10169)-C10189)))</f>
        <v>0</v>
      </c>
    </row>
    <row r="10200" customFormat="false" ht="15" hidden="false" customHeight="false" outlineLevel="0" collapsed="false">
      <c r="A10200" s="23" t="s">
        <v>470</v>
      </c>
      <c r="B10200" s="24"/>
      <c r="C10200" s="24"/>
      <c r="D10200" s="24"/>
      <c r="E10200" s="24"/>
      <c r="F10200" s="24"/>
      <c r="G10200" s="24"/>
      <c r="H10200" s="24"/>
      <c r="I10200" s="24"/>
      <c r="J10200" s="24"/>
      <c r="K10200" s="24"/>
    </row>
    <row r="10201" customFormat="false" ht="15" hidden="false" customHeight="false" outlineLevel="0" collapsed="false">
      <c r="A10201" s="2" t="s">
        <v>457</v>
      </c>
      <c r="C10201" s="16" t="n">
        <f aca="false">C10166+C10196</f>
        <v>43.07688</v>
      </c>
    </row>
    <row r="10202" customFormat="false" ht="15" hidden="false" customHeight="false" outlineLevel="0" collapsed="false">
      <c r="A10202" s="2" t="s">
        <v>458</v>
      </c>
      <c r="C10202" s="16" t="n">
        <f aca="false">C10167+C10197</f>
        <v>0</v>
      </c>
    </row>
    <row r="10203" customFormat="false" ht="15" hidden="false" customHeight="false" outlineLevel="0" collapsed="false">
      <c r="A10203" s="2" t="s">
        <v>459</v>
      </c>
      <c r="C10203" s="16" t="n">
        <f aca="false">C10168+C10198</f>
        <v>0</v>
      </c>
    </row>
    <row r="10204" customFormat="false" ht="15" hidden="false" customHeight="false" outlineLevel="0" collapsed="false">
      <c r="A10204" s="2" t="s">
        <v>460</v>
      </c>
      <c r="C10204" s="16" t="n">
        <f aca="false">C10169+C10199</f>
        <v>0</v>
      </c>
    </row>
    <row r="10205" customFormat="false" ht="15" hidden="false" customHeight="false" outlineLevel="0" collapsed="false">
      <c r="A10205" s="23" t="s">
        <v>471</v>
      </c>
      <c r="B10205" s="24"/>
      <c r="C10205" s="24"/>
      <c r="D10205" s="24"/>
      <c r="E10205" s="24"/>
      <c r="F10205" s="24"/>
      <c r="G10205" s="24"/>
      <c r="H10205" s="24"/>
      <c r="I10205" s="24"/>
      <c r="J10205" s="24"/>
      <c r="K10205" s="24"/>
    </row>
    <row r="10206" customFormat="false" ht="15" hidden="false" customHeight="false" outlineLevel="0" collapsed="false">
      <c r="A10206" s="5" t="s">
        <v>457</v>
      </c>
      <c r="C10206" s="21" t="n">
        <f aca="false">IF(C10151=0,1,C10201/C10151)</f>
        <v>0.211962477759058</v>
      </c>
    </row>
    <row r="10207" customFormat="false" ht="15" hidden="false" customHeight="false" outlineLevel="0" collapsed="false">
      <c r="A10207" s="5" t="s">
        <v>458</v>
      </c>
      <c r="C10207" s="21" t="n">
        <f aca="false">IF(C10152=0,1,C10202/C10152)</f>
        <v>0</v>
      </c>
    </row>
    <row r="10208" customFormat="false" ht="15" hidden="false" customHeight="false" outlineLevel="0" collapsed="false">
      <c r="A10208" s="5" t="s">
        <v>459</v>
      </c>
      <c r="C10208" s="21" t="n">
        <f aca="false">IF(C10153=0,1,C10203/C10153)</f>
        <v>0</v>
      </c>
    </row>
    <row r="10209" customFormat="false" ht="15" hidden="false" customHeight="false" outlineLevel="0" collapsed="false">
      <c r="A10209" s="5" t="s">
        <v>460</v>
      </c>
      <c r="C10209" s="21" t="n">
        <f aca="false">IF(C10154=0,1,C10204/C10154)</f>
        <v>0</v>
      </c>
    </row>
    <row r="10210" customFormat="false" ht="15" hidden="false" customHeight="false" outlineLevel="0" collapsed="false">
      <c r="A10210" s="23" t="s">
        <v>472</v>
      </c>
      <c r="B10210" s="24"/>
      <c r="C10210" s="24"/>
      <c r="D10210" s="24"/>
      <c r="E10210" s="24"/>
      <c r="F10210" s="24"/>
      <c r="G10210" s="24"/>
      <c r="H10210" s="24"/>
      <c r="I10210" s="24"/>
      <c r="J10210" s="24"/>
      <c r="K10210" s="24"/>
    </row>
    <row r="10211" customFormat="false" ht="15" hidden="false" customHeight="false" outlineLevel="0" collapsed="false">
      <c r="A10211" s="5" t="s">
        <v>457</v>
      </c>
      <c r="C10211" s="25" t="n">
        <f aca="false">C10151-C10201</f>
        <v>160.15192</v>
      </c>
    </row>
    <row r="10212" customFormat="false" ht="15" hidden="false" customHeight="false" outlineLevel="0" collapsed="false">
      <c r="A10212" s="5" t="s">
        <v>458</v>
      </c>
      <c r="C10212" s="25" t="n">
        <f aca="false">C10152-C10202</f>
        <v>509.6</v>
      </c>
    </row>
    <row r="10213" customFormat="false" ht="15" hidden="false" customHeight="false" outlineLevel="0" collapsed="false">
      <c r="A10213" s="5" t="s">
        <v>459</v>
      </c>
      <c r="C10213" s="25" t="n">
        <f aca="false">C10153-C10203</f>
        <v>250</v>
      </c>
    </row>
    <row r="10214" customFormat="false" ht="15" hidden="false" customHeight="false" outlineLevel="0" collapsed="false">
      <c r="A10214" s="5" t="s">
        <v>460</v>
      </c>
      <c r="C10214" s="25" t="n">
        <f aca="false">C10154-C10204</f>
        <v>300</v>
      </c>
    </row>
    <row r="10215" customFormat="false" ht="15" hidden="false" customHeight="false" outlineLevel="0" collapsed="false">
      <c r="A10215" s="23" t="s">
        <v>473</v>
      </c>
      <c r="B10215" s="24"/>
      <c r="C10215" s="24"/>
      <c r="D10215" s="24"/>
      <c r="E10215" s="24"/>
      <c r="F10215" s="24"/>
      <c r="G10215" s="24"/>
      <c r="H10215" s="24"/>
      <c r="I10215" s="24"/>
      <c r="J10215" s="24"/>
      <c r="K10215" s="24"/>
    </row>
    <row r="10216" customFormat="false" ht="15" hidden="false" customHeight="false" outlineLevel="0" collapsed="false">
      <c r="A10216" s="5" t="s">
        <v>457</v>
      </c>
      <c r="C10216" s="21" t="n">
        <f aca="false">IF(C10151=0,0,C10211/C10151)</f>
        <v>0.788037522240942</v>
      </c>
    </row>
    <row r="10217" customFormat="false" ht="15" hidden="false" customHeight="false" outlineLevel="0" collapsed="false">
      <c r="A10217" s="5" t="s">
        <v>458</v>
      </c>
      <c r="C10217" s="21" t="n">
        <f aca="false">IF(C10152=0,0,C10212/C10152)</f>
        <v>1</v>
      </c>
    </row>
    <row r="10218" customFormat="false" ht="15" hidden="false" customHeight="false" outlineLevel="0" collapsed="false">
      <c r="A10218" s="5" t="s">
        <v>459</v>
      </c>
      <c r="C10218" s="21" t="n">
        <f aca="false">IF(C10153=0,0,C10213/C10153)</f>
        <v>1</v>
      </c>
    </row>
    <row r="10219" customFormat="false" ht="15" hidden="false" customHeight="false" outlineLevel="0" collapsed="false">
      <c r="A10219" s="5" t="s">
        <v>460</v>
      </c>
      <c r="C10219" s="21" t="n">
        <f aca="false">IF(C10154=0,0,C10214/C10154)</f>
        <v>1</v>
      </c>
    </row>
    <row r="10220" customFormat="false" ht="15" hidden="false" customHeight="false" outlineLevel="0" collapsed="false">
      <c r="A10220" s="2" t="s">
        <v>474</v>
      </c>
      <c r="C10220" s="16" t="n">
        <f aca="false">MAX(0,$C$10149-SUM($C$10166:$C$10169)-SUM($C$10176:$C$10179))</f>
        <v>0</v>
      </c>
    </row>
    <row r="10221" customFormat="false" ht="15" hidden="false" customHeight="false" outlineLevel="0" collapsed="false">
      <c r="A10221" s="5" t="s">
        <v>492</v>
      </c>
      <c r="C10221" s="33" t="n">
        <f aca="false">MIN(C10148,100*CHOOSE(C10138,C10206,C10207,C10208,C10209))</f>
        <v>0</v>
      </c>
    </row>
    <row r="10222" customFormat="false" ht="15" hidden="false" customHeight="false" outlineLevel="0" collapsed="false">
      <c r="A10222" s="5" t="s">
        <v>493</v>
      </c>
      <c r="C10222" s="20" t="n">
        <f aca="false">IF(C10054=1,C10143+Assumptions!$C$36,C10142)</f>
        <v>3</v>
      </c>
    </row>
    <row r="10223" customFormat="false" ht="15" hidden="false" customHeight="false" outlineLevel="0" collapsed="false">
      <c r="A10223" s="23" t="s">
        <v>494</v>
      </c>
      <c r="B10223" s="24"/>
      <c r="C10223" s="24"/>
      <c r="D10223" s="24"/>
      <c r="E10223" s="24"/>
      <c r="F10223" s="24"/>
      <c r="G10223" s="24"/>
      <c r="H10223" s="24"/>
      <c r="I10223" s="24"/>
      <c r="J10223" s="24"/>
      <c r="K10223" s="24"/>
    </row>
    <row r="10224" customFormat="false" ht="15" hidden="false" customHeight="false" outlineLevel="0" collapsed="false">
      <c r="A10224" s="5" t="s">
        <v>495</v>
      </c>
      <c r="C10224" s="20" t="n">
        <f aca="false">COLUMN()-COLUMN($C$1)</f>
        <v>0</v>
      </c>
      <c r="D10224" s="20" t="n">
        <f aca="false">COLUMN()-COLUMN($C$1)</f>
        <v>1</v>
      </c>
      <c r="E10224" s="20" t="n">
        <f aca="false">COLUMN()-COLUMN($C$1)</f>
        <v>2</v>
      </c>
      <c r="F10224" s="20" t="n">
        <f aca="false">COLUMN()-COLUMN($C$1)</f>
        <v>3</v>
      </c>
      <c r="G10224" s="20" t="n">
        <f aca="false">COLUMN()-COLUMN($C$1)</f>
        <v>4</v>
      </c>
      <c r="H10224" s="20" t="n">
        <f aca="false">COLUMN()-COLUMN($C$1)</f>
        <v>5</v>
      </c>
      <c r="I10224" s="20" t="n">
        <f aca="false">COLUMN()-COLUMN($C$1)</f>
        <v>6</v>
      </c>
    </row>
    <row r="10225" customFormat="false" ht="15" hidden="false" customHeight="false" outlineLevel="0" collapsed="false">
      <c r="A10225" s="5" t="s">
        <v>496</v>
      </c>
      <c r="D10225" s="30" t="n">
        <f aca="false">CHOOSE($C$10138,G9936,G9949,G9962,G9975)</f>
        <v>0.133</v>
      </c>
      <c r="E10225" s="30" t="n">
        <f aca="false">CHOOSE($C$10138,H9936,H9949,H9962,H9975)</f>
        <v>0.1305</v>
      </c>
      <c r="F10225" s="30" t="n">
        <f aca="false">CHOOSE($C$10138,I9936,I9949,I9962,I9975)</f>
        <v>0.128</v>
      </c>
      <c r="G10225" s="30" t="n">
        <f aca="false">CHOOSE($C$10138,J9936,J9949,J9962,J9975)</f>
        <v>0.128</v>
      </c>
      <c r="H10225" s="30" t="n">
        <f aca="false">CHOOSE($C$10138,K9936,K9949,K9962,K9975)</f>
        <v>0.128</v>
      </c>
    </row>
    <row r="10226" customFormat="false" ht="15" hidden="false" customHeight="false" outlineLevel="0" collapsed="false">
      <c r="A10226" s="5" t="s">
        <v>497</v>
      </c>
      <c r="D10226" s="25" t="n">
        <f aca="false">IF(D10224&lt;=$C$10147,$C$10139*D10225,0)</f>
        <v>13.3</v>
      </c>
      <c r="E10226" s="25" t="n">
        <f aca="false">IF(E10224&lt;=$C$10147,$C$10139*E10225,0)</f>
        <v>13.05</v>
      </c>
      <c r="F10226" s="25" t="n">
        <f aca="false">IF(F10224&lt;=$C$10147,$C$10139*F10225,0)</f>
        <v>0</v>
      </c>
      <c r="G10226" s="25" t="n">
        <f aca="false">IF(G10224&lt;=$C$10147,$C$10139*G10225,0)</f>
        <v>0</v>
      </c>
      <c r="H10226" s="25" t="n">
        <f aca="false">IF(H10224&lt;=$C$10147,$C$10139*H10225,0)</f>
        <v>0</v>
      </c>
    </row>
    <row r="10227" customFormat="false" ht="15" hidden="false" customHeight="false" outlineLevel="0" collapsed="false">
      <c r="A10227" s="5" t="s">
        <v>498</v>
      </c>
      <c r="D10227" s="25" t="n">
        <f aca="false">IF(AND($C$10054=0,D10224=$C$10142),$C$10139*$C$10221/100,0)+IF(AND($C$10054=1,D10224=$C$10222),$C$10145,0)</f>
        <v>0</v>
      </c>
      <c r="E10227" s="25" t="n">
        <f aca="false">IF(AND($C$10054=0,E10224=$C$10142),$C$10139*$C$10221/100,0)+IF(AND($C$10054=1,E10224=$C$10222),$C$10145,0)</f>
        <v>0</v>
      </c>
      <c r="F10227" s="25" t="n">
        <f aca="false">IF(AND($C$10054=0,F10224=$C$10142),$C$10139*$C$10221/100,0)+IF(AND($C$10054=1,F10224=$C$10222),$C$10145,0)</f>
        <v>35.396503689168</v>
      </c>
      <c r="G10227" s="25" t="n">
        <f aca="false">IF(AND($C$10054=0,G10224=$C$10142),$C$10139*$C$10221/100,0)+IF(AND($C$10054=1,G10224=$C$10222),$C$10145,0)</f>
        <v>0</v>
      </c>
      <c r="H10227" s="25" t="n">
        <f aca="false">IF(AND($C$10054=0,H10224=$C$10142),$C$10139*$C$10221/100,0)+IF(AND($C$10054=1,H10224=$C$10222),$C$10145,0)</f>
        <v>0</v>
      </c>
      <c r="I10227" s="25" t="n">
        <f aca="false">IF(AND($C$10054=0,I10224=$C$10142),$C$10139*$C$10221/100,0)+IF(AND($C$10054=1,I10224=$C$10222),$C$10145,0)</f>
        <v>0</v>
      </c>
    </row>
    <row r="10228" customFormat="false" ht="15" hidden="false" customHeight="false" outlineLevel="0" collapsed="false">
      <c r="A10228" s="2" t="s">
        <v>499</v>
      </c>
      <c r="C10228" s="16" t="n">
        <f aca="false">-$C$10141</f>
        <v>-78.39</v>
      </c>
      <c r="D10228" s="16" t="n">
        <f aca="false">D10226+D10227</f>
        <v>13.3</v>
      </c>
      <c r="E10228" s="16" t="n">
        <f aca="false">E10226+E10227</f>
        <v>13.05</v>
      </c>
      <c r="F10228" s="16" t="n">
        <f aca="false">F10226+F10227</f>
        <v>35.396503689168</v>
      </c>
      <c r="G10228" s="16" t="n">
        <f aca="false">G10226+G10227</f>
        <v>0</v>
      </c>
      <c r="H10228" s="16" t="n">
        <f aca="false">H10226+H10227</f>
        <v>0</v>
      </c>
      <c r="I10228" s="16" t="n">
        <f aca="false">I10226+I10227</f>
        <v>0</v>
      </c>
    </row>
    <row r="10229" customFormat="false" ht="15" hidden="false" customHeight="false" outlineLevel="0" collapsed="false">
      <c r="A10229" s="5" t="s">
        <v>500</v>
      </c>
      <c r="C10229" s="25" t="n">
        <f aca="false">SUM($C$10226:$I$10226)</f>
        <v>26.35</v>
      </c>
    </row>
    <row r="10230" customFormat="false" ht="15" hidden="false" customHeight="false" outlineLevel="0" collapsed="false">
      <c r="A10230" s="5" t="s">
        <v>501</v>
      </c>
      <c r="C10230" s="25" t="n">
        <f aca="false">SUM($C$10227:$I$10227)</f>
        <v>35.396503689168</v>
      </c>
    </row>
    <row r="10231" customFormat="false" ht="15" hidden="false" customHeight="false" outlineLevel="0" collapsed="false">
      <c r="A10231" s="5" t="s">
        <v>502</v>
      </c>
      <c r="C10231" s="25" t="n">
        <f aca="false">C10229+C10230</f>
        <v>61.746503689168</v>
      </c>
    </row>
    <row r="10232" customFormat="false" ht="15" hidden="false" customHeight="false" outlineLevel="0" collapsed="false">
      <c r="A10232" s="5" t="s">
        <v>503</v>
      </c>
      <c r="C10232" s="25" t="n">
        <f aca="false">C10230-C10139*C10140/100</f>
        <v>-42.603496310832</v>
      </c>
    </row>
    <row r="10233" customFormat="false" ht="15" hidden="false" customHeight="false" outlineLevel="0" collapsed="false">
      <c r="A10233" s="5" t="s">
        <v>504</v>
      </c>
      <c r="C10233" s="25" t="n">
        <f aca="false">C10231-C10141</f>
        <v>-16.643496310832</v>
      </c>
    </row>
    <row r="10234" customFormat="false" ht="15" hidden="false" customHeight="false" outlineLevel="0" collapsed="false">
      <c r="A10234" s="2" t="s">
        <v>385</v>
      </c>
      <c r="C10234" s="43" t="n">
        <f aca="false">C10231/C10141</f>
        <v>0.787683425043602</v>
      </c>
    </row>
    <row r="10235" customFormat="false" ht="15" hidden="false" customHeight="false" outlineLevel="0" collapsed="false">
      <c r="A10235" s="2" t="s">
        <v>384</v>
      </c>
      <c r="C10235" s="41" t="n">
        <f aca="false">IF(C10231&lt;=0,-1,IFERROR(IRR($C$10228:$I$10228,MAX(-0.9,C10234^(1/C10222)-1)),IRR($C$10228:$I$10228,0.1)))</f>
        <v>-0.095027420823675</v>
      </c>
    </row>
    <row r="10236" customFormat="false" ht="15" hidden="false" customHeight="false" outlineLevel="0" collapsed="false">
      <c r="A10236" s="5" t="s">
        <v>505</v>
      </c>
      <c r="C10236" s="31" t="n">
        <f aca="false">MAX($G$10030:$K$10030)</f>
        <v>208.844565631378</v>
      </c>
    </row>
    <row r="10237" customFormat="false" ht="15" hidden="false" customHeight="false" outlineLevel="0" collapsed="false">
      <c r="A10237" s="5" t="s">
        <v>506</v>
      </c>
      <c r="C10237" s="31" t="n">
        <f aca="false">MIN($G$10031:$K$10031)</f>
        <v>0.0624417427484726</v>
      </c>
    </row>
    <row r="10238" customFormat="false" ht="15" hidden="false" customHeight="false" outlineLevel="0" collapsed="false">
      <c r="A10238" s="5" t="s">
        <v>507</v>
      </c>
      <c r="C10238" s="25" t="n">
        <f aca="false">SUM($G$9920:$K$9920)</f>
        <v>-574.47061562423</v>
      </c>
    </row>
    <row r="10242" customFormat="false" ht="15" hidden="false" customHeight="false" outlineLevel="0" collapsed="false">
      <c r="A10242" s="9" t="s">
        <v>655</v>
      </c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</row>
    <row r="10243" customFormat="false" ht="15" hidden="false" customHeight="false" outlineLevel="0" collapsed="false">
      <c r="A10243" s="5" t="s">
        <v>622</v>
      </c>
      <c r="C10243" s="11" t="n">
        <v>3</v>
      </c>
    </row>
    <row r="10244" customFormat="false" ht="15" hidden="false" customHeight="false" outlineLevel="0" collapsed="false">
      <c r="A10244" s="5" t="s">
        <v>623</v>
      </c>
      <c r="C10244" s="29" t="n">
        <f aca="false">Sensitivities!$A$41</f>
        <v>-0.05</v>
      </c>
    </row>
    <row r="10245" customFormat="false" ht="15" hidden="false" customHeight="false" outlineLevel="0" collapsed="false">
      <c r="A10245" s="5" t="s">
        <v>624</v>
      </c>
      <c r="C10245" s="18" t="n">
        <v>0</v>
      </c>
    </row>
    <row r="10246" customFormat="false" ht="15" hidden="false" customHeight="false" outlineLevel="0" collapsed="false">
      <c r="A10246" s="5" t="s">
        <v>625</v>
      </c>
      <c r="C10246" s="18" t="n">
        <v>0</v>
      </c>
    </row>
    <row r="10247" customFormat="false" ht="15" hidden="false" customHeight="false" outlineLevel="0" collapsed="false">
      <c r="A10247" s="5" t="s">
        <v>626</v>
      </c>
      <c r="C10247" s="15" t="n">
        <v>0</v>
      </c>
    </row>
    <row r="10249" customFormat="false" ht="15" hidden="false" customHeight="false" outlineLevel="0" collapsed="false">
      <c r="A10249" s="23" t="s">
        <v>237</v>
      </c>
      <c r="B10249" s="24"/>
      <c r="C10249" s="24"/>
      <c r="D10249" s="24"/>
      <c r="E10249" s="24"/>
      <c r="F10249" s="24"/>
      <c r="G10249" s="24"/>
      <c r="H10249" s="24"/>
      <c r="I10249" s="24"/>
      <c r="J10249" s="24"/>
      <c r="K10249" s="24"/>
    </row>
    <row r="10250" customFormat="false" ht="15" hidden="false" customHeight="false" outlineLevel="0" collapsed="false">
      <c r="A10250" s="5" t="s">
        <v>238</v>
      </c>
      <c r="F10250" s="26" t="n">
        <f aca="false">Assumptions!$C$6</f>
        <v>2025</v>
      </c>
      <c r="G10250" s="20" t="n">
        <f aca="false">F10250+1</f>
        <v>2026</v>
      </c>
      <c r="H10250" s="20" t="n">
        <f aca="false">G10250+1</f>
        <v>2027</v>
      </c>
      <c r="I10250" s="20" t="n">
        <f aca="false">H10250+1</f>
        <v>2028</v>
      </c>
      <c r="J10250" s="20" t="n">
        <f aca="false">I10250+1</f>
        <v>2029</v>
      </c>
      <c r="K10250" s="20" t="n">
        <f aca="false">J10250+1</f>
        <v>2030</v>
      </c>
    </row>
    <row r="10251" customFormat="false" ht="15" hidden="false" customHeight="false" outlineLevel="0" collapsed="false">
      <c r="A10251" s="5" t="s">
        <v>239</v>
      </c>
      <c r="G10251" s="20" t="n">
        <f aca="false">G10250-Assumptions!$C$6</f>
        <v>1</v>
      </c>
      <c r="H10251" s="20" t="n">
        <f aca="false">H10250-Assumptions!$C$6</f>
        <v>2</v>
      </c>
      <c r="I10251" s="20" t="n">
        <f aca="false">I10250-Assumptions!$C$6</f>
        <v>3</v>
      </c>
      <c r="J10251" s="20" t="n">
        <f aca="false">J10250-Assumptions!$C$6</f>
        <v>4</v>
      </c>
      <c r="K10251" s="20" t="n">
        <f aca="false">K10250-Assumptions!$C$6</f>
        <v>5</v>
      </c>
    </row>
    <row r="10252" customFormat="false" ht="15" hidden="false" customHeight="false" outlineLevel="0" collapsed="false">
      <c r="A10252" s="5" t="s">
        <v>149</v>
      </c>
      <c r="G10252" s="21" t="n">
        <f aca="false">CHOOSE($C$10243,Assumptions!$G$65,Assumptions!$G$84,Assumptions!$G$103)+$C$10244</f>
        <v>-0.284</v>
      </c>
      <c r="H10252" s="21" t="n">
        <f aca="false">CHOOSE($C$10243,Assumptions!$H$65,Assumptions!$H$84,Assumptions!$H$103)+$C$10244</f>
        <v>-0.18</v>
      </c>
      <c r="I10252" s="21" t="n">
        <f aca="false">CHOOSE($C$10243,Assumptions!$I$65,Assumptions!$I$84,Assumptions!$I$103)+$C$10244</f>
        <v>-0.076</v>
      </c>
      <c r="J10252" s="21" t="n">
        <f aca="false">CHOOSE($C$10243,Assumptions!$J$65,Assumptions!$J$84,Assumptions!$J$103)+$C$10244</f>
        <v>-0.06</v>
      </c>
      <c r="K10252" s="21" t="n">
        <f aca="false">CHOOSE($C$10243,Assumptions!$K$65,Assumptions!$K$84,Assumptions!$K$103)+$C$10244</f>
        <v>-0.06</v>
      </c>
    </row>
    <row r="10253" customFormat="false" ht="15" hidden="false" customHeight="false" outlineLevel="0" collapsed="false">
      <c r="A10253" s="5" t="s">
        <v>150</v>
      </c>
      <c r="G10253" s="21" t="n">
        <f aca="false">CHOOSE($C$10243,Assumptions!$G$66,Assumptions!$G$85,Assumptions!$G$104)</f>
        <v>0.305</v>
      </c>
      <c r="H10253" s="21" t="n">
        <f aca="false">CHOOSE($C$10243,Assumptions!$H$66,Assumptions!$H$85,Assumptions!$H$104)</f>
        <v>0.305</v>
      </c>
      <c r="I10253" s="21" t="n">
        <f aca="false">CHOOSE($C$10243,Assumptions!$I$66,Assumptions!$I$85,Assumptions!$I$104)</f>
        <v>0.305</v>
      </c>
      <c r="J10253" s="21" t="n">
        <f aca="false">CHOOSE($C$10243,Assumptions!$J$66,Assumptions!$J$85,Assumptions!$J$104)</f>
        <v>0.305</v>
      </c>
      <c r="K10253" s="21" t="n">
        <f aca="false">CHOOSE($C$10243,Assumptions!$K$66,Assumptions!$K$85,Assumptions!$K$104)</f>
        <v>0.305</v>
      </c>
    </row>
    <row r="10254" customFormat="false" ht="15" hidden="false" customHeight="false" outlineLevel="0" collapsed="false">
      <c r="A10254" s="5" t="s">
        <v>151</v>
      </c>
      <c r="G10254" s="21" t="n">
        <f aca="false">CHOOSE($C$10243,Assumptions!$G$67,Assumptions!$G$86,Assumptions!$G$105)+$C$10245</f>
        <v>0.01</v>
      </c>
      <c r="H10254" s="21" t="n">
        <f aca="false">CHOOSE($C$10243,Assumptions!$H$67,Assumptions!$H$86,Assumptions!$H$105)+$C$10245</f>
        <v>0.01</v>
      </c>
      <c r="I10254" s="21" t="n">
        <f aca="false">CHOOSE($C$10243,Assumptions!$I$67,Assumptions!$I$86,Assumptions!$I$105)+$C$10245</f>
        <v>0.01</v>
      </c>
      <c r="J10254" s="21" t="n">
        <f aca="false">CHOOSE($C$10243,Assumptions!$J$67,Assumptions!$J$86,Assumptions!$J$105)+$C$10245</f>
        <v>0.01</v>
      </c>
      <c r="K10254" s="21" t="n">
        <f aca="false">CHOOSE($C$10243,Assumptions!$K$67,Assumptions!$K$86,Assumptions!$K$105)+$C$10245</f>
        <v>0.01</v>
      </c>
    </row>
    <row r="10255" customFormat="false" ht="15" hidden="false" customHeight="false" outlineLevel="0" collapsed="false">
      <c r="A10255" s="23" t="s">
        <v>240</v>
      </c>
      <c r="B10255" s="24"/>
      <c r="C10255" s="24"/>
      <c r="D10255" s="24"/>
      <c r="E10255" s="24"/>
      <c r="F10255" s="24"/>
      <c r="G10255" s="24"/>
      <c r="H10255" s="24"/>
      <c r="I10255" s="24"/>
      <c r="J10255" s="24"/>
      <c r="K10255" s="24"/>
    </row>
    <row r="10256" customFormat="false" ht="15" hidden="false" customHeight="false" outlineLevel="0" collapsed="false">
      <c r="A10256" s="2" t="s">
        <v>207</v>
      </c>
      <c r="F10256" s="27" t="n">
        <f aca="false">'Historical Financials'!E17</f>
        <v>2400</v>
      </c>
      <c r="G10256" s="16" t="n">
        <f aca="false">F10256*(1+G10252)</f>
        <v>1718.4</v>
      </c>
      <c r="H10256" s="16" t="n">
        <f aca="false">G10256*(1+H10252)</f>
        <v>1409.088</v>
      </c>
      <c r="I10256" s="16" t="n">
        <f aca="false">H10256*(1+I10252)</f>
        <v>1301.997312</v>
      </c>
      <c r="J10256" s="16" t="n">
        <f aca="false">I10256*(1+J10252)</f>
        <v>1223.87747328</v>
      </c>
      <c r="K10256" s="16" t="n">
        <f aca="false">J10256*(1+K10252)</f>
        <v>1150.4448248832</v>
      </c>
    </row>
    <row r="10257" customFormat="false" ht="15" hidden="false" customHeight="false" outlineLevel="0" collapsed="false">
      <c r="A10257" s="5" t="s">
        <v>217</v>
      </c>
      <c r="G10257" s="25" t="n">
        <f aca="false">G10256*(1-G10253)</f>
        <v>1194.288</v>
      </c>
      <c r="H10257" s="25" t="n">
        <f aca="false">H10256*(1-H10253)</f>
        <v>979.31616</v>
      </c>
      <c r="I10257" s="25" t="n">
        <f aca="false">I10256*(1-I10253)</f>
        <v>904.88813184</v>
      </c>
      <c r="J10257" s="25" t="n">
        <f aca="false">J10256*(1-J10253)</f>
        <v>850.5948439296</v>
      </c>
      <c r="K10257" s="25" t="n">
        <f aca="false">K10256*(1-K10253)</f>
        <v>799.559153293824</v>
      </c>
    </row>
    <row r="10258" customFormat="false" ht="15" hidden="false" customHeight="false" outlineLevel="0" collapsed="false">
      <c r="A10258" s="2" t="s">
        <v>218</v>
      </c>
      <c r="G10258" s="16" t="n">
        <f aca="false">G10256-G10257</f>
        <v>524.112</v>
      </c>
      <c r="H10258" s="16" t="n">
        <f aca="false">H10256-H10257</f>
        <v>429.77184</v>
      </c>
      <c r="I10258" s="16" t="n">
        <f aca="false">I10256-I10257</f>
        <v>397.10918016</v>
      </c>
      <c r="J10258" s="16" t="n">
        <f aca="false">J10256-J10257</f>
        <v>373.2826293504</v>
      </c>
      <c r="K10258" s="16" t="n">
        <f aca="false">K10256-K10257</f>
        <v>350.885671589376</v>
      </c>
    </row>
    <row r="10259" customFormat="false" ht="15" hidden="false" customHeight="false" outlineLevel="0" collapsed="false">
      <c r="A10259" s="5" t="s">
        <v>241</v>
      </c>
      <c r="G10259" s="25" t="n">
        <f aca="false">G10258-G10260</f>
        <v>506.928</v>
      </c>
      <c r="H10259" s="25" t="n">
        <f aca="false">H10258-H10260</f>
        <v>415.68096</v>
      </c>
      <c r="I10259" s="25" t="n">
        <f aca="false">I10258-I10260</f>
        <v>384.08920704</v>
      </c>
      <c r="J10259" s="25" t="n">
        <f aca="false">J10258-J10260</f>
        <v>361.0438546176</v>
      </c>
      <c r="K10259" s="25" t="n">
        <f aca="false">K10258-K10260</f>
        <v>339.381223340544</v>
      </c>
    </row>
    <row r="10260" customFormat="false" ht="15" hidden="false" customHeight="false" outlineLevel="0" collapsed="false">
      <c r="A10260" s="2" t="s">
        <v>242</v>
      </c>
      <c r="G10260" s="16" t="n">
        <f aca="false">G10256*G10254</f>
        <v>17.184</v>
      </c>
      <c r="H10260" s="16" t="n">
        <f aca="false">H10256*H10254</f>
        <v>14.09088</v>
      </c>
      <c r="I10260" s="16" t="n">
        <f aca="false">I10256*I10254</f>
        <v>13.01997312</v>
      </c>
      <c r="J10260" s="16" t="n">
        <f aca="false">J10256*J10254</f>
        <v>12.2387747328</v>
      </c>
      <c r="K10260" s="16" t="n">
        <f aca="false">K10256*K10254</f>
        <v>11.504448248832</v>
      </c>
    </row>
    <row r="10261" customFormat="false" ht="15" hidden="false" customHeight="false" outlineLevel="0" collapsed="false">
      <c r="A10261" s="5" t="s">
        <v>243</v>
      </c>
      <c r="G10261" s="25" t="n">
        <f aca="false">G10256*'Historical Financials'!E22/'Historical Financials'!E17</f>
        <v>37.8048</v>
      </c>
      <c r="H10261" s="25" t="n">
        <f aca="false">H10256*'Historical Financials'!E22/'Historical Financials'!E17</f>
        <v>30.999936</v>
      </c>
      <c r="I10261" s="25" t="n">
        <f aca="false">I10256*'Historical Financials'!E22/'Historical Financials'!E17</f>
        <v>28.643940864</v>
      </c>
      <c r="J10261" s="25" t="n">
        <f aca="false">J10256*'Historical Financials'!E22/'Historical Financials'!E17</f>
        <v>26.92530441216</v>
      </c>
      <c r="K10261" s="25" t="n">
        <f aca="false">K10256*'Historical Financials'!E22/'Historical Financials'!E17</f>
        <v>25.3097861474304</v>
      </c>
    </row>
    <row r="10262" customFormat="false" ht="15" hidden="false" customHeight="false" outlineLevel="0" collapsed="false">
      <c r="A10262" s="5" t="s">
        <v>244</v>
      </c>
      <c r="G10262" s="25" t="n">
        <f aca="false">G10256*'Historical Financials'!E23/'Historical Financials'!E17</f>
        <v>0</v>
      </c>
      <c r="H10262" s="25" t="n">
        <f aca="false">H10256*'Historical Financials'!E23/'Historical Financials'!E17</f>
        <v>0</v>
      </c>
      <c r="I10262" s="25" t="n">
        <f aca="false">I10256*'Historical Financials'!E23/'Historical Financials'!E17</f>
        <v>0</v>
      </c>
      <c r="J10262" s="25" t="n">
        <f aca="false">J10256*'Historical Financials'!E23/'Historical Financials'!E17</f>
        <v>0</v>
      </c>
      <c r="K10262" s="25" t="n">
        <f aca="false">K10256*'Historical Financials'!E23/'Historical Financials'!E17</f>
        <v>0</v>
      </c>
    </row>
    <row r="10263" customFormat="false" ht="15" hidden="false" customHeight="false" outlineLevel="0" collapsed="false">
      <c r="A10263" s="2" t="s">
        <v>245</v>
      </c>
      <c r="G10263" s="16" t="n">
        <f aca="false">G10260-G10261-G10262</f>
        <v>-20.6208</v>
      </c>
      <c r="H10263" s="16" t="n">
        <f aca="false">H10260-H10261-H10262</f>
        <v>-16.909056</v>
      </c>
      <c r="I10263" s="16" t="n">
        <f aca="false">I10260-I10261-I10262</f>
        <v>-15.623967744</v>
      </c>
      <c r="J10263" s="16" t="n">
        <f aca="false">J10260-J10261-J10262</f>
        <v>-14.68652967936</v>
      </c>
      <c r="K10263" s="16" t="n">
        <f aca="false">K10260-K10261-K10262</f>
        <v>-13.8053378985984</v>
      </c>
    </row>
    <row r="10264" customFormat="false" ht="15" hidden="false" customHeight="false" outlineLevel="0" collapsed="false">
      <c r="A10264" s="5" t="s">
        <v>246</v>
      </c>
      <c r="G10264" s="25" t="n">
        <f aca="false">G10290+G10303+G10316+G10329</f>
        <v>140.04</v>
      </c>
      <c r="H10264" s="25" t="n">
        <f aca="false">H10290+H10303+H10316+H10329</f>
        <v>142.0457088</v>
      </c>
      <c r="I10264" s="25" t="n">
        <f aca="false">I10290+I10303+I10316+I10329</f>
        <v>139.5454368</v>
      </c>
      <c r="J10264" s="25" t="n">
        <f aca="false">J10290+J10303+J10316+J10329</f>
        <v>138.8798368</v>
      </c>
      <c r="K10264" s="25" t="n">
        <f aca="false">K10290+K10303+K10316+K10329</f>
        <v>138.2142368</v>
      </c>
    </row>
    <row r="10265" customFormat="false" ht="15" hidden="false" customHeight="false" outlineLevel="0" collapsed="false">
      <c r="A10265" s="5" t="s">
        <v>247</v>
      </c>
      <c r="G10265" s="25" t="n">
        <f aca="false">G10291+G10304+G10317+G10330</f>
        <v>0</v>
      </c>
      <c r="H10265" s="25" t="n">
        <f aca="false">H10291+H10304+H10317+H10330</f>
        <v>0</v>
      </c>
      <c r="I10265" s="25" t="n">
        <f aca="false">I10291+I10304+I10317+I10330</f>
        <v>0</v>
      </c>
      <c r="J10265" s="25" t="n">
        <f aca="false">J10291+J10304+J10317+J10330</f>
        <v>0</v>
      </c>
      <c r="K10265" s="25" t="n">
        <f aca="false">K10291+K10304+K10317+K10330</f>
        <v>0</v>
      </c>
    </row>
    <row r="10266" customFormat="false" ht="15" hidden="false" customHeight="false" outlineLevel="0" collapsed="false">
      <c r="A10266" s="5" t="s">
        <v>212</v>
      </c>
      <c r="G10266" s="25" t="n">
        <f aca="false">G10264+G10265</f>
        <v>140.04</v>
      </c>
      <c r="H10266" s="25" t="n">
        <f aca="false">H10264+H10265</f>
        <v>142.0457088</v>
      </c>
      <c r="I10266" s="25" t="n">
        <f aca="false">I10264+I10265</f>
        <v>139.5454368</v>
      </c>
      <c r="J10266" s="25" t="n">
        <f aca="false">J10264+J10265</f>
        <v>138.8798368</v>
      </c>
      <c r="K10266" s="25" t="n">
        <f aca="false">K10264+K10265</f>
        <v>138.2142368</v>
      </c>
    </row>
    <row r="10267" customFormat="false" ht="15" hidden="false" customHeight="false" outlineLevel="0" collapsed="false">
      <c r="A10267" s="2" t="s">
        <v>223</v>
      </c>
      <c r="G10267" s="16" t="n">
        <f aca="false">G10263-G10266</f>
        <v>-160.6608</v>
      </c>
      <c r="H10267" s="16" t="n">
        <f aca="false">H10263-H10266</f>
        <v>-158.9547648</v>
      </c>
      <c r="I10267" s="16" t="n">
        <f aca="false">I10263-I10266</f>
        <v>-155.169404544</v>
      </c>
      <c r="J10267" s="16" t="n">
        <f aca="false">J10263-J10266</f>
        <v>-153.56636647936</v>
      </c>
      <c r="K10267" s="16" t="n">
        <f aca="false">K10263-K10266</f>
        <v>-152.019574698598</v>
      </c>
    </row>
    <row r="10268" customFormat="false" ht="15" hidden="false" customHeight="false" outlineLevel="0" collapsed="false">
      <c r="A10268" s="5" t="s">
        <v>213</v>
      </c>
      <c r="G10268" s="25" t="n">
        <f aca="false">MAX(0,G10267)*Assumptions!$C$9</f>
        <v>0</v>
      </c>
      <c r="H10268" s="25" t="n">
        <f aca="false">MAX(0,H10267)*Assumptions!$C$9</f>
        <v>0</v>
      </c>
      <c r="I10268" s="25" t="n">
        <f aca="false">MAX(0,I10267)*Assumptions!$C$9</f>
        <v>0</v>
      </c>
      <c r="J10268" s="25" t="n">
        <f aca="false">MAX(0,J10267)*Assumptions!$C$9</f>
        <v>0</v>
      </c>
      <c r="K10268" s="25" t="n">
        <f aca="false">MAX(0,K10267)*Assumptions!$C$9</f>
        <v>0</v>
      </c>
    </row>
    <row r="10269" customFormat="false" ht="15" hidden="false" customHeight="false" outlineLevel="0" collapsed="false">
      <c r="A10269" s="2" t="s">
        <v>248</v>
      </c>
      <c r="G10269" s="16" t="n">
        <f aca="false">G10267-G10268</f>
        <v>-160.6608</v>
      </c>
      <c r="H10269" s="16" t="n">
        <f aca="false">H10267-H10268</f>
        <v>-158.9547648</v>
      </c>
      <c r="I10269" s="16" t="n">
        <f aca="false">I10267-I10268</f>
        <v>-155.169404544</v>
      </c>
      <c r="J10269" s="16" t="n">
        <f aca="false">J10267-J10268</f>
        <v>-153.56636647936</v>
      </c>
      <c r="K10269" s="16" t="n">
        <f aca="false">K10267-K10268</f>
        <v>-152.019574698598</v>
      </c>
    </row>
    <row r="10270" customFormat="false" ht="15" hidden="false" customHeight="false" outlineLevel="0" collapsed="false">
      <c r="A10270" s="23" t="s">
        <v>249</v>
      </c>
      <c r="B10270" s="24"/>
      <c r="C10270" s="24"/>
      <c r="D10270" s="24"/>
      <c r="E10270" s="24"/>
      <c r="F10270" s="24"/>
      <c r="G10270" s="24"/>
      <c r="H10270" s="24"/>
      <c r="I10270" s="24"/>
      <c r="J10270" s="24"/>
      <c r="K10270" s="24"/>
    </row>
    <row r="10271" customFormat="false" ht="15" hidden="false" customHeight="false" outlineLevel="0" collapsed="false">
      <c r="A10271" s="5" t="s">
        <v>153</v>
      </c>
      <c r="G10271" s="25" t="n">
        <f aca="false">G10256*CHOOSE($C$10243,Assumptions!$C$69,Assumptions!$C$88,Assumptions!$C$107)</f>
        <v>27.4944</v>
      </c>
      <c r="H10271" s="25" t="n">
        <f aca="false">H10256*CHOOSE($C$10243,Assumptions!$C$69,Assumptions!$C$88,Assumptions!$C$107)</f>
        <v>22.545408</v>
      </c>
      <c r="I10271" s="25" t="n">
        <f aca="false">I10256*CHOOSE($C$10243,Assumptions!$C$69,Assumptions!$C$88,Assumptions!$C$107)</f>
        <v>20.831956992</v>
      </c>
      <c r="J10271" s="25" t="n">
        <f aca="false">J10256*CHOOSE($C$10243,Assumptions!$C$69,Assumptions!$C$88,Assumptions!$C$107)</f>
        <v>19.58203957248</v>
      </c>
      <c r="K10271" s="25" t="n">
        <f aca="false">K10256*CHOOSE($C$10243,Assumptions!$C$69,Assumptions!$C$88,Assumptions!$C$107)</f>
        <v>18.4071171981312</v>
      </c>
    </row>
    <row r="10272" customFormat="false" ht="15" hidden="false" customHeight="false" outlineLevel="0" collapsed="false">
      <c r="A10272" s="5" t="s">
        <v>250</v>
      </c>
      <c r="G10272" s="25" t="n">
        <f aca="false">CHOOSE($C$10243,Assumptions!$C$70,Assumptions!$C$89,Assumptions!$C$108)*(G10256-F10256)+CHOOSE($C$10243,Assumptions!$C$71,Assumptions!$C$90,Assumptions!$C$109)*G10256</f>
        <v>-71.4816</v>
      </c>
      <c r="H10272" s="25" t="n">
        <f aca="false">CHOOSE($C$10243,Assumptions!$C$70,Assumptions!$C$89,Assumptions!$C$108)*(H10256-G10256)+CHOOSE($C$10243,Assumptions!$C$71,Assumptions!$C$90,Assumptions!$C$109)*H10256</f>
        <v>-28.662912</v>
      </c>
      <c r="I10272" s="25" t="n">
        <f aca="false">CHOOSE($C$10243,Assumptions!$C$70,Assumptions!$C$89,Assumptions!$C$108)*(I10256-H10256)+CHOOSE($C$10243,Assumptions!$C$71,Assumptions!$C$90,Assumptions!$C$109)*I10256</f>
        <v>-5.038898688</v>
      </c>
      <c r="J10272" s="25" t="n">
        <f aca="false">CHOOSE($C$10243,Assumptions!$C$70,Assumptions!$C$89,Assumptions!$C$108)*(J10256-I10256)+CHOOSE($C$10243,Assumptions!$C$71,Assumptions!$C$90,Assumptions!$C$109)*J10256</f>
        <v>-2.03111580672</v>
      </c>
      <c r="K10272" s="25" t="n">
        <f aca="false">CHOOSE($C$10243,Assumptions!$C$70,Assumptions!$C$89,Assumptions!$C$108)*(K10256-J10256)+CHOOSE($C$10243,Assumptions!$C$71,Assumptions!$C$90,Assumptions!$C$109)*K10256</f>
        <v>-1.9092488583168</v>
      </c>
    </row>
    <row r="10273" customFormat="false" ht="15" hidden="false" customHeight="false" outlineLevel="0" collapsed="false">
      <c r="A10273" s="2" t="s">
        <v>251</v>
      </c>
      <c r="G10273" s="16" t="n">
        <f aca="false">G10269+G10261+G10262+G10265-G10271-G10272</f>
        <v>-78.8688</v>
      </c>
      <c r="H10273" s="16" t="n">
        <f aca="false">H10269+H10261+H10262+H10265-H10271-H10272</f>
        <v>-121.8373248</v>
      </c>
      <c r="I10273" s="16" t="n">
        <f aca="false">I10269+I10261+I10262+I10265-I10271-I10272</f>
        <v>-142.318521984</v>
      </c>
      <c r="J10273" s="16" t="n">
        <f aca="false">J10269+J10261+J10262+J10265-J10271-J10272</f>
        <v>-144.19198583296</v>
      </c>
      <c r="K10273" s="16" t="n">
        <f aca="false">K10269+K10261+K10262+K10265-K10271-K10272</f>
        <v>-143.207656890982</v>
      </c>
    </row>
    <row r="10275" customFormat="false" ht="15" hidden="false" customHeight="false" outlineLevel="0" collapsed="false">
      <c r="A10275" s="23" t="s">
        <v>253</v>
      </c>
      <c r="B10275" s="24"/>
      <c r="C10275" s="24"/>
      <c r="D10275" s="24"/>
      <c r="E10275" s="24"/>
      <c r="F10275" s="24"/>
      <c r="G10275" s="24"/>
      <c r="H10275" s="24"/>
      <c r="I10275" s="24"/>
      <c r="J10275" s="24"/>
      <c r="K10275" s="24"/>
    </row>
    <row r="10276" customFormat="false" ht="15" hidden="false" customHeight="false" outlineLevel="0" collapsed="false">
      <c r="A10276" s="5" t="s">
        <v>254</v>
      </c>
      <c r="G10276" s="29" t="n">
        <f aca="false">Assumptions!$G$49</f>
        <v>0.0425</v>
      </c>
      <c r="H10276" s="29" t="n">
        <f aca="false">Assumptions!$H$49</f>
        <v>0.04</v>
      </c>
      <c r="I10276" s="29" t="n">
        <f aca="false">Assumptions!$I$49</f>
        <v>0.0375</v>
      </c>
      <c r="J10276" s="29" t="n">
        <f aca="false">Assumptions!$J$49</f>
        <v>0.0375</v>
      </c>
      <c r="K10276" s="29" t="n">
        <f aca="false">Assumptions!$K$49</f>
        <v>0.0375</v>
      </c>
    </row>
    <row r="10277" customFormat="false" ht="15" hidden="false" customHeight="false" outlineLevel="0" collapsed="false">
      <c r="A10277" s="5" t="s">
        <v>255</v>
      </c>
      <c r="C10277" s="30" t="n">
        <f aca="false">CHOOSE($C$10243,Assumptions!$C$72,Assumptions!$C$91,Assumptions!$C$110)+$C$10246</f>
        <v>0.03</v>
      </c>
    </row>
    <row r="10278" customFormat="false" ht="15" hidden="false" customHeight="false" outlineLevel="0" collapsed="false">
      <c r="A10278" s="5" t="s">
        <v>256</v>
      </c>
      <c r="C10278" s="30" t="n">
        <f aca="false">CHOOSE($C$10243,Assumptions!$C$73,Assumptions!$C$92,Assumptions!$C$111)</f>
        <v>0.16</v>
      </c>
    </row>
    <row r="10279" customFormat="false" ht="15" hidden="false" customHeight="false" outlineLevel="0" collapsed="false">
      <c r="A10279" s="5" t="s">
        <v>257</v>
      </c>
      <c r="C10279" s="31" t="n">
        <f aca="false">CHOOSE($C$10243,Assumptions!$C$74,Assumptions!$C$93,Assumptions!$C$112)</f>
        <v>5</v>
      </c>
    </row>
    <row r="10280" customFormat="false" ht="15" hidden="false" customHeight="false" outlineLevel="0" collapsed="false">
      <c r="A10280" s="5" t="s">
        <v>258</v>
      </c>
      <c r="C10280" s="31" t="n">
        <f aca="false">CHOOSE($C$10243,Assumptions!$C$75,Assumptions!$C$94,Assumptions!$C$113)</f>
        <v>2</v>
      </c>
    </row>
    <row r="10281" customFormat="false" ht="15" hidden="false" customHeight="false" outlineLevel="0" collapsed="false">
      <c r="A10281" s="5" t="s">
        <v>259</v>
      </c>
      <c r="G10281" s="25" t="n">
        <f aca="false">G10286+G10299+G10312+G10325</f>
        <v>1250</v>
      </c>
      <c r="H10281" s="25" t="n">
        <f aca="false">H10286+H10299+H10312+H10325</f>
        <v>1283.8688</v>
      </c>
      <c r="I10281" s="25" t="n">
        <f aca="false">I10286+I10299+I10312+I10325</f>
        <v>1278.6688</v>
      </c>
      <c r="J10281" s="25" t="n">
        <f aca="false">J10286+J10299+J10312+J10325</f>
        <v>1273.4688</v>
      </c>
      <c r="K10281" s="25" t="n">
        <f aca="false">K10286+K10299+K10312+K10325</f>
        <v>1268.2688</v>
      </c>
    </row>
    <row r="10282" customFormat="false" ht="15" hidden="false" customHeight="false" outlineLevel="0" collapsed="false">
      <c r="A10282" s="5" t="s">
        <v>260</v>
      </c>
      <c r="G10282" s="25" t="n">
        <f aca="false">F10372</f>
        <v>45</v>
      </c>
      <c r="H10282" s="25" t="n">
        <f aca="false">G10372</f>
        <v>0</v>
      </c>
      <c r="I10282" s="25" t="n">
        <f aca="false">H10372</f>
        <v>-127.0373248</v>
      </c>
      <c r="J10282" s="25" t="n">
        <f aca="false">I10372</f>
        <v>-274.555846784</v>
      </c>
      <c r="K10282" s="25" t="n">
        <f aca="false">J10372</f>
        <v>-423.94783261696</v>
      </c>
    </row>
    <row r="10283" customFormat="false" ht="15" hidden="false" customHeight="false" outlineLevel="0" collapsed="false">
      <c r="A10283" s="5" t="s">
        <v>261</v>
      </c>
      <c r="G10283" s="25" t="n">
        <f aca="false">G10286*IF(G10287=1,$C$10278,IF(Assumptions!$I$53=1,MAX(G10276,Assumptions!$G$53)+Assumptions!$F$53+$C$10277,Assumptions!$E$53))+G10299*IF(G10300=1,$C$10278,IF(Assumptions!$I$54=1,MAX(G10276,Assumptions!$G$54)+Assumptions!$F$54+$C$10277,Assumptions!$E$54))+G10312*IF(G10313=1,$C$10278,IF(Assumptions!$I$55=1,MAX(G10276,Assumptions!$G$55)+Assumptions!$F$55+$C$10277,Assumptions!$E$55))+G10325*IF(G10326=1,$C$10278,IF(Assumptions!$I$56=1,MAX(G10276,Assumptions!$G$56)+Assumptions!$F$56+$C$10277,Assumptions!$E$56))</f>
        <v>140.04</v>
      </c>
      <c r="H10283" s="25" t="n">
        <f aca="false">H10286*IF(OR(H10287=1,G10438=1),$C$10278,IF(Assumptions!$I$53=1,MAX(H10276,Assumptions!$G$53)+Assumptions!$F$53+$C$10277,Assumptions!$E$53))+H10299*IF(OR(H10300=1,G10439=1),$C$10278,IF(Assumptions!$I$54=1,MAX(H10276,Assumptions!$G$54)+Assumptions!$F$54+$C$10277,Assumptions!$E$54))+H10312*IF(OR(H10313=1,G10440=1),$C$10278,IF(Assumptions!$I$55=1,MAX(H10276,Assumptions!$G$55)+Assumptions!$F$55+$C$10277,Assumptions!$E$55))+H10325*IF(OR(H10326=1,G10441=1),$C$10278,IF(Assumptions!$I$56=1,MAX(H10276,Assumptions!$G$56)+Assumptions!$F$56+$C$10277,Assumptions!$E$56))</f>
        <v>177.732408</v>
      </c>
      <c r="I10283" s="25" t="n">
        <f aca="false">I10286*IF(OR(I10287=1,H10438=1),$C$10278,IF(Assumptions!$I$53=1,MAX(I10276,Assumptions!$G$53)+Assumptions!$F$53+$C$10277,Assumptions!$E$53))+I10299*IF(OR(I10300=1,H10439=1),$C$10278,IF(Assumptions!$I$54=1,MAX(I10276,Assumptions!$G$54)+Assumptions!$F$54+$C$10277,Assumptions!$E$54))+I10312*IF(OR(I10313=1,H10440=1),$C$10278,IF(Assumptions!$I$55=1,MAX(I10276,Assumptions!$G$55)+Assumptions!$F$55+$C$10277,Assumptions!$E$55))+I10325*IF(OR(I10326=1,H10441=1),$C$10278,IF(Assumptions!$I$56=1,MAX(I10276,Assumptions!$G$56)+Assumptions!$F$56+$C$10277,Assumptions!$E$56))</f>
        <v>155.8526368</v>
      </c>
      <c r="J10283" s="25" t="n">
        <f aca="false">J10286*IF(OR(J10287=1,I10438=1),$C$10278,IF(Assumptions!$I$53=1,MAX(J10276,Assumptions!$G$53)+Assumptions!$F$53+$C$10277,Assumptions!$E$53))+J10299*IF(OR(J10300=1,I10439=1),$C$10278,IF(Assumptions!$I$54=1,MAX(J10276,Assumptions!$G$54)+Assumptions!$F$54+$C$10277,Assumptions!$E$54))+J10312*IF(OR(J10313=1,I10440=1),$C$10278,IF(Assumptions!$I$55=1,MAX(J10276,Assumptions!$G$55)+Assumptions!$F$55+$C$10277,Assumptions!$E$55))+J10325*IF(OR(J10326=1,I10441=1),$C$10278,IF(Assumptions!$I$56=1,MAX(J10276,Assumptions!$G$56)+Assumptions!$F$56+$C$10277,Assumptions!$E$56))</f>
        <v>151.3798368</v>
      </c>
      <c r="K10283" s="25" t="n">
        <f aca="false">K10286*IF(OR(K10287=1,J10438=1),$C$10278,IF(Assumptions!$I$53=1,MAX(K10276,Assumptions!$G$53)+Assumptions!$F$53+$C$10277,Assumptions!$E$53))+K10299*IF(OR(K10300=1,J10439=1),$C$10278,IF(Assumptions!$I$54=1,MAX(K10276,Assumptions!$G$54)+Assumptions!$F$54+$C$10277,Assumptions!$E$54))+K10312*IF(OR(K10313=1,J10440=1),$C$10278,IF(Assumptions!$I$55=1,MAX(K10276,Assumptions!$G$55)+Assumptions!$F$55+$C$10277,Assumptions!$E$55))+K10325*IF(OR(K10326=1,J10441=1),$C$10278,IF(Assumptions!$I$56=1,MAX(K10276,Assumptions!$G$56)+Assumptions!$F$56+$C$10277,Assumptions!$E$56))</f>
        <v>138.2142368</v>
      </c>
    </row>
    <row r="10284" customFormat="false" ht="15" hidden="false" customHeight="false" outlineLevel="0" collapsed="false">
      <c r="A10284" s="5" t="s">
        <v>262</v>
      </c>
      <c r="G10284" s="20" t="n">
        <f aca="false">IF(G10260&lt;=0,0,IF(AND((G10281-G10282)/G10260&lt;=$C$10279,G10260/G10283&gt;=$C$10280),1,0))</f>
        <v>0</v>
      </c>
      <c r="H10284" s="20" t="n">
        <f aca="false">IF(H10260&lt;=0,0,IF(AND((H10281-H10282)/H10260&lt;=$C$10279,H10260/H10283&gt;=$C$10280),1,0))</f>
        <v>0</v>
      </c>
      <c r="I10284" s="20" t="n">
        <f aca="false">IF(I10260&lt;=0,0,IF(AND((I10281-I10282)/I10260&lt;=$C$10279,I10260/I10283&gt;=$C$10280),1,0))</f>
        <v>0</v>
      </c>
      <c r="J10284" s="20" t="n">
        <f aca="false">IF(J10260&lt;=0,0,IF(AND((J10281-J10282)/J10260&lt;=$C$10279,J10260/J10283&gt;=$C$10280),1,0))</f>
        <v>0</v>
      </c>
      <c r="K10284" s="20" t="n">
        <f aca="false">IF(K10260&lt;=0,0,IF(AND((K10281-K10282)/K10260&lt;=$C$10279,K10260/K10283&gt;=$C$10280),1,0))</f>
        <v>0</v>
      </c>
    </row>
    <row r="10285" customFormat="false" ht="15" hidden="false" customHeight="false" outlineLevel="0" collapsed="false">
      <c r="A10285" s="23" t="s">
        <v>263</v>
      </c>
      <c r="B10285" s="24"/>
      <c r="C10285" s="24"/>
      <c r="D10285" s="24"/>
      <c r="E10285" s="24"/>
      <c r="F10285" s="24"/>
      <c r="G10285" s="24"/>
      <c r="H10285" s="24"/>
      <c r="I10285" s="24"/>
      <c r="J10285" s="24"/>
      <c r="K10285" s="24"/>
    </row>
    <row r="10286" customFormat="false" ht="15" hidden="false" customHeight="false" outlineLevel="0" collapsed="false">
      <c r="A10286" s="5" t="s">
        <v>264</v>
      </c>
      <c r="G10286" s="25" t="n">
        <f aca="false">F10297</f>
        <v>180</v>
      </c>
      <c r="H10286" s="25" t="n">
        <f aca="false">G10297</f>
        <v>219.0688</v>
      </c>
      <c r="I10286" s="25" t="n">
        <f aca="false">H10297</f>
        <v>219.0688</v>
      </c>
      <c r="J10286" s="25" t="n">
        <f aca="false">I10297</f>
        <v>219.0688</v>
      </c>
      <c r="K10286" s="25" t="n">
        <f aca="false">J10297</f>
        <v>219.0688</v>
      </c>
    </row>
    <row r="10287" customFormat="false" ht="15" hidden="false" customHeight="false" outlineLevel="0" collapsed="false">
      <c r="A10287" s="5" t="s">
        <v>265</v>
      </c>
      <c r="G10287" s="20" t="n">
        <f aca="false">IF(G10250=Assumptions!$K$53,1,0)</f>
        <v>0</v>
      </c>
      <c r="H10287" s="20" t="n">
        <f aca="false">IF(H10250=Assumptions!$K$53,1,0)</f>
        <v>1</v>
      </c>
      <c r="I10287" s="20" t="n">
        <f aca="false">IF(I10250=Assumptions!$K$53,1,0)</f>
        <v>0</v>
      </c>
      <c r="J10287" s="20" t="n">
        <f aca="false">IF(J10250=Assumptions!$K$53,1,0)</f>
        <v>0</v>
      </c>
      <c r="K10287" s="20" t="n">
        <f aca="false">IF(K10250=Assumptions!$K$53,1,0)</f>
        <v>0</v>
      </c>
    </row>
    <row r="10289" customFormat="false" ht="15" hidden="false" customHeight="false" outlineLevel="0" collapsed="false">
      <c r="A10289" s="5" t="s">
        <v>266</v>
      </c>
      <c r="G10289" s="30" t="n">
        <f aca="false">IF(Assumptions!$I$53=1,MAX(G10276,Assumptions!$G$53)+Assumptions!$F$53+$C$10277,Assumptions!$E$53)</f>
        <v>0.116</v>
      </c>
      <c r="H10289" s="30" t="n">
        <f aca="false">IF(G10438=1,$C$10278,IF(Assumptions!$I$53=1,MAX(H10276,Assumptions!$G$53)+Assumptions!$F$53+$C$10277,Assumptions!$E$53))</f>
        <v>0.1135</v>
      </c>
      <c r="I10289" s="30" t="n">
        <f aca="false">IF(H10438=1,$C$10278,IF(Assumptions!$I$53=1,MAX(I10276,Assumptions!$G$53)+Assumptions!$F$53+$C$10277,Assumptions!$E$53))</f>
        <v>0.111</v>
      </c>
      <c r="J10289" s="30" t="n">
        <f aca="false">IF(I10438=1,$C$10278,IF(Assumptions!$I$53=1,MAX(J10276,Assumptions!$G$53)+Assumptions!$F$53+$C$10277,Assumptions!$E$53))</f>
        <v>0.111</v>
      </c>
      <c r="K10289" s="30" t="n">
        <f aca="false">IF(J10438=1,$C$10278,IF(Assumptions!$I$53=1,MAX(K10276,Assumptions!$G$53)+Assumptions!$F$53+$C$10277,Assumptions!$E$53))</f>
        <v>0.111</v>
      </c>
    </row>
    <row r="10290" customFormat="false" ht="15" hidden="false" customHeight="false" outlineLevel="0" collapsed="false">
      <c r="A10290" s="5" t="s">
        <v>267</v>
      </c>
      <c r="G10290" s="25" t="n">
        <f aca="false">G10286*G10289</f>
        <v>20.88</v>
      </c>
      <c r="H10290" s="25" t="n">
        <f aca="false">H10286*H10289</f>
        <v>24.8643088</v>
      </c>
      <c r="I10290" s="25" t="n">
        <f aca="false">I10286*I10289</f>
        <v>24.3166368</v>
      </c>
      <c r="J10290" s="25" t="n">
        <f aca="false">J10286*J10289</f>
        <v>24.3166368</v>
      </c>
      <c r="K10290" s="25" t="n">
        <f aca="false">K10286*K10289</f>
        <v>24.3166368</v>
      </c>
    </row>
    <row r="10291" customFormat="false" ht="15" hidden="false" customHeight="false" outlineLevel="0" collapsed="false">
      <c r="A10291" s="5" t="s">
        <v>268</v>
      </c>
      <c r="G10291" s="25" t="n">
        <f aca="false">G10286*Assumptions!$H$53</f>
        <v>0</v>
      </c>
      <c r="H10291" s="25" t="n">
        <f aca="false">H10286*Assumptions!$H$53</f>
        <v>0</v>
      </c>
      <c r="I10291" s="25" t="n">
        <f aca="false">I10286*Assumptions!$H$53</f>
        <v>0</v>
      </c>
      <c r="J10291" s="25" t="n">
        <f aca="false">J10286*Assumptions!$H$53</f>
        <v>0</v>
      </c>
      <c r="K10291" s="25" t="n">
        <f aca="false">K10286*Assumptions!$H$53</f>
        <v>0</v>
      </c>
    </row>
    <row r="10292" customFormat="false" ht="15" hidden="false" customHeight="false" outlineLevel="0" collapsed="false">
      <c r="A10292" s="5" t="s">
        <v>269</v>
      </c>
      <c r="G10292" s="25" t="n">
        <f aca="false">MIN(G10286,Assumptions!$L$53*Assumptions!$C$53)</f>
        <v>0</v>
      </c>
      <c r="H10292" s="25" t="n">
        <f aca="false">MIN(H10286,Assumptions!$L$53*Assumptions!$C$53)</f>
        <v>0</v>
      </c>
      <c r="I10292" s="25" t="n">
        <f aca="false">MIN(I10286,Assumptions!$L$53*Assumptions!$C$53)</f>
        <v>0</v>
      </c>
      <c r="J10292" s="25" t="n">
        <f aca="false">MIN(J10286,Assumptions!$L$53*Assumptions!$C$53)</f>
        <v>0</v>
      </c>
      <c r="K10292" s="25" t="n">
        <f aca="false">MIN(K10286,Assumptions!$L$53*Assumptions!$C$53)</f>
        <v>0</v>
      </c>
    </row>
    <row r="10293" customFormat="false" ht="15" hidden="false" customHeight="false" outlineLevel="0" collapsed="false">
      <c r="A10293" s="5" t="s">
        <v>270</v>
      </c>
      <c r="G10293" s="25" t="n">
        <f aca="false">IF(AND(Assumptions!$P$53=1,G10250&lt;Assumptions!$K$53),MIN(MAX(0,-G10364),MAX(0,Assumptions!$D$53-G10286)),0)</f>
        <v>39.0688</v>
      </c>
      <c r="H10293" s="25" t="n">
        <f aca="false">IF(AND(Assumptions!$P$53=1,OR(H10250&lt;Assumptions!$K$53,G10438=1)),MIN(MAX(0,-H10364),MAX(0,Assumptions!$D$53-H10286)),0)</f>
        <v>0</v>
      </c>
      <c r="I10293" s="25" t="n">
        <f aca="false">IF(AND(Assumptions!$P$53=1,OR(I10250&lt;Assumptions!$K$53,H10438=1)),MIN(MAX(0,-I10364),MAX(0,Assumptions!$D$53-I10286)),0)</f>
        <v>0</v>
      </c>
      <c r="J10293" s="25" t="n">
        <f aca="false">IF(AND(Assumptions!$P$53=1,OR(J10250&lt;Assumptions!$K$53,I10438=1)),MIN(MAX(0,-J10364),MAX(0,Assumptions!$D$53-J10286)),0)</f>
        <v>0</v>
      </c>
      <c r="K10293" s="25" t="n">
        <f aca="false">IF(AND(Assumptions!$P$53=1,OR(K10250&lt;Assumptions!$K$53,J10438=1)),MIN(MAX(0,-K10364),MAX(0,Assumptions!$D$53-K10286)),0)</f>
        <v>0</v>
      </c>
    </row>
    <row r="10294" customFormat="false" ht="15" hidden="false" customHeight="false" outlineLevel="0" collapsed="false">
      <c r="A10294" s="5" t="s">
        <v>271</v>
      </c>
      <c r="G10294" s="25" t="n">
        <f aca="false">G10287*MIN(G10286-G10292+G10291,MAX(0,G10366-Assumptions!$C$12*G10284))</f>
        <v>0</v>
      </c>
      <c r="H10294" s="25" t="n">
        <f aca="false">H10287*MIN(H10286-H10292+H10291,MAX(0,H10366-Assumptions!$C$12*H10284))</f>
        <v>0</v>
      </c>
      <c r="I10294" s="25" t="n">
        <f aca="false">I10287*MIN(I10286-I10292+I10291,MAX(0,I10366-Assumptions!$C$12*I10284))</f>
        <v>0</v>
      </c>
      <c r="J10294" s="25" t="n">
        <f aca="false">J10287*MIN(J10286-J10292+J10291,MAX(0,J10366-Assumptions!$C$12*J10284))</f>
        <v>0</v>
      </c>
      <c r="K10294" s="25" t="n">
        <f aca="false">K10287*MIN(K10286-K10292+K10291,MAX(0,K10366-Assumptions!$C$12*K10284))</f>
        <v>0</v>
      </c>
    </row>
    <row r="10295" customFormat="false" ht="15" hidden="false" customHeight="false" outlineLevel="0" collapsed="false">
      <c r="A10295" s="5" t="s">
        <v>272</v>
      </c>
      <c r="G10295" s="25" t="n">
        <f aca="false">Assumptions!$N$53*MIN(G10286+G10293+G10291-G10292-G10294,MAX(0,G10370))</f>
        <v>0</v>
      </c>
      <c r="H10295" s="25" t="n">
        <f aca="false">Assumptions!$N$53*MIN(H10286+H10293+H10291-H10292-H10294,MAX(0,H10370))</f>
        <v>0</v>
      </c>
      <c r="I10295" s="25" t="n">
        <f aca="false">Assumptions!$N$53*MIN(I10286+I10293+I10291-I10292-I10294,MAX(0,I10370))</f>
        <v>0</v>
      </c>
      <c r="J10295" s="25" t="n">
        <f aca="false">Assumptions!$N$53*MIN(J10286+J10293+J10291-J10292-J10294,MAX(0,J10370))</f>
        <v>0</v>
      </c>
      <c r="K10295" s="25" t="n">
        <f aca="false">Assumptions!$N$53*MIN(K10286+K10293+K10291-K10292-K10294,MAX(0,K10370))</f>
        <v>0</v>
      </c>
    </row>
    <row r="10296" customFormat="false" ht="15" hidden="false" customHeight="false" outlineLevel="0" collapsed="false">
      <c r="A10296" s="5" t="s">
        <v>273</v>
      </c>
      <c r="G10296" s="25" t="n">
        <f aca="false">G10287*(1-G10284)*(G10286-G10292+G10291-G10294)</f>
        <v>0</v>
      </c>
      <c r="H10296" s="25" t="n">
        <f aca="false">H10287*(1-H10284)*(H10286-H10292+H10291-H10294)</f>
        <v>219.0688</v>
      </c>
      <c r="I10296" s="25" t="n">
        <f aca="false">I10287*(1-I10284)*(I10286-I10292+I10291-I10294)</f>
        <v>0</v>
      </c>
      <c r="J10296" s="25" t="n">
        <f aca="false">J10287*(1-J10284)*(J10286-J10292+J10291-J10294)</f>
        <v>0</v>
      </c>
      <c r="K10296" s="25" t="n">
        <f aca="false">K10287*(1-K10284)*(K10286-K10292+K10291-K10294)</f>
        <v>0</v>
      </c>
    </row>
    <row r="10297" customFormat="false" ht="15" hidden="false" customHeight="false" outlineLevel="0" collapsed="false">
      <c r="A10297" s="2" t="s">
        <v>274</v>
      </c>
      <c r="F10297" s="27" t="n">
        <f aca="false">Assumptions!$C$53</f>
        <v>180</v>
      </c>
      <c r="G10297" s="16" t="n">
        <f aca="false">G10286+G10293+G10291-G10292-G10294-G10295</f>
        <v>219.0688</v>
      </c>
      <c r="H10297" s="16" t="n">
        <f aca="false">H10286+H10293+H10291-H10292-H10294-H10295</f>
        <v>219.0688</v>
      </c>
      <c r="I10297" s="16" t="n">
        <f aca="false">I10286+I10293+I10291-I10292-I10294-I10295</f>
        <v>219.0688</v>
      </c>
      <c r="J10297" s="16" t="n">
        <f aca="false">J10286+J10293+J10291-J10292-J10294-J10295</f>
        <v>219.0688</v>
      </c>
      <c r="K10297" s="16" t="n">
        <f aca="false">K10286+K10293+K10291-K10292-K10294-K10295</f>
        <v>219.0688</v>
      </c>
    </row>
    <row r="10298" customFormat="false" ht="15" hidden="false" customHeight="false" outlineLevel="0" collapsed="false">
      <c r="A10298" s="23" t="s">
        <v>275</v>
      </c>
      <c r="B10298" s="24"/>
      <c r="C10298" s="24"/>
      <c r="D10298" s="24"/>
      <c r="E10298" s="24"/>
      <c r="F10298" s="24"/>
      <c r="G10298" s="24"/>
      <c r="H10298" s="24"/>
      <c r="I10298" s="24"/>
      <c r="J10298" s="24"/>
      <c r="K10298" s="24"/>
    </row>
    <row r="10299" customFormat="false" ht="15" hidden="false" customHeight="false" outlineLevel="0" collapsed="false">
      <c r="A10299" s="5" t="s">
        <v>264</v>
      </c>
      <c r="G10299" s="25" t="n">
        <f aca="false">F10310</f>
        <v>520</v>
      </c>
      <c r="H10299" s="25" t="n">
        <f aca="false">G10310</f>
        <v>514.8</v>
      </c>
      <c r="I10299" s="25" t="n">
        <f aca="false">H10310</f>
        <v>509.6</v>
      </c>
      <c r="J10299" s="25" t="n">
        <f aca="false">I10310</f>
        <v>504.4</v>
      </c>
      <c r="K10299" s="25" t="n">
        <f aca="false">J10310</f>
        <v>499.2</v>
      </c>
    </row>
    <row r="10300" customFormat="false" ht="15" hidden="false" customHeight="false" outlineLevel="0" collapsed="false">
      <c r="A10300" s="5" t="s">
        <v>265</v>
      </c>
      <c r="G10300" s="20" t="n">
        <f aca="false">IF(G10250=Assumptions!$K$54,1,0)</f>
        <v>0</v>
      </c>
      <c r="H10300" s="20" t="n">
        <f aca="false">IF(H10250=Assumptions!$K$54,1,0)</f>
        <v>0</v>
      </c>
      <c r="I10300" s="20" t="n">
        <f aca="false">IF(I10250=Assumptions!$K$54,1,0)</f>
        <v>1</v>
      </c>
      <c r="J10300" s="20" t="n">
        <f aca="false">IF(J10250=Assumptions!$K$54,1,0)</f>
        <v>0</v>
      </c>
      <c r="K10300" s="20" t="n">
        <f aca="false">IF(K10250=Assumptions!$K$54,1,0)</f>
        <v>0</v>
      </c>
    </row>
    <row r="10302" customFormat="false" ht="15" hidden="false" customHeight="false" outlineLevel="0" collapsed="false">
      <c r="A10302" s="5" t="s">
        <v>266</v>
      </c>
      <c r="G10302" s="30" t="n">
        <f aca="false">IF(Assumptions!$I$54=1,MAX(G10276,Assumptions!$G$54)+Assumptions!$F$54+$C$10277,Assumptions!$E$54)</f>
        <v>0.133</v>
      </c>
      <c r="H10302" s="30" t="n">
        <f aca="false">IF(G10439=1,$C$10278,IF(Assumptions!$I$54=1,MAX(H10276,Assumptions!$G$54)+Assumptions!$F$54+$C$10277,Assumptions!$E$54))</f>
        <v>0.1305</v>
      </c>
      <c r="I10302" s="30" t="n">
        <f aca="false">IF(H10439=1,$C$10278,IF(Assumptions!$I$54=1,MAX(I10276,Assumptions!$G$54)+Assumptions!$F$54+$C$10277,Assumptions!$E$54))</f>
        <v>0.128</v>
      </c>
      <c r="J10302" s="30" t="n">
        <f aca="false">IF(I10439=1,$C$10278,IF(Assumptions!$I$54=1,MAX(J10276,Assumptions!$G$54)+Assumptions!$F$54+$C$10277,Assumptions!$E$54))</f>
        <v>0.128</v>
      </c>
      <c r="K10302" s="30" t="n">
        <f aca="false">IF(J10439=1,$C$10278,IF(Assumptions!$I$54=1,MAX(K10276,Assumptions!$G$54)+Assumptions!$F$54+$C$10277,Assumptions!$E$54))</f>
        <v>0.128</v>
      </c>
    </row>
    <row r="10303" customFormat="false" ht="15" hidden="false" customHeight="false" outlineLevel="0" collapsed="false">
      <c r="A10303" s="5" t="s">
        <v>267</v>
      </c>
      <c r="G10303" s="25" t="n">
        <f aca="false">G10299*G10302</f>
        <v>69.16</v>
      </c>
      <c r="H10303" s="25" t="n">
        <f aca="false">H10299*H10302</f>
        <v>67.1814</v>
      </c>
      <c r="I10303" s="25" t="n">
        <f aca="false">I10299*I10302</f>
        <v>65.2288</v>
      </c>
      <c r="J10303" s="25" t="n">
        <f aca="false">J10299*J10302</f>
        <v>64.5632</v>
      </c>
      <c r="K10303" s="25" t="n">
        <f aca="false">K10299*K10302</f>
        <v>63.8976</v>
      </c>
    </row>
    <row r="10304" customFormat="false" ht="15" hidden="false" customHeight="false" outlineLevel="0" collapsed="false">
      <c r="A10304" s="5" t="s">
        <v>268</v>
      </c>
      <c r="G10304" s="25" t="n">
        <f aca="false">G10299*Assumptions!$H$54</f>
        <v>0</v>
      </c>
      <c r="H10304" s="25" t="n">
        <f aca="false">H10299*Assumptions!$H$54</f>
        <v>0</v>
      </c>
      <c r="I10304" s="25" t="n">
        <f aca="false">I10299*Assumptions!$H$54</f>
        <v>0</v>
      </c>
      <c r="J10304" s="25" t="n">
        <f aca="false">J10299*Assumptions!$H$54</f>
        <v>0</v>
      </c>
      <c r="K10304" s="25" t="n">
        <f aca="false">K10299*Assumptions!$H$54</f>
        <v>0</v>
      </c>
    </row>
    <row r="10305" customFormat="false" ht="15" hidden="false" customHeight="false" outlineLevel="0" collapsed="false">
      <c r="A10305" s="5" t="s">
        <v>269</v>
      </c>
      <c r="G10305" s="25" t="n">
        <f aca="false">MIN(G10299,Assumptions!$L$54*Assumptions!$C$54)</f>
        <v>5.2</v>
      </c>
      <c r="H10305" s="25" t="n">
        <f aca="false">MIN(H10299,Assumptions!$L$54*Assumptions!$C$54)</f>
        <v>5.2</v>
      </c>
      <c r="I10305" s="25" t="n">
        <f aca="false">MIN(I10299,Assumptions!$L$54*Assumptions!$C$54)</f>
        <v>5.2</v>
      </c>
      <c r="J10305" s="25" t="n">
        <f aca="false">MIN(J10299,Assumptions!$L$54*Assumptions!$C$54)</f>
        <v>5.2</v>
      </c>
      <c r="K10305" s="25" t="n">
        <f aca="false">MIN(K10299,Assumptions!$L$54*Assumptions!$C$54)</f>
        <v>5.2</v>
      </c>
    </row>
    <row r="10306" customFormat="false" ht="15" hidden="false" customHeight="false" outlineLevel="0" collapsed="false">
      <c r="A10306" s="5" t="s">
        <v>270</v>
      </c>
      <c r="G10306" s="25" t="n">
        <f aca="false">IF(AND(Assumptions!$P$54=1,G10250&lt;Assumptions!$K$54),MIN(MAX(0,-G10364),MAX(0,Assumptions!$D$54-G10299)),0)</f>
        <v>0</v>
      </c>
      <c r="H10306" s="25" t="n">
        <f aca="false">IF(AND(Assumptions!$P$54=1,OR(H10250&lt;Assumptions!$K$54,G10439=1)),MIN(MAX(0,-H10364),MAX(0,Assumptions!$D$54-H10299)),0)</f>
        <v>0</v>
      </c>
      <c r="I10306" s="25" t="n">
        <f aca="false">IF(AND(Assumptions!$P$54=1,OR(I10250&lt;Assumptions!$K$54,H10439=1)),MIN(MAX(0,-I10364),MAX(0,Assumptions!$D$54-I10299)),0)</f>
        <v>0</v>
      </c>
      <c r="J10306" s="25" t="n">
        <f aca="false">IF(AND(Assumptions!$P$54=1,OR(J10250&lt;Assumptions!$K$54,I10439=1)),MIN(MAX(0,-J10364),MAX(0,Assumptions!$D$54-J10299)),0)</f>
        <v>0</v>
      </c>
      <c r="K10306" s="25" t="n">
        <f aca="false">IF(AND(Assumptions!$P$54=1,OR(K10250&lt;Assumptions!$K$54,J10439=1)),MIN(MAX(0,-K10364),MAX(0,Assumptions!$D$54-K10299)),0)</f>
        <v>0</v>
      </c>
    </row>
    <row r="10307" customFormat="false" ht="15" hidden="false" customHeight="false" outlineLevel="0" collapsed="false">
      <c r="A10307" s="5" t="s">
        <v>271</v>
      </c>
      <c r="G10307" s="25" t="n">
        <f aca="false">G10300*MIN(G10299-G10305+G10304,MAX(0,G10366-Assumptions!$C$12*G10284-G10294))</f>
        <v>0</v>
      </c>
      <c r="H10307" s="25" t="n">
        <f aca="false">H10300*MIN(H10299-H10305+H10304,MAX(0,H10366-Assumptions!$C$12*H10284-H10294))</f>
        <v>0</v>
      </c>
      <c r="I10307" s="25" t="n">
        <f aca="false">I10300*MIN(I10299-I10305+I10304,MAX(0,I10366-Assumptions!$C$12*I10284-I10294))</f>
        <v>0</v>
      </c>
      <c r="J10307" s="25" t="n">
        <f aca="false">J10300*MIN(J10299-J10305+J10304,MAX(0,J10366-Assumptions!$C$12*J10284-J10294))</f>
        <v>0</v>
      </c>
      <c r="K10307" s="25" t="n">
        <f aca="false">K10300*MIN(K10299-K10305+K10304,MAX(0,K10366-Assumptions!$C$12*K10284-K10294))</f>
        <v>0</v>
      </c>
    </row>
    <row r="10308" customFormat="false" ht="15" hidden="false" customHeight="false" outlineLevel="0" collapsed="false">
      <c r="A10308" s="5" t="s">
        <v>272</v>
      </c>
      <c r="G10308" s="25" t="n">
        <f aca="false">Assumptions!$N$54*MIN(G10299+G10306+G10304-G10305-G10307,MAX(0,G10370-G10295))</f>
        <v>0</v>
      </c>
      <c r="H10308" s="25" t="n">
        <f aca="false">Assumptions!$N$54*MIN(H10299+H10306+H10304-H10305-H10307,MAX(0,H10370-H10295))</f>
        <v>0</v>
      </c>
      <c r="I10308" s="25" t="n">
        <f aca="false">Assumptions!$N$54*MIN(I10299+I10306+I10304-I10305-I10307,MAX(0,I10370-I10295))</f>
        <v>0</v>
      </c>
      <c r="J10308" s="25" t="n">
        <f aca="false">Assumptions!$N$54*MIN(J10299+J10306+J10304-J10305-J10307,MAX(0,J10370-J10295))</f>
        <v>0</v>
      </c>
      <c r="K10308" s="25" t="n">
        <f aca="false">Assumptions!$N$54*MIN(K10299+K10306+K10304-K10305-K10307,MAX(0,K10370-K10295))</f>
        <v>0</v>
      </c>
    </row>
    <row r="10309" customFormat="false" ht="15" hidden="false" customHeight="false" outlineLevel="0" collapsed="false">
      <c r="A10309" s="5" t="s">
        <v>273</v>
      </c>
      <c r="G10309" s="25" t="n">
        <f aca="false">G10300*(1-G10284)*(G10299-G10305+G10304-G10307)</f>
        <v>0</v>
      </c>
      <c r="H10309" s="25" t="n">
        <f aca="false">H10300*(1-H10284)*(H10299-H10305+H10304-H10307)</f>
        <v>0</v>
      </c>
      <c r="I10309" s="25" t="n">
        <f aca="false">I10300*(1-I10284)*(I10299-I10305+I10304-I10307)</f>
        <v>504.4</v>
      </c>
      <c r="J10309" s="25" t="n">
        <f aca="false">J10300*(1-J10284)*(J10299-J10305+J10304-J10307)</f>
        <v>0</v>
      </c>
      <c r="K10309" s="25" t="n">
        <f aca="false">K10300*(1-K10284)*(K10299-K10305+K10304-K10307)</f>
        <v>0</v>
      </c>
    </row>
    <row r="10310" customFormat="false" ht="15" hidden="false" customHeight="false" outlineLevel="0" collapsed="false">
      <c r="A10310" s="2" t="s">
        <v>274</v>
      </c>
      <c r="F10310" s="27" t="n">
        <f aca="false">Assumptions!$C$54</f>
        <v>520</v>
      </c>
      <c r="G10310" s="16" t="n">
        <f aca="false">G10299+G10306+G10304-G10305-G10307-G10308</f>
        <v>514.8</v>
      </c>
      <c r="H10310" s="16" t="n">
        <f aca="false">H10299+H10306+H10304-H10305-H10307-H10308</f>
        <v>509.6</v>
      </c>
      <c r="I10310" s="16" t="n">
        <f aca="false">I10299+I10306+I10304-I10305-I10307-I10308</f>
        <v>504.4</v>
      </c>
      <c r="J10310" s="16" t="n">
        <f aca="false">J10299+J10306+J10304-J10305-J10307-J10308</f>
        <v>499.2</v>
      </c>
      <c r="K10310" s="16" t="n">
        <f aca="false">K10299+K10306+K10304-K10305-K10307-K10308</f>
        <v>494</v>
      </c>
    </row>
    <row r="10311" customFormat="false" ht="15" hidden="false" customHeight="false" outlineLevel="0" collapsed="false">
      <c r="A10311" s="23" t="s">
        <v>276</v>
      </c>
      <c r="B10311" s="24"/>
      <c r="C10311" s="24"/>
      <c r="D10311" s="24"/>
      <c r="E10311" s="24"/>
      <c r="F10311" s="24"/>
      <c r="G10311" s="24"/>
      <c r="H10311" s="24"/>
      <c r="I10311" s="24"/>
      <c r="J10311" s="24"/>
      <c r="K10311" s="24"/>
    </row>
    <row r="10312" customFormat="false" ht="15" hidden="false" customHeight="false" outlineLevel="0" collapsed="false">
      <c r="A10312" s="5" t="s">
        <v>264</v>
      </c>
      <c r="G10312" s="25" t="n">
        <f aca="false">F10323</f>
        <v>250</v>
      </c>
      <c r="H10312" s="25" t="n">
        <f aca="false">G10323</f>
        <v>250</v>
      </c>
      <c r="I10312" s="25" t="n">
        <f aca="false">H10323</f>
        <v>250</v>
      </c>
      <c r="J10312" s="25" t="n">
        <f aca="false">I10323</f>
        <v>250</v>
      </c>
      <c r="K10312" s="25" t="n">
        <f aca="false">J10323</f>
        <v>250</v>
      </c>
    </row>
    <row r="10313" customFormat="false" ht="15" hidden="false" customHeight="false" outlineLevel="0" collapsed="false">
      <c r="A10313" s="5" t="s">
        <v>265</v>
      </c>
      <c r="G10313" s="20" t="n">
        <f aca="false">IF(G10250=Assumptions!$K$55,1,0)</f>
        <v>0</v>
      </c>
      <c r="H10313" s="20" t="n">
        <f aca="false">IF(H10250=Assumptions!$K$55,1,0)</f>
        <v>0</v>
      </c>
      <c r="I10313" s="20" t="n">
        <f aca="false">IF(I10250=Assumptions!$K$55,1,0)</f>
        <v>0</v>
      </c>
      <c r="J10313" s="20" t="n">
        <f aca="false">IF(J10250=Assumptions!$K$55,1,0)</f>
        <v>1</v>
      </c>
      <c r="K10313" s="20" t="n">
        <f aca="false">IF(K10250=Assumptions!$K$55,1,0)</f>
        <v>0</v>
      </c>
    </row>
    <row r="10315" customFormat="false" ht="15" hidden="false" customHeight="false" outlineLevel="0" collapsed="false">
      <c r="A10315" s="5" t="s">
        <v>266</v>
      </c>
      <c r="G10315" s="30" t="n">
        <f aca="false">IF(Assumptions!$I$55=1,MAX(G10276,Assumptions!$G$55)+Assumptions!$F$55+$C$10277,Assumptions!$E$55)</f>
        <v>0.11</v>
      </c>
      <c r="H10315" s="30" t="n">
        <f aca="false">IF(G10440=1,$C$10278,IF(Assumptions!$I$55=1,MAX(H10276,Assumptions!$G$55)+Assumptions!$F$55+$C$10277,Assumptions!$E$55))</f>
        <v>0.11</v>
      </c>
      <c r="I10315" s="30" t="n">
        <f aca="false">IF(H10440=1,$C$10278,IF(Assumptions!$I$55=1,MAX(I10276,Assumptions!$G$55)+Assumptions!$F$55+$C$10277,Assumptions!$E$55))</f>
        <v>0.11</v>
      </c>
      <c r="J10315" s="30" t="n">
        <f aca="false">IF(I10440=1,$C$10278,IF(Assumptions!$I$55=1,MAX(J10276,Assumptions!$G$55)+Assumptions!$F$55+$C$10277,Assumptions!$E$55))</f>
        <v>0.11</v>
      </c>
      <c r="K10315" s="30" t="n">
        <f aca="false">IF(J10440=1,$C$10278,IF(Assumptions!$I$55=1,MAX(K10276,Assumptions!$G$55)+Assumptions!$F$55+$C$10277,Assumptions!$E$55))</f>
        <v>0.11</v>
      </c>
    </row>
    <row r="10316" customFormat="false" ht="15" hidden="false" customHeight="false" outlineLevel="0" collapsed="false">
      <c r="A10316" s="5" t="s">
        <v>267</v>
      </c>
      <c r="G10316" s="25" t="n">
        <f aca="false">G10312*G10315</f>
        <v>27.5</v>
      </c>
      <c r="H10316" s="25" t="n">
        <f aca="false">H10312*H10315</f>
        <v>27.5</v>
      </c>
      <c r="I10316" s="25" t="n">
        <f aca="false">I10312*I10315</f>
        <v>27.5</v>
      </c>
      <c r="J10316" s="25" t="n">
        <f aca="false">J10312*J10315</f>
        <v>27.5</v>
      </c>
      <c r="K10316" s="25" t="n">
        <f aca="false">K10312*K10315</f>
        <v>27.5</v>
      </c>
    </row>
    <row r="10317" customFormat="false" ht="15" hidden="false" customHeight="false" outlineLevel="0" collapsed="false">
      <c r="A10317" s="5" t="s">
        <v>268</v>
      </c>
      <c r="G10317" s="25" t="n">
        <f aca="false">G10312*Assumptions!$H$55</f>
        <v>0</v>
      </c>
      <c r="H10317" s="25" t="n">
        <f aca="false">H10312*Assumptions!$H$55</f>
        <v>0</v>
      </c>
      <c r="I10317" s="25" t="n">
        <f aca="false">I10312*Assumptions!$H$55</f>
        <v>0</v>
      </c>
      <c r="J10317" s="25" t="n">
        <f aca="false">J10312*Assumptions!$H$55</f>
        <v>0</v>
      </c>
      <c r="K10317" s="25" t="n">
        <f aca="false">K10312*Assumptions!$H$55</f>
        <v>0</v>
      </c>
    </row>
    <row r="10318" customFormat="false" ht="15" hidden="false" customHeight="false" outlineLevel="0" collapsed="false">
      <c r="A10318" s="5" t="s">
        <v>269</v>
      </c>
      <c r="G10318" s="25" t="n">
        <f aca="false">MIN(G10312,Assumptions!$L$55*Assumptions!$C$55)</f>
        <v>0</v>
      </c>
      <c r="H10318" s="25" t="n">
        <f aca="false">MIN(H10312,Assumptions!$L$55*Assumptions!$C$55)</f>
        <v>0</v>
      </c>
      <c r="I10318" s="25" t="n">
        <f aca="false">MIN(I10312,Assumptions!$L$55*Assumptions!$C$55)</f>
        <v>0</v>
      </c>
      <c r="J10318" s="25" t="n">
        <f aca="false">MIN(J10312,Assumptions!$L$55*Assumptions!$C$55)</f>
        <v>0</v>
      </c>
      <c r="K10318" s="25" t="n">
        <f aca="false">MIN(K10312,Assumptions!$L$55*Assumptions!$C$55)</f>
        <v>0</v>
      </c>
    </row>
    <row r="10319" customFormat="false" ht="15" hidden="false" customHeight="false" outlineLevel="0" collapsed="false">
      <c r="A10319" s="5" t="s">
        <v>270</v>
      </c>
      <c r="G10319" s="25" t="n">
        <f aca="false">IF(AND(Assumptions!$P$55=1,G10250&lt;Assumptions!$K$55),MIN(MAX(0,-G10364),MAX(0,Assumptions!$D$55-G10312)),0)</f>
        <v>0</v>
      </c>
      <c r="H10319" s="25" t="n">
        <f aca="false">IF(AND(Assumptions!$P$55=1,OR(H10250&lt;Assumptions!$K$55,G10440=1)),MIN(MAX(0,-H10364),MAX(0,Assumptions!$D$55-H10312)),0)</f>
        <v>0</v>
      </c>
      <c r="I10319" s="25" t="n">
        <f aca="false">IF(AND(Assumptions!$P$55=1,OR(I10250&lt;Assumptions!$K$55,H10440=1)),MIN(MAX(0,-I10364),MAX(0,Assumptions!$D$55-I10312)),0)</f>
        <v>0</v>
      </c>
      <c r="J10319" s="25" t="n">
        <f aca="false">IF(AND(Assumptions!$P$55=1,OR(J10250&lt;Assumptions!$K$55,I10440=1)),MIN(MAX(0,-J10364),MAX(0,Assumptions!$D$55-J10312)),0)</f>
        <v>0</v>
      </c>
      <c r="K10319" s="25" t="n">
        <f aca="false">IF(AND(Assumptions!$P$55=1,OR(K10250&lt;Assumptions!$K$55,J10440=1)),MIN(MAX(0,-K10364),MAX(0,Assumptions!$D$55-K10312)),0)</f>
        <v>0</v>
      </c>
    </row>
    <row r="10320" customFormat="false" ht="15" hidden="false" customHeight="false" outlineLevel="0" collapsed="false">
      <c r="A10320" s="5" t="s">
        <v>271</v>
      </c>
      <c r="G10320" s="25" t="n">
        <f aca="false">G10313*MIN(G10312-G10318+G10317,MAX(0,G10366-Assumptions!$C$12*G10284-G10294-G10307))</f>
        <v>0</v>
      </c>
      <c r="H10320" s="25" t="n">
        <f aca="false">H10313*MIN(H10312-H10318+H10317,MAX(0,H10366-Assumptions!$C$12*H10284-H10294-H10307))</f>
        <v>0</v>
      </c>
      <c r="I10320" s="25" t="n">
        <f aca="false">I10313*MIN(I10312-I10318+I10317,MAX(0,I10366-Assumptions!$C$12*I10284-I10294-I10307))</f>
        <v>0</v>
      </c>
      <c r="J10320" s="25" t="n">
        <f aca="false">J10313*MIN(J10312-J10318+J10317,MAX(0,J10366-Assumptions!$C$12*J10284-J10294-J10307))</f>
        <v>0</v>
      </c>
      <c r="K10320" s="25" t="n">
        <f aca="false">K10313*MIN(K10312-K10318+K10317,MAX(0,K10366-Assumptions!$C$12*K10284-K10294-K10307))</f>
        <v>0</v>
      </c>
    </row>
    <row r="10321" customFormat="false" ht="15" hidden="false" customHeight="false" outlineLevel="0" collapsed="false">
      <c r="A10321" s="5" t="s">
        <v>272</v>
      </c>
      <c r="G10321" s="25" t="n">
        <f aca="false">Assumptions!$N$55*MIN(G10312+G10319+G10317-G10318-G10320,MAX(0,G10370-G10295-G10308))</f>
        <v>0</v>
      </c>
      <c r="H10321" s="25" t="n">
        <f aca="false">Assumptions!$N$55*MIN(H10312+H10319+H10317-H10318-H10320,MAX(0,H10370-H10295-H10308))</f>
        <v>0</v>
      </c>
      <c r="I10321" s="25" t="n">
        <f aca="false">Assumptions!$N$55*MIN(I10312+I10319+I10317-I10318-I10320,MAX(0,I10370-I10295-I10308))</f>
        <v>0</v>
      </c>
      <c r="J10321" s="25" t="n">
        <f aca="false">Assumptions!$N$55*MIN(J10312+J10319+J10317-J10318-J10320,MAX(0,J10370-J10295-J10308))</f>
        <v>0</v>
      </c>
      <c r="K10321" s="25" t="n">
        <f aca="false">Assumptions!$N$55*MIN(K10312+K10319+K10317-K10318-K10320,MAX(0,K10370-K10295-K10308))</f>
        <v>0</v>
      </c>
    </row>
    <row r="10322" customFormat="false" ht="15" hidden="false" customHeight="false" outlineLevel="0" collapsed="false">
      <c r="A10322" s="5" t="s">
        <v>273</v>
      </c>
      <c r="G10322" s="25" t="n">
        <f aca="false">G10313*(1-G10284)*(G10312-G10318+G10317-G10320)</f>
        <v>0</v>
      </c>
      <c r="H10322" s="25" t="n">
        <f aca="false">H10313*(1-H10284)*(H10312-H10318+H10317-H10320)</f>
        <v>0</v>
      </c>
      <c r="I10322" s="25" t="n">
        <f aca="false">I10313*(1-I10284)*(I10312-I10318+I10317-I10320)</f>
        <v>0</v>
      </c>
      <c r="J10322" s="25" t="n">
        <f aca="false">J10313*(1-J10284)*(J10312-J10318+J10317-J10320)</f>
        <v>250</v>
      </c>
      <c r="K10322" s="25" t="n">
        <f aca="false">K10313*(1-K10284)*(K10312-K10318+K10317-K10320)</f>
        <v>0</v>
      </c>
    </row>
    <row r="10323" customFormat="false" ht="15" hidden="false" customHeight="false" outlineLevel="0" collapsed="false">
      <c r="A10323" s="2" t="s">
        <v>274</v>
      </c>
      <c r="F10323" s="27" t="n">
        <f aca="false">Assumptions!$C$55</f>
        <v>250</v>
      </c>
      <c r="G10323" s="16" t="n">
        <f aca="false">G10312+G10319+G10317-G10318-G10320-G10321</f>
        <v>250</v>
      </c>
      <c r="H10323" s="16" t="n">
        <f aca="false">H10312+H10319+H10317-H10318-H10320-H10321</f>
        <v>250</v>
      </c>
      <c r="I10323" s="16" t="n">
        <f aca="false">I10312+I10319+I10317-I10318-I10320-I10321</f>
        <v>250</v>
      </c>
      <c r="J10323" s="16" t="n">
        <f aca="false">J10312+J10319+J10317-J10318-J10320-J10321</f>
        <v>250</v>
      </c>
      <c r="K10323" s="16" t="n">
        <f aca="false">K10312+K10319+K10317-K10318-K10320-K10321</f>
        <v>250</v>
      </c>
    </row>
    <row r="10324" customFormat="false" ht="15" hidden="false" customHeight="false" outlineLevel="0" collapsed="false">
      <c r="A10324" s="23" t="s">
        <v>277</v>
      </c>
      <c r="B10324" s="24"/>
      <c r="C10324" s="24"/>
      <c r="D10324" s="24"/>
      <c r="E10324" s="24"/>
      <c r="F10324" s="24"/>
      <c r="G10324" s="24"/>
      <c r="H10324" s="24"/>
      <c r="I10324" s="24"/>
      <c r="J10324" s="24"/>
      <c r="K10324" s="24"/>
    </row>
    <row r="10325" customFormat="false" ht="15" hidden="false" customHeight="false" outlineLevel="0" collapsed="false">
      <c r="A10325" s="5" t="s">
        <v>264</v>
      </c>
      <c r="G10325" s="25" t="n">
        <f aca="false">F10336</f>
        <v>300</v>
      </c>
      <c r="H10325" s="25" t="n">
        <f aca="false">G10336</f>
        <v>300</v>
      </c>
      <c r="I10325" s="25" t="n">
        <f aca="false">H10336</f>
        <v>300</v>
      </c>
      <c r="J10325" s="25" t="n">
        <f aca="false">I10336</f>
        <v>300</v>
      </c>
      <c r="K10325" s="25" t="n">
        <f aca="false">J10336</f>
        <v>300</v>
      </c>
    </row>
    <row r="10326" customFormat="false" ht="15" hidden="false" customHeight="false" outlineLevel="0" collapsed="false">
      <c r="A10326" s="5" t="s">
        <v>265</v>
      </c>
      <c r="G10326" s="20" t="n">
        <f aca="false">IF(G10250=Assumptions!$K$56,1,0)</f>
        <v>0</v>
      </c>
      <c r="H10326" s="20" t="n">
        <f aca="false">IF(H10250=Assumptions!$K$56,1,0)</f>
        <v>1</v>
      </c>
      <c r="I10326" s="20" t="n">
        <f aca="false">IF(I10250=Assumptions!$K$56,1,0)</f>
        <v>0</v>
      </c>
      <c r="J10326" s="20" t="n">
        <f aca="false">IF(J10250=Assumptions!$K$56,1,0)</f>
        <v>0</v>
      </c>
      <c r="K10326" s="20" t="n">
        <f aca="false">IF(K10250=Assumptions!$K$56,1,0)</f>
        <v>0</v>
      </c>
    </row>
    <row r="10328" customFormat="false" ht="15" hidden="false" customHeight="false" outlineLevel="0" collapsed="false">
      <c r="A10328" s="5" t="s">
        <v>266</v>
      </c>
      <c r="G10328" s="30" t="n">
        <f aca="false">IF(Assumptions!$I$56=1,MAX(G10276,Assumptions!$G$56)+Assumptions!$F$56+$C$10277,Assumptions!$E$56)</f>
        <v>0.075</v>
      </c>
      <c r="H10328" s="30" t="n">
        <f aca="false">IF(G10441=1,$C$10278,IF(Assumptions!$I$56=1,MAX(H10276,Assumptions!$G$56)+Assumptions!$F$56+$C$10277,Assumptions!$E$56))</f>
        <v>0.075</v>
      </c>
      <c r="I10328" s="30" t="n">
        <f aca="false">IF(H10441=1,$C$10278,IF(Assumptions!$I$56=1,MAX(I10276,Assumptions!$G$56)+Assumptions!$F$56+$C$10277,Assumptions!$E$56))</f>
        <v>0.075</v>
      </c>
      <c r="J10328" s="30" t="n">
        <f aca="false">IF(I10441=1,$C$10278,IF(Assumptions!$I$56=1,MAX(J10276,Assumptions!$G$56)+Assumptions!$F$56+$C$10277,Assumptions!$E$56))</f>
        <v>0.075</v>
      </c>
      <c r="K10328" s="30" t="n">
        <f aca="false">IF(J10441=1,$C$10278,IF(Assumptions!$I$56=1,MAX(K10276,Assumptions!$G$56)+Assumptions!$F$56+$C$10277,Assumptions!$E$56))</f>
        <v>0.075</v>
      </c>
    </row>
    <row r="10329" customFormat="false" ht="15" hidden="false" customHeight="false" outlineLevel="0" collapsed="false">
      <c r="A10329" s="5" t="s">
        <v>267</v>
      </c>
      <c r="G10329" s="25" t="n">
        <f aca="false">G10325*G10328</f>
        <v>22.5</v>
      </c>
      <c r="H10329" s="25" t="n">
        <f aca="false">H10325*H10328</f>
        <v>22.5</v>
      </c>
      <c r="I10329" s="25" t="n">
        <f aca="false">I10325*I10328</f>
        <v>22.5</v>
      </c>
      <c r="J10329" s="25" t="n">
        <f aca="false">J10325*J10328</f>
        <v>22.5</v>
      </c>
      <c r="K10329" s="25" t="n">
        <f aca="false">K10325*K10328</f>
        <v>22.5</v>
      </c>
    </row>
    <row r="10330" customFormat="false" ht="15" hidden="false" customHeight="false" outlineLevel="0" collapsed="false">
      <c r="A10330" s="5" t="s">
        <v>268</v>
      </c>
      <c r="G10330" s="25" t="n">
        <f aca="false">G10325*Assumptions!$H$56</f>
        <v>0</v>
      </c>
      <c r="H10330" s="25" t="n">
        <f aca="false">H10325*Assumptions!$H$56</f>
        <v>0</v>
      </c>
      <c r="I10330" s="25" t="n">
        <f aca="false">I10325*Assumptions!$H$56</f>
        <v>0</v>
      </c>
      <c r="J10330" s="25" t="n">
        <f aca="false">J10325*Assumptions!$H$56</f>
        <v>0</v>
      </c>
      <c r="K10330" s="25" t="n">
        <f aca="false">K10325*Assumptions!$H$56</f>
        <v>0</v>
      </c>
    </row>
    <row r="10331" customFormat="false" ht="15" hidden="false" customHeight="false" outlineLevel="0" collapsed="false">
      <c r="A10331" s="5" t="s">
        <v>269</v>
      </c>
      <c r="G10331" s="25" t="n">
        <f aca="false">MIN(G10325,Assumptions!$L$56*Assumptions!$C$56)</f>
        <v>0</v>
      </c>
      <c r="H10331" s="25" t="n">
        <f aca="false">MIN(H10325,Assumptions!$L$56*Assumptions!$C$56)</f>
        <v>0</v>
      </c>
      <c r="I10331" s="25" t="n">
        <f aca="false">MIN(I10325,Assumptions!$L$56*Assumptions!$C$56)</f>
        <v>0</v>
      </c>
      <c r="J10331" s="25" t="n">
        <f aca="false">MIN(J10325,Assumptions!$L$56*Assumptions!$C$56)</f>
        <v>0</v>
      </c>
      <c r="K10331" s="25" t="n">
        <f aca="false">MIN(K10325,Assumptions!$L$56*Assumptions!$C$56)</f>
        <v>0</v>
      </c>
    </row>
    <row r="10332" customFormat="false" ht="15" hidden="false" customHeight="false" outlineLevel="0" collapsed="false">
      <c r="A10332" s="5" t="s">
        <v>270</v>
      </c>
      <c r="G10332" s="25" t="n">
        <f aca="false">IF(AND(Assumptions!$P$56=1,G10250&lt;Assumptions!$K$56),MIN(MAX(0,-G10364),MAX(0,Assumptions!$D$56-G10325)),0)</f>
        <v>0</v>
      </c>
      <c r="H10332" s="25" t="n">
        <f aca="false">IF(AND(Assumptions!$P$56=1,OR(H10250&lt;Assumptions!$K$56,G10441=1)),MIN(MAX(0,-H10364),MAX(0,Assumptions!$D$56-H10325)),0)</f>
        <v>0</v>
      </c>
      <c r="I10332" s="25" t="n">
        <f aca="false">IF(AND(Assumptions!$P$56=1,OR(I10250&lt;Assumptions!$K$56,H10441=1)),MIN(MAX(0,-I10364),MAX(0,Assumptions!$D$56-I10325)),0)</f>
        <v>0</v>
      </c>
      <c r="J10332" s="25" t="n">
        <f aca="false">IF(AND(Assumptions!$P$56=1,OR(J10250&lt;Assumptions!$K$56,I10441=1)),MIN(MAX(0,-J10364),MAX(0,Assumptions!$D$56-J10325)),0)</f>
        <v>0</v>
      </c>
      <c r="K10332" s="25" t="n">
        <f aca="false">IF(AND(Assumptions!$P$56=1,OR(K10250&lt;Assumptions!$K$56,J10441=1)),MIN(MAX(0,-K10364),MAX(0,Assumptions!$D$56-K10325)),0)</f>
        <v>0</v>
      </c>
    </row>
    <row r="10333" customFormat="false" ht="15" hidden="false" customHeight="false" outlineLevel="0" collapsed="false">
      <c r="A10333" s="5" t="s">
        <v>271</v>
      </c>
      <c r="G10333" s="25" t="n">
        <f aca="false">G10326*MIN(G10325-G10331+G10330,MAX(0,G10366-Assumptions!$C$12*G10284-G10294-G10307-G10320))</f>
        <v>0</v>
      </c>
      <c r="H10333" s="25" t="n">
        <f aca="false">H10326*MIN(H10325-H10331+H10330,MAX(0,H10366-Assumptions!$C$12*H10284-H10294-H10307-H10320))</f>
        <v>0</v>
      </c>
      <c r="I10333" s="25" t="n">
        <f aca="false">I10326*MIN(I10325-I10331+I10330,MAX(0,I10366-Assumptions!$C$12*I10284-I10294-I10307-I10320))</f>
        <v>0</v>
      </c>
      <c r="J10333" s="25" t="n">
        <f aca="false">J10326*MIN(J10325-J10331+J10330,MAX(0,J10366-Assumptions!$C$12*J10284-J10294-J10307-J10320))</f>
        <v>0</v>
      </c>
      <c r="K10333" s="25" t="n">
        <f aca="false">K10326*MIN(K10325-K10331+K10330,MAX(0,K10366-Assumptions!$C$12*K10284-K10294-K10307-K10320))</f>
        <v>0</v>
      </c>
    </row>
    <row r="10334" customFormat="false" ht="15" hidden="false" customHeight="false" outlineLevel="0" collapsed="false">
      <c r="A10334" s="5" t="s">
        <v>272</v>
      </c>
      <c r="G10334" s="25" t="n">
        <f aca="false">Assumptions!$N$56*MIN(G10325+G10332+G10330-G10331-G10333,MAX(0,G10370-G10295-G10308-G10321))</f>
        <v>0</v>
      </c>
      <c r="H10334" s="25" t="n">
        <f aca="false">Assumptions!$N$56*MIN(H10325+H10332+H10330-H10331-H10333,MAX(0,H10370-H10295-H10308-H10321))</f>
        <v>0</v>
      </c>
      <c r="I10334" s="25" t="n">
        <f aca="false">Assumptions!$N$56*MIN(I10325+I10332+I10330-I10331-I10333,MAX(0,I10370-I10295-I10308-I10321))</f>
        <v>0</v>
      </c>
      <c r="J10334" s="25" t="n">
        <f aca="false">Assumptions!$N$56*MIN(J10325+J10332+J10330-J10331-J10333,MAX(0,J10370-J10295-J10308-J10321))</f>
        <v>0</v>
      </c>
      <c r="K10334" s="25" t="n">
        <f aca="false">Assumptions!$N$56*MIN(K10325+K10332+K10330-K10331-K10333,MAX(0,K10370-K10295-K10308-K10321))</f>
        <v>0</v>
      </c>
    </row>
    <row r="10335" customFormat="false" ht="15" hidden="false" customHeight="false" outlineLevel="0" collapsed="false">
      <c r="A10335" s="5" t="s">
        <v>273</v>
      </c>
      <c r="G10335" s="25" t="n">
        <f aca="false">G10326*(1-G10284)*(G10325-G10331+G10330-G10333)</f>
        <v>0</v>
      </c>
      <c r="H10335" s="25" t="n">
        <f aca="false">H10326*(1-H10284)*(H10325-H10331+H10330-H10333)</f>
        <v>300</v>
      </c>
      <c r="I10335" s="25" t="n">
        <f aca="false">I10326*(1-I10284)*(I10325-I10331+I10330-I10333)</f>
        <v>0</v>
      </c>
      <c r="J10335" s="25" t="n">
        <f aca="false">J10326*(1-J10284)*(J10325-J10331+J10330-J10333)</f>
        <v>0</v>
      </c>
      <c r="K10335" s="25" t="n">
        <f aca="false">K10326*(1-K10284)*(K10325-K10331+K10330-K10333)</f>
        <v>0</v>
      </c>
    </row>
    <row r="10336" customFormat="false" ht="15" hidden="false" customHeight="false" outlineLevel="0" collapsed="false">
      <c r="A10336" s="2" t="s">
        <v>274</v>
      </c>
      <c r="F10336" s="27" t="n">
        <f aca="false">Assumptions!$C$56</f>
        <v>300</v>
      </c>
      <c r="G10336" s="16" t="n">
        <f aca="false">G10325+G10332+G10330-G10331-G10333-G10334</f>
        <v>300</v>
      </c>
      <c r="H10336" s="16" t="n">
        <f aca="false">H10325+H10332+H10330-H10331-H10333-H10334</f>
        <v>300</v>
      </c>
      <c r="I10336" s="16" t="n">
        <f aca="false">I10325+I10332+I10330-I10331-I10333-I10334</f>
        <v>300</v>
      </c>
      <c r="J10336" s="16" t="n">
        <f aca="false">J10325+J10332+J10330-J10331-J10333-J10334</f>
        <v>300</v>
      </c>
      <c r="K10336" s="16" t="n">
        <f aca="false">K10325+K10332+K10330-K10331-K10333-K10334</f>
        <v>300</v>
      </c>
    </row>
    <row r="10337" customFormat="false" ht="15" hidden="false" customHeight="false" outlineLevel="0" collapsed="false">
      <c r="A10337" s="23" t="s">
        <v>278</v>
      </c>
      <c r="B10337" s="24"/>
      <c r="C10337" s="24"/>
      <c r="D10337" s="24"/>
      <c r="E10337" s="24"/>
      <c r="F10337" s="24"/>
      <c r="G10337" s="24"/>
      <c r="H10337" s="24"/>
      <c r="I10337" s="24"/>
      <c r="J10337" s="24"/>
      <c r="K10337" s="24"/>
    </row>
    <row r="10338" customFormat="false" ht="15" hidden="false" customHeight="false" outlineLevel="0" collapsed="false">
      <c r="A10338" s="2" t="s">
        <v>279</v>
      </c>
      <c r="F10338" s="16" t="n">
        <f aca="false">F10297+F10310+F10323+F10336</f>
        <v>1250</v>
      </c>
      <c r="G10338" s="16" t="n">
        <f aca="false">G10297+G10310+G10323+G10336</f>
        <v>1283.8688</v>
      </c>
      <c r="H10338" s="16" t="n">
        <f aca="false">H10297+H10310+H10323+H10336</f>
        <v>1278.6688</v>
      </c>
      <c r="I10338" s="16" t="n">
        <f aca="false">I10297+I10310+I10323+I10336</f>
        <v>1273.4688</v>
      </c>
      <c r="J10338" s="16" t="n">
        <f aca="false">J10297+J10310+J10323+J10336</f>
        <v>1268.2688</v>
      </c>
      <c r="K10338" s="16" t="n">
        <f aca="false">K10297+K10310+K10323+K10336</f>
        <v>1263.0688</v>
      </c>
    </row>
    <row r="10339" customFormat="false" ht="15" hidden="false" customHeight="false" outlineLevel="0" collapsed="false">
      <c r="A10339" s="5" t="s">
        <v>280</v>
      </c>
      <c r="G10339" s="25" t="n">
        <f aca="false">G10287*Assumptions!$C$53+G10300*Assumptions!$C$54+G10313*Assumptions!$C$55+G10326*Assumptions!$C$56</f>
        <v>0</v>
      </c>
      <c r="H10339" s="25" t="n">
        <f aca="false">H10287*Assumptions!$C$53+H10300*Assumptions!$C$54+H10313*Assumptions!$C$55+H10326*Assumptions!$C$56</f>
        <v>480</v>
      </c>
      <c r="I10339" s="25" t="n">
        <f aca="false">I10287*Assumptions!$C$53+I10300*Assumptions!$C$54+I10313*Assumptions!$C$55+I10326*Assumptions!$C$56</f>
        <v>520</v>
      </c>
      <c r="J10339" s="25" t="n">
        <f aca="false">J10287*Assumptions!$C$53+J10300*Assumptions!$C$54+J10313*Assumptions!$C$55+J10326*Assumptions!$C$56</f>
        <v>250</v>
      </c>
      <c r="K10339" s="25" t="n">
        <f aca="false">K10287*Assumptions!$C$53+K10300*Assumptions!$C$54+K10313*Assumptions!$C$55+K10326*Assumptions!$C$56</f>
        <v>0</v>
      </c>
    </row>
    <row r="10340" customFormat="false" ht="15" hidden="false" customHeight="false" outlineLevel="0" collapsed="false">
      <c r="A10340" s="23" t="s">
        <v>281</v>
      </c>
      <c r="B10340" s="24"/>
      <c r="C10340" s="24"/>
      <c r="D10340" s="24"/>
      <c r="E10340" s="24"/>
      <c r="F10340" s="24"/>
      <c r="G10340" s="24"/>
      <c r="H10340" s="24"/>
      <c r="I10340" s="24"/>
      <c r="J10340" s="24"/>
      <c r="K10340" s="24"/>
    </row>
    <row r="10341" customFormat="false" ht="15" hidden="false" customHeight="false" outlineLevel="0" collapsed="false">
      <c r="A10341" s="5" t="s">
        <v>282</v>
      </c>
      <c r="C10341" s="25" t="n">
        <f aca="false">SUMPRODUCT($G$10287:$K$10287,$G$10286:$K$10286-$G$10292:$K$10292+$G$10291:$K$10291)</f>
        <v>219.0688</v>
      </c>
    </row>
    <row r="10342" customFormat="false" ht="15" hidden="false" customHeight="false" outlineLevel="0" collapsed="false">
      <c r="A10342" s="5" t="s">
        <v>283</v>
      </c>
      <c r="C10342" s="25" t="n">
        <f aca="false">SUMPRODUCT($G$10287:$K$10287,$G$10294:$K$10294)</f>
        <v>0</v>
      </c>
    </row>
    <row r="10343" customFormat="false" ht="15" hidden="false" customHeight="false" outlineLevel="0" collapsed="false">
      <c r="A10343" s="5" t="s">
        <v>284</v>
      </c>
      <c r="C10343" s="5" t="str">
        <f aca="false">IF(SUM($G$10287:$K$10287)=0,"n/a (beyond horizon)",IF(SUMPRODUCT($G$10287:$K$10287,$G$10284:$K$10284)&gt;0,"REFINANCING PASS","REFINANCING FAILURE"))</f>
        <v>REFINANCING FAILURE</v>
      </c>
    </row>
    <row r="10344" customFormat="false" ht="15" hidden="false" customHeight="false" outlineLevel="0" collapsed="false">
      <c r="A10344" s="5" t="s">
        <v>285</v>
      </c>
      <c r="C10344" s="5" t="str">
        <f aca="false">IF(SUM($G$10287:$K$10287)=0,"n/a",IF(C10342&gt;=C10341-0.001,"Repaid from cash",IF(SUMPRODUCT($G$10287:$K$10287,$G$10284:$K$10284)&gt;0,IF(C10342&gt;0,"Partly repaid; remainder refinanced","Refinanced"),IF(SUM($G$10296:$K$10296)&gt;0.001,IF(C10342&gt;0,"Partial repayment; PAYMENT DEFAULT","PAYMENT DEFAULT"),"Repaid from cash"))))</f>
        <v>PAYMENT DEFAULT</v>
      </c>
    </row>
    <row r="10345" customFormat="false" ht="15" hidden="false" customHeight="false" outlineLevel="0" collapsed="false">
      <c r="A10345" s="5" t="s">
        <v>286</v>
      </c>
      <c r="C10345" s="25" t="n">
        <f aca="false">SUMPRODUCT($G$10300:$K$10300,$G$10299:$K$10299-$G$10305:$K$10305+$G$10304:$K$10304)</f>
        <v>504.4</v>
      </c>
    </row>
    <row r="10346" customFormat="false" ht="15" hidden="false" customHeight="false" outlineLevel="0" collapsed="false">
      <c r="A10346" s="5" t="s">
        <v>287</v>
      </c>
      <c r="C10346" s="25" t="n">
        <f aca="false">SUMPRODUCT($G$10300:$K$10300,$G$10307:$K$10307)</f>
        <v>0</v>
      </c>
    </row>
    <row r="10347" customFormat="false" ht="15" hidden="false" customHeight="false" outlineLevel="0" collapsed="false">
      <c r="A10347" s="5" t="s">
        <v>288</v>
      </c>
      <c r="C10347" s="5" t="str">
        <f aca="false">IF(SUM($G$10300:$K$10300)=0,"n/a (beyond horizon)",IF(SUMPRODUCT($G$10300:$K$10300,$G$10284:$K$10284)&gt;0,"REFINANCING PASS","REFINANCING FAILURE"))</f>
        <v>REFINANCING FAILURE</v>
      </c>
    </row>
    <row r="10348" customFormat="false" ht="15" hidden="false" customHeight="false" outlineLevel="0" collapsed="false">
      <c r="A10348" s="5" t="s">
        <v>289</v>
      </c>
      <c r="C10348" s="5" t="str">
        <f aca="false">IF(SUM($G$10300:$K$10300)=0,"n/a",IF(C10346&gt;=C10345-0.001,"Repaid from cash",IF(SUMPRODUCT($G$10300:$K$10300,$G$10284:$K$10284)&gt;0,IF(C10346&gt;0,"Partly repaid; remainder refinanced","Refinanced"),IF(SUM($G$10309:$K$10309)&gt;0.001,IF(C10346&gt;0,"Partial repayment; PAYMENT DEFAULT","PAYMENT DEFAULT"),"Repaid from cash"))))</f>
        <v>PAYMENT DEFAULT</v>
      </c>
    </row>
    <row r="10349" customFormat="false" ht="15" hidden="false" customHeight="false" outlineLevel="0" collapsed="false">
      <c r="A10349" s="5" t="s">
        <v>290</v>
      </c>
      <c r="C10349" s="25" t="n">
        <f aca="false">SUMPRODUCT($G$10313:$K$10313,$G$10312:$K$10312-$G$10318:$K$10318+$G$10317:$K$10317)</f>
        <v>250</v>
      </c>
    </row>
    <row r="10350" customFormat="false" ht="15" hidden="false" customHeight="false" outlineLevel="0" collapsed="false">
      <c r="A10350" s="5" t="s">
        <v>291</v>
      </c>
      <c r="C10350" s="25" t="n">
        <f aca="false">SUMPRODUCT($G$10313:$K$10313,$G$10320:$K$10320)</f>
        <v>0</v>
      </c>
    </row>
    <row r="10351" customFormat="false" ht="15" hidden="false" customHeight="false" outlineLevel="0" collapsed="false">
      <c r="A10351" s="5" t="s">
        <v>292</v>
      </c>
      <c r="C10351" s="5" t="str">
        <f aca="false">IF(SUM($G$10313:$K$10313)=0,"n/a (beyond horizon)",IF(SUMPRODUCT($G$10313:$K$10313,$G$10284:$K$10284)&gt;0,"REFINANCING PASS","REFINANCING FAILURE"))</f>
        <v>REFINANCING FAILURE</v>
      </c>
    </row>
    <row r="10352" customFormat="false" ht="15" hidden="false" customHeight="false" outlineLevel="0" collapsed="false">
      <c r="A10352" s="5" t="s">
        <v>293</v>
      </c>
      <c r="C10352" s="5" t="str">
        <f aca="false">IF(SUM($G$10313:$K$10313)=0,"n/a",IF(C10350&gt;=C10349-0.001,"Repaid from cash",IF(SUMPRODUCT($G$10313:$K$10313,$G$10284:$K$10284)&gt;0,IF(C10350&gt;0,"Partly repaid; remainder refinanced","Refinanced"),IF(SUM($G$10322:$K$10322)&gt;0.001,IF(C10350&gt;0,"Partial repayment; PAYMENT DEFAULT","PAYMENT DEFAULT"),"Repaid from cash"))))</f>
        <v>PAYMENT DEFAULT</v>
      </c>
    </row>
    <row r="10353" customFormat="false" ht="15" hidden="false" customHeight="false" outlineLevel="0" collapsed="false">
      <c r="A10353" s="5" t="s">
        <v>294</v>
      </c>
      <c r="C10353" s="25" t="n">
        <f aca="false">SUMPRODUCT($G$10326:$K$10326,$G$10325:$K$10325-$G$10331:$K$10331+$G$10330:$K$10330)</f>
        <v>300</v>
      </c>
    </row>
    <row r="10354" customFormat="false" ht="15" hidden="false" customHeight="false" outlineLevel="0" collapsed="false">
      <c r="A10354" s="5" t="s">
        <v>295</v>
      </c>
      <c r="C10354" s="25" t="n">
        <f aca="false">SUMPRODUCT($G$10326:$K$10326,$G$10333:$K$10333)</f>
        <v>0</v>
      </c>
    </row>
    <row r="10355" customFormat="false" ht="15" hidden="false" customHeight="false" outlineLevel="0" collapsed="false">
      <c r="A10355" s="5" t="s">
        <v>296</v>
      </c>
      <c r="C10355" s="5" t="str">
        <f aca="false">IF(SUM($G$10326:$K$10326)=0,"n/a (beyond horizon)",IF(SUMPRODUCT($G$10326:$K$10326,$G$10284:$K$10284)&gt;0,"REFINANCING PASS","REFINANCING FAILURE"))</f>
        <v>REFINANCING FAILURE</v>
      </c>
    </row>
    <row r="10356" customFormat="false" ht="15" hidden="false" customHeight="false" outlineLevel="0" collapsed="false">
      <c r="A10356" s="5" t="s">
        <v>297</v>
      </c>
      <c r="C10356" s="5" t="str">
        <f aca="false">IF(SUM($G$10326:$K$10326)=0,"n/a",IF(C10354&gt;=C10353-0.001,"Repaid from cash",IF(SUMPRODUCT($G$10326:$K$10326,$G$10284:$K$10284)&gt;0,IF(C10354&gt;0,"Partly repaid; remainder refinanced","Refinanced"),IF(SUM($G$10335:$K$10335)&gt;0.001,IF(C10354&gt;0,"Partial repayment; PAYMENT DEFAULT","PAYMENT DEFAULT"),"Repaid from cash"))))</f>
        <v>PAYMENT DEFAULT</v>
      </c>
    </row>
    <row r="10357" customFormat="false" ht="15" hidden="false" customHeight="false" outlineLevel="0" collapsed="false">
      <c r="A10357" s="5" t="s">
        <v>298</v>
      </c>
      <c r="C10357" s="20" t="n">
        <f aca="false">IF(C10343="REFINANCING FAILURE",1,0)+IF(C10347="REFINANCING FAILURE",1,0)+IF(C10351="REFINANCING FAILURE",1,0)+IF(C10355="REFINANCING FAILURE",1,0)</f>
        <v>4</v>
      </c>
    </row>
    <row r="10359" customFormat="false" ht="15" hidden="false" customHeight="false" outlineLevel="0" collapsed="false">
      <c r="A10359" s="23" t="s">
        <v>300</v>
      </c>
      <c r="B10359" s="24"/>
      <c r="C10359" s="24"/>
      <c r="D10359" s="24"/>
      <c r="E10359" s="24"/>
      <c r="F10359" s="24"/>
      <c r="G10359" s="24"/>
      <c r="H10359" s="24"/>
      <c r="I10359" s="24"/>
      <c r="J10359" s="24"/>
      <c r="K10359" s="24"/>
    </row>
    <row r="10360" customFormat="false" ht="15" hidden="false" customHeight="false" outlineLevel="0" collapsed="false">
      <c r="A10360" s="5" t="s">
        <v>260</v>
      </c>
      <c r="G10360" s="25" t="n">
        <f aca="false">F10372</f>
        <v>45</v>
      </c>
      <c r="H10360" s="25" t="n">
        <f aca="false">G10372</f>
        <v>0</v>
      </c>
      <c r="I10360" s="25" t="n">
        <f aca="false">H10372</f>
        <v>-127.0373248</v>
      </c>
      <c r="J10360" s="25" t="n">
        <f aca="false">I10372</f>
        <v>-274.555846784</v>
      </c>
      <c r="K10360" s="25" t="n">
        <f aca="false">J10372</f>
        <v>-423.94783261696</v>
      </c>
    </row>
    <row r="10361" customFormat="false" ht="15" hidden="false" customHeight="false" outlineLevel="0" collapsed="false">
      <c r="A10361" s="5" t="s">
        <v>301</v>
      </c>
      <c r="G10361" s="25" t="n">
        <f aca="false">G10273</f>
        <v>-78.8688</v>
      </c>
      <c r="H10361" s="25" t="n">
        <f aca="false">H10273</f>
        <v>-121.8373248</v>
      </c>
      <c r="I10361" s="25" t="n">
        <f aca="false">I10273</f>
        <v>-142.318521984</v>
      </c>
      <c r="J10361" s="25" t="n">
        <f aca="false">J10273</f>
        <v>-144.19198583296</v>
      </c>
      <c r="K10361" s="25" t="n">
        <f aca="false">K10273</f>
        <v>-143.207656890982</v>
      </c>
    </row>
    <row r="10362" customFormat="false" ht="15" hidden="false" customHeight="false" outlineLevel="0" collapsed="false">
      <c r="A10362" s="5" t="s">
        <v>302</v>
      </c>
      <c r="G10362" s="25" t="n">
        <f aca="false">CHOOSE($C$10243,Assumptions!$G$68,Assumptions!$G$87,Assumptions!$G$106)</f>
        <v>0</v>
      </c>
      <c r="H10362" s="25" t="n">
        <f aca="false">CHOOSE($C$10243,Assumptions!$H$68,Assumptions!$H$87,Assumptions!$H$106)</f>
        <v>0</v>
      </c>
      <c r="I10362" s="25" t="n">
        <f aca="false">CHOOSE($C$10243,Assumptions!$I$68,Assumptions!$I$87,Assumptions!$I$106)</f>
        <v>0</v>
      </c>
      <c r="J10362" s="25" t="n">
        <f aca="false">CHOOSE($C$10243,Assumptions!$J$68,Assumptions!$J$87,Assumptions!$J$106)</f>
        <v>0</v>
      </c>
      <c r="K10362" s="25" t="n">
        <f aca="false">CHOOSE($C$10243,Assumptions!$K$68,Assumptions!$K$87,Assumptions!$K$106)</f>
        <v>0</v>
      </c>
    </row>
    <row r="10363" customFormat="false" ht="15" hidden="false" customHeight="false" outlineLevel="0" collapsed="false">
      <c r="A10363" s="5" t="s">
        <v>303</v>
      </c>
      <c r="G10363" s="25" t="n">
        <f aca="false">G10292+G10305+G10318+G10331</f>
        <v>5.2</v>
      </c>
      <c r="H10363" s="25" t="n">
        <f aca="false">H10292+H10305+H10318+H10331</f>
        <v>5.2</v>
      </c>
      <c r="I10363" s="25" t="n">
        <f aca="false">I10292+I10305+I10318+I10331</f>
        <v>5.2</v>
      </c>
      <c r="J10363" s="25" t="n">
        <f aca="false">J10292+J10305+J10318+J10331</f>
        <v>5.2</v>
      </c>
      <c r="K10363" s="25" t="n">
        <f aca="false">K10292+K10305+K10318+K10331</f>
        <v>5.2</v>
      </c>
    </row>
    <row r="10364" customFormat="false" ht="15" hidden="false" customHeight="false" outlineLevel="0" collapsed="false">
      <c r="A10364" s="2" t="s">
        <v>304</v>
      </c>
      <c r="G10364" s="16" t="n">
        <f aca="false">G10360+G10361+G10362-G10363</f>
        <v>-39.0688</v>
      </c>
      <c r="H10364" s="16" t="n">
        <f aca="false">H10360+H10361+H10362-H10363</f>
        <v>-127.0373248</v>
      </c>
      <c r="I10364" s="16" t="n">
        <f aca="false">I10360+I10361+I10362-I10363</f>
        <v>-274.555846784</v>
      </c>
      <c r="J10364" s="16" t="n">
        <f aca="false">J10360+J10361+J10362-J10363</f>
        <v>-423.94783261696</v>
      </c>
      <c r="K10364" s="16" t="n">
        <f aca="false">K10360+K10361+K10362-K10363</f>
        <v>-572.355489507942</v>
      </c>
    </row>
    <row r="10365" customFormat="false" ht="15" hidden="false" customHeight="false" outlineLevel="0" collapsed="false">
      <c r="A10365" s="5" t="s">
        <v>305</v>
      </c>
      <c r="G10365" s="25" t="n">
        <f aca="false">G10293+G10306+G10319+G10332</f>
        <v>39.0688</v>
      </c>
      <c r="H10365" s="25" t="n">
        <f aca="false">H10293+H10306+H10319+H10332</f>
        <v>0</v>
      </c>
      <c r="I10365" s="25" t="n">
        <f aca="false">I10293+I10306+I10319+I10332</f>
        <v>0</v>
      </c>
      <c r="J10365" s="25" t="n">
        <f aca="false">J10293+J10306+J10319+J10332</f>
        <v>0</v>
      </c>
      <c r="K10365" s="25" t="n">
        <f aca="false">K10293+K10306+K10319+K10332</f>
        <v>0</v>
      </c>
    </row>
    <row r="10366" customFormat="false" ht="15" hidden="false" customHeight="false" outlineLevel="0" collapsed="false">
      <c r="A10366" s="2" t="s">
        <v>306</v>
      </c>
      <c r="G10366" s="16" t="n">
        <f aca="false">G10364+G10365</f>
        <v>0</v>
      </c>
      <c r="H10366" s="16" t="n">
        <f aca="false">H10364+H10365</f>
        <v>-127.0373248</v>
      </c>
      <c r="I10366" s="16" t="n">
        <f aca="false">I10364+I10365</f>
        <v>-274.555846784</v>
      </c>
      <c r="J10366" s="16" t="n">
        <f aca="false">J10364+J10365</f>
        <v>-423.94783261696</v>
      </c>
      <c r="K10366" s="16" t="n">
        <f aca="false">K10364+K10365</f>
        <v>-572.355489507942</v>
      </c>
    </row>
    <row r="10367" customFormat="false" ht="15" hidden="false" customHeight="false" outlineLevel="0" collapsed="false">
      <c r="A10367" s="5" t="s">
        <v>307</v>
      </c>
      <c r="G10367" s="25" t="n">
        <f aca="false">G10294+G10307+G10320+G10333</f>
        <v>0</v>
      </c>
      <c r="H10367" s="25" t="n">
        <f aca="false">H10294+H10307+H10320+H10333</f>
        <v>0</v>
      </c>
      <c r="I10367" s="25" t="n">
        <f aca="false">I10294+I10307+I10320+I10333</f>
        <v>0</v>
      </c>
      <c r="J10367" s="25" t="n">
        <f aca="false">J10294+J10307+J10320+J10333</f>
        <v>0</v>
      </c>
      <c r="K10367" s="25" t="n">
        <f aca="false">K10294+K10307+K10320+K10333</f>
        <v>0</v>
      </c>
    </row>
    <row r="10368" customFormat="false" ht="15" hidden="false" customHeight="false" outlineLevel="0" collapsed="false">
      <c r="A10368" s="2" t="s">
        <v>308</v>
      </c>
      <c r="G10368" s="16" t="n">
        <f aca="false">G10366-G10367</f>
        <v>0</v>
      </c>
      <c r="H10368" s="16" t="n">
        <f aca="false">H10366-H10367</f>
        <v>-127.0373248</v>
      </c>
      <c r="I10368" s="16" t="n">
        <f aca="false">I10366-I10367</f>
        <v>-274.555846784</v>
      </c>
      <c r="J10368" s="16" t="n">
        <f aca="false">J10366-J10367</f>
        <v>-423.94783261696</v>
      </c>
      <c r="K10368" s="16" t="n">
        <f aca="false">K10366-K10367</f>
        <v>-572.355489507942</v>
      </c>
    </row>
    <row r="10369" customFormat="false" ht="15" hidden="false" customHeight="false" outlineLevel="0" collapsed="false">
      <c r="A10369" s="5" t="s">
        <v>309</v>
      </c>
      <c r="G10369" s="25" t="n">
        <f aca="false">MAX(0,-G10368)</f>
        <v>-0</v>
      </c>
      <c r="H10369" s="25" t="n">
        <f aca="false">MAX(0,-H10368)</f>
        <v>127.0373248</v>
      </c>
      <c r="I10369" s="25" t="n">
        <f aca="false">MAX(0,-I10368)</f>
        <v>274.555846784</v>
      </c>
      <c r="J10369" s="25" t="n">
        <f aca="false">MAX(0,-J10368)</f>
        <v>423.94783261696</v>
      </c>
      <c r="K10369" s="25" t="n">
        <f aca="false">MAX(0,-K10368)</f>
        <v>572.355489507942</v>
      </c>
    </row>
    <row r="10370" customFormat="false" ht="15" hidden="false" customHeight="false" outlineLevel="0" collapsed="false">
      <c r="A10370" s="5" t="s">
        <v>310</v>
      </c>
      <c r="G10370" s="25" t="n">
        <f aca="false">MAX(0,G10368-Assumptions!$C$12)*Assumptions!$C$13</f>
        <v>0</v>
      </c>
      <c r="H10370" s="25" t="n">
        <f aca="false">MAX(0,H10368-Assumptions!$C$12)*Assumptions!$C$13</f>
        <v>0</v>
      </c>
      <c r="I10370" s="25" t="n">
        <f aca="false">MAX(0,I10368-Assumptions!$C$12)*Assumptions!$C$13</f>
        <v>0</v>
      </c>
      <c r="J10370" s="25" t="n">
        <f aca="false">MAX(0,J10368-Assumptions!$C$12)*Assumptions!$C$13</f>
        <v>0</v>
      </c>
      <c r="K10370" s="25" t="n">
        <f aca="false">MAX(0,K10368-Assumptions!$C$12)*Assumptions!$C$13</f>
        <v>0</v>
      </c>
    </row>
    <row r="10371" customFormat="false" ht="15" hidden="false" customHeight="false" outlineLevel="0" collapsed="false">
      <c r="A10371" s="5" t="s">
        <v>311</v>
      </c>
      <c r="G10371" s="25" t="n">
        <f aca="false">G10295+G10308+G10321+G10334</f>
        <v>0</v>
      </c>
      <c r="H10371" s="25" t="n">
        <f aca="false">H10295+H10308+H10321+H10334</f>
        <v>0</v>
      </c>
      <c r="I10371" s="25" t="n">
        <f aca="false">I10295+I10308+I10321+I10334</f>
        <v>0</v>
      </c>
      <c r="J10371" s="25" t="n">
        <f aca="false">J10295+J10308+J10321+J10334</f>
        <v>0</v>
      </c>
      <c r="K10371" s="25" t="n">
        <f aca="false">K10295+K10308+K10321+K10334</f>
        <v>0</v>
      </c>
    </row>
    <row r="10372" customFormat="false" ht="15" hidden="false" customHeight="false" outlineLevel="0" collapsed="false">
      <c r="A10372" s="2" t="s">
        <v>312</v>
      </c>
      <c r="F10372" s="27" t="n">
        <f aca="false">Assumptions!$C$11</f>
        <v>45</v>
      </c>
      <c r="G10372" s="16" t="n">
        <f aca="false">G10368-G10371</f>
        <v>0</v>
      </c>
      <c r="H10372" s="16" t="n">
        <f aca="false">H10368-H10371</f>
        <v>-127.0373248</v>
      </c>
      <c r="I10372" s="16" t="n">
        <f aca="false">I10368-I10371</f>
        <v>-274.555846784</v>
      </c>
      <c r="J10372" s="16" t="n">
        <f aca="false">J10368-J10371</f>
        <v>-423.94783261696</v>
      </c>
      <c r="K10372" s="16" t="n">
        <f aca="false">K10368-K10371</f>
        <v>-572.355489507942</v>
      </c>
    </row>
    <row r="10373" customFormat="false" ht="15" hidden="false" customHeight="false" outlineLevel="0" collapsed="false">
      <c r="A10373" s="5" t="s">
        <v>313</v>
      </c>
      <c r="G10373" s="25" t="n">
        <f aca="false">G10296+G10309+G10322+G10335</f>
        <v>0</v>
      </c>
      <c r="H10373" s="25" t="n">
        <f aca="false">H10296+H10309+H10322+H10335</f>
        <v>519.0688</v>
      </c>
      <c r="I10373" s="25" t="n">
        <f aca="false">I10296+I10309+I10322+I10335</f>
        <v>504.4</v>
      </c>
      <c r="J10373" s="25" t="n">
        <f aca="false">J10296+J10309+J10322+J10335</f>
        <v>250</v>
      </c>
      <c r="K10373" s="25" t="n">
        <f aca="false">K10296+K10309+K10322+K10335</f>
        <v>0</v>
      </c>
    </row>
    <row r="10374" customFormat="false" ht="15" hidden="false" customHeight="false" outlineLevel="0" collapsed="false">
      <c r="A10374" s="5" t="s">
        <v>314</v>
      </c>
      <c r="G10374" s="20" t="n">
        <f aca="false">IF(OR(G10369&gt;0.001,G10373&gt;0.001),1,0)</f>
        <v>0</v>
      </c>
      <c r="H10374" s="20" t="n">
        <f aca="false">IF(OR(H10369&gt;0.001,H10373&gt;0.001),1,0)</f>
        <v>1</v>
      </c>
      <c r="I10374" s="20" t="n">
        <f aca="false">IF(OR(I10369&gt;0.001,I10373&gt;0.001),1,0)</f>
        <v>1</v>
      </c>
      <c r="J10374" s="20" t="n">
        <f aca="false">IF(OR(J10369&gt;0.001,J10373&gt;0.001),1,0)</f>
        <v>1</v>
      </c>
      <c r="K10374" s="20" t="n">
        <f aca="false">IF(OR(K10369&gt;0.001,K10373&gt;0.001),1,0)</f>
        <v>1</v>
      </c>
    </row>
    <row r="10375" customFormat="false" ht="15" hidden="false" customHeight="false" outlineLevel="0" collapsed="false">
      <c r="A10375" s="5" t="s">
        <v>315</v>
      </c>
      <c r="G10375" s="20" t="n">
        <f aca="false">IF(G10374=1,1,0)</f>
        <v>0</v>
      </c>
      <c r="H10375" s="20" t="n">
        <f aca="false">IF(AND(H10374=1,SUM($G$10374:G10374)=0),1,0)</f>
        <v>1</v>
      </c>
      <c r="I10375" s="20" t="n">
        <f aca="false">IF(AND(I10374=1,SUM($G$10374:H10374)=0),1,0)</f>
        <v>0</v>
      </c>
      <c r="J10375" s="20" t="n">
        <f aca="false">IF(AND(J10374=1,SUM($G$10374:I10374)=0),1,0)</f>
        <v>0</v>
      </c>
      <c r="K10375" s="20" t="n">
        <f aca="false">IF(AND(K10374=1,SUM($G$10374:J10374)=0),1,0)</f>
        <v>0</v>
      </c>
    </row>
    <row r="10376" customFormat="false" ht="15" hidden="false" customHeight="false" outlineLevel="0" collapsed="false">
      <c r="A10376" s="5" t="s">
        <v>316</v>
      </c>
      <c r="G10376" s="25" t="n">
        <f aca="false">(G10338-F10338)-(G10365+G10265-G10363-G10367-G10371)</f>
        <v>0</v>
      </c>
      <c r="H10376" s="25" t="n">
        <f aca="false">(H10338-G10338)-(H10365+H10265-H10363-H10367-H10371)</f>
        <v>-4.52970994047064E-014</v>
      </c>
      <c r="I10376" s="25" t="n">
        <f aca="false">(I10338-H10338)-(I10365+I10265-I10363-I10367-I10371)</f>
        <v>-4.52970994047064E-014</v>
      </c>
      <c r="J10376" s="25" t="n">
        <f aca="false">(J10338-I10338)-(J10365+J10265-J10363-J10367-J10371)</f>
        <v>-4.52970994047064E-014</v>
      </c>
      <c r="K10376" s="25" t="n">
        <f aca="false">(K10338-J10338)-(K10365+K10265-K10363-K10367-K10371)</f>
        <v>1.82076576038526E-013</v>
      </c>
    </row>
    <row r="10378" customFormat="false" ht="15" hidden="false" customHeight="false" outlineLevel="0" collapsed="false">
      <c r="A10378" s="23" t="s">
        <v>318</v>
      </c>
      <c r="B10378" s="24"/>
      <c r="C10378" s="24"/>
      <c r="D10378" s="24"/>
      <c r="E10378" s="24"/>
      <c r="F10378" s="24"/>
      <c r="G10378" s="24"/>
      <c r="H10378" s="24"/>
      <c r="I10378" s="24"/>
      <c r="J10378" s="24"/>
      <c r="K10378" s="24"/>
    </row>
    <row r="10379" customFormat="false" ht="15" hidden="false" customHeight="false" outlineLevel="0" collapsed="false">
      <c r="A10379" s="5" t="s">
        <v>319</v>
      </c>
      <c r="G10379" s="25" t="n">
        <f aca="false">G10338</f>
        <v>1283.8688</v>
      </c>
      <c r="H10379" s="25" t="n">
        <f aca="false">H10338</f>
        <v>1278.6688</v>
      </c>
      <c r="I10379" s="25" t="n">
        <f aca="false">I10338</f>
        <v>1273.4688</v>
      </c>
      <c r="J10379" s="25" t="n">
        <f aca="false">J10338</f>
        <v>1268.2688</v>
      </c>
      <c r="K10379" s="25" t="n">
        <f aca="false">K10338</f>
        <v>1263.0688</v>
      </c>
    </row>
    <row r="10380" customFormat="false" ht="15" hidden="false" customHeight="false" outlineLevel="0" collapsed="false">
      <c r="A10380" s="5" t="s">
        <v>320</v>
      </c>
      <c r="G10380" s="25" t="n">
        <f aca="false">Assumptions!$O$53*G10297+Assumptions!$O$54*G10310+Assumptions!$O$55*G10323+Assumptions!$O$56*G10336</f>
        <v>983.8688</v>
      </c>
      <c r="H10380" s="25" t="n">
        <f aca="false">Assumptions!$O$53*H10297+Assumptions!$O$54*H10310+Assumptions!$O$55*H10323+Assumptions!$O$56*H10336</f>
        <v>978.6688</v>
      </c>
      <c r="I10380" s="25" t="n">
        <f aca="false">Assumptions!$O$53*I10297+Assumptions!$O$54*I10310+Assumptions!$O$55*I10323+Assumptions!$O$56*I10336</f>
        <v>973.4688</v>
      </c>
      <c r="J10380" s="25" t="n">
        <f aca="false">Assumptions!$O$53*J10297+Assumptions!$O$54*J10310+Assumptions!$O$55*J10323+Assumptions!$O$56*J10336</f>
        <v>968.2688</v>
      </c>
      <c r="K10380" s="25" t="n">
        <f aca="false">Assumptions!$O$53*K10297+Assumptions!$O$54*K10310+Assumptions!$O$55*K10323+Assumptions!$O$56*K10336</f>
        <v>963.0688</v>
      </c>
    </row>
    <row r="10381" customFormat="false" ht="15" hidden="false" customHeight="false" outlineLevel="0" collapsed="false">
      <c r="A10381" s="5" t="s">
        <v>321</v>
      </c>
      <c r="G10381" s="25" t="n">
        <f aca="false">G10379-G10372</f>
        <v>1283.8688</v>
      </c>
      <c r="H10381" s="25" t="n">
        <f aca="false">H10379-H10372</f>
        <v>1405.7061248</v>
      </c>
      <c r="I10381" s="25" t="n">
        <f aca="false">I10379-I10372</f>
        <v>1548.024646784</v>
      </c>
      <c r="J10381" s="25" t="n">
        <f aca="false">J10379-J10372</f>
        <v>1692.21663261696</v>
      </c>
      <c r="K10381" s="25" t="n">
        <f aca="false">K10379-K10372</f>
        <v>1835.42428950794</v>
      </c>
    </row>
    <row r="10382" customFormat="false" ht="15" hidden="false" customHeight="false" outlineLevel="0" collapsed="false">
      <c r="A10382" s="5" t="s">
        <v>322</v>
      </c>
      <c r="G10382" s="31" t="n">
        <f aca="false">IF(G10260&gt;0,G10379/G10260,0)</f>
        <v>74.7130353817505</v>
      </c>
      <c r="H10382" s="31" t="n">
        <f aca="false">IF(H10260&gt;0,H10379/H10260,0)</f>
        <v>90.7444247626834</v>
      </c>
      <c r="I10382" s="31" t="n">
        <f aca="false">IF(I10260&gt;0,I10379/I10260,0)</f>
        <v>97.8088655224505</v>
      </c>
      <c r="J10382" s="31" t="n">
        <f aca="false">IF(J10260&gt;0,J10379/J10260,0)</f>
        <v>103.627105465144</v>
      </c>
      <c r="K10382" s="31" t="n">
        <f aca="false">IF(K10260&gt;0,K10379/K10260,0)</f>
        <v>109.789602480783</v>
      </c>
    </row>
    <row r="10383" customFormat="false" ht="15" hidden="false" customHeight="false" outlineLevel="0" collapsed="false">
      <c r="A10383" s="5" t="s">
        <v>323</v>
      </c>
      <c r="G10383" s="31" t="n">
        <f aca="false">IF(G10260&gt;0,G10381/G10260,0)</f>
        <v>74.7130353817505</v>
      </c>
      <c r="H10383" s="31" t="n">
        <f aca="false">IF(H10260&gt;0,H10381/H10260,0)</f>
        <v>99.7599954580551</v>
      </c>
      <c r="I10383" s="31" t="n">
        <f aca="false">IF(I10260&gt;0,I10381/I10260,0)</f>
        <v>118.896147673767</v>
      </c>
      <c r="J10383" s="31" t="n">
        <f aca="false">IF(J10260&gt;0,J10381/J10260,0)</f>
        <v>138.266833858933</v>
      </c>
      <c r="K10383" s="31" t="n">
        <f aca="false">IF(K10260&gt;0,K10381/K10260,0)</f>
        <v>159.540401226481</v>
      </c>
    </row>
    <row r="10384" customFormat="false" ht="15" hidden="false" customHeight="false" outlineLevel="0" collapsed="false">
      <c r="A10384" s="5" t="s">
        <v>324</v>
      </c>
      <c r="G10384" s="31" t="n">
        <f aca="false">IF(G10264&gt;0,G10260/G10264,0)</f>
        <v>0.122707797772065</v>
      </c>
      <c r="H10384" s="31" t="n">
        <f aca="false">IF(H10264&gt;0,H10260/H10264,0)</f>
        <v>0.099199617637446</v>
      </c>
      <c r="I10384" s="31" t="n">
        <f aca="false">IF(I10264&gt;0,I10260/I10264,0)</f>
        <v>0.0933027508356332</v>
      </c>
      <c r="J10384" s="31" t="n">
        <f aca="false">IF(J10264&gt;0,J10260/J10264,0)</f>
        <v>0.0881249216214517</v>
      </c>
      <c r="K10384" s="31" t="n">
        <f aca="false">IF(K10264&gt;0,K10260/K10264,0)</f>
        <v>0.0832363475368986</v>
      </c>
    </row>
    <row r="10385" customFormat="false" ht="15" hidden="false" customHeight="false" outlineLevel="0" collapsed="false">
      <c r="A10385" s="5" t="s">
        <v>325</v>
      </c>
      <c r="G10385" s="31" t="n">
        <f aca="false">IF(G10264&gt;0,G10263/G10264,0)</f>
        <v>-0.147249357326478</v>
      </c>
      <c r="H10385" s="31" t="n">
        <f aca="false">IF(H10264&gt;0,H10263/H10264,0)</f>
        <v>-0.119039541164935</v>
      </c>
      <c r="I10385" s="31" t="n">
        <f aca="false">IF(I10264&gt;0,I10263/I10264,0)</f>
        <v>-0.11196330100276</v>
      </c>
      <c r="J10385" s="31" t="n">
        <f aca="false">IF(J10264&gt;0,J10263/J10264,0)</f>
        <v>-0.105749905945742</v>
      </c>
      <c r="K10385" s="31" t="n">
        <f aca="false">IF(K10264&gt;0,K10263/K10264,0)</f>
        <v>-0.0998836170442783</v>
      </c>
    </row>
    <row r="10386" customFormat="false" ht="15" hidden="false" customHeight="false" outlineLevel="0" collapsed="false">
      <c r="A10386" s="5" t="s">
        <v>182</v>
      </c>
      <c r="G10386" s="21" t="n">
        <f aca="false">IF(G10379&gt;0,G10273/G10379,0)</f>
        <v>-0.0614305760837867</v>
      </c>
      <c r="H10386" s="21" t="n">
        <f aca="false">IF(H10379&gt;0,H10273/H10379,0)</f>
        <v>-0.0952845058861216</v>
      </c>
      <c r="I10386" s="21" t="n">
        <f aca="false">IF(I10379&gt;0,I10273/I10379,0)</f>
        <v>-0.111756583266115</v>
      </c>
      <c r="J10386" s="21" t="n">
        <f aca="false">IF(J10379&gt;0,J10273/J10379,0)</f>
        <v>-0.113691975891041</v>
      </c>
      <c r="K10386" s="21" t="n">
        <f aca="false">IF(K10379&gt;0,K10273/K10379,0)</f>
        <v>-0.113380725492532</v>
      </c>
    </row>
    <row r="10387" customFormat="false" ht="15" hidden="false" customHeight="false" outlineLevel="0" collapsed="false">
      <c r="A10387" s="5" t="s">
        <v>326</v>
      </c>
      <c r="G10387" s="31" t="n">
        <f aca="false">IF(G10264+G10363&gt;0,(G10260-G10271-G10268)/(G10264+G10363),0)</f>
        <v>-0.0709887083448086</v>
      </c>
      <c r="H10387" s="31" t="n">
        <f aca="false">IF(H10264+H10363&gt;0,(H10260-H10271-H10268)/(H10264+H10363),0)</f>
        <v>-0.0574178226917537</v>
      </c>
      <c r="I10387" s="31" t="n">
        <f aca="false">IF(I10264+I10363&gt;0,(I10260-I10271-I10268)/(I10264+I10363),0)</f>
        <v>-0.0539705019011694</v>
      </c>
      <c r="J10387" s="31" t="n">
        <f aca="false">IF(J10264+J10363&gt;0,(J10260-J10271-J10268)/(J10264+J10363),0)</f>
        <v>-0.0509666376834763</v>
      </c>
      <c r="K10387" s="31" t="n">
        <f aca="false">IF(K10264+K10363&gt;0,(K10260-K10271-K10268)/(K10264+K10363),0)</f>
        <v>-0.0481309882708883</v>
      </c>
    </row>
    <row r="10388" customFormat="false" ht="15" hidden="false" customHeight="false" outlineLevel="0" collapsed="false">
      <c r="A10388" s="5" t="s">
        <v>327</v>
      </c>
      <c r="G10388" s="25" t="n">
        <f aca="false">MAX(0,G10372)+Assumptions!$P$53*MAX(0,Assumptions!$D$53-G10297)+Assumptions!$P$54*MAX(0,Assumptions!$D$54-G10310)+Assumptions!$P$55*MAX(0,Assumptions!$D$55-G10323)+Assumptions!$P$56*MAX(0,Assumptions!$D$56-G10336)</f>
        <v>80.9312000000001</v>
      </c>
      <c r="H10388" s="25" t="n">
        <f aca="false">MAX(0,H10372)+Assumptions!$P$53*MAX(0,Assumptions!$D$53-H10297)+Assumptions!$P$54*MAX(0,Assumptions!$D$54-H10310)+Assumptions!$P$55*MAX(0,Assumptions!$D$55-H10323)+Assumptions!$P$56*MAX(0,Assumptions!$D$56-H10336)</f>
        <v>80.9312000000001</v>
      </c>
      <c r="I10388" s="25" t="n">
        <f aca="false">MAX(0,I10372)+Assumptions!$P$53*MAX(0,Assumptions!$D$53-I10297)+Assumptions!$P$54*MAX(0,Assumptions!$D$54-I10310)+Assumptions!$P$55*MAX(0,Assumptions!$D$55-I10323)+Assumptions!$P$56*MAX(0,Assumptions!$D$56-I10336)</f>
        <v>80.9312000000001</v>
      </c>
      <c r="J10388" s="25" t="n">
        <f aca="false">MAX(0,J10372)+Assumptions!$P$53*MAX(0,Assumptions!$D$53-J10297)+Assumptions!$P$54*MAX(0,Assumptions!$D$54-J10310)+Assumptions!$P$55*MAX(0,Assumptions!$D$55-J10323)+Assumptions!$P$56*MAX(0,Assumptions!$D$56-J10336)</f>
        <v>80.9312000000001</v>
      </c>
      <c r="K10388" s="25" t="n">
        <f aca="false">MAX(0,K10372)+Assumptions!$P$53*MAX(0,Assumptions!$D$53-K10297)+Assumptions!$P$54*MAX(0,Assumptions!$D$54-K10310)+Assumptions!$P$55*MAX(0,Assumptions!$D$55-K10323)+Assumptions!$P$56*MAX(0,Assumptions!$D$56-K10336)</f>
        <v>80.9312000000001</v>
      </c>
    </row>
    <row r="10389" customFormat="false" ht="15" hidden="false" customHeight="false" outlineLevel="0" collapsed="false">
      <c r="A10389" s="5" t="s">
        <v>328</v>
      </c>
      <c r="G10389" s="21" t="n">
        <f aca="false">IF(G10379&gt;0,G10379/(G10379+MAX(0,G10260*CHOOSE($C$10243,Assumptions!$C$76,Assumptions!$C$95,Assumptions!$C$114)-G10381)),0)</f>
        <v>1</v>
      </c>
      <c r="H10389" s="21" t="n">
        <f aca="false">IF(H10379&gt;0,H10379/(H10379+MAX(0,H10260*CHOOSE($C$10243,Assumptions!$C$76,Assumptions!$C$95,Assumptions!$C$114)-H10381)),0)</f>
        <v>1</v>
      </c>
      <c r="I10389" s="21" t="n">
        <f aca="false">IF(I10379&gt;0,I10379/(I10379+MAX(0,I10260*CHOOSE($C$10243,Assumptions!$C$76,Assumptions!$C$95,Assumptions!$C$114)-I10381)),0)</f>
        <v>1</v>
      </c>
      <c r="J10389" s="21" t="n">
        <f aca="false">IF(J10379&gt;0,J10379/(J10379+MAX(0,J10260*CHOOSE($C$10243,Assumptions!$C$76,Assumptions!$C$95,Assumptions!$C$114)-J10381)),0)</f>
        <v>1</v>
      </c>
      <c r="K10389" s="21" t="n">
        <f aca="false">IF(K10379&gt;0,K10379/(K10379+MAX(0,K10260*CHOOSE($C$10243,Assumptions!$C$76,Assumptions!$C$95,Assumptions!$C$114)-K10381)),0)</f>
        <v>1</v>
      </c>
    </row>
    <row r="10390" customFormat="false" ht="15" hidden="false" customHeight="false" outlineLevel="0" collapsed="false">
      <c r="A10390" s="5" t="s">
        <v>329</v>
      </c>
      <c r="G10390" s="21" t="n">
        <f aca="false">IF(G10379&gt;0,MAX(0,G10372)/G10379,0)</f>
        <v>0</v>
      </c>
      <c r="H10390" s="21" t="n">
        <f aca="false">IF(H10379&gt;0,MAX(0,H10372)/H10379,0)</f>
        <v>0</v>
      </c>
      <c r="I10390" s="21" t="n">
        <f aca="false">IF(I10379&gt;0,MAX(0,I10372)/I10379,0)</f>
        <v>0</v>
      </c>
      <c r="J10390" s="21" t="n">
        <f aca="false">IF(J10379&gt;0,MAX(0,J10372)/J10379,0)</f>
        <v>0</v>
      </c>
      <c r="K10390" s="21" t="n">
        <f aca="false">IF(K10379&gt;0,MAX(0,K10372)/K10379,0)</f>
        <v>0</v>
      </c>
    </row>
    <row r="10391" customFormat="false" ht="15" hidden="false" customHeight="false" outlineLevel="0" collapsed="false">
      <c r="A10391" s="5" t="s">
        <v>330</v>
      </c>
      <c r="G10391" s="25" t="n">
        <f aca="false">Assumptions!$C$27*(1-CHOOSE($C$10243,Assumptions!$C$79,Assumptions!$C$98,Assumptions!$C$117))</f>
        <v>676</v>
      </c>
      <c r="H10391" s="25" t="n">
        <f aca="false">Assumptions!$C$27*(1-CHOOSE($C$10243,Assumptions!$C$79,Assumptions!$C$98,Assumptions!$C$117))</f>
        <v>676</v>
      </c>
      <c r="I10391" s="25" t="n">
        <f aca="false">Assumptions!$C$27*(1-CHOOSE($C$10243,Assumptions!$C$79,Assumptions!$C$98,Assumptions!$C$117))</f>
        <v>676</v>
      </c>
      <c r="J10391" s="25" t="n">
        <f aca="false">Assumptions!$C$27*(1-CHOOSE($C$10243,Assumptions!$C$79,Assumptions!$C$98,Assumptions!$C$117))</f>
        <v>676</v>
      </c>
      <c r="K10391" s="25" t="n">
        <f aca="false">Assumptions!$C$27*(1-CHOOSE($C$10243,Assumptions!$C$79,Assumptions!$C$98,Assumptions!$C$117))</f>
        <v>676</v>
      </c>
    </row>
    <row r="10392" customFormat="false" ht="15" hidden="false" customHeight="false" outlineLevel="0" collapsed="false">
      <c r="A10392" s="23" t="s">
        <v>331</v>
      </c>
      <c r="B10392" s="24"/>
      <c r="C10392" s="24"/>
      <c r="D10392" s="24"/>
      <c r="E10392" s="24"/>
      <c r="F10392" s="24"/>
      <c r="G10392" s="24"/>
      <c r="H10392" s="24"/>
      <c r="I10392" s="24"/>
      <c r="J10392" s="24"/>
      <c r="K10392" s="24"/>
    </row>
    <row r="10393" customFormat="false" ht="15" hidden="false" customHeight="false" outlineLevel="0" collapsed="false">
      <c r="A10393" s="23" t="s">
        <v>332</v>
      </c>
      <c r="B10393" s="24"/>
      <c r="C10393" s="24"/>
      <c r="D10393" s="24"/>
      <c r="E10393" s="24"/>
      <c r="F10393" s="24"/>
      <c r="G10393" s="24"/>
      <c r="H10393" s="24"/>
      <c r="I10393" s="24"/>
      <c r="J10393" s="24"/>
      <c r="K10393" s="24"/>
    </row>
    <row r="10394" customFormat="false" ht="15" hidden="false" customHeight="false" outlineLevel="0" collapsed="false">
      <c r="A10394" s="5" t="s">
        <v>333</v>
      </c>
      <c r="G10394" s="31" t="n">
        <f aca="false">IF(G10260&gt;0,G10381/G10260,99)</f>
        <v>74.7130353817505</v>
      </c>
      <c r="H10394" s="31" t="n">
        <f aca="false">IF(H10260&gt;0,H10381/H10260,99)</f>
        <v>99.7599954580551</v>
      </c>
      <c r="I10394" s="31" t="n">
        <f aca="false">IF(I10260&gt;0,I10381/I10260,99)</f>
        <v>118.896147673767</v>
      </c>
      <c r="J10394" s="31" t="n">
        <f aca="false">IF(J10260&gt;0,J10381/J10260,99)</f>
        <v>138.266833858933</v>
      </c>
      <c r="K10394" s="31" t="n">
        <f aca="false">IF(K10260&gt;0,K10381/K10260,99)</f>
        <v>159.540401226481</v>
      </c>
    </row>
    <row r="10395" customFormat="false" ht="15" hidden="false" customHeight="false" outlineLevel="0" collapsed="false">
      <c r="A10395" s="5" t="s">
        <v>334</v>
      </c>
      <c r="G10395" s="32" t="n">
        <f aca="false">Assumptions!$G$61</f>
        <v>8.5</v>
      </c>
      <c r="H10395" s="32" t="n">
        <f aca="false">Assumptions!$H$61</f>
        <v>8.5</v>
      </c>
      <c r="I10395" s="32" t="n">
        <f aca="false">Assumptions!$I$61</f>
        <v>8.5</v>
      </c>
      <c r="J10395" s="32" t="n">
        <f aca="false">Assumptions!$J$61</f>
        <v>8.5</v>
      </c>
      <c r="K10395" s="32" t="n">
        <f aca="false">Assumptions!$K$61</f>
        <v>8.5</v>
      </c>
    </row>
    <row r="10396" customFormat="false" ht="15" hidden="false" customHeight="false" outlineLevel="0" collapsed="false">
      <c r="A10396" s="5" t="s">
        <v>335</v>
      </c>
      <c r="G10396" s="31" t="n">
        <f aca="false">G10395-G10394</f>
        <v>-66.2130353817505</v>
      </c>
      <c r="H10396" s="31" t="n">
        <f aca="false">H10395-H10394</f>
        <v>-91.2599954580551</v>
      </c>
      <c r="I10396" s="31" t="n">
        <f aca="false">I10395-I10394</f>
        <v>-110.396147673767</v>
      </c>
      <c r="J10396" s="31" t="n">
        <f aca="false">J10395-J10394</f>
        <v>-129.766833858933</v>
      </c>
      <c r="K10396" s="31" t="n">
        <f aca="false">K10395-K10394</f>
        <v>-151.040401226481</v>
      </c>
    </row>
    <row r="10397" customFormat="false" ht="15" hidden="false" customHeight="false" outlineLevel="0" collapsed="false">
      <c r="A10397" s="5" t="s">
        <v>336</v>
      </c>
      <c r="G10397" s="21" t="n">
        <f aca="false">IF(G10395=0,0,G10396/ABS(G10395))</f>
        <v>-7.78976886844123</v>
      </c>
      <c r="H10397" s="21" t="n">
        <f aca="false">IF(H10395=0,0,H10396/ABS(H10395))</f>
        <v>-10.7364700538888</v>
      </c>
      <c r="I10397" s="21" t="n">
        <f aca="false">IF(I10395=0,0,I10396/ABS(I10395))</f>
        <v>-12.9877820792667</v>
      </c>
      <c r="J10397" s="21" t="n">
        <f aca="false">IF(J10395=0,0,J10396/ABS(J10395))</f>
        <v>-15.266686336345</v>
      </c>
      <c r="K10397" s="21" t="n">
        <f aca="false">IF(K10395=0,0,K10396/ABS(K10395))</f>
        <v>-17.7694589678213</v>
      </c>
    </row>
    <row r="10398" customFormat="false" ht="15" hidden="false" customHeight="false" outlineLevel="0" collapsed="false">
      <c r="A10398" s="5" t="s">
        <v>337</v>
      </c>
      <c r="G10398" s="20" t="n">
        <f aca="false">IF(G10396&lt;0,1,0)</f>
        <v>1</v>
      </c>
      <c r="H10398" s="20" t="n">
        <f aca="false">IF(H10396&lt;0,1,0)</f>
        <v>1</v>
      </c>
      <c r="I10398" s="20" t="n">
        <f aca="false">IF(I10396&lt;0,1,0)</f>
        <v>1</v>
      </c>
      <c r="J10398" s="20" t="n">
        <f aca="false">IF(J10396&lt;0,1,0)</f>
        <v>1</v>
      </c>
      <c r="K10398" s="20" t="n">
        <f aca="false">IF(K10396&lt;0,1,0)</f>
        <v>1</v>
      </c>
    </row>
    <row r="10399" customFormat="false" ht="15" hidden="false" customHeight="false" outlineLevel="0" collapsed="false">
      <c r="A10399" s="5" t="s">
        <v>338</v>
      </c>
      <c r="C10399" s="20" t="n">
        <f aca="false">IFERROR(INDEX($G$10250:$K$10250,MATCH(1,$G$10398:$K$10398,0)),0)</f>
        <v>2026</v>
      </c>
    </row>
    <row r="10400" customFormat="false" ht="15" hidden="false" customHeight="false" outlineLevel="0" collapsed="false">
      <c r="A10400" s="5" t="s">
        <v>339</v>
      </c>
      <c r="C10400" s="21" t="n">
        <f aca="false">MIN($G$10397:$K$10397)</f>
        <v>-17.7694589678213</v>
      </c>
    </row>
    <row r="10401" customFormat="false" ht="15" hidden="false" customHeight="false" outlineLevel="0" collapsed="false">
      <c r="A10401" s="5" t="s">
        <v>340</v>
      </c>
      <c r="G10401" s="20" t="n">
        <f aca="false">G10398</f>
        <v>1</v>
      </c>
      <c r="H10401" s="20" t="n">
        <f aca="false">H10398</f>
        <v>1</v>
      </c>
      <c r="I10401" s="20" t="n">
        <f aca="false">I10398</f>
        <v>1</v>
      </c>
      <c r="J10401" s="20" t="n">
        <f aca="false">J10398</f>
        <v>1</v>
      </c>
      <c r="K10401" s="20" t="n">
        <f aca="false">K10398</f>
        <v>1</v>
      </c>
    </row>
    <row r="10402" customFormat="false" ht="15" hidden="false" customHeight="false" outlineLevel="0" collapsed="false">
      <c r="A10402" s="5" t="s">
        <v>341</v>
      </c>
      <c r="C10402" s="20" t="n">
        <f aca="false">SUM($G$10401:$K$10401)</f>
        <v>5</v>
      </c>
    </row>
    <row r="10403" customFormat="false" ht="15" hidden="false" customHeight="false" outlineLevel="0" collapsed="false">
      <c r="A10403" s="5" t="s">
        <v>342</v>
      </c>
      <c r="C10403" s="21" t="n">
        <f aca="false">MIN(C10400)</f>
        <v>-17.7694589678213</v>
      </c>
    </row>
    <row r="10405" customFormat="false" ht="15" hidden="false" customHeight="false" outlineLevel="0" collapsed="false">
      <c r="A10405" s="23" t="s">
        <v>444</v>
      </c>
      <c r="B10405" s="24"/>
      <c r="C10405" s="24"/>
      <c r="D10405" s="24"/>
      <c r="E10405" s="24"/>
      <c r="F10405" s="24"/>
      <c r="G10405" s="24"/>
      <c r="H10405" s="24"/>
      <c r="I10405" s="24"/>
      <c r="J10405" s="24"/>
      <c r="K10405" s="24"/>
    </row>
    <row r="10406" customFormat="false" ht="15" hidden="false" customHeight="false" outlineLevel="0" collapsed="false">
      <c r="A10406" s="5" t="s">
        <v>445</v>
      </c>
      <c r="G10406" s="20" t="n">
        <f aca="false">IF($C$10407=1,G10375,IF(G10260=MIN($G$10260:$K$10260),1,0))</f>
        <v>0</v>
      </c>
      <c r="H10406" s="20" t="n">
        <f aca="false">IF($C$10407=1,H10375,IF(AND(H10260=MIN($G$10260:$K$10260),SUM($G$10406:G10406)=0),1,0))</f>
        <v>1</v>
      </c>
      <c r="I10406" s="20" t="n">
        <f aca="false">IF($C$10407=1,I10375,IF(AND(I10260=MIN($G$10260:$K$10260),SUM($G$10406:H10406)=0),1,0))</f>
        <v>0</v>
      </c>
      <c r="J10406" s="20" t="n">
        <f aca="false">IF($C$10407=1,J10375,IF(AND(J10260=MIN($G$10260:$K$10260),SUM($G$10406:I10406)=0),1,0))</f>
        <v>0</v>
      </c>
      <c r="K10406" s="20" t="n">
        <f aca="false">IF($C$10407=1,K10375,IF(AND(K10260=MIN($G$10260:$K$10260),SUM($G$10406:J10406)=0),1,0))</f>
        <v>0</v>
      </c>
    </row>
    <row r="10407" customFormat="false" ht="15" hidden="false" customHeight="false" outlineLevel="0" collapsed="false">
      <c r="A10407" s="5" t="s">
        <v>446</v>
      </c>
      <c r="C10407" s="20" t="n">
        <f aca="false">IF(SUM($G$10375:$K$10375)&gt;0,1,0)</f>
        <v>1</v>
      </c>
    </row>
    <row r="10408" customFormat="false" ht="15" hidden="false" customHeight="false" outlineLevel="0" collapsed="false">
      <c r="A10408" s="5" t="s">
        <v>447</v>
      </c>
      <c r="C10408" s="20" t="n">
        <f aca="false">SUMPRODUCT($G$10406:$K$10406,$G$10250:$K$10250)</f>
        <v>2027</v>
      </c>
    </row>
    <row r="10409" customFormat="false" ht="15" hidden="false" customHeight="false" outlineLevel="0" collapsed="false">
      <c r="A10409" s="5" t="s">
        <v>448</v>
      </c>
      <c r="C10409" s="25" t="n">
        <f aca="false">SUMPRODUCT($G$10406:$K$10406,$G$10260:$K$10260)</f>
        <v>14.09088</v>
      </c>
    </row>
    <row r="10410" customFormat="false" ht="15" hidden="false" customHeight="false" outlineLevel="0" collapsed="false">
      <c r="A10410" s="5" t="s">
        <v>449</v>
      </c>
      <c r="C10410" s="25" t="n">
        <f aca="false">MAX(0,SUMPRODUCT($G$10406:$K$10406,$G$10372:$K$10372))</f>
        <v>0</v>
      </c>
    </row>
    <row r="10411" customFormat="false" ht="15" hidden="false" customHeight="false" outlineLevel="0" collapsed="false">
      <c r="A10411" s="5" t="s">
        <v>450</v>
      </c>
      <c r="C10411" s="25" t="n">
        <f aca="false">(CHOOSE($C$10243,Assumptions!$C$78,Assumptions!$C$97,Assumptions!$C$116)+$C$10247)*C10409</f>
        <v>56.36352</v>
      </c>
    </row>
    <row r="10412" customFormat="false" ht="15" hidden="false" customHeight="false" outlineLevel="0" collapsed="false">
      <c r="A10412" s="5" t="s">
        <v>451</v>
      </c>
      <c r="C10412" s="25" t="n">
        <f aca="false">Assumptions!$C$27*(1-CHOOSE($C$10243,Assumptions!$C$79,Assumptions!$C$98,Assumptions!$C$117))*CHOOSE($C$10243,Assumptions!$C$80,Assumptions!$C$99,Assumptions!$C$118)</f>
        <v>405.6</v>
      </c>
    </row>
    <row r="10413" customFormat="false" ht="15" hidden="false" customHeight="false" outlineLevel="0" collapsed="false">
      <c r="A10413" s="5" t="s">
        <v>452</v>
      </c>
      <c r="C10413" s="25" t="n">
        <f aca="false">MAX(C10411,C10412)+C10410</f>
        <v>405.6</v>
      </c>
    </row>
    <row r="10414" customFormat="false" ht="15" hidden="false" customHeight="false" outlineLevel="0" collapsed="false">
      <c r="A10414" s="2" t="s">
        <v>453</v>
      </c>
      <c r="C10414" s="16" t="n">
        <f aca="false">IF(ISNUMBER(Assumptions!$C$14),Assumptions!$C$14,C10413)</f>
        <v>405.6</v>
      </c>
    </row>
    <row r="10415" customFormat="false" ht="15" hidden="false" customHeight="false" outlineLevel="0" collapsed="false">
      <c r="A10415" s="5" t="s">
        <v>454</v>
      </c>
      <c r="C10415" s="25" t="n">
        <f aca="false">C10414*Assumptions!$C$15</f>
        <v>16.224</v>
      </c>
    </row>
    <row r="10416" customFormat="false" ht="15" hidden="false" customHeight="false" outlineLevel="0" collapsed="false">
      <c r="A10416" s="2" t="s">
        <v>455</v>
      </c>
      <c r="C10416" s="16" t="n">
        <f aca="false">C10414-C10415</f>
        <v>389.376</v>
      </c>
    </row>
    <row r="10417" customFormat="false" ht="15" hidden="false" customHeight="false" outlineLevel="0" collapsed="false">
      <c r="A10417" s="23" t="s">
        <v>456</v>
      </c>
      <c r="B10417" s="24"/>
      <c r="C10417" s="24"/>
      <c r="D10417" s="24"/>
      <c r="E10417" s="24"/>
      <c r="F10417" s="24"/>
      <c r="G10417" s="24"/>
      <c r="H10417" s="24"/>
      <c r="I10417" s="24"/>
      <c r="J10417" s="24"/>
      <c r="K10417" s="24"/>
    </row>
    <row r="10418" customFormat="false" ht="15" hidden="false" customHeight="false" outlineLevel="0" collapsed="false">
      <c r="A10418" s="5" t="s">
        <v>457</v>
      </c>
      <c r="C10418" s="25" t="n">
        <f aca="false">SUMPRODUCT($G$10406:$K$10406,$G$10297:$K$10297)*(1+SUMPRODUCT($G$10406:$K$10406,$G$10289:$K$10289)*Assumptions!$C$16/12)</f>
        <v>225.2848772</v>
      </c>
    </row>
    <row r="10419" customFormat="false" ht="15" hidden="false" customHeight="false" outlineLevel="0" collapsed="false">
      <c r="A10419" s="5" t="s">
        <v>458</v>
      </c>
      <c r="C10419" s="25" t="n">
        <f aca="false">SUMPRODUCT($G$10406:$K$10406,$G$10310:$K$10310)*(1+SUMPRODUCT($G$10406:$K$10406,$G$10302:$K$10302)*Assumptions!$C$16/12)</f>
        <v>526.2257</v>
      </c>
    </row>
    <row r="10420" customFormat="false" ht="15" hidden="false" customHeight="false" outlineLevel="0" collapsed="false">
      <c r="A10420" s="5" t="s">
        <v>459</v>
      </c>
      <c r="C10420" s="25" t="n">
        <f aca="false">SUMPRODUCT($G$10406:$K$10406,$G$10323:$K$10323)*(1+SUMPRODUCT($G$10406:$K$10406,$G$10315:$K$10315)*Assumptions!$C$16/12)</f>
        <v>256.875</v>
      </c>
    </row>
    <row r="10421" customFormat="false" ht="15" hidden="false" customHeight="false" outlineLevel="0" collapsed="false">
      <c r="A10421" s="5" t="s">
        <v>460</v>
      </c>
      <c r="C10421" s="25" t="n">
        <f aca="false">SUMPRODUCT($G$10406:$K$10406,$G$10336:$K$10336)*(1+SUMPRODUCT($G$10406:$K$10406,$G$10328:$K$10328)*Assumptions!$C$16/12)</f>
        <v>305.625</v>
      </c>
    </row>
    <row r="10422" customFormat="false" ht="15" hidden="false" customHeight="false" outlineLevel="0" collapsed="false">
      <c r="A10422" s="23" t="s">
        <v>461</v>
      </c>
      <c r="B10422" s="24"/>
      <c r="C10422" s="24"/>
      <c r="D10422" s="24"/>
      <c r="E10422" s="24"/>
      <c r="F10422" s="24"/>
      <c r="G10422" s="24"/>
      <c r="H10422" s="24"/>
      <c r="I10422" s="24"/>
      <c r="J10422" s="24"/>
      <c r="K10422" s="24"/>
    </row>
    <row r="10423" customFormat="false" ht="15" hidden="false" customHeight="false" outlineLevel="0" collapsed="false">
      <c r="A10423" s="5" t="s">
        <v>457</v>
      </c>
      <c r="C10423" s="26" t="n">
        <f aca="false">Assumptions!$M$53</f>
        <v>1</v>
      </c>
    </row>
    <row r="10424" customFormat="false" ht="15" hidden="false" customHeight="false" outlineLevel="0" collapsed="false">
      <c r="A10424" s="5" t="s">
        <v>458</v>
      </c>
      <c r="C10424" s="26" t="n">
        <f aca="false">Assumptions!$M$54</f>
        <v>2</v>
      </c>
    </row>
    <row r="10425" customFormat="false" ht="15" hidden="false" customHeight="false" outlineLevel="0" collapsed="false">
      <c r="A10425" s="5" t="s">
        <v>459</v>
      </c>
      <c r="C10425" s="26" t="n">
        <f aca="false">Assumptions!$M$55</f>
        <v>3</v>
      </c>
    </row>
    <row r="10426" customFormat="false" ht="15" hidden="false" customHeight="false" outlineLevel="0" collapsed="false">
      <c r="A10426" s="5" t="s">
        <v>460</v>
      </c>
      <c r="C10426" s="26" t="n">
        <f aca="false">Assumptions!$M$56</f>
        <v>4</v>
      </c>
    </row>
    <row r="10427" customFormat="false" ht="15" hidden="false" customHeight="false" outlineLevel="0" collapsed="false">
      <c r="A10427" s="23" t="s">
        <v>462</v>
      </c>
      <c r="B10427" s="24"/>
      <c r="C10427" s="24"/>
      <c r="D10427" s="24"/>
      <c r="E10427" s="24"/>
      <c r="F10427" s="24"/>
      <c r="G10427" s="24"/>
      <c r="H10427" s="24"/>
      <c r="I10427" s="24"/>
      <c r="J10427" s="24"/>
      <c r="K10427" s="24"/>
    </row>
    <row r="10428" customFormat="false" ht="15" hidden="false" customHeight="false" outlineLevel="0" collapsed="false">
      <c r="A10428" s="5" t="s">
        <v>457</v>
      </c>
      <c r="C10428" s="34" t="n">
        <f aca="false">Assumptions!$Q$53</f>
        <v>0</v>
      </c>
    </row>
    <row r="10429" customFormat="false" ht="15" hidden="false" customHeight="false" outlineLevel="0" collapsed="false">
      <c r="A10429" s="5" t="s">
        <v>458</v>
      </c>
      <c r="C10429" s="34" t="n">
        <f aca="false">Assumptions!$Q$54</f>
        <v>0</v>
      </c>
    </row>
    <row r="10430" customFormat="false" ht="15" hidden="false" customHeight="false" outlineLevel="0" collapsed="false">
      <c r="A10430" s="5" t="s">
        <v>459</v>
      </c>
      <c r="C10430" s="34" t="n">
        <f aca="false">Assumptions!$Q$55</f>
        <v>0</v>
      </c>
    </row>
    <row r="10431" customFormat="false" ht="15" hidden="false" customHeight="false" outlineLevel="0" collapsed="false">
      <c r="A10431" s="5" t="s">
        <v>460</v>
      </c>
      <c r="C10431" s="34" t="n">
        <f aca="false">Assumptions!$Q$56</f>
        <v>0</v>
      </c>
    </row>
    <row r="10432" customFormat="false" ht="15" hidden="false" customHeight="false" outlineLevel="0" collapsed="false">
      <c r="A10432" s="23" t="s">
        <v>463</v>
      </c>
      <c r="B10432" s="24"/>
      <c r="C10432" s="24"/>
      <c r="D10432" s="24"/>
      <c r="E10432" s="24"/>
      <c r="F10432" s="24"/>
      <c r="G10432" s="24"/>
      <c r="H10432" s="24"/>
      <c r="I10432" s="24"/>
      <c r="J10432" s="24"/>
      <c r="K10432" s="24"/>
    </row>
    <row r="10433" customFormat="false" ht="15" hidden="false" customHeight="false" outlineLevel="0" collapsed="false">
      <c r="A10433" s="5" t="s">
        <v>457</v>
      </c>
      <c r="C10433" s="25" t="n">
        <f aca="false">IF(C10428&gt;0,MIN(C10418,C10428*$C$10416),0)</f>
        <v>0</v>
      </c>
    </row>
    <row r="10434" customFormat="false" ht="15" hidden="false" customHeight="false" outlineLevel="0" collapsed="false">
      <c r="A10434" s="5" t="s">
        <v>458</v>
      </c>
      <c r="C10434" s="25" t="n">
        <f aca="false">IF(C10429&gt;0,MIN(C10419,C10429*$C$10416),0)</f>
        <v>0</v>
      </c>
    </row>
    <row r="10435" customFormat="false" ht="15" hidden="false" customHeight="false" outlineLevel="0" collapsed="false">
      <c r="A10435" s="5" t="s">
        <v>459</v>
      </c>
      <c r="C10435" s="25" t="n">
        <f aca="false">IF(C10430&gt;0,MIN(C10420,C10430*$C$10416),0)</f>
        <v>0</v>
      </c>
    </row>
    <row r="10436" customFormat="false" ht="15" hidden="false" customHeight="false" outlineLevel="0" collapsed="false">
      <c r="A10436" s="5" t="s">
        <v>460</v>
      </c>
      <c r="C10436" s="25" t="n">
        <f aca="false">IF(C10431&gt;0,MIN(C10421,C10431*$C$10416),0)</f>
        <v>0</v>
      </c>
    </row>
    <row r="10437" customFormat="false" ht="15" hidden="false" customHeight="false" outlineLevel="0" collapsed="false">
      <c r="A10437" s="23" t="s">
        <v>464</v>
      </c>
      <c r="B10437" s="24"/>
      <c r="C10437" s="24"/>
      <c r="D10437" s="24"/>
      <c r="E10437" s="24"/>
      <c r="F10437" s="24"/>
      <c r="G10437" s="24"/>
      <c r="H10437" s="24"/>
      <c r="I10437" s="24"/>
      <c r="J10437" s="24"/>
      <c r="K10437" s="24"/>
    </row>
    <row r="10438" customFormat="false" ht="15" hidden="false" customHeight="false" outlineLevel="0" collapsed="false">
      <c r="A10438" s="5" t="s">
        <v>457</v>
      </c>
      <c r="C10438" s="25" t="n">
        <f aca="false">IF(C10428&gt;0,C10418-C10433,0)</f>
        <v>0</v>
      </c>
      <c r="G10438" s="20" t="n">
        <f aca="false">IF(AND(G10287=1,G10284=1),1,0)</f>
        <v>0</v>
      </c>
      <c r="H10438" s="20" t="n">
        <f aca="false">IF(G10438=1,1,IF(AND(H10287=1,H10284=1),1,0))</f>
        <v>0</v>
      </c>
      <c r="I10438" s="20" t="n">
        <f aca="false">IF(H10438=1,1,IF(AND(I10287=1,I10284=1),1,0))</f>
        <v>0</v>
      </c>
      <c r="J10438" s="20" t="n">
        <f aca="false">IF(I10438=1,1,IF(AND(J10287=1,J10284=1),1,0))</f>
        <v>0</v>
      </c>
      <c r="K10438" s="20" t="n">
        <f aca="false">IF(J10438=1,1,IF(AND(K10287=1,K10284=1),1,0))</f>
        <v>0</v>
      </c>
    </row>
    <row r="10439" customFormat="false" ht="15" hidden="false" customHeight="false" outlineLevel="0" collapsed="false">
      <c r="A10439" s="5" t="s">
        <v>458</v>
      </c>
      <c r="C10439" s="25" t="n">
        <f aca="false">IF(C10429&gt;0,C10419-C10434,0)</f>
        <v>0</v>
      </c>
      <c r="G10439" s="20" t="n">
        <f aca="false">IF(AND(G10300=1,G10284=1),1,0)</f>
        <v>0</v>
      </c>
      <c r="H10439" s="20" t="n">
        <f aca="false">IF(G10439=1,1,IF(AND(H10300=1,H10284=1),1,0))</f>
        <v>0</v>
      </c>
      <c r="I10439" s="20" t="n">
        <f aca="false">IF(H10439=1,1,IF(AND(I10300=1,I10284=1),1,0))</f>
        <v>0</v>
      </c>
      <c r="J10439" s="20" t="n">
        <f aca="false">IF(I10439=1,1,IF(AND(J10300=1,J10284=1),1,0))</f>
        <v>0</v>
      </c>
      <c r="K10439" s="20" t="n">
        <f aca="false">IF(J10439=1,1,IF(AND(K10300=1,K10284=1),1,0))</f>
        <v>0</v>
      </c>
    </row>
    <row r="10440" customFormat="false" ht="15" hidden="false" customHeight="false" outlineLevel="0" collapsed="false">
      <c r="A10440" s="5" t="s">
        <v>459</v>
      </c>
      <c r="C10440" s="25" t="n">
        <f aca="false">IF(C10430&gt;0,C10420-C10435,0)</f>
        <v>0</v>
      </c>
      <c r="G10440" s="20" t="n">
        <f aca="false">IF(AND(G10313=1,G10284=1),1,0)</f>
        <v>0</v>
      </c>
      <c r="H10440" s="20" t="n">
        <f aca="false">IF(G10440=1,1,IF(AND(H10313=1,H10284=1),1,0))</f>
        <v>0</v>
      </c>
      <c r="I10440" s="20" t="n">
        <f aca="false">IF(H10440=1,1,IF(AND(I10313=1,I10284=1),1,0))</f>
        <v>0</v>
      </c>
      <c r="J10440" s="20" t="n">
        <f aca="false">IF(I10440=1,1,IF(AND(J10313=1,J10284=1),1,0))</f>
        <v>0</v>
      </c>
      <c r="K10440" s="20" t="n">
        <f aca="false">IF(J10440=1,1,IF(AND(K10313=1,K10284=1),1,0))</f>
        <v>0</v>
      </c>
    </row>
    <row r="10441" customFormat="false" ht="15" hidden="false" customHeight="false" outlineLevel="0" collapsed="false">
      <c r="A10441" s="5" t="s">
        <v>460</v>
      </c>
      <c r="C10441" s="25" t="n">
        <f aca="false">IF(C10431&gt;0,C10421-C10436,0)</f>
        <v>0</v>
      </c>
      <c r="G10441" s="20" t="n">
        <f aca="false">IF(AND(G10326=1,G10284=1),1,0)</f>
        <v>0</v>
      </c>
      <c r="H10441" s="20" t="n">
        <f aca="false">IF(G10441=1,1,IF(AND(H10326=1,H10284=1),1,0))</f>
        <v>0</v>
      </c>
      <c r="I10441" s="20" t="n">
        <f aca="false">IF(H10441=1,1,IF(AND(I10326=1,I10284=1),1,0))</f>
        <v>0</v>
      </c>
      <c r="J10441" s="20" t="n">
        <f aca="false">IF(I10441=1,1,IF(AND(J10326=1,J10284=1),1,0))</f>
        <v>0</v>
      </c>
      <c r="K10441" s="20" t="n">
        <f aca="false">IF(J10441=1,1,IF(AND(K10326=1,K10284=1),1,0))</f>
        <v>0</v>
      </c>
    </row>
    <row r="10442" customFormat="false" ht="15" hidden="false" customHeight="false" outlineLevel="0" collapsed="false">
      <c r="A10442" s="23" t="s">
        <v>465</v>
      </c>
      <c r="B10442" s="24"/>
      <c r="C10442" s="24"/>
      <c r="D10442" s="24"/>
      <c r="E10442" s="24"/>
      <c r="F10442" s="24"/>
      <c r="G10442" s="24"/>
      <c r="H10442" s="24"/>
      <c r="I10442" s="24"/>
      <c r="J10442" s="24"/>
      <c r="K10442" s="24"/>
    </row>
    <row r="10443" customFormat="false" ht="15" hidden="false" customHeight="false" outlineLevel="0" collapsed="false">
      <c r="A10443" s="5" t="s">
        <v>457</v>
      </c>
      <c r="C10443" s="25" t="n">
        <f aca="false">IF(C10428&gt;0,C10438,C10418)</f>
        <v>225.2848772</v>
      </c>
    </row>
    <row r="10444" customFormat="false" ht="15" hidden="false" customHeight="false" outlineLevel="0" collapsed="false">
      <c r="A10444" s="5" t="s">
        <v>458</v>
      </c>
      <c r="C10444" s="25" t="n">
        <f aca="false">IF(C10429&gt;0,C10439,C10419)</f>
        <v>526.2257</v>
      </c>
    </row>
    <row r="10445" customFormat="false" ht="15" hidden="false" customHeight="false" outlineLevel="0" collapsed="false">
      <c r="A10445" s="5" t="s">
        <v>459</v>
      </c>
      <c r="C10445" s="25" t="n">
        <f aca="false">IF(C10430&gt;0,C10440,C10420)</f>
        <v>256.875</v>
      </c>
    </row>
    <row r="10446" customFormat="false" ht="15" hidden="false" customHeight="false" outlineLevel="0" collapsed="false">
      <c r="A10446" s="5" t="s">
        <v>460</v>
      </c>
      <c r="C10446" s="25" t="n">
        <f aca="false">IF(C10431&gt;0,C10441,C10421)</f>
        <v>305.625</v>
      </c>
    </row>
    <row r="10447" customFormat="false" ht="15" hidden="false" customHeight="false" outlineLevel="0" collapsed="false">
      <c r="A10447" s="23" t="s">
        <v>466</v>
      </c>
      <c r="B10447" s="24"/>
      <c r="C10447" s="24"/>
      <c r="D10447" s="24"/>
      <c r="E10447" s="24"/>
      <c r="F10447" s="24"/>
      <c r="G10447" s="24"/>
      <c r="H10447" s="24"/>
      <c r="I10447" s="24"/>
      <c r="J10447" s="24"/>
      <c r="K10447" s="24"/>
    </row>
    <row r="10448" customFormat="false" ht="15" hidden="false" customHeight="false" outlineLevel="0" collapsed="false">
      <c r="A10448" s="5" t="s">
        <v>457</v>
      </c>
      <c r="C10448" s="20" t="n">
        <f aca="false">IF(C10428&gt;0,Assumptions!$C$17,C10423)</f>
        <v>1</v>
      </c>
    </row>
    <row r="10449" customFormat="false" ht="15" hidden="false" customHeight="false" outlineLevel="0" collapsed="false">
      <c r="A10449" s="5" t="s">
        <v>458</v>
      </c>
      <c r="C10449" s="20" t="n">
        <f aca="false">IF(C10429&gt;0,Assumptions!$C$17,C10424)</f>
        <v>2</v>
      </c>
    </row>
    <row r="10450" customFormat="false" ht="15" hidden="false" customHeight="false" outlineLevel="0" collapsed="false">
      <c r="A10450" s="5" t="s">
        <v>459</v>
      </c>
      <c r="C10450" s="20" t="n">
        <f aca="false">IF(C10430&gt;0,Assumptions!$C$17,C10425)</f>
        <v>3</v>
      </c>
    </row>
    <row r="10451" customFormat="false" ht="15" hidden="false" customHeight="false" outlineLevel="0" collapsed="false">
      <c r="A10451" s="5" t="s">
        <v>460</v>
      </c>
      <c r="C10451" s="20" t="n">
        <f aca="false">IF(C10431&gt;0,Assumptions!$C$17,C10426)</f>
        <v>4</v>
      </c>
    </row>
    <row r="10452" customFormat="false" ht="15" hidden="false" customHeight="false" outlineLevel="0" collapsed="false">
      <c r="A10452" s="23" t="s">
        <v>467</v>
      </c>
      <c r="B10452" s="24"/>
      <c r="C10452" s="24"/>
      <c r="D10452" s="24"/>
      <c r="E10452" s="24"/>
      <c r="F10452" s="24"/>
      <c r="G10452" s="24"/>
      <c r="H10452" s="24"/>
      <c r="I10452" s="24"/>
      <c r="J10452" s="24"/>
      <c r="K10452" s="24"/>
    </row>
    <row r="10453" customFormat="false" ht="15" hidden="false" customHeight="false" outlineLevel="0" collapsed="false">
      <c r="A10453" s="5" t="s">
        <v>457</v>
      </c>
      <c r="C10453" s="25" t="n">
        <f aca="false">SUMPRODUCT(($C$10448:$C$10451&lt;C10448)*$C$10443:$C$10446)</f>
        <v>0</v>
      </c>
    </row>
    <row r="10454" customFormat="false" ht="15" hidden="false" customHeight="false" outlineLevel="0" collapsed="false">
      <c r="A10454" s="5" t="s">
        <v>458</v>
      </c>
      <c r="C10454" s="25" t="n">
        <f aca="false">SUMPRODUCT(($C$10448:$C$10451&lt;C10449)*$C$10443:$C$10446)</f>
        <v>225.2848772</v>
      </c>
    </row>
    <row r="10455" customFormat="false" ht="15" hidden="false" customHeight="false" outlineLevel="0" collapsed="false">
      <c r="A10455" s="5" t="s">
        <v>459</v>
      </c>
      <c r="C10455" s="25" t="n">
        <f aca="false">SUMPRODUCT(($C$10448:$C$10451&lt;C10450)*$C$10443:$C$10446)</f>
        <v>751.5105772</v>
      </c>
    </row>
    <row r="10456" customFormat="false" ht="15" hidden="false" customHeight="false" outlineLevel="0" collapsed="false">
      <c r="A10456" s="5" t="s">
        <v>460</v>
      </c>
      <c r="C10456" s="25" t="n">
        <f aca="false">SUMPRODUCT(($C$10448:$C$10451&lt;C10451)*$C$10443:$C$10446)</f>
        <v>1008.3855772</v>
      </c>
    </row>
    <row r="10457" customFormat="false" ht="15" hidden="false" customHeight="false" outlineLevel="0" collapsed="false">
      <c r="A10457" s="23" t="s">
        <v>468</v>
      </c>
      <c r="B10457" s="24"/>
      <c r="C10457" s="24"/>
      <c r="D10457" s="24"/>
      <c r="E10457" s="24"/>
      <c r="F10457" s="24"/>
      <c r="G10457" s="24"/>
      <c r="H10457" s="24"/>
      <c r="I10457" s="24"/>
      <c r="J10457" s="24"/>
      <c r="K10457" s="24"/>
    </row>
    <row r="10458" customFormat="false" ht="15" hidden="false" customHeight="false" outlineLevel="0" collapsed="false">
      <c r="A10458" s="5" t="s">
        <v>457</v>
      </c>
      <c r="C10458" s="25" t="n">
        <f aca="false">SUMPRODUCT(($C$10448:$C$10451=C10448)*$C$10443:$C$10446)</f>
        <v>225.2848772</v>
      </c>
    </row>
    <row r="10459" customFormat="false" ht="15" hidden="false" customHeight="false" outlineLevel="0" collapsed="false">
      <c r="A10459" s="5" t="s">
        <v>458</v>
      </c>
      <c r="C10459" s="25" t="n">
        <f aca="false">SUMPRODUCT(($C$10448:$C$10451=C10449)*$C$10443:$C$10446)</f>
        <v>526.2257</v>
      </c>
    </row>
    <row r="10460" customFormat="false" ht="15" hidden="false" customHeight="false" outlineLevel="0" collapsed="false">
      <c r="A10460" s="5" t="s">
        <v>459</v>
      </c>
      <c r="C10460" s="25" t="n">
        <f aca="false">SUMPRODUCT(($C$10448:$C$10451=C10450)*$C$10443:$C$10446)</f>
        <v>256.875</v>
      </c>
    </row>
    <row r="10461" customFormat="false" ht="15" hidden="false" customHeight="false" outlineLevel="0" collapsed="false">
      <c r="A10461" s="5" t="s">
        <v>460</v>
      </c>
      <c r="C10461" s="25" t="n">
        <f aca="false">SUMPRODUCT(($C$10448:$C$10451=C10451)*$C$10443:$C$10446)</f>
        <v>305.625</v>
      </c>
    </row>
    <row r="10462" customFormat="false" ht="15" hidden="false" customHeight="false" outlineLevel="0" collapsed="false">
      <c r="A10462" s="23" t="s">
        <v>469</v>
      </c>
      <c r="B10462" s="24"/>
      <c r="C10462" s="24"/>
      <c r="D10462" s="24"/>
      <c r="E10462" s="24"/>
      <c r="F10462" s="24"/>
      <c r="G10462" s="24"/>
      <c r="H10462" s="24"/>
      <c r="I10462" s="24"/>
      <c r="J10462" s="24"/>
      <c r="K10462" s="24"/>
    </row>
    <row r="10463" customFormat="false" ht="15" hidden="false" customHeight="false" outlineLevel="0" collapsed="false">
      <c r="A10463" s="5" t="s">
        <v>457</v>
      </c>
      <c r="C10463" s="25" t="n">
        <f aca="false">IF(C10458=0,0,C10443/C10458*MAX(0,MIN(C10458,$C$10416-SUM($C$10433:$C$10436)-C10453)))</f>
        <v>225.2848772</v>
      </c>
    </row>
    <row r="10464" customFormat="false" ht="15" hidden="false" customHeight="false" outlineLevel="0" collapsed="false">
      <c r="A10464" s="5" t="s">
        <v>458</v>
      </c>
      <c r="C10464" s="25" t="n">
        <f aca="false">IF(C10459=0,0,C10444/C10459*MAX(0,MIN(C10459,$C$10416-SUM($C$10433:$C$10436)-C10454)))</f>
        <v>164.0911228</v>
      </c>
    </row>
    <row r="10465" customFormat="false" ht="15" hidden="false" customHeight="false" outlineLevel="0" collapsed="false">
      <c r="A10465" s="5" t="s">
        <v>459</v>
      </c>
      <c r="C10465" s="25" t="n">
        <f aca="false">IF(C10460=0,0,C10445/C10460*MAX(0,MIN(C10460,$C$10416-SUM($C$10433:$C$10436)-C10455)))</f>
        <v>0</v>
      </c>
    </row>
    <row r="10466" customFormat="false" ht="15" hidden="false" customHeight="false" outlineLevel="0" collapsed="false">
      <c r="A10466" s="5" t="s">
        <v>460</v>
      </c>
      <c r="C10466" s="25" t="n">
        <f aca="false">IF(C10461=0,0,C10446/C10461*MAX(0,MIN(C10461,$C$10416-SUM($C$10433:$C$10436)-C10456)))</f>
        <v>0</v>
      </c>
    </row>
    <row r="10467" customFormat="false" ht="15" hidden="false" customHeight="false" outlineLevel="0" collapsed="false">
      <c r="A10467" s="23" t="s">
        <v>470</v>
      </c>
      <c r="B10467" s="24"/>
      <c r="C10467" s="24"/>
      <c r="D10467" s="24"/>
      <c r="E10467" s="24"/>
      <c r="F10467" s="24"/>
      <c r="G10467" s="24"/>
      <c r="H10467" s="24"/>
      <c r="I10467" s="24"/>
      <c r="J10467" s="24"/>
      <c r="K10467" s="24"/>
    </row>
    <row r="10468" customFormat="false" ht="15" hidden="false" customHeight="false" outlineLevel="0" collapsed="false">
      <c r="A10468" s="2" t="s">
        <v>457</v>
      </c>
      <c r="C10468" s="16" t="n">
        <f aca="false">C10433+C10463</f>
        <v>225.2848772</v>
      </c>
    </row>
    <row r="10469" customFormat="false" ht="15" hidden="false" customHeight="false" outlineLevel="0" collapsed="false">
      <c r="A10469" s="2" t="s">
        <v>458</v>
      </c>
      <c r="C10469" s="16" t="n">
        <f aca="false">C10434+C10464</f>
        <v>164.0911228</v>
      </c>
    </row>
    <row r="10470" customFormat="false" ht="15" hidden="false" customHeight="false" outlineLevel="0" collapsed="false">
      <c r="A10470" s="2" t="s">
        <v>459</v>
      </c>
      <c r="C10470" s="16" t="n">
        <f aca="false">C10435+C10465</f>
        <v>0</v>
      </c>
    </row>
    <row r="10471" customFormat="false" ht="15" hidden="false" customHeight="false" outlineLevel="0" collapsed="false">
      <c r="A10471" s="2" t="s">
        <v>460</v>
      </c>
      <c r="C10471" s="16" t="n">
        <f aca="false">C10436+C10466</f>
        <v>0</v>
      </c>
    </row>
    <row r="10472" customFormat="false" ht="15" hidden="false" customHeight="false" outlineLevel="0" collapsed="false">
      <c r="A10472" s="23" t="s">
        <v>471</v>
      </c>
      <c r="B10472" s="24"/>
      <c r="C10472" s="24"/>
      <c r="D10472" s="24"/>
      <c r="E10472" s="24"/>
      <c r="F10472" s="24"/>
      <c r="G10472" s="24"/>
      <c r="H10472" s="24"/>
      <c r="I10472" s="24"/>
      <c r="J10472" s="24"/>
      <c r="K10472" s="24"/>
    </row>
    <row r="10473" customFormat="false" ht="15" hidden="false" customHeight="false" outlineLevel="0" collapsed="false">
      <c r="A10473" s="5" t="s">
        <v>457</v>
      </c>
      <c r="C10473" s="21" t="n">
        <f aca="false">IF(C10418=0,1,C10468/C10418)</f>
        <v>1</v>
      </c>
    </row>
    <row r="10474" customFormat="false" ht="15" hidden="false" customHeight="false" outlineLevel="0" collapsed="false">
      <c r="A10474" s="5" t="s">
        <v>458</v>
      </c>
      <c r="C10474" s="21" t="n">
        <f aca="false">IF(C10419=0,1,C10469/C10419)</f>
        <v>0.311826508663488</v>
      </c>
    </row>
    <row r="10475" customFormat="false" ht="15" hidden="false" customHeight="false" outlineLevel="0" collapsed="false">
      <c r="A10475" s="5" t="s">
        <v>459</v>
      </c>
      <c r="C10475" s="21" t="n">
        <f aca="false">IF(C10420=0,1,C10470/C10420)</f>
        <v>0</v>
      </c>
    </row>
    <row r="10476" customFormat="false" ht="15" hidden="false" customHeight="false" outlineLevel="0" collapsed="false">
      <c r="A10476" s="5" t="s">
        <v>460</v>
      </c>
      <c r="C10476" s="21" t="n">
        <f aca="false">IF(C10421=0,1,C10471/C10421)</f>
        <v>0</v>
      </c>
    </row>
    <row r="10477" customFormat="false" ht="15" hidden="false" customHeight="false" outlineLevel="0" collapsed="false">
      <c r="A10477" s="23" t="s">
        <v>472</v>
      </c>
      <c r="B10477" s="24"/>
      <c r="C10477" s="24"/>
      <c r="D10477" s="24"/>
      <c r="E10477" s="24"/>
      <c r="F10477" s="24"/>
      <c r="G10477" s="24"/>
      <c r="H10477" s="24"/>
      <c r="I10477" s="24"/>
      <c r="J10477" s="24"/>
      <c r="K10477" s="24"/>
    </row>
    <row r="10478" customFormat="false" ht="15" hidden="false" customHeight="false" outlineLevel="0" collapsed="false">
      <c r="A10478" s="5" t="s">
        <v>457</v>
      </c>
      <c r="C10478" s="25" t="n">
        <f aca="false">C10418-C10468</f>
        <v>0</v>
      </c>
    </row>
    <row r="10479" customFormat="false" ht="15" hidden="false" customHeight="false" outlineLevel="0" collapsed="false">
      <c r="A10479" s="5" t="s">
        <v>458</v>
      </c>
      <c r="C10479" s="25" t="n">
        <f aca="false">C10419-C10469</f>
        <v>362.1345772</v>
      </c>
    </row>
    <row r="10480" customFormat="false" ht="15" hidden="false" customHeight="false" outlineLevel="0" collapsed="false">
      <c r="A10480" s="5" t="s">
        <v>459</v>
      </c>
      <c r="C10480" s="25" t="n">
        <f aca="false">C10420-C10470</f>
        <v>256.875</v>
      </c>
    </row>
    <row r="10481" customFormat="false" ht="15" hidden="false" customHeight="false" outlineLevel="0" collapsed="false">
      <c r="A10481" s="5" t="s">
        <v>460</v>
      </c>
      <c r="C10481" s="25" t="n">
        <f aca="false">C10421-C10471</f>
        <v>305.625</v>
      </c>
    </row>
    <row r="10482" customFormat="false" ht="15" hidden="false" customHeight="false" outlineLevel="0" collapsed="false">
      <c r="A10482" s="23" t="s">
        <v>473</v>
      </c>
      <c r="B10482" s="24"/>
      <c r="C10482" s="24"/>
      <c r="D10482" s="24"/>
      <c r="E10482" s="24"/>
      <c r="F10482" s="24"/>
      <c r="G10482" s="24"/>
      <c r="H10482" s="24"/>
      <c r="I10482" s="24"/>
      <c r="J10482" s="24"/>
      <c r="K10482" s="24"/>
    </row>
    <row r="10483" customFormat="false" ht="15" hidden="false" customHeight="false" outlineLevel="0" collapsed="false">
      <c r="A10483" s="5" t="s">
        <v>457</v>
      </c>
      <c r="C10483" s="21" t="n">
        <f aca="false">IF(C10418=0,0,C10478/C10418)</f>
        <v>0</v>
      </c>
    </row>
    <row r="10484" customFormat="false" ht="15" hidden="false" customHeight="false" outlineLevel="0" collapsed="false">
      <c r="A10484" s="5" t="s">
        <v>458</v>
      </c>
      <c r="C10484" s="21" t="n">
        <f aca="false">IF(C10419=0,0,C10479/C10419)</f>
        <v>0.688173491336512</v>
      </c>
    </row>
    <row r="10485" customFormat="false" ht="15" hidden="false" customHeight="false" outlineLevel="0" collapsed="false">
      <c r="A10485" s="5" t="s">
        <v>459</v>
      </c>
      <c r="C10485" s="21" t="n">
        <f aca="false">IF(C10420=0,0,C10480/C10420)</f>
        <v>1</v>
      </c>
    </row>
    <row r="10486" customFormat="false" ht="15" hidden="false" customHeight="false" outlineLevel="0" collapsed="false">
      <c r="A10486" s="5" t="s">
        <v>460</v>
      </c>
      <c r="C10486" s="21" t="n">
        <f aca="false">IF(C10421=0,0,C10481/C10421)</f>
        <v>1</v>
      </c>
    </row>
    <row r="10487" customFormat="false" ht="15" hidden="false" customHeight="false" outlineLevel="0" collapsed="false">
      <c r="A10487" s="2" t="s">
        <v>474</v>
      </c>
      <c r="C10487" s="16" t="n">
        <f aca="false">MAX(0,$C$10416-SUM($C$10433:$C$10436)-SUM($C$10443:$C$10446))</f>
        <v>0</v>
      </c>
    </row>
    <row r="10488" customFormat="false" ht="15" hidden="false" customHeight="false" outlineLevel="0" collapsed="false">
      <c r="A10488" s="5" t="s">
        <v>475</v>
      </c>
      <c r="C10488" s="25" t="n">
        <f aca="false">SUM($C$10468:$C$10471)+C10487+C10415-C10414</f>
        <v>0</v>
      </c>
    </row>
    <row r="10490" customFormat="false" ht="15" hidden="false" customHeight="false" outlineLevel="0" collapsed="false">
      <c r="A10490" s="23" t="s">
        <v>478</v>
      </c>
      <c r="B10490" s="24"/>
      <c r="C10490" s="24"/>
      <c r="D10490" s="24"/>
      <c r="E10490" s="24"/>
      <c r="F10490" s="24"/>
      <c r="G10490" s="24"/>
      <c r="H10490" s="24"/>
      <c r="I10490" s="24"/>
      <c r="J10490" s="24"/>
      <c r="K10490" s="24"/>
    </row>
    <row r="10491" customFormat="false" ht="15" hidden="false" customHeight="false" outlineLevel="0" collapsed="false">
      <c r="A10491" s="5" t="s">
        <v>479</v>
      </c>
      <c r="C10491" s="26" t="n">
        <f aca="false">Assumptions!$C$30</f>
        <v>2</v>
      </c>
    </row>
    <row r="10492" customFormat="false" ht="15" hidden="false" customHeight="false" outlineLevel="0" collapsed="false">
      <c r="A10492" s="5" t="s">
        <v>480</v>
      </c>
      <c r="C10492" s="28" t="n">
        <f aca="false">Assumptions!$C$31</f>
        <v>100</v>
      </c>
    </row>
    <row r="10493" customFormat="false" ht="15" hidden="false" customHeight="false" outlineLevel="0" collapsed="false">
      <c r="A10493" s="5" t="s">
        <v>481</v>
      </c>
      <c r="C10493" s="39" t="n">
        <f aca="false">Assumptions!$C$32</f>
        <v>78</v>
      </c>
    </row>
    <row r="10494" customFormat="false" ht="15" hidden="false" customHeight="false" outlineLevel="0" collapsed="false">
      <c r="A10494" s="5" t="s">
        <v>482</v>
      </c>
      <c r="C10494" s="25" t="n">
        <f aca="false">C10492*C10493/100*(1+Assumptions!$C$33)</f>
        <v>78.39</v>
      </c>
    </row>
    <row r="10495" customFormat="false" ht="15" hidden="false" customHeight="false" outlineLevel="0" collapsed="false">
      <c r="A10495" s="5" t="s">
        <v>483</v>
      </c>
      <c r="C10495" s="26" t="n">
        <f aca="false">Assumptions!$C$34</f>
        <v>2</v>
      </c>
    </row>
    <row r="10496" customFormat="false" ht="15" hidden="false" customHeight="false" outlineLevel="0" collapsed="false">
      <c r="A10496" s="5" t="s">
        <v>484</v>
      </c>
      <c r="C10496" s="20" t="n">
        <f aca="false">IF(C10407=1,SUMPRODUCT($G$10375:$K$10375,$G$10251:$K$10251),0)</f>
        <v>2</v>
      </c>
    </row>
    <row r="10497" customFormat="false" ht="15" hidden="false" customHeight="false" outlineLevel="0" collapsed="false">
      <c r="A10497" s="5" t="s">
        <v>485</v>
      </c>
      <c r="C10497" s="21" t="n">
        <f aca="false">IFERROR(C10492/CHOOSE(C10491,SUMPRODUCT($G$10406:$K$10406,$G$10297:$K$10297),SUMPRODUCT($G$10406:$K$10406,$G$10310:$K$10310),SUMPRODUCT($G$10406:$K$10406,$G$10323:$K$10323),SUMPRODUCT($G$10406:$K$10406,$G$10336:$K$10336)),0)</f>
        <v>0.196232339089482</v>
      </c>
    </row>
    <row r="10498" customFormat="false" ht="15" hidden="false" customHeight="false" outlineLevel="0" collapsed="false">
      <c r="A10498" s="5" t="s">
        <v>486</v>
      </c>
      <c r="C10498" s="25" t="n">
        <f aca="false">CHOOSE(C10491,C10468,C10469,C10470,C10471)*C10497</f>
        <v>32.1999848508634</v>
      </c>
    </row>
    <row r="10499" customFormat="false" ht="15" hidden="false" customHeight="false" outlineLevel="0" collapsed="false">
      <c r="A10499" s="5" t="s">
        <v>487</v>
      </c>
      <c r="C10499" s="21" t="n">
        <f aca="false">CHOOSE(C10491,C10473,C10474,C10475,C10476)</f>
        <v>0.311826508663488</v>
      </c>
    </row>
    <row r="10500" customFormat="false" ht="15" hidden="false" customHeight="false" outlineLevel="0" collapsed="false">
      <c r="A10500" s="5" t="s">
        <v>488</v>
      </c>
      <c r="C10500" s="20" t="n">
        <f aca="false">IF(C10407=1,C10496,C10495)</f>
        <v>2</v>
      </c>
    </row>
    <row r="10501" customFormat="false" ht="15" hidden="false" customHeight="false" outlineLevel="0" collapsed="false">
      <c r="A10501" s="5" t="s">
        <v>489</v>
      </c>
      <c r="C10501" s="33" t="n">
        <f aca="false">CHOOSE($C$10243,Assumptions!$C$77,Assumptions!$C$96,Assumptions!$C$115)</f>
        <v>70</v>
      </c>
    </row>
    <row r="10502" customFormat="false" ht="15" hidden="false" customHeight="false" outlineLevel="0" collapsed="false">
      <c r="A10502" s="5" t="s">
        <v>490</v>
      </c>
      <c r="C10502" s="25" t="n">
        <f aca="false">INDEX($G$10260:$K$10260,C10495)*CHOOSE($C$10243,Assumptions!$C$76,Assumptions!$C$95,Assumptions!$C$114)+MAX(0,INDEX($G$10372:$K$10372,C10495))</f>
        <v>49.31808</v>
      </c>
    </row>
    <row r="10503" customFormat="false" ht="15" hidden="false" customHeight="false" outlineLevel="0" collapsed="false">
      <c r="A10503" s="23" t="s">
        <v>491</v>
      </c>
      <c r="B10503" s="24"/>
      <c r="C10503" s="24"/>
      <c r="D10503" s="24"/>
      <c r="E10503" s="24"/>
      <c r="F10503" s="24"/>
      <c r="G10503" s="24"/>
      <c r="H10503" s="24"/>
      <c r="I10503" s="24"/>
      <c r="J10503" s="24"/>
      <c r="K10503" s="24"/>
    </row>
    <row r="10504" customFormat="false" ht="15" hidden="false" customHeight="false" outlineLevel="0" collapsed="false">
      <c r="A10504" s="5" t="s">
        <v>457</v>
      </c>
      <c r="C10504" s="25" t="n">
        <f aca="false">INDEX($G$10297:$K$10297,C10495)</f>
        <v>219.0688</v>
      </c>
    </row>
    <row r="10505" customFormat="false" ht="15" hidden="false" customHeight="false" outlineLevel="0" collapsed="false">
      <c r="A10505" s="5" t="s">
        <v>458</v>
      </c>
      <c r="C10505" s="25" t="n">
        <f aca="false">INDEX($G$10310:$K$10310,C10495)</f>
        <v>509.6</v>
      </c>
    </row>
    <row r="10506" customFormat="false" ht="15" hidden="false" customHeight="false" outlineLevel="0" collapsed="false">
      <c r="A10506" s="5" t="s">
        <v>459</v>
      </c>
      <c r="C10506" s="25" t="n">
        <f aca="false">INDEX($G$10323:$K$10323,C10495)</f>
        <v>250</v>
      </c>
    </row>
    <row r="10507" customFormat="false" ht="15" hidden="false" customHeight="false" outlineLevel="0" collapsed="false">
      <c r="A10507" s="5" t="s">
        <v>460</v>
      </c>
      <c r="C10507" s="25" t="n">
        <f aca="false">INDEX($G$10336:$K$10336,C10495)</f>
        <v>300</v>
      </c>
    </row>
    <row r="10508" customFormat="false" ht="15" hidden="false" customHeight="false" outlineLevel="0" collapsed="false">
      <c r="A10508" s="23" t="s">
        <v>461</v>
      </c>
      <c r="B10508" s="24"/>
      <c r="C10508" s="24"/>
      <c r="D10508" s="24"/>
      <c r="E10508" s="24"/>
      <c r="F10508" s="24"/>
      <c r="G10508" s="24"/>
      <c r="H10508" s="24"/>
      <c r="I10508" s="24"/>
      <c r="J10508" s="24"/>
      <c r="K10508" s="24"/>
    </row>
    <row r="10509" customFormat="false" ht="15" hidden="false" customHeight="false" outlineLevel="0" collapsed="false">
      <c r="A10509" s="5" t="s">
        <v>457</v>
      </c>
      <c r="C10509" s="26" t="n">
        <f aca="false">Assumptions!$M$53</f>
        <v>1</v>
      </c>
    </row>
    <row r="10510" customFormat="false" ht="15" hidden="false" customHeight="false" outlineLevel="0" collapsed="false">
      <c r="A10510" s="5" t="s">
        <v>458</v>
      </c>
      <c r="C10510" s="26" t="n">
        <f aca="false">Assumptions!$M$54</f>
        <v>2</v>
      </c>
    </row>
    <row r="10511" customFormat="false" ht="15" hidden="false" customHeight="false" outlineLevel="0" collapsed="false">
      <c r="A10511" s="5" t="s">
        <v>459</v>
      </c>
      <c r="C10511" s="26" t="n">
        <f aca="false">Assumptions!$M$55</f>
        <v>3</v>
      </c>
    </row>
    <row r="10512" customFormat="false" ht="15" hidden="false" customHeight="false" outlineLevel="0" collapsed="false">
      <c r="A10512" s="5" t="s">
        <v>460</v>
      </c>
      <c r="C10512" s="26" t="n">
        <f aca="false">Assumptions!$M$56</f>
        <v>4</v>
      </c>
    </row>
    <row r="10513" customFormat="false" ht="15" hidden="false" customHeight="false" outlineLevel="0" collapsed="false">
      <c r="A10513" s="23" t="s">
        <v>462</v>
      </c>
      <c r="B10513" s="24"/>
      <c r="C10513" s="24"/>
      <c r="D10513" s="24"/>
      <c r="E10513" s="24"/>
      <c r="F10513" s="24"/>
      <c r="G10513" s="24"/>
      <c r="H10513" s="24"/>
      <c r="I10513" s="24"/>
      <c r="J10513" s="24"/>
      <c r="K10513" s="24"/>
    </row>
    <row r="10514" customFormat="false" ht="15" hidden="false" customHeight="false" outlineLevel="0" collapsed="false">
      <c r="A10514" s="5" t="s">
        <v>457</v>
      </c>
      <c r="C10514" s="34" t="n">
        <f aca="false">Assumptions!$Q$53</f>
        <v>0</v>
      </c>
    </row>
    <row r="10515" customFormat="false" ht="15" hidden="false" customHeight="false" outlineLevel="0" collapsed="false">
      <c r="A10515" s="5" t="s">
        <v>458</v>
      </c>
      <c r="C10515" s="34" t="n">
        <f aca="false">Assumptions!$Q$54</f>
        <v>0</v>
      </c>
    </row>
    <row r="10516" customFormat="false" ht="15" hidden="false" customHeight="false" outlineLevel="0" collapsed="false">
      <c r="A10516" s="5" t="s">
        <v>459</v>
      </c>
      <c r="C10516" s="34" t="n">
        <f aca="false">Assumptions!$Q$55</f>
        <v>0</v>
      </c>
    </row>
    <row r="10517" customFormat="false" ht="15" hidden="false" customHeight="false" outlineLevel="0" collapsed="false">
      <c r="A10517" s="5" t="s">
        <v>460</v>
      </c>
      <c r="C10517" s="34" t="n">
        <f aca="false">Assumptions!$Q$56</f>
        <v>0</v>
      </c>
    </row>
    <row r="10518" customFormat="false" ht="15" hidden="false" customHeight="false" outlineLevel="0" collapsed="false">
      <c r="A10518" s="23" t="s">
        <v>463</v>
      </c>
      <c r="B10518" s="24"/>
      <c r="C10518" s="24"/>
      <c r="D10518" s="24"/>
      <c r="E10518" s="24"/>
      <c r="F10518" s="24"/>
      <c r="G10518" s="24"/>
      <c r="H10518" s="24"/>
      <c r="I10518" s="24"/>
      <c r="J10518" s="24"/>
      <c r="K10518" s="24"/>
    </row>
    <row r="10519" customFormat="false" ht="15" hidden="false" customHeight="false" outlineLevel="0" collapsed="false">
      <c r="A10519" s="5" t="s">
        <v>457</v>
      </c>
      <c r="C10519" s="25" t="n">
        <f aca="false">IF(C10514&gt;0,MIN(C10504,C10514*$C$10502),0)</f>
        <v>0</v>
      </c>
    </row>
    <row r="10520" customFormat="false" ht="15" hidden="false" customHeight="false" outlineLevel="0" collapsed="false">
      <c r="A10520" s="5" t="s">
        <v>458</v>
      </c>
      <c r="C10520" s="25" t="n">
        <f aca="false">IF(C10515&gt;0,MIN(C10505,C10515*$C$10502),0)</f>
        <v>0</v>
      </c>
    </row>
    <row r="10521" customFormat="false" ht="15" hidden="false" customHeight="false" outlineLevel="0" collapsed="false">
      <c r="A10521" s="5" t="s">
        <v>459</v>
      </c>
      <c r="C10521" s="25" t="n">
        <f aca="false">IF(C10516&gt;0,MIN(C10506,C10516*$C$10502),0)</f>
        <v>0</v>
      </c>
    </row>
    <row r="10522" customFormat="false" ht="15" hidden="false" customHeight="false" outlineLevel="0" collapsed="false">
      <c r="A10522" s="5" t="s">
        <v>460</v>
      </c>
      <c r="C10522" s="25" t="n">
        <f aca="false">IF(C10517&gt;0,MIN(C10507,C10517*$C$10502),0)</f>
        <v>0</v>
      </c>
    </row>
    <row r="10523" customFormat="false" ht="15" hidden="false" customHeight="false" outlineLevel="0" collapsed="false">
      <c r="A10523" s="23" t="s">
        <v>464</v>
      </c>
      <c r="B10523" s="24"/>
      <c r="C10523" s="24"/>
      <c r="D10523" s="24"/>
      <c r="E10523" s="24"/>
      <c r="F10523" s="24"/>
      <c r="G10523" s="24"/>
      <c r="H10523" s="24"/>
      <c r="I10523" s="24"/>
      <c r="J10523" s="24"/>
      <c r="K10523" s="24"/>
    </row>
    <row r="10524" customFormat="false" ht="15" hidden="false" customHeight="false" outlineLevel="0" collapsed="false">
      <c r="A10524" s="5" t="s">
        <v>457</v>
      </c>
      <c r="C10524" s="25" t="n">
        <f aca="false">IF(C10514&gt;0,C10504-C10519,0)</f>
        <v>0</v>
      </c>
    </row>
    <row r="10525" customFormat="false" ht="15" hidden="false" customHeight="false" outlineLevel="0" collapsed="false">
      <c r="A10525" s="5" t="s">
        <v>458</v>
      </c>
      <c r="C10525" s="25" t="n">
        <f aca="false">IF(C10515&gt;0,C10505-C10520,0)</f>
        <v>0</v>
      </c>
    </row>
    <row r="10526" customFormat="false" ht="15" hidden="false" customHeight="false" outlineLevel="0" collapsed="false">
      <c r="A10526" s="5" t="s">
        <v>459</v>
      </c>
      <c r="C10526" s="25" t="n">
        <f aca="false">IF(C10516&gt;0,C10506-C10521,0)</f>
        <v>0</v>
      </c>
    </row>
    <row r="10527" customFormat="false" ht="15" hidden="false" customHeight="false" outlineLevel="0" collapsed="false">
      <c r="A10527" s="5" t="s">
        <v>460</v>
      </c>
      <c r="C10527" s="25" t="n">
        <f aca="false">IF(C10517&gt;0,C10507-C10522,0)</f>
        <v>0</v>
      </c>
    </row>
    <row r="10528" customFormat="false" ht="15" hidden="false" customHeight="false" outlineLevel="0" collapsed="false">
      <c r="A10528" s="23" t="s">
        <v>465</v>
      </c>
      <c r="B10528" s="24"/>
      <c r="C10528" s="24"/>
      <c r="D10528" s="24"/>
      <c r="E10528" s="24"/>
      <c r="F10528" s="24"/>
      <c r="G10528" s="24"/>
      <c r="H10528" s="24"/>
      <c r="I10528" s="24"/>
      <c r="J10528" s="24"/>
      <c r="K10528" s="24"/>
    </row>
    <row r="10529" customFormat="false" ht="15" hidden="false" customHeight="false" outlineLevel="0" collapsed="false">
      <c r="A10529" s="5" t="s">
        <v>457</v>
      </c>
      <c r="C10529" s="25" t="n">
        <f aca="false">IF(C10514&gt;0,C10524,C10504)</f>
        <v>219.0688</v>
      </c>
    </row>
    <row r="10530" customFormat="false" ht="15" hidden="false" customHeight="false" outlineLevel="0" collapsed="false">
      <c r="A10530" s="5" t="s">
        <v>458</v>
      </c>
      <c r="C10530" s="25" t="n">
        <f aca="false">IF(C10515&gt;0,C10525,C10505)</f>
        <v>509.6</v>
      </c>
    </row>
    <row r="10531" customFormat="false" ht="15" hidden="false" customHeight="false" outlineLevel="0" collapsed="false">
      <c r="A10531" s="5" t="s">
        <v>459</v>
      </c>
      <c r="C10531" s="25" t="n">
        <f aca="false">IF(C10516&gt;0,C10526,C10506)</f>
        <v>250</v>
      </c>
    </row>
    <row r="10532" customFormat="false" ht="15" hidden="false" customHeight="false" outlineLevel="0" collapsed="false">
      <c r="A10532" s="5" t="s">
        <v>460</v>
      </c>
      <c r="C10532" s="25" t="n">
        <f aca="false">IF(C10517&gt;0,C10527,C10507)</f>
        <v>300</v>
      </c>
    </row>
    <row r="10533" customFormat="false" ht="15" hidden="false" customHeight="false" outlineLevel="0" collapsed="false">
      <c r="A10533" s="23" t="s">
        <v>466</v>
      </c>
      <c r="B10533" s="24"/>
      <c r="C10533" s="24"/>
      <c r="D10533" s="24"/>
      <c r="E10533" s="24"/>
      <c r="F10533" s="24"/>
      <c r="G10533" s="24"/>
      <c r="H10533" s="24"/>
      <c r="I10533" s="24"/>
      <c r="J10533" s="24"/>
      <c r="K10533" s="24"/>
    </row>
    <row r="10534" customFormat="false" ht="15" hidden="false" customHeight="false" outlineLevel="0" collapsed="false">
      <c r="A10534" s="5" t="s">
        <v>457</v>
      </c>
      <c r="C10534" s="20" t="n">
        <f aca="false">IF(C10514&gt;0,Assumptions!$C$17,C10509)</f>
        <v>1</v>
      </c>
    </row>
    <row r="10535" customFormat="false" ht="15" hidden="false" customHeight="false" outlineLevel="0" collapsed="false">
      <c r="A10535" s="5" t="s">
        <v>458</v>
      </c>
      <c r="C10535" s="20" t="n">
        <f aca="false">IF(C10515&gt;0,Assumptions!$C$17,C10510)</f>
        <v>2</v>
      </c>
    </row>
    <row r="10536" customFormat="false" ht="15" hidden="false" customHeight="false" outlineLevel="0" collapsed="false">
      <c r="A10536" s="5" t="s">
        <v>459</v>
      </c>
      <c r="C10536" s="20" t="n">
        <f aca="false">IF(C10516&gt;0,Assumptions!$C$17,C10511)</f>
        <v>3</v>
      </c>
    </row>
    <row r="10537" customFormat="false" ht="15" hidden="false" customHeight="false" outlineLevel="0" collapsed="false">
      <c r="A10537" s="5" t="s">
        <v>460</v>
      </c>
      <c r="C10537" s="20" t="n">
        <f aca="false">IF(C10517&gt;0,Assumptions!$C$17,C10512)</f>
        <v>4</v>
      </c>
    </row>
    <row r="10538" customFormat="false" ht="15" hidden="false" customHeight="false" outlineLevel="0" collapsed="false">
      <c r="A10538" s="23" t="s">
        <v>467</v>
      </c>
      <c r="B10538" s="24"/>
      <c r="C10538" s="24"/>
      <c r="D10538" s="24"/>
      <c r="E10538" s="24"/>
      <c r="F10538" s="24"/>
      <c r="G10538" s="24"/>
      <c r="H10538" s="24"/>
      <c r="I10538" s="24"/>
      <c r="J10538" s="24"/>
      <c r="K10538" s="24"/>
    </row>
    <row r="10539" customFormat="false" ht="15" hidden="false" customHeight="false" outlineLevel="0" collapsed="false">
      <c r="A10539" s="5" t="s">
        <v>457</v>
      </c>
      <c r="C10539" s="25" t="n">
        <f aca="false">SUMPRODUCT(($C$10534:$C$10537&lt;C10534)*$C$10529:$C$10532)</f>
        <v>0</v>
      </c>
    </row>
    <row r="10540" customFormat="false" ht="15" hidden="false" customHeight="false" outlineLevel="0" collapsed="false">
      <c r="A10540" s="5" t="s">
        <v>458</v>
      </c>
      <c r="C10540" s="25" t="n">
        <f aca="false">SUMPRODUCT(($C$10534:$C$10537&lt;C10535)*$C$10529:$C$10532)</f>
        <v>219.0688</v>
      </c>
    </row>
    <row r="10541" customFormat="false" ht="15" hidden="false" customHeight="false" outlineLevel="0" collapsed="false">
      <c r="A10541" s="5" t="s">
        <v>459</v>
      </c>
      <c r="C10541" s="25" t="n">
        <f aca="false">SUMPRODUCT(($C$10534:$C$10537&lt;C10536)*$C$10529:$C$10532)</f>
        <v>728.6688</v>
      </c>
    </row>
    <row r="10542" customFormat="false" ht="15" hidden="false" customHeight="false" outlineLevel="0" collapsed="false">
      <c r="A10542" s="5" t="s">
        <v>460</v>
      </c>
      <c r="C10542" s="25" t="n">
        <f aca="false">SUMPRODUCT(($C$10534:$C$10537&lt;C10537)*$C$10529:$C$10532)</f>
        <v>978.6688</v>
      </c>
    </row>
    <row r="10543" customFormat="false" ht="15" hidden="false" customHeight="false" outlineLevel="0" collapsed="false">
      <c r="A10543" s="23" t="s">
        <v>468</v>
      </c>
      <c r="B10543" s="24"/>
      <c r="C10543" s="24"/>
      <c r="D10543" s="24"/>
      <c r="E10543" s="24"/>
      <c r="F10543" s="24"/>
      <c r="G10543" s="24"/>
      <c r="H10543" s="24"/>
      <c r="I10543" s="24"/>
      <c r="J10543" s="24"/>
      <c r="K10543" s="24"/>
    </row>
    <row r="10544" customFormat="false" ht="15" hidden="false" customHeight="false" outlineLevel="0" collapsed="false">
      <c r="A10544" s="5" t="s">
        <v>457</v>
      </c>
      <c r="C10544" s="25" t="n">
        <f aca="false">SUMPRODUCT(($C$10534:$C$10537=C10534)*$C$10529:$C$10532)</f>
        <v>219.0688</v>
      </c>
    </row>
    <row r="10545" customFormat="false" ht="15" hidden="false" customHeight="false" outlineLevel="0" collapsed="false">
      <c r="A10545" s="5" t="s">
        <v>458</v>
      </c>
      <c r="C10545" s="25" t="n">
        <f aca="false">SUMPRODUCT(($C$10534:$C$10537=C10535)*$C$10529:$C$10532)</f>
        <v>509.6</v>
      </c>
    </row>
    <row r="10546" customFormat="false" ht="15" hidden="false" customHeight="false" outlineLevel="0" collapsed="false">
      <c r="A10546" s="5" t="s">
        <v>459</v>
      </c>
      <c r="C10546" s="25" t="n">
        <f aca="false">SUMPRODUCT(($C$10534:$C$10537=C10536)*$C$10529:$C$10532)</f>
        <v>250</v>
      </c>
    </row>
    <row r="10547" customFormat="false" ht="15" hidden="false" customHeight="false" outlineLevel="0" collapsed="false">
      <c r="A10547" s="5" t="s">
        <v>460</v>
      </c>
      <c r="C10547" s="25" t="n">
        <f aca="false">SUMPRODUCT(($C$10534:$C$10537=C10537)*$C$10529:$C$10532)</f>
        <v>300</v>
      </c>
    </row>
    <row r="10548" customFormat="false" ht="15" hidden="false" customHeight="false" outlineLevel="0" collapsed="false">
      <c r="A10548" s="23" t="s">
        <v>469</v>
      </c>
      <c r="B10548" s="24"/>
      <c r="C10548" s="24"/>
      <c r="D10548" s="24"/>
      <c r="E10548" s="24"/>
      <c r="F10548" s="24"/>
      <c r="G10548" s="24"/>
      <c r="H10548" s="24"/>
      <c r="I10548" s="24"/>
      <c r="J10548" s="24"/>
      <c r="K10548" s="24"/>
    </row>
    <row r="10549" customFormat="false" ht="15" hidden="false" customHeight="false" outlineLevel="0" collapsed="false">
      <c r="A10549" s="5" t="s">
        <v>457</v>
      </c>
      <c r="C10549" s="25" t="n">
        <f aca="false">IF(C10544=0,0,C10529/C10544*MAX(0,MIN(C10544,$C$10502-SUM($C$10519:$C$10522)-C10539)))</f>
        <v>49.31808</v>
      </c>
    </row>
    <row r="10550" customFormat="false" ht="15" hidden="false" customHeight="false" outlineLevel="0" collapsed="false">
      <c r="A10550" s="5" t="s">
        <v>458</v>
      </c>
      <c r="C10550" s="25" t="n">
        <f aca="false">IF(C10545=0,0,C10530/C10545*MAX(0,MIN(C10545,$C$10502-SUM($C$10519:$C$10522)-C10540)))</f>
        <v>0</v>
      </c>
    </row>
    <row r="10551" customFormat="false" ht="15" hidden="false" customHeight="false" outlineLevel="0" collapsed="false">
      <c r="A10551" s="5" t="s">
        <v>459</v>
      </c>
      <c r="C10551" s="25" t="n">
        <f aca="false">IF(C10546=0,0,C10531/C10546*MAX(0,MIN(C10546,$C$10502-SUM($C$10519:$C$10522)-C10541)))</f>
        <v>0</v>
      </c>
    </row>
    <row r="10552" customFormat="false" ht="15" hidden="false" customHeight="false" outlineLevel="0" collapsed="false">
      <c r="A10552" s="5" t="s">
        <v>460</v>
      </c>
      <c r="C10552" s="25" t="n">
        <f aca="false">IF(C10547=0,0,C10532/C10547*MAX(0,MIN(C10547,$C$10502-SUM($C$10519:$C$10522)-C10542)))</f>
        <v>0</v>
      </c>
    </row>
    <row r="10553" customFormat="false" ht="15" hidden="false" customHeight="false" outlineLevel="0" collapsed="false">
      <c r="A10553" s="23" t="s">
        <v>470</v>
      </c>
      <c r="B10553" s="24"/>
      <c r="C10553" s="24"/>
      <c r="D10553" s="24"/>
      <c r="E10553" s="24"/>
      <c r="F10553" s="24"/>
      <c r="G10553" s="24"/>
      <c r="H10553" s="24"/>
      <c r="I10553" s="24"/>
      <c r="J10553" s="24"/>
      <c r="K10553" s="24"/>
    </row>
    <row r="10554" customFormat="false" ht="15" hidden="false" customHeight="false" outlineLevel="0" collapsed="false">
      <c r="A10554" s="2" t="s">
        <v>457</v>
      </c>
      <c r="C10554" s="16" t="n">
        <f aca="false">C10519+C10549</f>
        <v>49.31808</v>
      </c>
    </row>
    <row r="10555" customFormat="false" ht="15" hidden="false" customHeight="false" outlineLevel="0" collapsed="false">
      <c r="A10555" s="2" t="s">
        <v>458</v>
      </c>
      <c r="C10555" s="16" t="n">
        <f aca="false">C10520+C10550</f>
        <v>0</v>
      </c>
    </row>
    <row r="10556" customFormat="false" ht="15" hidden="false" customHeight="false" outlineLevel="0" collapsed="false">
      <c r="A10556" s="2" t="s">
        <v>459</v>
      </c>
      <c r="C10556" s="16" t="n">
        <f aca="false">C10521+C10551</f>
        <v>0</v>
      </c>
    </row>
    <row r="10557" customFormat="false" ht="15" hidden="false" customHeight="false" outlineLevel="0" collapsed="false">
      <c r="A10557" s="2" t="s">
        <v>460</v>
      </c>
      <c r="C10557" s="16" t="n">
        <f aca="false">C10522+C10552</f>
        <v>0</v>
      </c>
    </row>
    <row r="10558" customFormat="false" ht="15" hidden="false" customHeight="false" outlineLevel="0" collapsed="false">
      <c r="A10558" s="23" t="s">
        <v>471</v>
      </c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</row>
    <row r="10559" customFormat="false" ht="15" hidden="false" customHeight="false" outlineLevel="0" collapsed="false">
      <c r="A10559" s="5" t="s">
        <v>457</v>
      </c>
      <c r="C10559" s="21" t="n">
        <f aca="false">IF(C10504=0,1,C10554/C10504)</f>
        <v>0.225125987817526</v>
      </c>
    </row>
    <row r="10560" customFormat="false" ht="15" hidden="false" customHeight="false" outlineLevel="0" collapsed="false">
      <c r="A10560" s="5" t="s">
        <v>458</v>
      </c>
      <c r="C10560" s="21" t="n">
        <f aca="false">IF(C10505=0,1,C10555/C10505)</f>
        <v>0</v>
      </c>
    </row>
    <row r="10561" customFormat="false" ht="15" hidden="false" customHeight="false" outlineLevel="0" collapsed="false">
      <c r="A10561" s="5" t="s">
        <v>459</v>
      </c>
      <c r="C10561" s="21" t="n">
        <f aca="false">IF(C10506=0,1,C10556/C10506)</f>
        <v>0</v>
      </c>
    </row>
    <row r="10562" customFormat="false" ht="15" hidden="false" customHeight="false" outlineLevel="0" collapsed="false">
      <c r="A10562" s="5" t="s">
        <v>460</v>
      </c>
      <c r="C10562" s="21" t="n">
        <f aca="false">IF(C10507=0,1,C10557/C10507)</f>
        <v>0</v>
      </c>
    </row>
    <row r="10563" customFormat="false" ht="15" hidden="false" customHeight="false" outlineLevel="0" collapsed="false">
      <c r="A10563" s="23" t="s">
        <v>472</v>
      </c>
      <c r="B10563" s="24"/>
      <c r="C10563" s="24"/>
      <c r="D10563" s="24"/>
      <c r="E10563" s="24"/>
      <c r="F10563" s="24"/>
      <c r="G10563" s="24"/>
      <c r="H10563" s="24"/>
      <c r="I10563" s="24"/>
      <c r="J10563" s="24"/>
      <c r="K10563" s="24"/>
    </row>
    <row r="10564" customFormat="false" ht="15" hidden="false" customHeight="false" outlineLevel="0" collapsed="false">
      <c r="A10564" s="5" t="s">
        <v>457</v>
      </c>
      <c r="C10564" s="25" t="n">
        <f aca="false">C10504-C10554</f>
        <v>169.75072</v>
      </c>
    </row>
    <row r="10565" customFormat="false" ht="15" hidden="false" customHeight="false" outlineLevel="0" collapsed="false">
      <c r="A10565" s="5" t="s">
        <v>458</v>
      </c>
      <c r="C10565" s="25" t="n">
        <f aca="false">C10505-C10555</f>
        <v>509.6</v>
      </c>
    </row>
    <row r="10566" customFormat="false" ht="15" hidden="false" customHeight="false" outlineLevel="0" collapsed="false">
      <c r="A10566" s="5" t="s">
        <v>459</v>
      </c>
      <c r="C10566" s="25" t="n">
        <f aca="false">C10506-C10556</f>
        <v>250</v>
      </c>
    </row>
    <row r="10567" customFormat="false" ht="15" hidden="false" customHeight="false" outlineLevel="0" collapsed="false">
      <c r="A10567" s="5" t="s">
        <v>460</v>
      </c>
      <c r="C10567" s="25" t="n">
        <f aca="false">C10507-C10557</f>
        <v>300</v>
      </c>
    </row>
    <row r="10568" customFormat="false" ht="15" hidden="false" customHeight="false" outlineLevel="0" collapsed="false">
      <c r="A10568" s="23" t="s">
        <v>473</v>
      </c>
      <c r="B10568" s="24"/>
      <c r="C10568" s="24"/>
      <c r="D10568" s="24"/>
      <c r="E10568" s="24"/>
      <c r="F10568" s="24"/>
      <c r="G10568" s="24"/>
      <c r="H10568" s="24"/>
      <c r="I10568" s="24"/>
      <c r="J10568" s="24"/>
      <c r="K10568" s="24"/>
    </row>
    <row r="10569" customFormat="false" ht="15" hidden="false" customHeight="false" outlineLevel="0" collapsed="false">
      <c r="A10569" s="5" t="s">
        <v>457</v>
      </c>
      <c r="C10569" s="21" t="n">
        <f aca="false">IF(C10504=0,0,C10564/C10504)</f>
        <v>0.774874012182474</v>
      </c>
    </row>
    <row r="10570" customFormat="false" ht="15" hidden="false" customHeight="false" outlineLevel="0" collapsed="false">
      <c r="A10570" s="5" t="s">
        <v>458</v>
      </c>
      <c r="C10570" s="21" t="n">
        <f aca="false">IF(C10505=0,0,C10565/C10505)</f>
        <v>1</v>
      </c>
    </row>
    <row r="10571" customFormat="false" ht="15" hidden="false" customHeight="false" outlineLevel="0" collapsed="false">
      <c r="A10571" s="5" t="s">
        <v>459</v>
      </c>
      <c r="C10571" s="21" t="n">
        <f aca="false">IF(C10506=0,0,C10566/C10506)</f>
        <v>1</v>
      </c>
    </row>
    <row r="10572" customFormat="false" ht="15" hidden="false" customHeight="false" outlineLevel="0" collapsed="false">
      <c r="A10572" s="5" t="s">
        <v>460</v>
      </c>
      <c r="C10572" s="21" t="n">
        <f aca="false">IF(C10507=0,0,C10567/C10507)</f>
        <v>1</v>
      </c>
    </row>
    <row r="10573" customFormat="false" ht="15" hidden="false" customHeight="false" outlineLevel="0" collapsed="false">
      <c r="A10573" s="2" t="s">
        <v>474</v>
      </c>
      <c r="C10573" s="16" t="n">
        <f aca="false">MAX(0,$C$10502-SUM($C$10519:$C$10522)-SUM($C$10529:$C$10532))</f>
        <v>0</v>
      </c>
    </row>
    <row r="10574" customFormat="false" ht="15" hidden="false" customHeight="false" outlineLevel="0" collapsed="false">
      <c r="A10574" s="5" t="s">
        <v>492</v>
      </c>
      <c r="C10574" s="33" t="n">
        <f aca="false">MIN(C10501,100*CHOOSE(C10491,C10559,C10560,C10561,C10562))</f>
        <v>0</v>
      </c>
    </row>
    <row r="10575" customFormat="false" ht="15" hidden="false" customHeight="false" outlineLevel="0" collapsed="false">
      <c r="A10575" s="5" t="s">
        <v>493</v>
      </c>
      <c r="C10575" s="20" t="n">
        <f aca="false">IF(C10407=1,C10496+Assumptions!$C$36,C10495)</f>
        <v>3</v>
      </c>
    </row>
    <row r="10576" customFormat="false" ht="15" hidden="false" customHeight="false" outlineLevel="0" collapsed="false">
      <c r="A10576" s="23" t="s">
        <v>494</v>
      </c>
      <c r="B10576" s="24"/>
      <c r="C10576" s="24"/>
      <c r="D10576" s="24"/>
      <c r="E10576" s="24"/>
      <c r="F10576" s="24"/>
      <c r="G10576" s="24"/>
      <c r="H10576" s="24"/>
      <c r="I10576" s="24"/>
      <c r="J10576" s="24"/>
      <c r="K10576" s="24"/>
    </row>
    <row r="10577" customFormat="false" ht="15" hidden="false" customHeight="false" outlineLevel="0" collapsed="false">
      <c r="A10577" s="5" t="s">
        <v>495</v>
      </c>
      <c r="C10577" s="20" t="n">
        <f aca="false">COLUMN()-COLUMN($C$1)</f>
        <v>0</v>
      </c>
      <c r="D10577" s="20" t="n">
        <f aca="false">COLUMN()-COLUMN($C$1)</f>
        <v>1</v>
      </c>
      <c r="E10577" s="20" t="n">
        <f aca="false">COLUMN()-COLUMN($C$1)</f>
        <v>2</v>
      </c>
      <c r="F10577" s="20" t="n">
        <f aca="false">COLUMN()-COLUMN($C$1)</f>
        <v>3</v>
      </c>
      <c r="G10577" s="20" t="n">
        <f aca="false">COLUMN()-COLUMN($C$1)</f>
        <v>4</v>
      </c>
      <c r="H10577" s="20" t="n">
        <f aca="false">COLUMN()-COLUMN($C$1)</f>
        <v>5</v>
      </c>
      <c r="I10577" s="20" t="n">
        <f aca="false">COLUMN()-COLUMN($C$1)</f>
        <v>6</v>
      </c>
    </row>
    <row r="10578" customFormat="false" ht="15" hidden="false" customHeight="false" outlineLevel="0" collapsed="false">
      <c r="A10578" s="5" t="s">
        <v>496</v>
      </c>
      <c r="D10578" s="30" t="n">
        <f aca="false">CHOOSE($C$10491,G10289,G10302,G10315,G10328)</f>
        <v>0.133</v>
      </c>
      <c r="E10578" s="30" t="n">
        <f aca="false">CHOOSE($C$10491,H10289,H10302,H10315,H10328)</f>
        <v>0.1305</v>
      </c>
      <c r="F10578" s="30" t="n">
        <f aca="false">CHOOSE($C$10491,I10289,I10302,I10315,I10328)</f>
        <v>0.128</v>
      </c>
      <c r="G10578" s="30" t="n">
        <f aca="false">CHOOSE($C$10491,J10289,J10302,J10315,J10328)</f>
        <v>0.128</v>
      </c>
      <c r="H10578" s="30" t="n">
        <f aca="false">CHOOSE($C$10491,K10289,K10302,K10315,K10328)</f>
        <v>0.128</v>
      </c>
    </row>
    <row r="10579" customFormat="false" ht="15" hidden="false" customHeight="false" outlineLevel="0" collapsed="false">
      <c r="A10579" s="5" t="s">
        <v>497</v>
      </c>
      <c r="D10579" s="25" t="n">
        <f aca="false">IF(D10577&lt;=$C$10500,$C$10492*D10578,0)</f>
        <v>13.3</v>
      </c>
      <c r="E10579" s="25" t="n">
        <f aca="false">IF(E10577&lt;=$C$10500,$C$10492*E10578,0)</f>
        <v>13.05</v>
      </c>
      <c r="F10579" s="25" t="n">
        <f aca="false">IF(F10577&lt;=$C$10500,$C$10492*F10578,0)</f>
        <v>0</v>
      </c>
      <c r="G10579" s="25" t="n">
        <f aca="false">IF(G10577&lt;=$C$10500,$C$10492*G10578,0)</f>
        <v>0</v>
      </c>
      <c r="H10579" s="25" t="n">
        <f aca="false">IF(H10577&lt;=$C$10500,$C$10492*H10578,0)</f>
        <v>0</v>
      </c>
    </row>
    <row r="10580" customFormat="false" ht="15" hidden="false" customHeight="false" outlineLevel="0" collapsed="false">
      <c r="A10580" s="5" t="s">
        <v>498</v>
      </c>
      <c r="D10580" s="25" t="n">
        <f aca="false">IF(AND($C$10407=0,D10577=$C$10495),$C$10492*$C$10574/100,0)+IF(AND($C$10407=1,D10577=$C$10575),$C$10498,0)</f>
        <v>0</v>
      </c>
      <c r="E10580" s="25" t="n">
        <f aca="false">IF(AND($C$10407=0,E10577=$C$10495),$C$10492*$C$10574/100,0)+IF(AND($C$10407=1,E10577=$C$10575),$C$10498,0)</f>
        <v>0</v>
      </c>
      <c r="F10580" s="25" t="n">
        <f aca="false">IF(AND($C$10407=0,F10577=$C$10495),$C$10492*$C$10574/100,0)+IF(AND($C$10407=1,F10577=$C$10575),$C$10498,0)</f>
        <v>32.1999848508634</v>
      </c>
      <c r="G10580" s="25" t="n">
        <f aca="false">IF(AND($C$10407=0,G10577=$C$10495),$C$10492*$C$10574/100,0)+IF(AND($C$10407=1,G10577=$C$10575),$C$10498,0)</f>
        <v>0</v>
      </c>
      <c r="H10580" s="25" t="n">
        <f aca="false">IF(AND($C$10407=0,H10577=$C$10495),$C$10492*$C$10574/100,0)+IF(AND($C$10407=1,H10577=$C$10575),$C$10498,0)</f>
        <v>0</v>
      </c>
      <c r="I10580" s="25" t="n">
        <f aca="false">IF(AND($C$10407=0,I10577=$C$10495),$C$10492*$C$10574/100,0)+IF(AND($C$10407=1,I10577=$C$10575),$C$10498,0)</f>
        <v>0</v>
      </c>
    </row>
    <row r="10581" customFormat="false" ht="15" hidden="false" customHeight="false" outlineLevel="0" collapsed="false">
      <c r="A10581" s="2" t="s">
        <v>499</v>
      </c>
      <c r="C10581" s="16" t="n">
        <f aca="false">-$C$10494</f>
        <v>-78.39</v>
      </c>
      <c r="D10581" s="16" t="n">
        <f aca="false">D10579+D10580</f>
        <v>13.3</v>
      </c>
      <c r="E10581" s="16" t="n">
        <f aca="false">E10579+E10580</f>
        <v>13.05</v>
      </c>
      <c r="F10581" s="16" t="n">
        <f aca="false">F10579+F10580</f>
        <v>32.1999848508634</v>
      </c>
      <c r="G10581" s="16" t="n">
        <f aca="false">G10579+G10580</f>
        <v>0</v>
      </c>
      <c r="H10581" s="16" t="n">
        <f aca="false">H10579+H10580</f>
        <v>0</v>
      </c>
      <c r="I10581" s="16" t="n">
        <f aca="false">I10579+I10580</f>
        <v>0</v>
      </c>
    </row>
    <row r="10582" customFormat="false" ht="15" hidden="false" customHeight="false" outlineLevel="0" collapsed="false">
      <c r="A10582" s="5" t="s">
        <v>500</v>
      </c>
      <c r="C10582" s="25" t="n">
        <f aca="false">SUM($C$10579:$I$10579)</f>
        <v>26.35</v>
      </c>
    </row>
    <row r="10583" customFormat="false" ht="15" hidden="false" customHeight="false" outlineLevel="0" collapsed="false">
      <c r="A10583" s="5" t="s">
        <v>501</v>
      </c>
      <c r="C10583" s="25" t="n">
        <f aca="false">SUM($C$10580:$I$10580)</f>
        <v>32.1999848508634</v>
      </c>
    </row>
    <row r="10584" customFormat="false" ht="15" hidden="false" customHeight="false" outlineLevel="0" collapsed="false">
      <c r="A10584" s="5" t="s">
        <v>502</v>
      </c>
      <c r="C10584" s="25" t="n">
        <f aca="false">C10582+C10583</f>
        <v>58.5499848508634</v>
      </c>
    </row>
    <row r="10585" customFormat="false" ht="15" hidden="false" customHeight="false" outlineLevel="0" collapsed="false">
      <c r="A10585" s="5" t="s">
        <v>503</v>
      </c>
      <c r="C10585" s="25" t="n">
        <f aca="false">C10583-C10492*C10493/100</f>
        <v>-45.8000151491366</v>
      </c>
    </row>
    <row r="10586" customFormat="false" ht="15" hidden="false" customHeight="false" outlineLevel="0" collapsed="false">
      <c r="A10586" s="5" t="s">
        <v>504</v>
      </c>
      <c r="C10586" s="25" t="n">
        <f aca="false">C10584-C10494</f>
        <v>-19.8400151491366</v>
      </c>
    </row>
    <row r="10587" customFormat="false" ht="15" hidden="false" customHeight="false" outlineLevel="0" collapsed="false">
      <c r="A10587" s="2" t="s">
        <v>385</v>
      </c>
      <c r="C10587" s="43" t="n">
        <f aca="false">C10584/C10494</f>
        <v>0.746906299921718</v>
      </c>
    </row>
    <row r="10588" customFormat="false" ht="15" hidden="false" customHeight="false" outlineLevel="0" collapsed="false">
      <c r="A10588" s="2" t="s">
        <v>384</v>
      </c>
      <c r="C10588" s="41" t="n">
        <f aca="false">IF(C10584&lt;=0,-1,IFERROR(IRR($C$10581:$I$10581,MAX(-0.9,C10587^(1/C10575)-1)),IRR($C$10581:$I$10581,0.1)))</f>
        <v>-0.116155042556973</v>
      </c>
    </row>
    <row r="10589" customFormat="false" ht="15" hidden="false" customHeight="false" outlineLevel="0" collapsed="false">
      <c r="A10589" s="5" t="s">
        <v>505</v>
      </c>
      <c r="C10589" s="31" t="n">
        <f aca="false">MAX($G$10383:$K$10383)</f>
        <v>159.540401226481</v>
      </c>
    </row>
    <row r="10590" customFormat="false" ht="15" hidden="false" customHeight="false" outlineLevel="0" collapsed="false">
      <c r="A10590" s="5" t="s">
        <v>506</v>
      </c>
      <c r="C10590" s="31" t="n">
        <f aca="false">MIN($G$10384:$K$10384)</f>
        <v>0.0832363475368986</v>
      </c>
    </row>
    <row r="10591" customFormat="false" ht="15" hidden="false" customHeight="false" outlineLevel="0" collapsed="false">
      <c r="A10591" s="5" t="s">
        <v>507</v>
      </c>
      <c r="C10591" s="25" t="n">
        <f aca="false">SUM($G$10273:$K$10273)</f>
        <v>-630.424289507942</v>
      </c>
    </row>
    <row r="10595" customFormat="false" ht="15" hidden="false" customHeight="false" outlineLevel="0" collapsed="false">
      <c r="A10595" s="9" t="s">
        <v>656</v>
      </c>
      <c r="B10595" s="10"/>
      <c r="C10595" s="10"/>
      <c r="D10595" s="10"/>
      <c r="E10595" s="10"/>
      <c r="F10595" s="10"/>
      <c r="G10595" s="10"/>
      <c r="H10595" s="10"/>
      <c r="I10595" s="10"/>
      <c r="J10595" s="10"/>
      <c r="K10595" s="10"/>
    </row>
    <row r="10596" customFormat="false" ht="15" hidden="false" customHeight="false" outlineLevel="0" collapsed="false">
      <c r="A10596" s="5" t="s">
        <v>622</v>
      </c>
      <c r="C10596" s="11" t="n">
        <v>3</v>
      </c>
    </row>
    <row r="10597" customFormat="false" ht="15" hidden="false" customHeight="false" outlineLevel="0" collapsed="false">
      <c r="A10597" s="5" t="s">
        <v>623</v>
      </c>
      <c r="C10597" s="29" t="n">
        <f aca="false">Sensitivities!$A$42</f>
        <v>0</v>
      </c>
    </row>
    <row r="10598" customFormat="false" ht="15" hidden="false" customHeight="false" outlineLevel="0" collapsed="false">
      <c r="A10598" s="5" t="s">
        <v>624</v>
      </c>
      <c r="C10598" s="18" t="n">
        <v>0</v>
      </c>
    </row>
    <row r="10599" customFormat="false" ht="15" hidden="false" customHeight="false" outlineLevel="0" collapsed="false">
      <c r="A10599" s="5" t="s">
        <v>625</v>
      </c>
      <c r="C10599" s="18" t="n">
        <v>0</v>
      </c>
    </row>
    <row r="10600" customFormat="false" ht="15" hidden="false" customHeight="false" outlineLevel="0" collapsed="false">
      <c r="A10600" s="5" t="s">
        <v>626</v>
      </c>
      <c r="C10600" s="15" t="n">
        <v>0</v>
      </c>
    </row>
    <row r="10602" customFormat="false" ht="15" hidden="false" customHeight="false" outlineLevel="0" collapsed="false">
      <c r="A10602" s="23" t="s">
        <v>237</v>
      </c>
      <c r="B10602" s="24"/>
      <c r="C10602" s="24"/>
      <c r="D10602" s="24"/>
      <c r="E10602" s="24"/>
      <c r="F10602" s="24"/>
      <c r="G10602" s="24"/>
      <c r="H10602" s="24"/>
      <c r="I10602" s="24"/>
      <c r="J10602" s="24"/>
      <c r="K10602" s="24"/>
    </row>
    <row r="10603" customFormat="false" ht="15" hidden="false" customHeight="false" outlineLevel="0" collapsed="false">
      <c r="A10603" s="5" t="s">
        <v>238</v>
      </c>
      <c r="F10603" s="26" t="n">
        <f aca="false">Assumptions!$C$6</f>
        <v>2025</v>
      </c>
      <c r="G10603" s="20" t="n">
        <f aca="false">F10603+1</f>
        <v>2026</v>
      </c>
      <c r="H10603" s="20" t="n">
        <f aca="false">G10603+1</f>
        <v>2027</v>
      </c>
      <c r="I10603" s="20" t="n">
        <f aca="false">H10603+1</f>
        <v>2028</v>
      </c>
      <c r="J10603" s="20" t="n">
        <f aca="false">I10603+1</f>
        <v>2029</v>
      </c>
      <c r="K10603" s="20" t="n">
        <f aca="false">J10603+1</f>
        <v>2030</v>
      </c>
    </row>
    <row r="10604" customFormat="false" ht="15" hidden="false" customHeight="false" outlineLevel="0" collapsed="false">
      <c r="A10604" s="5" t="s">
        <v>239</v>
      </c>
      <c r="G10604" s="20" t="n">
        <f aca="false">G10603-Assumptions!$C$6</f>
        <v>1</v>
      </c>
      <c r="H10604" s="20" t="n">
        <f aca="false">H10603-Assumptions!$C$6</f>
        <v>2</v>
      </c>
      <c r="I10604" s="20" t="n">
        <f aca="false">I10603-Assumptions!$C$6</f>
        <v>3</v>
      </c>
      <c r="J10604" s="20" t="n">
        <f aca="false">J10603-Assumptions!$C$6</f>
        <v>4</v>
      </c>
      <c r="K10604" s="20" t="n">
        <f aca="false">K10603-Assumptions!$C$6</f>
        <v>5</v>
      </c>
    </row>
    <row r="10605" customFormat="false" ht="15" hidden="false" customHeight="false" outlineLevel="0" collapsed="false">
      <c r="A10605" s="5" t="s">
        <v>149</v>
      </c>
      <c r="G10605" s="21" t="n">
        <f aca="false">CHOOSE($C$10596,Assumptions!$G$65,Assumptions!$G$84,Assumptions!$G$103)+$C$10597</f>
        <v>-0.234</v>
      </c>
      <c r="H10605" s="21" t="n">
        <f aca="false">CHOOSE($C$10596,Assumptions!$H$65,Assumptions!$H$84,Assumptions!$H$103)+$C$10597</f>
        <v>-0.13</v>
      </c>
      <c r="I10605" s="21" t="n">
        <f aca="false">CHOOSE($C$10596,Assumptions!$I$65,Assumptions!$I$84,Assumptions!$I$103)+$C$10597</f>
        <v>-0.026</v>
      </c>
      <c r="J10605" s="21" t="n">
        <f aca="false">CHOOSE($C$10596,Assumptions!$J$65,Assumptions!$J$84,Assumptions!$J$103)+$C$10597</f>
        <v>-0.01</v>
      </c>
      <c r="K10605" s="21" t="n">
        <f aca="false">CHOOSE($C$10596,Assumptions!$K$65,Assumptions!$K$84,Assumptions!$K$103)+$C$10597</f>
        <v>-0.01</v>
      </c>
    </row>
    <row r="10606" customFormat="false" ht="15" hidden="false" customHeight="false" outlineLevel="0" collapsed="false">
      <c r="A10606" s="5" t="s">
        <v>150</v>
      </c>
      <c r="G10606" s="21" t="n">
        <f aca="false">CHOOSE($C$10596,Assumptions!$G$66,Assumptions!$G$85,Assumptions!$G$104)</f>
        <v>0.305</v>
      </c>
      <c r="H10606" s="21" t="n">
        <f aca="false">CHOOSE($C$10596,Assumptions!$H$66,Assumptions!$H$85,Assumptions!$H$104)</f>
        <v>0.305</v>
      </c>
      <c r="I10606" s="21" t="n">
        <f aca="false">CHOOSE($C$10596,Assumptions!$I$66,Assumptions!$I$85,Assumptions!$I$104)</f>
        <v>0.305</v>
      </c>
      <c r="J10606" s="21" t="n">
        <f aca="false">CHOOSE($C$10596,Assumptions!$J$66,Assumptions!$J$85,Assumptions!$J$104)</f>
        <v>0.305</v>
      </c>
      <c r="K10606" s="21" t="n">
        <f aca="false">CHOOSE($C$10596,Assumptions!$K$66,Assumptions!$K$85,Assumptions!$K$104)</f>
        <v>0.305</v>
      </c>
    </row>
    <row r="10607" customFormat="false" ht="15" hidden="false" customHeight="false" outlineLevel="0" collapsed="false">
      <c r="A10607" s="5" t="s">
        <v>151</v>
      </c>
      <c r="G10607" s="21" t="n">
        <f aca="false">CHOOSE($C$10596,Assumptions!$G$67,Assumptions!$G$86,Assumptions!$G$105)+$C$10598</f>
        <v>0.01</v>
      </c>
      <c r="H10607" s="21" t="n">
        <f aca="false">CHOOSE($C$10596,Assumptions!$H$67,Assumptions!$H$86,Assumptions!$H$105)+$C$10598</f>
        <v>0.01</v>
      </c>
      <c r="I10607" s="21" t="n">
        <f aca="false">CHOOSE($C$10596,Assumptions!$I$67,Assumptions!$I$86,Assumptions!$I$105)+$C$10598</f>
        <v>0.01</v>
      </c>
      <c r="J10607" s="21" t="n">
        <f aca="false">CHOOSE($C$10596,Assumptions!$J$67,Assumptions!$J$86,Assumptions!$J$105)+$C$10598</f>
        <v>0.01</v>
      </c>
      <c r="K10607" s="21" t="n">
        <f aca="false">CHOOSE($C$10596,Assumptions!$K$67,Assumptions!$K$86,Assumptions!$K$105)+$C$10598</f>
        <v>0.01</v>
      </c>
    </row>
    <row r="10608" customFormat="false" ht="15" hidden="false" customHeight="false" outlineLevel="0" collapsed="false">
      <c r="A10608" s="23" t="s">
        <v>240</v>
      </c>
      <c r="B10608" s="24"/>
      <c r="C10608" s="24"/>
      <c r="D10608" s="24"/>
      <c r="E10608" s="24"/>
      <c r="F10608" s="24"/>
      <c r="G10608" s="24"/>
      <c r="H10608" s="24"/>
      <c r="I10608" s="24"/>
      <c r="J10608" s="24"/>
      <c r="K10608" s="24"/>
    </row>
    <row r="10609" customFormat="false" ht="15" hidden="false" customHeight="false" outlineLevel="0" collapsed="false">
      <c r="A10609" s="2" t="s">
        <v>207</v>
      </c>
      <c r="F10609" s="27" t="n">
        <f aca="false">'Historical Financials'!E17</f>
        <v>2400</v>
      </c>
      <c r="G10609" s="16" t="n">
        <f aca="false">F10609*(1+G10605)</f>
        <v>1838.4</v>
      </c>
      <c r="H10609" s="16" t="n">
        <f aca="false">G10609*(1+H10605)</f>
        <v>1599.408</v>
      </c>
      <c r="I10609" s="16" t="n">
        <f aca="false">H10609*(1+I10605)</f>
        <v>1557.823392</v>
      </c>
      <c r="J10609" s="16" t="n">
        <f aca="false">I10609*(1+J10605)</f>
        <v>1542.24515808</v>
      </c>
      <c r="K10609" s="16" t="n">
        <f aca="false">J10609*(1+K10605)</f>
        <v>1526.8227064992</v>
      </c>
    </row>
    <row r="10610" customFormat="false" ht="15" hidden="false" customHeight="false" outlineLevel="0" collapsed="false">
      <c r="A10610" s="5" t="s">
        <v>217</v>
      </c>
      <c r="G10610" s="25" t="n">
        <f aca="false">G10609*(1-G10606)</f>
        <v>1277.688</v>
      </c>
      <c r="H10610" s="25" t="n">
        <f aca="false">H10609*(1-H10606)</f>
        <v>1111.58856</v>
      </c>
      <c r="I10610" s="25" t="n">
        <f aca="false">I10609*(1-I10606)</f>
        <v>1082.68725744</v>
      </c>
      <c r="J10610" s="25" t="n">
        <f aca="false">J10609*(1-J10606)</f>
        <v>1071.8603848656</v>
      </c>
      <c r="K10610" s="25" t="n">
        <f aca="false">K10609*(1-K10606)</f>
        <v>1061.14178101694</v>
      </c>
    </row>
    <row r="10611" customFormat="false" ht="15" hidden="false" customHeight="false" outlineLevel="0" collapsed="false">
      <c r="A10611" s="2" t="s">
        <v>218</v>
      </c>
      <c r="G10611" s="16" t="n">
        <f aca="false">G10609-G10610</f>
        <v>560.712</v>
      </c>
      <c r="H10611" s="16" t="n">
        <f aca="false">H10609-H10610</f>
        <v>487.81944</v>
      </c>
      <c r="I10611" s="16" t="n">
        <f aca="false">I10609-I10610</f>
        <v>475.13613456</v>
      </c>
      <c r="J10611" s="16" t="n">
        <f aca="false">J10609-J10610</f>
        <v>470.3847732144</v>
      </c>
      <c r="K10611" s="16" t="n">
        <f aca="false">K10609-K10610</f>
        <v>465.680925482256</v>
      </c>
    </row>
    <row r="10612" customFormat="false" ht="15" hidden="false" customHeight="false" outlineLevel="0" collapsed="false">
      <c r="A10612" s="5" t="s">
        <v>241</v>
      </c>
      <c r="G10612" s="25" t="n">
        <f aca="false">G10611-G10613</f>
        <v>542.328</v>
      </c>
      <c r="H10612" s="25" t="n">
        <f aca="false">H10611-H10613</f>
        <v>471.82536</v>
      </c>
      <c r="I10612" s="25" t="n">
        <f aca="false">I10611-I10613</f>
        <v>459.55790064</v>
      </c>
      <c r="J10612" s="25" t="n">
        <f aca="false">J10611-J10613</f>
        <v>454.9623216336</v>
      </c>
      <c r="K10612" s="25" t="n">
        <f aca="false">K10611-K10613</f>
        <v>450.412698417264</v>
      </c>
    </row>
    <row r="10613" customFormat="false" ht="15" hidden="false" customHeight="false" outlineLevel="0" collapsed="false">
      <c r="A10613" s="2" t="s">
        <v>242</v>
      </c>
      <c r="G10613" s="16" t="n">
        <f aca="false">G10609*G10607</f>
        <v>18.384</v>
      </c>
      <c r="H10613" s="16" t="n">
        <f aca="false">H10609*H10607</f>
        <v>15.99408</v>
      </c>
      <c r="I10613" s="16" t="n">
        <f aca="false">I10609*I10607</f>
        <v>15.57823392</v>
      </c>
      <c r="J10613" s="16" t="n">
        <f aca="false">J10609*J10607</f>
        <v>15.4224515808</v>
      </c>
      <c r="K10613" s="16" t="n">
        <f aca="false">K10609*K10607</f>
        <v>15.268227064992</v>
      </c>
    </row>
    <row r="10614" customFormat="false" ht="15" hidden="false" customHeight="false" outlineLevel="0" collapsed="false">
      <c r="A10614" s="5" t="s">
        <v>243</v>
      </c>
      <c r="G10614" s="25" t="n">
        <f aca="false">G10609*'Historical Financials'!E22/'Historical Financials'!E17</f>
        <v>40.4448</v>
      </c>
      <c r="H10614" s="25" t="n">
        <f aca="false">H10609*'Historical Financials'!E22/'Historical Financials'!E17</f>
        <v>35.186976</v>
      </c>
      <c r="I10614" s="25" t="n">
        <f aca="false">I10609*'Historical Financials'!E22/'Historical Financials'!E17</f>
        <v>34.272114624</v>
      </c>
      <c r="J10614" s="25" t="n">
        <f aca="false">J10609*'Historical Financials'!E22/'Historical Financials'!E17</f>
        <v>33.92939347776</v>
      </c>
      <c r="K10614" s="25" t="n">
        <f aca="false">K10609*'Historical Financials'!E22/'Historical Financials'!E17</f>
        <v>33.5900995429824</v>
      </c>
    </row>
    <row r="10615" customFormat="false" ht="15" hidden="false" customHeight="false" outlineLevel="0" collapsed="false">
      <c r="A10615" s="5" t="s">
        <v>244</v>
      </c>
      <c r="G10615" s="25" t="n">
        <f aca="false">G10609*'Historical Financials'!E23/'Historical Financials'!E17</f>
        <v>0</v>
      </c>
      <c r="H10615" s="25" t="n">
        <f aca="false">H10609*'Historical Financials'!E23/'Historical Financials'!E17</f>
        <v>0</v>
      </c>
      <c r="I10615" s="25" t="n">
        <f aca="false">I10609*'Historical Financials'!E23/'Historical Financials'!E17</f>
        <v>0</v>
      </c>
      <c r="J10615" s="25" t="n">
        <f aca="false">J10609*'Historical Financials'!E23/'Historical Financials'!E17</f>
        <v>0</v>
      </c>
      <c r="K10615" s="25" t="n">
        <f aca="false">K10609*'Historical Financials'!E23/'Historical Financials'!E17</f>
        <v>0</v>
      </c>
    </row>
    <row r="10616" customFormat="false" ht="15" hidden="false" customHeight="false" outlineLevel="0" collapsed="false">
      <c r="A10616" s="2" t="s">
        <v>245</v>
      </c>
      <c r="G10616" s="16" t="n">
        <f aca="false">G10613-G10614-G10615</f>
        <v>-22.0608</v>
      </c>
      <c r="H10616" s="16" t="n">
        <f aca="false">H10613-H10614-H10615</f>
        <v>-19.192896</v>
      </c>
      <c r="I10616" s="16" t="n">
        <f aca="false">I10613-I10614-I10615</f>
        <v>-18.693880704</v>
      </c>
      <c r="J10616" s="16" t="n">
        <f aca="false">J10613-J10614-J10615</f>
        <v>-18.50694189696</v>
      </c>
      <c r="K10616" s="16" t="n">
        <f aca="false">K10613-K10614-K10615</f>
        <v>-18.3218724779904</v>
      </c>
    </row>
    <row r="10617" customFormat="false" ht="15" hidden="false" customHeight="false" outlineLevel="0" collapsed="false">
      <c r="A10617" s="5" t="s">
        <v>246</v>
      </c>
      <c r="G10617" s="25" t="n">
        <f aca="false">G10643+G10656+G10669+G10682</f>
        <v>140.04</v>
      </c>
      <c r="H10617" s="25" t="n">
        <f aca="false">H10643+H10656+H10669+H10682</f>
        <v>143.8435488</v>
      </c>
      <c r="I10617" s="25" t="n">
        <f aca="false">I10643+I10656+I10669+I10682</f>
        <v>141.3036768</v>
      </c>
      <c r="J10617" s="25" t="n">
        <f aca="false">J10643+J10656+J10669+J10682</f>
        <v>140.6380768</v>
      </c>
      <c r="K10617" s="25" t="n">
        <f aca="false">K10643+K10656+K10669+K10682</f>
        <v>139.9724768</v>
      </c>
    </row>
    <row r="10618" customFormat="false" ht="15" hidden="false" customHeight="false" outlineLevel="0" collapsed="false">
      <c r="A10618" s="5" t="s">
        <v>247</v>
      </c>
      <c r="G10618" s="25" t="n">
        <f aca="false">G10644+G10657+G10670+G10683</f>
        <v>0</v>
      </c>
      <c r="H10618" s="25" t="n">
        <f aca="false">H10644+H10657+H10670+H10683</f>
        <v>0</v>
      </c>
      <c r="I10618" s="25" t="n">
        <f aca="false">I10644+I10657+I10670+I10683</f>
        <v>0</v>
      </c>
      <c r="J10618" s="25" t="n">
        <f aca="false">J10644+J10657+J10670+J10683</f>
        <v>0</v>
      </c>
      <c r="K10618" s="25" t="n">
        <f aca="false">K10644+K10657+K10670+K10683</f>
        <v>0</v>
      </c>
    </row>
    <row r="10619" customFormat="false" ht="15" hidden="false" customHeight="false" outlineLevel="0" collapsed="false">
      <c r="A10619" s="5" t="s">
        <v>212</v>
      </c>
      <c r="G10619" s="25" t="n">
        <f aca="false">G10617+G10618</f>
        <v>140.04</v>
      </c>
      <c r="H10619" s="25" t="n">
        <f aca="false">H10617+H10618</f>
        <v>143.8435488</v>
      </c>
      <c r="I10619" s="25" t="n">
        <f aca="false">I10617+I10618</f>
        <v>141.3036768</v>
      </c>
      <c r="J10619" s="25" t="n">
        <f aca="false">J10617+J10618</f>
        <v>140.6380768</v>
      </c>
      <c r="K10619" s="25" t="n">
        <f aca="false">K10617+K10618</f>
        <v>139.9724768</v>
      </c>
    </row>
    <row r="10620" customFormat="false" ht="15" hidden="false" customHeight="false" outlineLevel="0" collapsed="false">
      <c r="A10620" s="2" t="s">
        <v>223</v>
      </c>
      <c r="G10620" s="16" t="n">
        <f aca="false">G10616-G10619</f>
        <v>-162.1008</v>
      </c>
      <c r="H10620" s="16" t="n">
        <f aca="false">H10616-H10619</f>
        <v>-163.0364448</v>
      </c>
      <c r="I10620" s="16" t="n">
        <f aca="false">I10616-I10619</f>
        <v>-159.997557504</v>
      </c>
      <c r="J10620" s="16" t="n">
        <f aca="false">J10616-J10619</f>
        <v>-159.14501869696</v>
      </c>
      <c r="K10620" s="16" t="n">
        <f aca="false">K10616-K10619</f>
        <v>-158.29434927799</v>
      </c>
    </row>
    <row r="10621" customFormat="false" ht="15" hidden="false" customHeight="false" outlineLevel="0" collapsed="false">
      <c r="A10621" s="5" t="s">
        <v>213</v>
      </c>
      <c r="G10621" s="25" t="n">
        <f aca="false">MAX(0,G10620)*Assumptions!$C$9</f>
        <v>0</v>
      </c>
      <c r="H10621" s="25" t="n">
        <f aca="false">MAX(0,H10620)*Assumptions!$C$9</f>
        <v>0</v>
      </c>
      <c r="I10621" s="25" t="n">
        <f aca="false">MAX(0,I10620)*Assumptions!$C$9</f>
        <v>0</v>
      </c>
      <c r="J10621" s="25" t="n">
        <f aca="false">MAX(0,J10620)*Assumptions!$C$9</f>
        <v>0</v>
      </c>
      <c r="K10621" s="25" t="n">
        <f aca="false">MAX(0,K10620)*Assumptions!$C$9</f>
        <v>0</v>
      </c>
    </row>
    <row r="10622" customFormat="false" ht="15" hidden="false" customHeight="false" outlineLevel="0" collapsed="false">
      <c r="A10622" s="2" t="s">
        <v>248</v>
      </c>
      <c r="G10622" s="16" t="n">
        <f aca="false">G10620-G10621</f>
        <v>-162.1008</v>
      </c>
      <c r="H10622" s="16" t="n">
        <f aca="false">H10620-H10621</f>
        <v>-163.0364448</v>
      </c>
      <c r="I10622" s="16" t="n">
        <f aca="false">I10620-I10621</f>
        <v>-159.997557504</v>
      </c>
      <c r="J10622" s="16" t="n">
        <f aca="false">J10620-J10621</f>
        <v>-159.14501869696</v>
      </c>
      <c r="K10622" s="16" t="n">
        <f aca="false">K10620-K10621</f>
        <v>-158.29434927799</v>
      </c>
    </row>
    <row r="10623" customFormat="false" ht="15" hidden="false" customHeight="false" outlineLevel="0" collapsed="false">
      <c r="A10623" s="23" t="s">
        <v>249</v>
      </c>
      <c r="B10623" s="24"/>
      <c r="C10623" s="24"/>
      <c r="D10623" s="24"/>
      <c r="E10623" s="24"/>
      <c r="F10623" s="24"/>
      <c r="G10623" s="24"/>
      <c r="H10623" s="24"/>
      <c r="I10623" s="24"/>
      <c r="J10623" s="24"/>
      <c r="K10623" s="24"/>
    </row>
    <row r="10624" customFormat="false" ht="15" hidden="false" customHeight="false" outlineLevel="0" collapsed="false">
      <c r="A10624" s="5" t="s">
        <v>153</v>
      </c>
      <c r="G10624" s="25" t="n">
        <f aca="false">G10609*CHOOSE($C$10596,Assumptions!$C$69,Assumptions!$C$88,Assumptions!$C$107)</f>
        <v>29.4144</v>
      </c>
      <c r="H10624" s="25" t="n">
        <f aca="false">H10609*CHOOSE($C$10596,Assumptions!$C$69,Assumptions!$C$88,Assumptions!$C$107)</f>
        <v>25.590528</v>
      </c>
      <c r="I10624" s="25" t="n">
        <f aca="false">I10609*CHOOSE($C$10596,Assumptions!$C$69,Assumptions!$C$88,Assumptions!$C$107)</f>
        <v>24.925174272</v>
      </c>
      <c r="J10624" s="25" t="n">
        <f aca="false">J10609*CHOOSE($C$10596,Assumptions!$C$69,Assumptions!$C$88,Assumptions!$C$107)</f>
        <v>24.67592252928</v>
      </c>
      <c r="K10624" s="25" t="n">
        <f aca="false">K10609*CHOOSE($C$10596,Assumptions!$C$69,Assumptions!$C$88,Assumptions!$C$107)</f>
        <v>24.4291633039872</v>
      </c>
    </row>
    <row r="10625" customFormat="false" ht="15" hidden="false" customHeight="false" outlineLevel="0" collapsed="false">
      <c r="A10625" s="5" t="s">
        <v>250</v>
      </c>
      <c r="G10625" s="25" t="n">
        <f aca="false">CHOOSE($C$10596,Assumptions!$C$70,Assumptions!$C$89,Assumptions!$C$108)*(G10609-F10609)+CHOOSE($C$10596,Assumptions!$C$71,Assumptions!$C$90,Assumptions!$C$109)*G10609</f>
        <v>-56.3616</v>
      </c>
      <c r="H10625" s="25" t="n">
        <f aca="false">CHOOSE($C$10596,Assumptions!$C$70,Assumptions!$C$89,Assumptions!$C$108)*(H10609-G10609)+CHOOSE($C$10596,Assumptions!$C$71,Assumptions!$C$90,Assumptions!$C$109)*H10609</f>
        <v>-19.082592</v>
      </c>
      <c r="I10625" s="25" t="n">
        <f aca="false">CHOOSE($C$10596,Assumptions!$C$70,Assumptions!$C$89,Assumptions!$C$108)*(I10609-H10609)+CHOOSE($C$10596,Assumptions!$C$71,Assumptions!$C$90,Assumptions!$C$109)*I10609</f>
        <v>4.35678739199999</v>
      </c>
      <c r="J10625" s="25" t="n">
        <f aca="false">CHOOSE($C$10596,Assumptions!$C$70,Assumptions!$C$89,Assumptions!$C$108)*(J10609-I10609)+CHOOSE($C$10596,Assumptions!$C$71,Assumptions!$C$90,Assumptions!$C$109)*J10609</f>
        <v>7.38408287808</v>
      </c>
      <c r="K10625" s="25" t="n">
        <f aca="false">CHOOSE($C$10596,Assumptions!$C$70,Assumptions!$C$89,Assumptions!$C$108)*(K10609-J10609)+CHOOSE($C$10596,Assumptions!$C$71,Assumptions!$C$90,Assumptions!$C$109)*K10609</f>
        <v>7.3102420492992</v>
      </c>
    </row>
    <row r="10626" customFormat="false" ht="15" hidden="false" customHeight="false" outlineLevel="0" collapsed="false">
      <c r="A10626" s="2" t="s">
        <v>251</v>
      </c>
      <c r="G10626" s="16" t="n">
        <f aca="false">G10622+G10614+G10615+G10618-G10624-G10625</f>
        <v>-94.7088</v>
      </c>
      <c r="H10626" s="16" t="n">
        <f aca="false">H10622+H10614+H10615+H10618-H10624-H10625</f>
        <v>-134.3574048</v>
      </c>
      <c r="I10626" s="16" t="n">
        <f aca="false">I10622+I10614+I10615+I10618-I10624-I10625</f>
        <v>-155.007404544</v>
      </c>
      <c r="J10626" s="16" t="n">
        <f aca="false">J10622+J10614+J10615+J10618-J10624-J10625</f>
        <v>-157.27563062656</v>
      </c>
      <c r="K10626" s="16" t="n">
        <f aca="false">K10622+K10614+K10615+K10618-K10624-K10625</f>
        <v>-156.443655088294</v>
      </c>
    </row>
    <row r="10628" customFormat="false" ht="15" hidden="false" customHeight="false" outlineLevel="0" collapsed="false">
      <c r="A10628" s="23" t="s">
        <v>253</v>
      </c>
      <c r="B10628" s="24"/>
      <c r="C10628" s="24"/>
      <c r="D10628" s="24"/>
      <c r="E10628" s="24"/>
      <c r="F10628" s="24"/>
      <c r="G10628" s="24"/>
      <c r="H10628" s="24"/>
      <c r="I10628" s="24"/>
      <c r="J10628" s="24"/>
      <c r="K10628" s="24"/>
    </row>
    <row r="10629" customFormat="false" ht="15" hidden="false" customHeight="false" outlineLevel="0" collapsed="false">
      <c r="A10629" s="5" t="s">
        <v>254</v>
      </c>
      <c r="G10629" s="29" t="n">
        <f aca="false">Assumptions!$G$49</f>
        <v>0.0425</v>
      </c>
      <c r="H10629" s="29" t="n">
        <f aca="false">Assumptions!$H$49</f>
        <v>0.04</v>
      </c>
      <c r="I10629" s="29" t="n">
        <f aca="false">Assumptions!$I$49</f>
        <v>0.0375</v>
      </c>
      <c r="J10629" s="29" t="n">
        <f aca="false">Assumptions!$J$49</f>
        <v>0.0375</v>
      </c>
      <c r="K10629" s="29" t="n">
        <f aca="false">Assumptions!$K$49</f>
        <v>0.0375</v>
      </c>
    </row>
    <row r="10630" customFormat="false" ht="15" hidden="false" customHeight="false" outlineLevel="0" collapsed="false">
      <c r="A10630" s="5" t="s">
        <v>255</v>
      </c>
      <c r="C10630" s="30" t="n">
        <f aca="false">CHOOSE($C$10596,Assumptions!$C$72,Assumptions!$C$91,Assumptions!$C$110)+$C$10599</f>
        <v>0.03</v>
      </c>
    </row>
    <row r="10631" customFormat="false" ht="15" hidden="false" customHeight="false" outlineLevel="0" collapsed="false">
      <c r="A10631" s="5" t="s">
        <v>256</v>
      </c>
      <c r="C10631" s="30" t="n">
        <f aca="false">CHOOSE($C$10596,Assumptions!$C$73,Assumptions!$C$92,Assumptions!$C$111)</f>
        <v>0.16</v>
      </c>
    </row>
    <row r="10632" customFormat="false" ht="15" hidden="false" customHeight="false" outlineLevel="0" collapsed="false">
      <c r="A10632" s="5" t="s">
        <v>257</v>
      </c>
      <c r="C10632" s="31" t="n">
        <f aca="false">CHOOSE($C$10596,Assumptions!$C$74,Assumptions!$C$93,Assumptions!$C$112)</f>
        <v>5</v>
      </c>
    </row>
    <row r="10633" customFormat="false" ht="15" hidden="false" customHeight="false" outlineLevel="0" collapsed="false">
      <c r="A10633" s="5" t="s">
        <v>258</v>
      </c>
      <c r="C10633" s="31" t="n">
        <f aca="false">CHOOSE($C$10596,Assumptions!$C$75,Assumptions!$C$94,Assumptions!$C$113)</f>
        <v>2</v>
      </c>
    </row>
    <row r="10634" customFormat="false" ht="15" hidden="false" customHeight="false" outlineLevel="0" collapsed="false">
      <c r="A10634" s="5" t="s">
        <v>259</v>
      </c>
      <c r="G10634" s="25" t="n">
        <f aca="false">G10639+G10652+G10665+G10678</f>
        <v>1250</v>
      </c>
      <c r="H10634" s="25" t="n">
        <f aca="false">H10639+H10652+H10665+H10678</f>
        <v>1299.7088</v>
      </c>
      <c r="I10634" s="25" t="n">
        <f aca="false">I10639+I10652+I10665+I10678</f>
        <v>1294.5088</v>
      </c>
      <c r="J10634" s="25" t="n">
        <f aca="false">J10639+J10652+J10665+J10678</f>
        <v>1289.3088</v>
      </c>
      <c r="K10634" s="25" t="n">
        <f aca="false">K10639+K10652+K10665+K10678</f>
        <v>1284.1088</v>
      </c>
    </row>
    <row r="10635" customFormat="false" ht="15" hidden="false" customHeight="false" outlineLevel="0" collapsed="false">
      <c r="A10635" s="5" t="s">
        <v>260</v>
      </c>
      <c r="G10635" s="25" t="n">
        <f aca="false">F10725</f>
        <v>45</v>
      </c>
      <c r="H10635" s="25" t="n">
        <f aca="false">G10725</f>
        <v>0</v>
      </c>
      <c r="I10635" s="25" t="n">
        <f aca="false">H10725</f>
        <v>-139.5574048</v>
      </c>
      <c r="J10635" s="25" t="n">
        <f aca="false">I10725</f>
        <v>-299.764809344</v>
      </c>
      <c r="K10635" s="25" t="n">
        <f aca="false">J10725</f>
        <v>-462.24043997056</v>
      </c>
    </row>
    <row r="10636" customFormat="false" ht="15" hidden="false" customHeight="false" outlineLevel="0" collapsed="false">
      <c r="A10636" s="5" t="s">
        <v>261</v>
      </c>
      <c r="G10636" s="25" t="n">
        <f aca="false">G10639*IF(G10640=1,$C$10631,IF(Assumptions!$I$53=1,MAX(G10629,Assumptions!$G$53)+Assumptions!$F$53+$C$10630,Assumptions!$E$53))+G10652*IF(G10653=1,$C$10631,IF(Assumptions!$I$54=1,MAX(G10629,Assumptions!$G$54)+Assumptions!$F$54+$C$10630,Assumptions!$E$54))+G10665*IF(G10666=1,$C$10631,IF(Assumptions!$I$55=1,MAX(G10629,Assumptions!$G$55)+Assumptions!$F$55+$C$10630,Assumptions!$E$55))+G10678*IF(G10679=1,$C$10631,IF(Assumptions!$I$56=1,MAX(G10629,Assumptions!$G$56)+Assumptions!$F$56+$C$10630,Assumptions!$E$56))</f>
        <v>140.04</v>
      </c>
      <c r="H10636" s="25" t="n">
        <f aca="false">H10639*IF(OR(H10640=1,G10791=1),$C$10631,IF(Assumptions!$I$53=1,MAX(H10629,Assumptions!$G$53)+Assumptions!$F$53+$C$10630,Assumptions!$E$53))+H10652*IF(OR(H10653=1,G10792=1),$C$10631,IF(Assumptions!$I$54=1,MAX(H10629,Assumptions!$G$54)+Assumptions!$F$54+$C$10630,Assumptions!$E$54))+H10665*IF(OR(H10666=1,G10793=1),$C$10631,IF(Assumptions!$I$55=1,MAX(H10629,Assumptions!$G$55)+Assumptions!$F$55+$C$10630,Assumptions!$E$55))+H10678*IF(OR(H10679=1,G10794=1),$C$10631,IF(Assumptions!$I$56=1,MAX(H10629,Assumptions!$G$56)+Assumptions!$F$56+$C$10630,Assumptions!$E$56))</f>
        <v>180.266808</v>
      </c>
      <c r="I10636" s="25" t="n">
        <f aca="false">I10639*IF(OR(I10640=1,H10791=1),$C$10631,IF(Assumptions!$I$53=1,MAX(I10629,Assumptions!$G$53)+Assumptions!$F$53+$C$10630,Assumptions!$E$53))+I10652*IF(OR(I10653=1,H10792=1),$C$10631,IF(Assumptions!$I$54=1,MAX(I10629,Assumptions!$G$54)+Assumptions!$F$54+$C$10630,Assumptions!$E$54))+I10665*IF(OR(I10666=1,H10793=1),$C$10631,IF(Assumptions!$I$55=1,MAX(I10629,Assumptions!$G$55)+Assumptions!$F$55+$C$10630,Assumptions!$E$55))+I10678*IF(OR(I10679=1,H10794=1),$C$10631,IF(Assumptions!$I$56=1,MAX(I10629,Assumptions!$G$56)+Assumptions!$F$56+$C$10630,Assumptions!$E$56))</f>
        <v>157.6108768</v>
      </c>
      <c r="J10636" s="25" t="n">
        <f aca="false">J10639*IF(OR(J10640=1,I10791=1),$C$10631,IF(Assumptions!$I$53=1,MAX(J10629,Assumptions!$G$53)+Assumptions!$F$53+$C$10630,Assumptions!$E$53))+J10652*IF(OR(J10653=1,I10792=1),$C$10631,IF(Assumptions!$I$54=1,MAX(J10629,Assumptions!$G$54)+Assumptions!$F$54+$C$10630,Assumptions!$E$54))+J10665*IF(OR(J10666=1,I10793=1),$C$10631,IF(Assumptions!$I$55=1,MAX(J10629,Assumptions!$G$55)+Assumptions!$F$55+$C$10630,Assumptions!$E$55))+J10678*IF(OR(J10679=1,I10794=1),$C$10631,IF(Assumptions!$I$56=1,MAX(J10629,Assumptions!$G$56)+Assumptions!$F$56+$C$10630,Assumptions!$E$56))</f>
        <v>153.1380768</v>
      </c>
      <c r="K10636" s="25" t="n">
        <f aca="false">K10639*IF(OR(K10640=1,J10791=1),$C$10631,IF(Assumptions!$I$53=1,MAX(K10629,Assumptions!$G$53)+Assumptions!$F$53+$C$10630,Assumptions!$E$53))+K10652*IF(OR(K10653=1,J10792=1),$C$10631,IF(Assumptions!$I$54=1,MAX(K10629,Assumptions!$G$54)+Assumptions!$F$54+$C$10630,Assumptions!$E$54))+K10665*IF(OR(K10666=1,J10793=1),$C$10631,IF(Assumptions!$I$55=1,MAX(K10629,Assumptions!$G$55)+Assumptions!$F$55+$C$10630,Assumptions!$E$55))+K10678*IF(OR(K10679=1,J10794=1),$C$10631,IF(Assumptions!$I$56=1,MAX(K10629,Assumptions!$G$56)+Assumptions!$F$56+$C$10630,Assumptions!$E$56))</f>
        <v>139.9724768</v>
      </c>
    </row>
    <row r="10637" customFormat="false" ht="15" hidden="false" customHeight="false" outlineLevel="0" collapsed="false">
      <c r="A10637" s="5" t="s">
        <v>262</v>
      </c>
      <c r="G10637" s="20" t="n">
        <f aca="false">IF(G10613&lt;=0,0,IF(AND((G10634-G10635)/G10613&lt;=$C$10632,G10613/G10636&gt;=$C$10633),1,0))</f>
        <v>0</v>
      </c>
      <c r="H10637" s="20" t="n">
        <f aca="false">IF(H10613&lt;=0,0,IF(AND((H10634-H10635)/H10613&lt;=$C$10632,H10613/H10636&gt;=$C$10633),1,0))</f>
        <v>0</v>
      </c>
      <c r="I10637" s="20" t="n">
        <f aca="false">IF(I10613&lt;=0,0,IF(AND((I10634-I10635)/I10613&lt;=$C$10632,I10613/I10636&gt;=$C$10633),1,0))</f>
        <v>0</v>
      </c>
      <c r="J10637" s="20" t="n">
        <f aca="false">IF(J10613&lt;=0,0,IF(AND((J10634-J10635)/J10613&lt;=$C$10632,J10613/J10636&gt;=$C$10633),1,0))</f>
        <v>0</v>
      </c>
      <c r="K10637" s="20" t="n">
        <f aca="false">IF(K10613&lt;=0,0,IF(AND((K10634-K10635)/K10613&lt;=$C$10632,K10613/K10636&gt;=$C$10633),1,0))</f>
        <v>0</v>
      </c>
    </row>
    <row r="10638" customFormat="false" ht="15" hidden="false" customHeight="false" outlineLevel="0" collapsed="false">
      <c r="A10638" s="23" t="s">
        <v>263</v>
      </c>
      <c r="B10638" s="24"/>
      <c r="C10638" s="24"/>
      <c r="D10638" s="24"/>
      <c r="E10638" s="24"/>
      <c r="F10638" s="24"/>
      <c r="G10638" s="24"/>
      <c r="H10638" s="24"/>
      <c r="I10638" s="24"/>
      <c r="J10638" s="24"/>
      <c r="K10638" s="24"/>
    </row>
    <row r="10639" customFormat="false" ht="15" hidden="false" customHeight="false" outlineLevel="0" collapsed="false">
      <c r="A10639" s="5" t="s">
        <v>264</v>
      </c>
      <c r="G10639" s="25" t="n">
        <f aca="false">F10650</f>
        <v>180</v>
      </c>
      <c r="H10639" s="25" t="n">
        <f aca="false">G10650</f>
        <v>234.9088</v>
      </c>
      <c r="I10639" s="25" t="n">
        <f aca="false">H10650</f>
        <v>234.9088</v>
      </c>
      <c r="J10639" s="25" t="n">
        <f aca="false">I10650</f>
        <v>234.9088</v>
      </c>
      <c r="K10639" s="25" t="n">
        <f aca="false">J10650</f>
        <v>234.9088</v>
      </c>
    </row>
    <row r="10640" customFormat="false" ht="15" hidden="false" customHeight="false" outlineLevel="0" collapsed="false">
      <c r="A10640" s="5" t="s">
        <v>265</v>
      </c>
      <c r="G10640" s="20" t="n">
        <f aca="false">IF(G10603=Assumptions!$K$53,1,0)</f>
        <v>0</v>
      </c>
      <c r="H10640" s="20" t="n">
        <f aca="false">IF(H10603=Assumptions!$K$53,1,0)</f>
        <v>1</v>
      </c>
      <c r="I10640" s="20" t="n">
        <f aca="false">IF(I10603=Assumptions!$K$53,1,0)</f>
        <v>0</v>
      </c>
      <c r="J10640" s="20" t="n">
        <f aca="false">IF(J10603=Assumptions!$K$53,1,0)</f>
        <v>0</v>
      </c>
      <c r="K10640" s="20" t="n">
        <f aca="false">IF(K10603=Assumptions!$K$53,1,0)</f>
        <v>0</v>
      </c>
    </row>
    <row r="10642" customFormat="false" ht="15" hidden="false" customHeight="false" outlineLevel="0" collapsed="false">
      <c r="A10642" s="5" t="s">
        <v>266</v>
      </c>
      <c r="G10642" s="30" t="n">
        <f aca="false">IF(Assumptions!$I$53=1,MAX(G10629,Assumptions!$G$53)+Assumptions!$F$53+$C$10630,Assumptions!$E$53)</f>
        <v>0.116</v>
      </c>
      <c r="H10642" s="30" t="n">
        <f aca="false">IF(G10791=1,$C$10631,IF(Assumptions!$I$53=1,MAX(H10629,Assumptions!$G$53)+Assumptions!$F$53+$C$10630,Assumptions!$E$53))</f>
        <v>0.1135</v>
      </c>
      <c r="I10642" s="30" t="n">
        <f aca="false">IF(H10791=1,$C$10631,IF(Assumptions!$I$53=1,MAX(I10629,Assumptions!$G$53)+Assumptions!$F$53+$C$10630,Assumptions!$E$53))</f>
        <v>0.111</v>
      </c>
      <c r="J10642" s="30" t="n">
        <f aca="false">IF(I10791=1,$C$10631,IF(Assumptions!$I$53=1,MAX(J10629,Assumptions!$G$53)+Assumptions!$F$53+$C$10630,Assumptions!$E$53))</f>
        <v>0.111</v>
      </c>
      <c r="K10642" s="30" t="n">
        <f aca="false">IF(J10791=1,$C$10631,IF(Assumptions!$I$53=1,MAX(K10629,Assumptions!$G$53)+Assumptions!$F$53+$C$10630,Assumptions!$E$53))</f>
        <v>0.111</v>
      </c>
    </row>
    <row r="10643" customFormat="false" ht="15" hidden="false" customHeight="false" outlineLevel="0" collapsed="false">
      <c r="A10643" s="5" t="s">
        <v>267</v>
      </c>
      <c r="G10643" s="25" t="n">
        <f aca="false">G10639*G10642</f>
        <v>20.88</v>
      </c>
      <c r="H10643" s="25" t="n">
        <f aca="false">H10639*H10642</f>
        <v>26.6621488</v>
      </c>
      <c r="I10643" s="25" t="n">
        <f aca="false">I10639*I10642</f>
        <v>26.0748768</v>
      </c>
      <c r="J10643" s="25" t="n">
        <f aca="false">J10639*J10642</f>
        <v>26.0748768</v>
      </c>
      <c r="K10643" s="25" t="n">
        <f aca="false">K10639*K10642</f>
        <v>26.0748768</v>
      </c>
    </row>
    <row r="10644" customFormat="false" ht="15" hidden="false" customHeight="false" outlineLevel="0" collapsed="false">
      <c r="A10644" s="5" t="s">
        <v>268</v>
      </c>
      <c r="G10644" s="25" t="n">
        <f aca="false">G10639*Assumptions!$H$53</f>
        <v>0</v>
      </c>
      <c r="H10644" s="25" t="n">
        <f aca="false">H10639*Assumptions!$H$53</f>
        <v>0</v>
      </c>
      <c r="I10644" s="25" t="n">
        <f aca="false">I10639*Assumptions!$H$53</f>
        <v>0</v>
      </c>
      <c r="J10644" s="25" t="n">
        <f aca="false">J10639*Assumptions!$H$53</f>
        <v>0</v>
      </c>
      <c r="K10644" s="25" t="n">
        <f aca="false">K10639*Assumptions!$H$53</f>
        <v>0</v>
      </c>
    </row>
    <row r="10645" customFormat="false" ht="15" hidden="false" customHeight="false" outlineLevel="0" collapsed="false">
      <c r="A10645" s="5" t="s">
        <v>269</v>
      </c>
      <c r="G10645" s="25" t="n">
        <f aca="false">MIN(G10639,Assumptions!$L$53*Assumptions!$C$53)</f>
        <v>0</v>
      </c>
      <c r="H10645" s="25" t="n">
        <f aca="false">MIN(H10639,Assumptions!$L$53*Assumptions!$C$53)</f>
        <v>0</v>
      </c>
      <c r="I10645" s="25" t="n">
        <f aca="false">MIN(I10639,Assumptions!$L$53*Assumptions!$C$53)</f>
        <v>0</v>
      </c>
      <c r="J10645" s="25" t="n">
        <f aca="false">MIN(J10639,Assumptions!$L$53*Assumptions!$C$53)</f>
        <v>0</v>
      </c>
      <c r="K10645" s="25" t="n">
        <f aca="false">MIN(K10639,Assumptions!$L$53*Assumptions!$C$53)</f>
        <v>0</v>
      </c>
    </row>
    <row r="10646" customFormat="false" ht="15" hidden="false" customHeight="false" outlineLevel="0" collapsed="false">
      <c r="A10646" s="5" t="s">
        <v>270</v>
      </c>
      <c r="G10646" s="25" t="n">
        <f aca="false">IF(AND(Assumptions!$P$53=1,G10603&lt;Assumptions!$K$53),MIN(MAX(0,-G10717),MAX(0,Assumptions!$D$53-G10639)),0)</f>
        <v>54.9088</v>
      </c>
      <c r="H10646" s="25" t="n">
        <f aca="false">IF(AND(Assumptions!$P$53=1,OR(H10603&lt;Assumptions!$K$53,G10791=1)),MIN(MAX(0,-H10717),MAX(0,Assumptions!$D$53-H10639)),0)</f>
        <v>0</v>
      </c>
      <c r="I10646" s="25" t="n">
        <f aca="false">IF(AND(Assumptions!$P$53=1,OR(I10603&lt;Assumptions!$K$53,H10791=1)),MIN(MAX(0,-I10717),MAX(0,Assumptions!$D$53-I10639)),0)</f>
        <v>0</v>
      </c>
      <c r="J10646" s="25" t="n">
        <f aca="false">IF(AND(Assumptions!$P$53=1,OR(J10603&lt;Assumptions!$K$53,I10791=1)),MIN(MAX(0,-J10717),MAX(0,Assumptions!$D$53-J10639)),0)</f>
        <v>0</v>
      </c>
      <c r="K10646" s="25" t="n">
        <f aca="false">IF(AND(Assumptions!$P$53=1,OR(K10603&lt;Assumptions!$K$53,J10791=1)),MIN(MAX(0,-K10717),MAX(0,Assumptions!$D$53-K10639)),0)</f>
        <v>0</v>
      </c>
    </row>
    <row r="10647" customFormat="false" ht="15" hidden="false" customHeight="false" outlineLevel="0" collapsed="false">
      <c r="A10647" s="5" t="s">
        <v>271</v>
      </c>
      <c r="G10647" s="25" t="n">
        <f aca="false">G10640*MIN(G10639-G10645+G10644,MAX(0,G10719-Assumptions!$C$12*G10637))</f>
        <v>0</v>
      </c>
      <c r="H10647" s="25" t="n">
        <f aca="false">H10640*MIN(H10639-H10645+H10644,MAX(0,H10719-Assumptions!$C$12*H10637))</f>
        <v>0</v>
      </c>
      <c r="I10647" s="25" t="n">
        <f aca="false">I10640*MIN(I10639-I10645+I10644,MAX(0,I10719-Assumptions!$C$12*I10637))</f>
        <v>0</v>
      </c>
      <c r="J10647" s="25" t="n">
        <f aca="false">J10640*MIN(J10639-J10645+J10644,MAX(0,J10719-Assumptions!$C$12*J10637))</f>
        <v>0</v>
      </c>
      <c r="K10647" s="25" t="n">
        <f aca="false">K10640*MIN(K10639-K10645+K10644,MAX(0,K10719-Assumptions!$C$12*K10637))</f>
        <v>0</v>
      </c>
    </row>
    <row r="10648" customFormat="false" ht="15" hidden="false" customHeight="false" outlineLevel="0" collapsed="false">
      <c r="A10648" s="5" t="s">
        <v>272</v>
      </c>
      <c r="G10648" s="25" t="n">
        <f aca="false">Assumptions!$N$53*MIN(G10639+G10646+G10644-G10645-G10647,MAX(0,G10723))</f>
        <v>0</v>
      </c>
      <c r="H10648" s="25" t="n">
        <f aca="false">Assumptions!$N$53*MIN(H10639+H10646+H10644-H10645-H10647,MAX(0,H10723))</f>
        <v>0</v>
      </c>
      <c r="I10648" s="25" t="n">
        <f aca="false">Assumptions!$N$53*MIN(I10639+I10646+I10644-I10645-I10647,MAX(0,I10723))</f>
        <v>0</v>
      </c>
      <c r="J10648" s="25" t="n">
        <f aca="false">Assumptions!$N$53*MIN(J10639+J10646+J10644-J10645-J10647,MAX(0,J10723))</f>
        <v>0</v>
      </c>
      <c r="K10648" s="25" t="n">
        <f aca="false">Assumptions!$N$53*MIN(K10639+K10646+K10644-K10645-K10647,MAX(0,K10723))</f>
        <v>0</v>
      </c>
    </row>
    <row r="10649" customFormat="false" ht="15" hidden="false" customHeight="false" outlineLevel="0" collapsed="false">
      <c r="A10649" s="5" t="s">
        <v>273</v>
      </c>
      <c r="G10649" s="25" t="n">
        <f aca="false">G10640*(1-G10637)*(G10639-G10645+G10644-G10647)</f>
        <v>0</v>
      </c>
      <c r="H10649" s="25" t="n">
        <f aca="false">H10640*(1-H10637)*(H10639-H10645+H10644-H10647)</f>
        <v>234.9088</v>
      </c>
      <c r="I10649" s="25" t="n">
        <f aca="false">I10640*(1-I10637)*(I10639-I10645+I10644-I10647)</f>
        <v>0</v>
      </c>
      <c r="J10649" s="25" t="n">
        <f aca="false">J10640*(1-J10637)*(J10639-J10645+J10644-J10647)</f>
        <v>0</v>
      </c>
      <c r="K10649" s="25" t="n">
        <f aca="false">K10640*(1-K10637)*(K10639-K10645+K10644-K10647)</f>
        <v>0</v>
      </c>
    </row>
    <row r="10650" customFormat="false" ht="15" hidden="false" customHeight="false" outlineLevel="0" collapsed="false">
      <c r="A10650" s="2" t="s">
        <v>274</v>
      </c>
      <c r="F10650" s="27" t="n">
        <f aca="false">Assumptions!$C$53</f>
        <v>180</v>
      </c>
      <c r="G10650" s="16" t="n">
        <f aca="false">G10639+G10646+G10644-G10645-G10647-G10648</f>
        <v>234.9088</v>
      </c>
      <c r="H10650" s="16" t="n">
        <f aca="false">H10639+H10646+H10644-H10645-H10647-H10648</f>
        <v>234.9088</v>
      </c>
      <c r="I10650" s="16" t="n">
        <f aca="false">I10639+I10646+I10644-I10645-I10647-I10648</f>
        <v>234.9088</v>
      </c>
      <c r="J10650" s="16" t="n">
        <f aca="false">J10639+J10646+J10644-J10645-J10647-J10648</f>
        <v>234.9088</v>
      </c>
      <c r="K10650" s="16" t="n">
        <f aca="false">K10639+K10646+K10644-K10645-K10647-K10648</f>
        <v>234.9088</v>
      </c>
    </row>
    <row r="10651" customFormat="false" ht="15" hidden="false" customHeight="false" outlineLevel="0" collapsed="false">
      <c r="A10651" s="23" t="s">
        <v>275</v>
      </c>
      <c r="B10651" s="24"/>
      <c r="C10651" s="24"/>
      <c r="D10651" s="24"/>
      <c r="E10651" s="24"/>
      <c r="F10651" s="24"/>
      <c r="G10651" s="24"/>
      <c r="H10651" s="24"/>
      <c r="I10651" s="24"/>
      <c r="J10651" s="24"/>
      <c r="K10651" s="24"/>
    </row>
    <row r="10652" customFormat="false" ht="15" hidden="false" customHeight="false" outlineLevel="0" collapsed="false">
      <c r="A10652" s="5" t="s">
        <v>264</v>
      </c>
      <c r="G10652" s="25" t="n">
        <f aca="false">F10663</f>
        <v>520</v>
      </c>
      <c r="H10652" s="25" t="n">
        <f aca="false">G10663</f>
        <v>514.8</v>
      </c>
      <c r="I10652" s="25" t="n">
        <f aca="false">H10663</f>
        <v>509.6</v>
      </c>
      <c r="J10652" s="25" t="n">
        <f aca="false">I10663</f>
        <v>504.4</v>
      </c>
      <c r="K10652" s="25" t="n">
        <f aca="false">J10663</f>
        <v>499.2</v>
      </c>
    </row>
    <row r="10653" customFormat="false" ht="15" hidden="false" customHeight="false" outlineLevel="0" collapsed="false">
      <c r="A10653" s="5" t="s">
        <v>265</v>
      </c>
      <c r="G10653" s="20" t="n">
        <f aca="false">IF(G10603=Assumptions!$K$54,1,0)</f>
        <v>0</v>
      </c>
      <c r="H10653" s="20" t="n">
        <f aca="false">IF(H10603=Assumptions!$K$54,1,0)</f>
        <v>0</v>
      </c>
      <c r="I10653" s="20" t="n">
        <f aca="false">IF(I10603=Assumptions!$K$54,1,0)</f>
        <v>1</v>
      </c>
      <c r="J10653" s="20" t="n">
        <f aca="false">IF(J10603=Assumptions!$K$54,1,0)</f>
        <v>0</v>
      </c>
      <c r="K10653" s="20" t="n">
        <f aca="false">IF(K10603=Assumptions!$K$54,1,0)</f>
        <v>0</v>
      </c>
    </row>
    <row r="10655" customFormat="false" ht="15" hidden="false" customHeight="false" outlineLevel="0" collapsed="false">
      <c r="A10655" s="5" t="s">
        <v>266</v>
      </c>
      <c r="G10655" s="30" t="n">
        <f aca="false">IF(Assumptions!$I$54=1,MAX(G10629,Assumptions!$G$54)+Assumptions!$F$54+$C$10630,Assumptions!$E$54)</f>
        <v>0.133</v>
      </c>
      <c r="H10655" s="30" t="n">
        <f aca="false">IF(G10792=1,$C$10631,IF(Assumptions!$I$54=1,MAX(H10629,Assumptions!$G$54)+Assumptions!$F$54+$C$10630,Assumptions!$E$54))</f>
        <v>0.1305</v>
      </c>
      <c r="I10655" s="30" t="n">
        <f aca="false">IF(H10792=1,$C$10631,IF(Assumptions!$I$54=1,MAX(I10629,Assumptions!$G$54)+Assumptions!$F$54+$C$10630,Assumptions!$E$54))</f>
        <v>0.128</v>
      </c>
      <c r="J10655" s="30" t="n">
        <f aca="false">IF(I10792=1,$C$10631,IF(Assumptions!$I$54=1,MAX(J10629,Assumptions!$G$54)+Assumptions!$F$54+$C$10630,Assumptions!$E$54))</f>
        <v>0.128</v>
      </c>
      <c r="K10655" s="30" t="n">
        <f aca="false">IF(J10792=1,$C$10631,IF(Assumptions!$I$54=1,MAX(K10629,Assumptions!$G$54)+Assumptions!$F$54+$C$10630,Assumptions!$E$54))</f>
        <v>0.128</v>
      </c>
    </row>
    <row r="10656" customFormat="false" ht="15" hidden="false" customHeight="false" outlineLevel="0" collapsed="false">
      <c r="A10656" s="5" t="s">
        <v>267</v>
      </c>
      <c r="G10656" s="25" t="n">
        <f aca="false">G10652*G10655</f>
        <v>69.16</v>
      </c>
      <c r="H10656" s="25" t="n">
        <f aca="false">H10652*H10655</f>
        <v>67.1814</v>
      </c>
      <c r="I10656" s="25" t="n">
        <f aca="false">I10652*I10655</f>
        <v>65.2288</v>
      </c>
      <c r="J10656" s="25" t="n">
        <f aca="false">J10652*J10655</f>
        <v>64.5632</v>
      </c>
      <c r="K10656" s="25" t="n">
        <f aca="false">K10652*K10655</f>
        <v>63.8976</v>
      </c>
    </row>
    <row r="10657" customFormat="false" ht="15" hidden="false" customHeight="false" outlineLevel="0" collapsed="false">
      <c r="A10657" s="5" t="s">
        <v>268</v>
      </c>
      <c r="G10657" s="25" t="n">
        <f aca="false">G10652*Assumptions!$H$54</f>
        <v>0</v>
      </c>
      <c r="H10657" s="25" t="n">
        <f aca="false">H10652*Assumptions!$H$54</f>
        <v>0</v>
      </c>
      <c r="I10657" s="25" t="n">
        <f aca="false">I10652*Assumptions!$H$54</f>
        <v>0</v>
      </c>
      <c r="J10657" s="25" t="n">
        <f aca="false">J10652*Assumptions!$H$54</f>
        <v>0</v>
      </c>
      <c r="K10657" s="25" t="n">
        <f aca="false">K10652*Assumptions!$H$54</f>
        <v>0</v>
      </c>
    </row>
    <row r="10658" customFormat="false" ht="15" hidden="false" customHeight="false" outlineLevel="0" collapsed="false">
      <c r="A10658" s="5" t="s">
        <v>269</v>
      </c>
      <c r="G10658" s="25" t="n">
        <f aca="false">MIN(G10652,Assumptions!$L$54*Assumptions!$C$54)</f>
        <v>5.2</v>
      </c>
      <c r="H10658" s="25" t="n">
        <f aca="false">MIN(H10652,Assumptions!$L$54*Assumptions!$C$54)</f>
        <v>5.2</v>
      </c>
      <c r="I10658" s="25" t="n">
        <f aca="false">MIN(I10652,Assumptions!$L$54*Assumptions!$C$54)</f>
        <v>5.2</v>
      </c>
      <c r="J10658" s="25" t="n">
        <f aca="false">MIN(J10652,Assumptions!$L$54*Assumptions!$C$54)</f>
        <v>5.2</v>
      </c>
      <c r="K10658" s="25" t="n">
        <f aca="false">MIN(K10652,Assumptions!$L$54*Assumptions!$C$54)</f>
        <v>5.2</v>
      </c>
    </row>
    <row r="10659" customFormat="false" ht="15" hidden="false" customHeight="false" outlineLevel="0" collapsed="false">
      <c r="A10659" s="5" t="s">
        <v>270</v>
      </c>
      <c r="G10659" s="25" t="n">
        <f aca="false">IF(AND(Assumptions!$P$54=1,G10603&lt;Assumptions!$K$54),MIN(MAX(0,-G10717),MAX(0,Assumptions!$D$54-G10652)),0)</f>
        <v>0</v>
      </c>
      <c r="H10659" s="25" t="n">
        <f aca="false">IF(AND(Assumptions!$P$54=1,OR(H10603&lt;Assumptions!$K$54,G10792=1)),MIN(MAX(0,-H10717),MAX(0,Assumptions!$D$54-H10652)),0)</f>
        <v>0</v>
      </c>
      <c r="I10659" s="25" t="n">
        <f aca="false">IF(AND(Assumptions!$P$54=1,OR(I10603&lt;Assumptions!$K$54,H10792=1)),MIN(MAX(0,-I10717),MAX(0,Assumptions!$D$54-I10652)),0)</f>
        <v>0</v>
      </c>
      <c r="J10659" s="25" t="n">
        <f aca="false">IF(AND(Assumptions!$P$54=1,OR(J10603&lt;Assumptions!$K$54,I10792=1)),MIN(MAX(0,-J10717),MAX(0,Assumptions!$D$54-J10652)),0)</f>
        <v>0</v>
      </c>
      <c r="K10659" s="25" t="n">
        <f aca="false">IF(AND(Assumptions!$P$54=1,OR(K10603&lt;Assumptions!$K$54,J10792=1)),MIN(MAX(0,-K10717),MAX(0,Assumptions!$D$54-K10652)),0)</f>
        <v>0</v>
      </c>
    </row>
    <row r="10660" customFormat="false" ht="15" hidden="false" customHeight="false" outlineLevel="0" collapsed="false">
      <c r="A10660" s="5" t="s">
        <v>271</v>
      </c>
      <c r="G10660" s="25" t="n">
        <f aca="false">G10653*MIN(G10652-G10658+G10657,MAX(0,G10719-Assumptions!$C$12*G10637-G10647))</f>
        <v>0</v>
      </c>
      <c r="H10660" s="25" t="n">
        <f aca="false">H10653*MIN(H10652-H10658+H10657,MAX(0,H10719-Assumptions!$C$12*H10637-H10647))</f>
        <v>0</v>
      </c>
      <c r="I10660" s="25" t="n">
        <f aca="false">I10653*MIN(I10652-I10658+I10657,MAX(0,I10719-Assumptions!$C$12*I10637-I10647))</f>
        <v>0</v>
      </c>
      <c r="J10660" s="25" t="n">
        <f aca="false">J10653*MIN(J10652-J10658+J10657,MAX(0,J10719-Assumptions!$C$12*J10637-J10647))</f>
        <v>0</v>
      </c>
      <c r="K10660" s="25" t="n">
        <f aca="false">K10653*MIN(K10652-K10658+K10657,MAX(0,K10719-Assumptions!$C$12*K10637-K10647))</f>
        <v>0</v>
      </c>
    </row>
    <row r="10661" customFormat="false" ht="15" hidden="false" customHeight="false" outlineLevel="0" collapsed="false">
      <c r="A10661" s="5" t="s">
        <v>272</v>
      </c>
      <c r="G10661" s="25" t="n">
        <f aca="false">Assumptions!$N$54*MIN(G10652+G10659+G10657-G10658-G10660,MAX(0,G10723-G10648))</f>
        <v>0</v>
      </c>
      <c r="H10661" s="25" t="n">
        <f aca="false">Assumptions!$N$54*MIN(H10652+H10659+H10657-H10658-H10660,MAX(0,H10723-H10648))</f>
        <v>0</v>
      </c>
      <c r="I10661" s="25" t="n">
        <f aca="false">Assumptions!$N$54*MIN(I10652+I10659+I10657-I10658-I10660,MAX(0,I10723-I10648))</f>
        <v>0</v>
      </c>
      <c r="J10661" s="25" t="n">
        <f aca="false">Assumptions!$N$54*MIN(J10652+J10659+J10657-J10658-J10660,MAX(0,J10723-J10648))</f>
        <v>0</v>
      </c>
      <c r="K10661" s="25" t="n">
        <f aca="false">Assumptions!$N$54*MIN(K10652+K10659+K10657-K10658-K10660,MAX(0,K10723-K10648))</f>
        <v>0</v>
      </c>
    </row>
    <row r="10662" customFormat="false" ht="15" hidden="false" customHeight="false" outlineLevel="0" collapsed="false">
      <c r="A10662" s="5" t="s">
        <v>273</v>
      </c>
      <c r="G10662" s="25" t="n">
        <f aca="false">G10653*(1-G10637)*(G10652-G10658+G10657-G10660)</f>
        <v>0</v>
      </c>
      <c r="H10662" s="25" t="n">
        <f aca="false">H10653*(1-H10637)*(H10652-H10658+H10657-H10660)</f>
        <v>0</v>
      </c>
      <c r="I10662" s="25" t="n">
        <f aca="false">I10653*(1-I10637)*(I10652-I10658+I10657-I10660)</f>
        <v>504.4</v>
      </c>
      <c r="J10662" s="25" t="n">
        <f aca="false">J10653*(1-J10637)*(J10652-J10658+J10657-J10660)</f>
        <v>0</v>
      </c>
      <c r="K10662" s="25" t="n">
        <f aca="false">K10653*(1-K10637)*(K10652-K10658+K10657-K10660)</f>
        <v>0</v>
      </c>
    </row>
    <row r="10663" customFormat="false" ht="15" hidden="false" customHeight="false" outlineLevel="0" collapsed="false">
      <c r="A10663" s="2" t="s">
        <v>274</v>
      </c>
      <c r="F10663" s="27" t="n">
        <f aca="false">Assumptions!$C$54</f>
        <v>520</v>
      </c>
      <c r="G10663" s="16" t="n">
        <f aca="false">G10652+G10659+G10657-G10658-G10660-G10661</f>
        <v>514.8</v>
      </c>
      <c r="H10663" s="16" t="n">
        <f aca="false">H10652+H10659+H10657-H10658-H10660-H10661</f>
        <v>509.6</v>
      </c>
      <c r="I10663" s="16" t="n">
        <f aca="false">I10652+I10659+I10657-I10658-I10660-I10661</f>
        <v>504.4</v>
      </c>
      <c r="J10663" s="16" t="n">
        <f aca="false">J10652+J10659+J10657-J10658-J10660-J10661</f>
        <v>499.2</v>
      </c>
      <c r="K10663" s="16" t="n">
        <f aca="false">K10652+K10659+K10657-K10658-K10660-K10661</f>
        <v>494</v>
      </c>
    </row>
    <row r="10664" customFormat="false" ht="15" hidden="false" customHeight="false" outlineLevel="0" collapsed="false">
      <c r="A10664" s="23" t="s">
        <v>276</v>
      </c>
      <c r="B10664" s="24"/>
      <c r="C10664" s="24"/>
      <c r="D10664" s="24"/>
      <c r="E10664" s="24"/>
      <c r="F10664" s="24"/>
      <c r="G10664" s="24"/>
      <c r="H10664" s="24"/>
      <c r="I10664" s="24"/>
      <c r="J10664" s="24"/>
      <c r="K10664" s="24"/>
    </row>
    <row r="10665" customFormat="false" ht="15" hidden="false" customHeight="false" outlineLevel="0" collapsed="false">
      <c r="A10665" s="5" t="s">
        <v>264</v>
      </c>
      <c r="G10665" s="25" t="n">
        <f aca="false">F10676</f>
        <v>250</v>
      </c>
      <c r="H10665" s="25" t="n">
        <f aca="false">G10676</f>
        <v>250</v>
      </c>
      <c r="I10665" s="25" t="n">
        <f aca="false">H10676</f>
        <v>250</v>
      </c>
      <c r="J10665" s="25" t="n">
        <f aca="false">I10676</f>
        <v>250</v>
      </c>
      <c r="K10665" s="25" t="n">
        <f aca="false">J10676</f>
        <v>250</v>
      </c>
    </row>
    <row r="10666" customFormat="false" ht="15" hidden="false" customHeight="false" outlineLevel="0" collapsed="false">
      <c r="A10666" s="5" t="s">
        <v>265</v>
      </c>
      <c r="G10666" s="20" t="n">
        <f aca="false">IF(G10603=Assumptions!$K$55,1,0)</f>
        <v>0</v>
      </c>
      <c r="H10666" s="20" t="n">
        <f aca="false">IF(H10603=Assumptions!$K$55,1,0)</f>
        <v>0</v>
      </c>
      <c r="I10666" s="20" t="n">
        <f aca="false">IF(I10603=Assumptions!$K$55,1,0)</f>
        <v>0</v>
      </c>
      <c r="J10666" s="20" t="n">
        <f aca="false">IF(J10603=Assumptions!$K$55,1,0)</f>
        <v>1</v>
      </c>
      <c r="K10666" s="20" t="n">
        <f aca="false">IF(K10603=Assumptions!$K$55,1,0)</f>
        <v>0</v>
      </c>
    </row>
    <row r="10668" customFormat="false" ht="15" hidden="false" customHeight="false" outlineLevel="0" collapsed="false">
      <c r="A10668" s="5" t="s">
        <v>266</v>
      </c>
      <c r="G10668" s="30" t="n">
        <f aca="false">IF(Assumptions!$I$55=1,MAX(G10629,Assumptions!$G$55)+Assumptions!$F$55+$C$10630,Assumptions!$E$55)</f>
        <v>0.11</v>
      </c>
      <c r="H10668" s="30" t="n">
        <f aca="false">IF(G10793=1,$C$10631,IF(Assumptions!$I$55=1,MAX(H10629,Assumptions!$G$55)+Assumptions!$F$55+$C$10630,Assumptions!$E$55))</f>
        <v>0.11</v>
      </c>
      <c r="I10668" s="30" t="n">
        <f aca="false">IF(H10793=1,$C$10631,IF(Assumptions!$I$55=1,MAX(I10629,Assumptions!$G$55)+Assumptions!$F$55+$C$10630,Assumptions!$E$55))</f>
        <v>0.11</v>
      </c>
      <c r="J10668" s="30" t="n">
        <f aca="false">IF(I10793=1,$C$10631,IF(Assumptions!$I$55=1,MAX(J10629,Assumptions!$G$55)+Assumptions!$F$55+$C$10630,Assumptions!$E$55))</f>
        <v>0.11</v>
      </c>
      <c r="K10668" s="30" t="n">
        <f aca="false">IF(J10793=1,$C$10631,IF(Assumptions!$I$55=1,MAX(K10629,Assumptions!$G$55)+Assumptions!$F$55+$C$10630,Assumptions!$E$55))</f>
        <v>0.11</v>
      </c>
    </row>
    <row r="10669" customFormat="false" ht="15" hidden="false" customHeight="false" outlineLevel="0" collapsed="false">
      <c r="A10669" s="5" t="s">
        <v>267</v>
      </c>
      <c r="G10669" s="25" t="n">
        <f aca="false">G10665*G10668</f>
        <v>27.5</v>
      </c>
      <c r="H10669" s="25" t="n">
        <f aca="false">H10665*H10668</f>
        <v>27.5</v>
      </c>
      <c r="I10669" s="25" t="n">
        <f aca="false">I10665*I10668</f>
        <v>27.5</v>
      </c>
      <c r="J10669" s="25" t="n">
        <f aca="false">J10665*J10668</f>
        <v>27.5</v>
      </c>
      <c r="K10669" s="25" t="n">
        <f aca="false">K10665*K10668</f>
        <v>27.5</v>
      </c>
    </row>
    <row r="10670" customFormat="false" ht="15" hidden="false" customHeight="false" outlineLevel="0" collapsed="false">
      <c r="A10670" s="5" t="s">
        <v>268</v>
      </c>
      <c r="G10670" s="25" t="n">
        <f aca="false">G10665*Assumptions!$H$55</f>
        <v>0</v>
      </c>
      <c r="H10670" s="25" t="n">
        <f aca="false">H10665*Assumptions!$H$55</f>
        <v>0</v>
      </c>
      <c r="I10670" s="25" t="n">
        <f aca="false">I10665*Assumptions!$H$55</f>
        <v>0</v>
      </c>
      <c r="J10670" s="25" t="n">
        <f aca="false">J10665*Assumptions!$H$55</f>
        <v>0</v>
      </c>
      <c r="K10670" s="25" t="n">
        <f aca="false">K10665*Assumptions!$H$55</f>
        <v>0</v>
      </c>
    </row>
    <row r="10671" customFormat="false" ht="15" hidden="false" customHeight="false" outlineLevel="0" collapsed="false">
      <c r="A10671" s="5" t="s">
        <v>269</v>
      </c>
      <c r="G10671" s="25" t="n">
        <f aca="false">MIN(G10665,Assumptions!$L$55*Assumptions!$C$55)</f>
        <v>0</v>
      </c>
      <c r="H10671" s="25" t="n">
        <f aca="false">MIN(H10665,Assumptions!$L$55*Assumptions!$C$55)</f>
        <v>0</v>
      </c>
      <c r="I10671" s="25" t="n">
        <f aca="false">MIN(I10665,Assumptions!$L$55*Assumptions!$C$55)</f>
        <v>0</v>
      </c>
      <c r="J10671" s="25" t="n">
        <f aca="false">MIN(J10665,Assumptions!$L$55*Assumptions!$C$55)</f>
        <v>0</v>
      </c>
      <c r="K10671" s="25" t="n">
        <f aca="false">MIN(K10665,Assumptions!$L$55*Assumptions!$C$55)</f>
        <v>0</v>
      </c>
    </row>
    <row r="10672" customFormat="false" ht="15" hidden="false" customHeight="false" outlineLevel="0" collapsed="false">
      <c r="A10672" s="5" t="s">
        <v>270</v>
      </c>
      <c r="G10672" s="25" t="n">
        <f aca="false">IF(AND(Assumptions!$P$55=1,G10603&lt;Assumptions!$K$55),MIN(MAX(0,-G10717),MAX(0,Assumptions!$D$55-G10665)),0)</f>
        <v>0</v>
      </c>
      <c r="H10672" s="25" t="n">
        <f aca="false">IF(AND(Assumptions!$P$55=1,OR(H10603&lt;Assumptions!$K$55,G10793=1)),MIN(MAX(0,-H10717),MAX(0,Assumptions!$D$55-H10665)),0)</f>
        <v>0</v>
      </c>
      <c r="I10672" s="25" t="n">
        <f aca="false">IF(AND(Assumptions!$P$55=1,OR(I10603&lt;Assumptions!$K$55,H10793=1)),MIN(MAX(0,-I10717),MAX(0,Assumptions!$D$55-I10665)),0)</f>
        <v>0</v>
      </c>
      <c r="J10672" s="25" t="n">
        <f aca="false">IF(AND(Assumptions!$P$55=1,OR(J10603&lt;Assumptions!$K$55,I10793=1)),MIN(MAX(0,-J10717),MAX(0,Assumptions!$D$55-J10665)),0)</f>
        <v>0</v>
      </c>
      <c r="K10672" s="25" t="n">
        <f aca="false">IF(AND(Assumptions!$P$55=1,OR(K10603&lt;Assumptions!$K$55,J10793=1)),MIN(MAX(0,-K10717),MAX(0,Assumptions!$D$55-K10665)),0)</f>
        <v>0</v>
      </c>
    </row>
    <row r="10673" customFormat="false" ht="15" hidden="false" customHeight="false" outlineLevel="0" collapsed="false">
      <c r="A10673" s="5" t="s">
        <v>271</v>
      </c>
      <c r="G10673" s="25" t="n">
        <f aca="false">G10666*MIN(G10665-G10671+G10670,MAX(0,G10719-Assumptions!$C$12*G10637-G10647-G10660))</f>
        <v>0</v>
      </c>
      <c r="H10673" s="25" t="n">
        <f aca="false">H10666*MIN(H10665-H10671+H10670,MAX(0,H10719-Assumptions!$C$12*H10637-H10647-H10660))</f>
        <v>0</v>
      </c>
      <c r="I10673" s="25" t="n">
        <f aca="false">I10666*MIN(I10665-I10671+I10670,MAX(0,I10719-Assumptions!$C$12*I10637-I10647-I10660))</f>
        <v>0</v>
      </c>
      <c r="J10673" s="25" t="n">
        <f aca="false">J10666*MIN(J10665-J10671+J10670,MAX(0,J10719-Assumptions!$C$12*J10637-J10647-J10660))</f>
        <v>0</v>
      </c>
      <c r="K10673" s="25" t="n">
        <f aca="false">K10666*MIN(K10665-K10671+K10670,MAX(0,K10719-Assumptions!$C$12*K10637-K10647-K10660))</f>
        <v>0</v>
      </c>
    </row>
    <row r="10674" customFormat="false" ht="15" hidden="false" customHeight="false" outlineLevel="0" collapsed="false">
      <c r="A10674" s="5" t="s">
        <v>272</v>
      </c>
      <c r="G10674" s="25" t="n">
        <f aca="false">Assumptions!$N$55*MIN(G10665+G10672+G10670-G10671-G10673,MAX(0,G10723-G10648-G10661))</f>
        <v>0</v>
      </c>
      <c r="H10674" s="25" t="n">
        <f aca="false">Assumptions!$N$55*MIN(H10665+H10672+H10670-H10671-H10673,MAX(0,H10723-H10648-H10661))</f>
        <v>0</v>
      </c>
      <c r="I10674" s="25" t="n">
        <f aca="false">Assumptions!$N$55*MIN(I10665+I10672+I10670-I10671-I10673,MAX(0,I10723-I10648-I10661))</f>
        <v>0</v>
      </c>
      <c r="J10674" s="25" t="n">
        <f aca="false">Assumptions!$N$55*MIN(J10665+J10672+J10670-J10671-J10673,MAX(0,J10723-J10648-J10661))</f>
        <v>0</v>
      </c>
      <c r="K10674" s="25" t="n">
        <f aca="false">Assumptions!$N$55*MIN(K10665+K10672+K10670-K10671-K10673,MAX(0,K10723-K10648-K10661))</f>
        <v>0</v>
      </c>
    </row>
    <row r="10675" customFormat="false" ht="15" hidden="false" customHeight="false" outlineLevel="0" collapsed="false">
      <c r="A10675" s="5" t="s">
        <v>273</v>
      </c>
      <c r="G10675" s="25" t="n">
        <f aca="false">G10666*(1-G10637)*(G10665-G10671+G10670-G10673)</f>
        <v>0</v>
      </c>
      <c r="H10675" s="25" t="n">
        <f aca="false">H10666*(1-H10637)*(H10665-H10671+H10670-H10673)</f>
        <v>0</v>
      </c>
      <c r="I10675" s="25" t="n">
        <f aca="false">I10666*(1-I10637)*(I10665-I10671+I10670-I10673)</f>
        <v>0</v>
      </c>
      <c r="J10675" s="25" t="n">
        <f aca="false">J10666*(1-J10637)*(J10665-J10671+J10670-J10673)</f>
        <v>250</v>
      </c>
      <c r="K10675" s="25" t="n">
        <f aca="false">K10666*(1-K10637)*(K10665-K10671+K10670-K10673)</f>
        <v>0</v>
      </c>
    </row>
    <row r="10676" customFormat="false" ht="15" hidden="false" customHeight="false" outlineLevel="0" collapsed="false">
      <c r="A10676" s="2" t="s">
        <v>274</v>
      </c>
      <c r="F10676" s="27" t="n">
        <f aca="false">Assumptions!$C$55</f>
        <v>250</v>
      </c>
      <c r="G10676" s="16" t="n">
        <f aca="false">G10665+G10672+G10670-G10671-G10673-G10674</f>
        <v>250</v>
      </c>
      <c r="H10676" s="16" t="n">
        <f aca="false">H10665+H10672+H10670-H10671-H10673-H10674</f>
        <v>250</v>
      </c>
      <c r="I10676" s="16" t="n">
        <f aca="false">I10665+I10672+I10670-I10671-I10673-I10674</f>
        <v>250</v>
      </c>
      <c r="J10676" s="16" t="n">
        <f aca="false">J10665+J10672+J10670-J10671-J10673-J10674</f>
        <v>250</v>
      </c>
      <c r="K10676" s="16" t="n">
        <f aca="false">K10665+K10672+K10670-K10671-K10673-K10674</f>
        <v>250</v>
      </c>
    </row>
    <row r="10677" customFormat="false" ht="15" hidden="false" customHeight="false" outlineLevel="0" collapsed="false">
      <c r="A10677" s="23" t="s">
        <v>277</v>
      </c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</row>
    <row r="10678" customFormat="false" ht="15" hidden="false" customHeight="false" outlineLevel="0" collapsed="false">
      <c r="A10678" s="5" t="s">
        <v>264</v>
      </c>
      <c r="G10678" s="25" t="n">
        <f aca="false">F10689</f>
        <v>300</v>
      </c>
      <c r="H10678" s="25" t="n">
        <f aca="false">G10689</f>
        <v>300</v>
      </c>
      <c r="I10678" s="25" t="n">
        <f aca="false">H10689</f>
        <v>300</v>
      </c>
      <c r="J10678" s="25" t="n">
        <f aca="false">I10689</f>
        <v>300</v>
      </c>
      <c r="K10678" s="25" t="n">
        <f aca="false">J10689</f>
        <v>300</v>
      </c>
    </row>
    <row r="10679" customFormat="false" ht="15" hidden="false" customHeight="false" outlineLevel="0" collapsed="false">
      <c r="A10679" s="5" t="s">
        <v>265</v>
      </c>
      <c r="G10679" s="20" t="n">
        <f aca="false">IF(G10603=Assumptions!$K$56,1,0)</f>
        <v>0</v>
      </c>
      <c r="H10679" s="20" t="n">
        <f aca="false">IF(H10603=Assumptions!$K$56,1,0)</f>
        <v>1</v>
      </c>
      <c r="I10679" s="20" t="n">
        <f aca="false">IF(I10603=Assumptions!$K$56,1,0)</f>
        <v>0</v>
      </c>
      <c r="J10679" s="20" t="n">
        <f aca="false">IF(J10603=Assumptions!$K$56,1,0)</f>
        <v>0</v>
      </c>
      <c r="K10679" s="20" t="n">
        <f aca="false">IF(K10603=Assumptions!$K$56,1,0)</f>
        <v>0</v>
      </c>
    </row>
    <row r="10681" customFormat="false" ht="15" hidden="false" customHeight="false" outlineLevel="0" collapsed="false">
      <c r="A10681" s="5" t="s">
        <v>266</v>
      </c>
      <c r="G10681" s="30" t="n">
        <f aca="false">IF(Assumptions!$I$56=1,MAX(G10629,Assumptions!$G$56)+Assumptions!$F$56+$C$10630,Assumptions!$E$56)</f>
        <v>0.075</v>
      </c>
      <c r="H10681" s="30" t="n">
        <f aca="false">IF(G10794=1,$C$10631,IF(Assumptions!$I$56=1,MAX(H10629,Assumptions!$G$56)+Assumptions!$F$56+$C$10630,Assumptions!$E$56))</f>
        <v>0.075</v>
      </c>
      <c r="I10681" s="30" t="n">
        <f aca="false">IF(H10794=1,$C$10631,IF(Assumptions!$I$56=1,MAX(I10629,Assumptions!$G$56)+Assumptions!$F$56+$C$10630,Assumptions!$E$56))</f>
        <v>0.075</v>
      </c>
      <c r="J10681" s="30" t="n">
        <f aca="false">IF(I10794=1,$C$10631,IF(Assumptions!$I$56=1,MAX(J10629,Assumptions!$G$56)+Assumptions!$F$56+$C$10630,Assumptions!$E$56))</f>
        <v>0.075</v>
      </c>
      <c r="K10681" s="30" t="n">
        <f aca="false">IF(J10794=1,$C$10631,IF(Assumptions!$I$56=1,MAX(K10629,Assumptions!$G$56)+Assumptions!$F$56+$C$10630,Assumptions!$E$56))</f>
        <v>0.075</v>
      </c>
    </row>
    <row r="10682" customFormat="false" ht="15" hidden="false" customHeight="false" outlineLevel="0" collapsed="false">
      <c r="A10682" s="5" t="s">
        <v>267</v>
      </c>
      <c r="G10682" s="25" t="n">
        <f aca="false">G10678*G10681</f>
        <v>22.5</v>
      </c>
      <c r="H10682" s="25" t="n">
        <f aca="false">H10678*H10681</f>
        <v>22.5</v>
      </c>
      <c r="I10682" s="25" t="n">
        <f aca="false">I10678*I10681</f>
        <v>22.5</v>
      </c>
      <c r="J10682" s="25" t="n">
        <f aca="false">J10678*J10681</f>
        <v>22.5</v>
      </c>
      <c r="K10682" s="25" t="n">
        <f aca="false">K10678*K10681</f>
        <v>22.5</v>
      </c>
    </row>
    <row r="10683" customFormat="false" ht="15" hidden="false" customHeight="false" outlineLevel="0" collapsed="false">
      <c r="A10683" s="5" t="s">
        <v>268</v>
      </c>
      <c r="G10683" s="25" t="n">
        <f aca="false">G10678*Assumptions!$H$56</f>
        <v>0</v>
      </c>
      <c r="H10683" s="25" t="n">
        <f aca="false">H10678*Assumptions!$H$56</f>
        <v>0</v>
      </c>
      <c r="I10683" s="25" t="n">
        <f aca="false">I10678*Assumptions!$H$56</f>
        <v>0</v>
      </c>
      <c r="J10683" s="25" t="n">
        <f aca="false">J10678*Assumptions!$H$56</f>
        <v>0</v>
      </c>
      <c r="K10683" s="25" t="n">
        <f aca="false">K10678*Assumptions!$H$56</f>
        <v>0</v>
      </c>
    </row>
    <row r="10684" customFormat="false" ht="15" hidden="false" customHeight="false" outlineLevel="0" collapsed="false">
      <c r="A10684" s="5" t="s">
        <v>269</v>
      </c>
      <c r="G10684" s="25" t="n">
        <f aca="false">MIN(G10678,Assumptions!$L$56*Assumptions!$C$56)</f>
        <v>0</v>
      </c>
      <c r="H10684" s="25" t="n">
        <f aca="false">MIN(H10678,Assumptions!$L$56*Assumptions!$C$56)</f>
        <v>0</v>
      </c>
      <c r="I10684" s="25" t="n">
        <f aca="false">MIN(I10678,Assumptions!$L$56*Assumptions!$C$56)</f>
        <v>0</v>
      </c>
      <c r="J10684" s="25" t="n">
        <f aca="false">MIN(J10678,Assumptions!$L$56*Assumptions!$C$56)</f>
        <v>0</v>
      </c>
      <c r="K10684" s="25" t="n">
        <f aca="false">MIN(K10678,Assumptions!$L$56*Assumptions!$C$56)</f>
        <v>0</v>
      </c>
    </row>
    <row r="10685" customFormat="false" ht="15" hidden="false" customHeight="false" outlineLevel="0" collapsed="false">
      <c r="A10685" s="5" t="s">
        <v>270</v>
      </c>
      <c r="G10685" s="25" t="n">
        <f aca="false">IF(AND(Assumptions!$P$56=1,G10603&lt;Assumptions!$K$56),MIN(MAX(0,-G10717),MAX(0,Assumptions!$D$56-G10678)),0)</f>
        <v>0</v>
      </c>
      <c r="H10685" s="25" t="n">
        <f aca="false">IF(AND(Assumptions!$P$56=1,OR(H10603&lt;Assumptions!$K$56,G10794=1)),MIN(MAX(0,-H10717),MAX(0,Assumptions!$D$56-H10678)),0)</f>
        <v>0</v>
      </c>
      <c r="I10685" s="25" t="n">
        <f aca="false">IF(AND(Assumptions!$P$56=1,OR(I10603&lt;Assumptions!$K$56,H10794=1)),MIN(MAX(0,-I10717),MAX(0,Assumptions!$D$56-I10678)),0)</f>
        <v>0</v>
      </c>
      <c r="J10685" s="25" t="n">
        <f aca="false">IF(AND(Assumptions!$P$56=1,OR(J10603&lt;Assumptions!$K$56,I10794=1)),MIN(MAX(0,-J10717),MAX(0,Assumptions!$D$56-J10678)),0)</f>
        <v>0</v>
      </c>
      <c r="K10685" s="25" t="n">
        <f aca="false">IF(AND(Assumptions!$P$56=1,OR(K10603&lt;Assumptions!$K$56,J10794=1)),MIN(MAX(0,-K10717),MAX(0,Assumptions!$D$56-K10678)),0)</f>
        <v>0</v>
      </c>
    </row>
    <row r="10686" customFormat="false" ht="15" hidden="false" customHeight="false" outlineLevel="0" collapsed="false">
      <c r="A10686" s="5" t="s">
        <v>271</v>
      </c>
      <c r="G10686" s="25" t="n">
        <f aca="false">G10679*MIN(G10678-G10684+G10683,MAX(0,G10719-Assumptions!$C$12*G10637-G10647-G10660-G10673))</f>
        <v>0</v>
      </c>
      <c r="H10686" s="25" t="n">
        <f aca="false">H10679*MIN(H10678-H10684+H10683,MAX(0,H10719-Assumptions!$C$12*H10637-H10647-H10660-H10673))</f>
        <v>0</v>
      </c>
      <c r="I10686" s="25" t="n">
        <f aca="false">I10679*MIN(I10678-I10684+I10683,MAX(0,I10719-Assumptions!$C$12*I10637-I10647-I10660-I10673))</f>
        <v>0</v>
      </c>
      <c r="J10686" s="25" t="n">
        <f aca="false">J10679*MIN(J10678-J10684+J10683,MAX(0,J10719-Assumptions!$C$12*J10637-J10647-J10660-J10673))</f>
        <v>0</v>
      </c>
      <c r="K10686" s="25" t="n">
        <f aca="false">K10679*MIN(K10678-K10684+K10683,MAX(0,K10719-Assumptions!$C$12*K10637-K10647-K10660-K10673))</f>
        <v>0</v>
      </c>
    </row>
    <row r="10687" customFormat="false" ht="15" hidden="false" customHeight="false" outlineLevel="0" collapsed="false">
      <c r="A10687" s="5" t="s">
        <v>272</v>
      </c>
      <c r="G10687" s="25" t="n">
        <f aca="false">Assumptions!$N$56*MIN(G10678+G10685+G10683-G10684-G10686,MAX(0,G10723-G10648-G10661-G10674))</f>
        <v>0</v>
      </c>
      <c r="H10687" s="25" t="n">
        <f aca="false">Assumptions!$N$56*MIN(H10678+H10685+H10683-H10684-H10686,MAX(0,H10723-H10648-H10661-H10674))</f>
        <v>0</v>
      </c>
      <c r="I10687" s="25" t="n">
        <f aca="false">Assumptions!$N$56*MIN(I10678+I10685+I10683-I10684-I10686,MAX(0,I10723-I10648-I10661-I10674))</f>
        <v>0</v>
      </c>
      <c r="J10687" s="25" t="n">
        <f aca="false">Assumptions!$N$56*MIN(J10678+J10685+J10683-J10684-J10686,MAX(0,J10723-J10648-J10661-J10674))</f>
        <v>0</v>
      </c>
      <c r="K10687" s="25" t="n">
        <f aca="false">Assumptions!$N$56*MIN(K10678+K10685+K10683-K10684-K10686,MAX(0,K10723-K10648-K10661-K10674))</f>
        <v>0</v>
      </c>
    </row>
    <row r="10688" customFormat="false" ht="15" hidden="false" customHeight="false" outlineLevel="0" collapsed="false">
      <c r="A10688" s="5" t="s">
        <v>273</v>
      </c>
      <c r="G10688" s="25" t="n">
        <f aca="false">G10679*(1-G10637)*(G10678-G10684+G10683-G10686)</f>
        <v>0</v>
      </c>
      <c r="H10688" s="25" t="n">
        <f aca="false">H10679*(1-H10637)*(H10678-H10684+H10683-H10686)</f>
        <v>300</v>
      </c>
      <c r="I10688" s="25" t="n">
        <f aca="false">I10679*(1-I10637)*(I10678-I10684+I10683-I10686)</f>
        <v>0</v>
      </c>
      <c r="J10688" s="25" t="n">
        <f aca="false">J10679*(1-J10637)*(J10678-J10684+J10683-J10686)</f>
        <v>0</v>
      </c>
      <c r="K10688" s="25" t="n">
        <f aca="false">K10679*(1-K10637)*(K10678-K10684+K10683-K10686)</f>
        <v>0</v>
      </c>
    </row>
    <row r="10689" customFormat="false" ht="15" hidden="false" customHeight="false" outlineLevel="0" collapsed="false">
      <c r="A10689" s="2" t="s">
        <v>274</v>
      </c>
      <c r="F10689" s="27" t="n">
        <f aca="false">Assumptions!$C$56</f>
        <v>300</v>
      </c>
      <c r="G10689" s="16" t="n">
        <f aca="false">G10678+G10685+G10683-G10684-G10686-G10687</f>
        <v>300</v>
      </c>
      <c r="H10689" s="16" t="n">
        <f aca="false">H10678+H10685+H10683-H10684-H10686-H10687</f>
        <v>300</v>
      </c>
      <c r="I10689" s="16" t="n">
        <f aca="false">I10678+I10685+I10683-I10684-I10686-I10687</f>
        <v>300</v>
      </c>
      <c r="J10689" s="16" t="n">
        <f aca="false">J10678+J10685+J10683-J10684-J10686-J10687</f>
        <v>300</v>
      </c>
      <c r="K10689" s="16" t="n">
        <f aca="false">K10678+K10685+K10683-K10684-K10686-K10687</f>
        <v>300</v>
      </c>
    </row>
    <row r="10690" customFormat="false" ht="15" hidden="false" customHeight="false" outlineLevel="0" collapsed="false">
      <c r="A10690" s="23" t="s">
        <v>278</v>
      </c>
      <c r="B10690" s="24"/>
      <c r="C10690" s="24"/>
      <c r="D10690" s="24"/>
      <c r="E10690" s="24"/>
      <c r="F10690" s="24"/>
      <c r="G10690" s="24"/>
      <c r="H10690" s="24"/>
      <c r="I10690" s="24"/>
      <c r="J10690" s="24"/>
      <c r="K10690" s="24"/>
    </row>
    <row r="10691" customFormat="false" ht="15" hidden="false" customHeight="false" outlineLevel="0" collapsed="false">
      <c r="A10691" s="2" t="s">
        <v>279</v>
      </c>
      <c r="F10691" s="16" t="n">
        <f aca="false">F10650+F10663+F10676+F10689</f>
        <v>1250</v>
      </c>
      <c r="G10691" s="16" t="n">
        <f aca="false">G10650+G10663+G10676+G10689</f>
        <v>1299.7088</v>
      </c>
      <c r="H10691" s="16" t="n">
        <f aca="false">H10650+H10663+H10676+H10689</f>
        <v>1294.5088</v>
      </c>
      <c r="I10691" s="16" t="n">
        <f aca="false">I10650+I10663+I10676+I10689</f>
        <v>1289.3088</v>
      </c>
      <c r="J10691" s="16" t="n">
        <f aca="false">J10650+J10663+J10676+J10689</f>
        <v>1284.1088</v>
      </c>
      <c r="K10691" s="16" t="n">
        <f aca="false">K10650+K10663+K10676+K10689</f>
        <v>1278.9088</v>
      </c>
    </row>
    <row r="10692" customFormat="false" ht="15" hidden="false" customHeight="false" outlineLevel="0" collapsed="false">
      <c r="A10692" s="5" t="s">
        <v>280</v>
      </c>
      <c r="G10692" s="25" t="n">
        <f aca="false">G10640*Assumptions!$C$53+G10653*Assumptions!$C$54+G10666*Assumptions!$C$55+G10679*Assumptions!$C$56</f>
        <v>0</v>
      </c>
      <c r="H10692" s="25" t="n">
        <f aca="false">H10640*Assumptions!$C$53+H10653*Assumptions!$C$54+H10666*Assumptions!$C$55+H10679*Assumptions!$C$56</f>
        <v>480</v>
      </c>
      <c r="I10692" s="25" t="n">
        <f aca="false">I10640*Assumptions!$C$53+I10653*Assumptions!$C$54+I10666*Assumptions!$C$55+I10679*Assumptions!$C$56</f>
        <v>520</v>
      </c>
      <c r="J10692" s="25" t="n">
        <f aca="false">J10640*Assumptions!$C$53+J10653*Assumptions!$C$54+J10666*Assumptions!$C$55+J10679*Assumptions!$C$56</f>
        <v>250</v>
      </c>
      <c r="K10692" s="25" t="n">
        <f aca="false">K10640*Assumptions!$C$53+K10653*Assumptions!$C$54+K10666*Assumptions!$C$55+K10679*Assumptions!$C$56</f>
        <v>0</v>
      </c>
    </row>
    <row r="10693" customFormat="false" ht="15" hidden="false" customHeight="false" outlineLevel="0" collapsed="false">
      <c r="A10693" s="23" t="s">
        <v>281</v>
      </c>
      <c r="B10693" s="24"/>
      <c r="C10693" s="24"/>
      <c r="D10693" s="24"/>
      <c r="E10693" s="24"/>
      <c r="F10693" s="24"/>
      <c r="G10693" s="24"/>
      <c r="H10693" s="24"/>
      <c r="I10693" s="24"/>
      <c r="J10693" s="24"/>
      <c r="K10693" s="24"/>
    </row>
    <row r="10694" customFormat="false" ht="15" hidden="false" customHeight="false" outlineLevel="0" collapsed="false">
      <c r="A10694" s="5" t="s">
        <v>282</v>
      </c>
      <c r="C10694" s="25" t="n">
        <f aca="false">SUMPRODUCT($G$10640:$K$10640,$G$10639:$K$10639-$G$10645:$K$10645+$G$10644:$K$10644)</f>
        <v>234.9088</v>
      </c>
    </row>
    <row r="10695" customFormat="false" ht="15" hidden="false" customHeight="false" outlineLevel="0" collapsed="false">
      <c r="A10695" s="5" t="s">
        <v>283</v>
      </c>
      <c r="C10695" s="25" t="n">
        <f aca="false">SUMPRODUCT($G$10640:$K$10640,$G$10647:$K$10647)</f>
        <v>0</v>
      </c>
    </row>
    <row r="10696" customFormat="false" ht="15" hidden="false" customHeight="false" outlineLevel="0" collapsed="false">
      <c r="A10696" s="5" t="s">
        <v>284</v>
      </c>
      <c r="C10696" s="5" t="str">
        <f aca="false">IF(SUM($G$10640:$K$10640)=0,"n/a (beyond horizon)",IF(SUMPRODUCT($G$10640:$K$10640,$G$10637:$K$10637)&gt;0,"REFINANCING PASS","REFINANCING FAILURE"))</f>
        <v>REFINANCING FAILURE</v>
      </c>
    </row>
    <row r="10697" customFormat="false" ht="15" hidden="false" customHeight="false" outlineLevel="0" collapsed="false">
      <c r="A10697" s="5" t="s">
        <v>285</v>
      </c>
      <c r="C10697" s="5" t="str">
        <f aca="false">IF(SUM($G$10640:$K$10640)=0,"n/a",IF(C10695&gt;=C10694-0.001,"Repaid from cash",IF(SUMPRODUCT($G$10640:$K$10640,$G$10637:$K$10637)&gt;0,IF(C10695&gt;0,"Partly repaid; remainder refinanced","Refinanced"),IF(SUM($G$10649:$K$10649)&gt;0.001,IF(C10695&gt;0,"Partial repayment; PAYMENT DEFAULT","PAYMENT DEFAULT"),"Repaid from cash"))))</f>
        <v>PAYMENT DEFAULT</v>
      </c>
    </row>
    <row r="10698" customFormat="false" ht="15" hidden="false" customHeight="false" outlineLevel="0" collapsed="false">
      <c r="A10698" s="5" t="s">
        <v>286</v>
      </c>
      <c r="C10698" s="25" t="n">
        <f aca="false">SUMPRODUCT($G$10653:$K$10653,$G$10652:$K$10652-$G$10658:$K$10658+$G$10657:$K$10657)</f>
        <v>504.4</v>
      </c>
    </row>
    <row r="10699" customFormat="false" ht="15" hidden="false" customHeight="false" outlineLevel="0" collapsed="false">
      <c r="A10699" s="5" t="s">
        <v>287</v>
      </c>
      <c r="C10699" s="25" t="n">
        <f aca="false">SUMPRODUCT($G$10653:$K$10653,$G$10660:$K$10660)</f>
        <v>0</v>
      </c>
    </row>
    <row r="10700" customFormat="false" ht="15" hidden="false" customHeight="false" outlineLevel="0" collapsed="false">
      <c r="A10700" s="5" t="s">
        <v>288</v>
      </c>
      <c r="C10700" s="5" t="str">
        <f aca="false">IF(SUM($G$10653:$K$10653)=0,"n/a (beyond horizon)",IF(SUMPRODUCT($G$10653:$K$10653,$G$10637:$K$10637)&gt;0,"REFINANCING PASS","REFINANCING FAILURE"))</f>
        <v>REFINANCING FAILURE</v>
      </c>
    </row>
    <row r="10701" customFormat="false" ht="15" hidden="false" customHeight="false" outlineLevel="0" collapsed="false">
      <c r="A10701" s="5" t="s">
        <v>289</v>
      </c>
      <c r="C10701" s="5" t="str">
        <f aca="false">IF(SUM($G$10653:$K$10653)=0,"n/a",IF(C10699&gt;=C10698-0.001,"Repaid from cash",IF(SUMPRODUCT($G$10653:$K$10653,$G$10637:$K$10637)&gt;0,IF(C10699&gt;0,"Partly repaid; remainder refinanced","Refinanced"),IF(SUM($G$10662:$K$10662)&gt;0.001,IF(C10699&gt;0,"Partial repayment; PAYMENT DEFAULT","PAYMENT DEFAULT"),"Repaid from cash"))))</f>
        <v>PAYMENT DEFAULT</v>
      </c>
    </row>
    <row r="10702" customFormat="false" ht="15" hidden="false" customHeight="false" outlineLevel="0" collapsed="false">
      <c r="A10702" s="5" t="s">
        <v>290</v>
      </c>
      <c r="C10702" s="25" t="n">
        <f aca="false">SUMPRODUCT($G$10666:$K$10666,$G$10665:$K$10665-$G$10671:$K$10671+$G$10670:$K$10670)</f>
        <v>250</v>
      </c>
    </row>
    <row r="10703" customFormat="false" ht="15" hidden="false" customHeight="false" outlineLevel="0" collapsed="false">
      <c r="A10703" s="5" t="s">
        <v>291</v>
      </c>
      <c r="C10703" s="25" t="n">
        <f aca="false">SUMPRODUCT($G$10666:$K$10666,$G$10673:$K$10673)</f>
        <v>0</v>
      </c>
    </row>
    <row r="10704" customFormat="false" ht="15" hidden="false" customHeight="false" outlineLevel="0" collapsed="false">
      <c r="A10704" s="5" t="s">
        <v>292</v>
      </c>
      <c r="C10704" s="5" t="str">
        <f aca="false">IF(SUM($G$10666:$K$10666)=0,"n/a (beyond horizon)",IF(SUMPRODUCT($G$10666:$K$10666,$G$10637:$K$10637)&gt;0,"REFINANCING PASS","REFINANCING FAILURE"))</f>
        <v>REFINANCING FAILURE</v>
      </c>
    </row>
    <row r="10705" customFormat="false" ht="15" hidden="false" customHeight="false" outlineLevel="0" collapsed="false">
      <c r="A10705" s="5" t="s">
        <v>293</v>
      </c>
      <c r="C10705" s="5" t="str">
        <f aca="false">IF(SUM($G$10666:$K$10666)=0,"n/a",IF(C10703&gt;=C10702-0.001,"Repaid from cash",IF(SUMPRODUCT($G$10666:$K$10666,$G$10637:$K$10637)&gt;0,IF(C10703&gt;0,"Partly repaid; remainder refinanced","Refinanced"),IF(SUM($G$10675:$K$10675)&gt;0.001,IF(C10703&gt;0,"Partial repayment; PAYMENT DEFAULT","PAYMENT DEFAULT"),"Repaid from cash"))))</f>
        <v>PAYMENT DEFAULT</v>
      </c>
    </row>
    <row r="10706" customFormat="false" ht="15" hidden="false" customHeight="false" outlineLevel="0" collapsed="false">
      <c r="A10706" s="5" t="s">
        <v>294</v>
      </c>
      <c r="C10706" s="25" t="n">
        <f aca="false">SUMPRODUCT($G$10679:$K$10679,$G$10678:$K$10678-$G$10684:$K$10684+$G$10683:$K$10683)</f>
        <v>300</v>
      </c>
    </row>
    <row r="10707" customFormat="false" ht="15" hidden="false" customHeight="false" outlineLevel="0" collapsed="false">
      <c r="A10707" s="5" t="s">
        <v>295</v>
      </c>
      <c r="C10707" s="25" t="n">
        <f aca="false">SUMPRODUCT($G$10679:$K$10679,$G$10686:$K$10686)</f>
        <v>0</v>
      </c>
    </row>
    <row r="10708" customFormat="false" ht="15" hidden="false" customHeight="false" outlineLevel="0" collapsed="false">
      <c r="A10708" s="5" t="s">
        <v>296</v>
      </c>
      <c r="C10708" s="5" t="str">
        <f aca="false">IF(SUM($G$10679:$K$10679)=0,"n/a (beyond horizon)",IF(SUMPRODUCT($G$10679:$K$10679,$G$10637:$K$10637)&gt;0,"REFINANCING PASS","REFINANCING FAILURE"))</f>
        <v>REFINANCING FAILURE</v>
      </c>
    </row>
    <row r="10709" customFormat="false" ht="15" hidden="false" customHeight="false" outlineLevel="0" collapsed="false">
      <c r="A10709" s="5" t="s">
        <v>297</v>
      </c>
      <c r="C10709" s="5" t="str">
        <f aca="false">IF(SUM($G$10679:$K$10679)=0,"n/a",IF(C10707&gt;=C10706-0.001,"Repaid from cash",IF(SUMPRODUCT($G$10679:$K$10679,$G$10637:$K$10637)&gt;0,IF(C10707&gt;0,"Partly repaid; remainder refinanced","Refinanced"),IF(SUM($G$10688:$K$10688)&gt;0.001,IF(C10707&gt;0,"Partial repayment; PAYMENT DEFAULT","PAYMENT DEFAULT"),"Repaid from cash"))))</f>
        <v>PAYMENT DEFAULT</v>
      </c>
    </row>
    <row r="10710" customFormat="false" ht="15" hidden="false" customHeight="false" outlineLevel="0" collapsed="false">
      <c r="A10710" s="5" t="s">
        <v>298</v>
      </c>
      <c r="C10710" s="20" t="n">
        <f aca="false">IF(C10696="REFINANCING FAILURE",1,0)+IF(C10700="REFINANCING FAILURE",1,0)+IF(C10704="REFINANCING FAILURE",1,0)+IF(C10708="REFINANCING FAILURE",1,0)</f>
        <v>4</v>
      </c>
    </row>
    <row r="10712" customFormat="false" ht="15" hidden="false" customHeight="false" outlineLevel="0" collapsed="false">
      <c r="A10712" s="23" t="s">
        <v>300</v>
      </c>
      <c r="B10712" s="24"/>
      <c r="C10712" s="24"/>
      <c r="D10712" s="24"/>
      <c r="E10712" s="24"/>
      <c r="F10712" s="24"/>
      <c r="G10712" s="24"/>
      <c r="H10712" s="24"/>
      <c r="I10712" s="24"/>
      <c r="J10712" s="24"/>
      <c r="K10712" s="24"/>
    </row>
    <row r="10713" customFormat="false" ht="15" hidden="false" customHeight="false" outlineLevel="0" collapsed="false">
      <c r="A10713" s="5" t="s">
        <v>260</v>
      </c>
      <c r="G10713" s="25" t="n">
        <f aca="false">F10725</f>
        <v>45</v>
      </c>
      <c r="H10713" s="25" t="n">
        <f aca="false">G10725</f>
        <v>0</v>
      </c>
      <c r="I10713" s="25" t="n">
        <f aca="false">H10725</f>
        <v>-139.5574048</v>
      </c>
      <c r="J10713" s="25" t="n">
        <f aca="false">I10725</f>
        <v>-299.764809344</v>
      </c>
      <c r="K10713" s="25" t="n">
        <f aca="false">J10725</f>
        <v>-462.24043997056</v>
      </c>
    </row>
    <row r="10714" customFormat="false" ht="15" hidden="false" customHeight="false" outlineLevel="0" collapsed="false">
      <c r="A10714" s="5" t="s">
        <v>301</v>
      </c>
      <c r="G10714" s="25" t="n">
        <f aca="false">G10626</f>
        <v>-94.7088</v>
      </c>
      <c r="H10714" s="25" t="n">
        <f aca="false">H10626</f>
        <v>-134.3574048</v>
      </c>
      <c r="I10714" s="25" t="n">
        <f aca="false">I10626</f>
        <v>-155.007404544</v>
      </c>
      <c r="J10714" s="25" t="n">
        <f aca="false">J10626</f>
        <v>-157.27563062656</v>
      </c>
      <c r="K10714" s="25" t="n">
        <f aca="false">K10626</f>
        <v>-156.443655088294</v>
      </c>
    </row>
    <row r="10715" customFormat="false" ht="15" hidden="false" customHeight="false" outlineLevel="0" collapsed="false">
      <c r="A10715" s="5" t="s">
        <v>302</v>
      </c>
      <c r="G10715" s="25" t="n">
        <f aca="false">CHOOSE($C$10596,Assumptions!$G$68,Assumptions!$G$87,Assumptions!$G$106)</f>
        <v>0</v>
      </c>
      <c r="H10715" s="25" t="n">
        <f aca="false">CHOOSE($C$10596,Assumptions!$H$68,Assumptions!$H$87,Assumptions!$H$106)</f>
        <v>0</v>
      </c>
      <c r="I10715" s="25" t="n">
        <f aca="false">CHOOSE($C$10596,Assumptions!$I$68,Assumptions!$I$87,Assumptions!$I$106)</f>
        <v>0</v>
      </c>
      <c r="J10715" s="25" t="n">
        <f aca="false">CHOOSE($C$10596,Assumptions!$J$68,Assumptions!$J$87,Assumptions!$J$106)</f>
        <v>0</v>
      </c>
      <c r="K10715" s="25" t="n">
        <f aca="false">CHOOSE($C$10596,Assumptions!$K$68,Assumptions!$K$87,Assumptions!$K$106)</f>
        <v>0</v>
      </c>
    </row>
    <row r="10716" customFormat="false" ht="15" hidden="false" customHeight="false" outlineLevel="0" collapsed="false">
      <c r="A10716" s="5" t="s">
        <v>303</v>
      </c>
      <c r="G10716" s="25" t="n">
        <f aca="false">G10645+G10658+G10671+G10684</f>
        <v>5.2</v>
      </c>
      <c r="H10716" s="25" t="n">
        <f aca="false">H10645+H10658+H10671+H10684</f>
        <v>5.2</v>
      </c>
      <c r="I10716" s="25" t="n">
        <f aca="false">I10645+I10658+I10671+I10684</f>
        <v>5.2</v>
      </c>
      <c r="J10716" s="25" t="n">
        <f aca="false">J10645+J10658+J10671+J10684</f>
        <v>5.2</v>
      </c>
      <c r="K10716" s="25" t="n">
        <f aca="false">K10645+K10658+K10671+K10684</f>
        <v>5.2</v>
      </c>
    </row>
    <row r="10717" customFormat="false" ht="15" hidden="false" customHeight="false" outlineLevel="0" collapsed="false">
      <c r="A10717" s="2" t="s">
        <v>304</v>
      </c>
      <c r="G10717" s="16" t="n">
        <f aca="false">G10713+G10714+G10715-G10716</f>
        <v>-54.9088</v>
      </c>
      <c r="H10717" s="16" t="n">
        <f aca="false">H10713+H10714+H10715-H10716</f>
        <v>-139.5574048</v>
      </c>
      <c r="I10717" s="16" t="n">
        <f aca="false">I10713+I10714+I10715-I10716</f>
        <v>-299.764809344</v>
      </c>
      <c r="J10717" s="16" t="n">
        <f aca="false">J10713+J10714+J10715-J10716</f>
        <v>-462.24043997056</v>
      </c>
      <c r="K10717" s="16" t="n">
        <f aca="false">K10713+K10714+K10715-K10716</f>
        <v>-623.884095058854</v>
      </c>
    </row>
    <row r="10718" customFormat="false" ht="15" hidden="false" customHeight="false" outlineLevel="0" collapsed="false">
      <c r="A10718" s="5" t="s">
        <v>305</v>
      </c>
      <c r="G10718" s="25" t="n">
        <f aca="false">G10646+G10659+G10672+G10685</f>
        <v>54.9088</v>
      </c>
      <c r="H10718" s="25" t="n">
        <f aca="false">H10646+H10659+H10672+H10685</f>
        <v>0</v>
      </c>
      <c r="I10718" s="25" t="n">
        <f aca="false">I10646+I10659+I10672+I10685</f>
        <v>0</v>
      </c>
      <c r="J10718" s="25" t="n">
        <f aca="false">J10646+J10659+J10672+J10685</f>
        <v>0</v>
      </c>
      <c r="K10718" s="25" t="n">
        <f aca="false">K10646+K10659+K10672+K10685</f>
        <v>0</v>
      </c>
    </row>
    <row r="10719" customFormat="false" ht="15" hidden="false" customHeight="false" outlineLevel="0" collapsed="false">
      <c r="A10719" s="2" t="s">
        <v>306</v>
      </c>
      <c r="G10719" s="16" t="n">
        <f aca="false">G10717+G10718</f>
        <v>0</v>
      </c>
      <c r="H10719" s="16" t="n">
        <f aca="false">H10717+H10718</f>
        <v>-139.5574048</v>
      </c>
      <c r="I10719" s="16" t="n">
        <f aca="false">I10717+I10718</f>
        <v>-299.764809344</v>
      </c>
      <c r="J10719" s="16" t="n">
        <f aca="false">J10717+J10718</f>
        <v>-462.24043997056</v>
      </c>
      <c r="K10719" s="16" t="n">
        <f aca="false">K10717+K10718</f>
        <v>-623.884095058854</v>
      </c>
    </row>
    <row r="10720" customFormat="false" ht="15" hidden="false" customHeight="false" outlineLevel="0" collapsed="false">
      <c r="A10720" s="5" t="s">
        <v>307</v>
      </c>
      <c r="G10720" s="25" t="n">
        <f aca="false">G10647+G10660+G10673+G10686</f>
        <v>0</v>
      </c>
      <c r="H10720" s="25" t="n">
        <f aca="false">H10647+H10660+H10673+H10686</f>
        <v>0</v>
      </c>
      <c r="I10720" s="25" t="n">
        <f aca="false">I10647+I10660+I10673+I10686</f>
        <v>0</v>
      </c>
      <c r="J10720" s="25" t="n">
        <f aca="false">J10647+J10660+J10673+J10686</f>
        <v>0</v>
      </c>
      <c r="K10720" s="25" t="n">
        <f aca="false">K10647+K10660+K10673+K10686</f>
        <v>0</v>
      </c>
    </row>
    <row r="10721" customFormat="false" ht="15" hidden="false" customHeight="false" outlineLevel="0" collapsed="false">
      <c r="A10721" s="2" t="s">
        <v>308</v>
      </c>
      <c r="G10721" s="16" t="n">
        <f aca="false">G10719-G10720</f>
        <v>0</v>
      </c>
      <c r="H10721" s="16" t="n">
        <f aca="false">H10719-H10720</f>
        <v>-139.5574048</v>
      </c>
      <c r="I10721" s="16" t="n">
        <f aca="false">I10719-I10720</f>
        <v>-299.764809344</v>
      </c>
      <c r="J10721" s="16" t="n">
        <f aca="false">J10719-J10720</f>
        <v>-462.24043997056</v>
      </c>
      <c r="K10721" s="16" t="n">
        <f aca="false">K10719-K10720</f>
        <v>-623.884095058854</v>
      </c>
    </row>
    <row r="10722" customFormat="false" ht="15" hidden="false" customHeight="false" outlineLevel="0" collapsed="false">
      <c r="A10722" s="5" t="s">
        <v>309</v>
      </c>
      <c r="G10722" s="25" t="n">
        <f aca="false">MAX(0,-G10721)</f>
        <v>-0</v>
      </c>
      <c r="H10722" s="25" t="n">
        <f aca="false">MAX(0,-H10721)</f>
        <v>139.5574048</v>
      </c>
      <c r="I10722" s="25" t="n">
        <f aca="false">MAX(0,-I10721)</f>
        <v>299.764809344</v>
      </c>
      <c r="J10722" s="25" t="n">
        <f aca="false">MAX(0,-J10721)</f>
        <v>462.24043997056</v>
      </c>
      <c r="K10722" s="25" t="n">
        <f aca="false">MAX(0,-K10721)</f>
        <v>623.884095058854</v>
      </c>
    </row>
    <row r="10723" customFormat="false" ht="15" hidden="false" customHeight="false" outlineLevel="0" collapsed="false">
      <c r="A10723" s="5" t="s">
        <v>310</v>
      </c>
      <c r="G10723" s="25" t="n">
        <f aca="false">MAX(0,G10721-Assumptions!$C$12)*Assumptions!$C$13</f>
        <v>0</v>
      </c>
      <c r="H10723" s="25" t="n">
        <f aca="false">MAX(0,H10721-Assumptions!$C$12)*Assumptions!$C$13</f>
        <v>0</v>
      </c>
      <c r="I10723" s="25" t="n">
        <f aca="false">MAX(0,I10721-Assumptions!$C$12)*Assumptions!$C$13</f>
        <v>0</v>
      </c>
      <c r="J10723" s="25" t="n">
        <f aca="false">MAX(0,J10721-Assumptions!$C$12)*Assumptions!$C$13</f>
        <v>0</v>
      </c>
      <c r="K10723" s="25" t="n">
        <f aca="false">MAX(0,K10721-Assumptions!$C$12)*Assumptions!$C$13</f>
        <v>0</v>
      </c>
    </row>
    <row r="10724" customFormat="false" ht="15" hidden="false" customHeight="false" outlineLevel="0" collapsed="false">
      <c r="A10724" s="5" t="s">
        <v>311</v>
      </c>
      <c r="G10724" s="25" t="n">
        <f aca="false">G10648+G10661+G10674+G10687</f>
        <v>0</v>
      </c>
      <c r="H10724" s="25" t="n">
        <f aca="false">H10648+H10661+H10674+H10687</f>
        <v>0</v>
      </c>
      <c r="I10724" s="25" t="n">
        <f aca="false">I10648+I10661+I10674+I10687</f>
        <v>0</v>
      </c>
      <c r="J10724" s="25" t="n">
        <f aca="false">J10648+J10661+J10674+J10687</f>
        <v>0</v>
      </c>
      <c r="K10724" s="25" t="n">
        <f aca="false">K10648+K10661+K10674+K10687</f>
        <v>0</v>
      </c>
    </row>
    <row r="10725" customFormat="false" ht="15" hidden="false" customHeight="false" outlineLevel="0" collapsed="false">
      <c r="A10725" s="2" t="s">
        <v>312</v>
      </c>
      <c r="F10725" s="27" t="n">
        <f aca="false">Assumptions!$C$11</f>
        <v>45</v>
      </c>
      <c r="G10725" s="16" t="n">
        <f aca="false">G10721-G10724</f>
        <v>0</v>
      </c>
      <c r="H10725" s="16" t="n">
        <f aca="false">H10721-H10724</f>
        <v>-139.5574048</v>
      </c>
      <c r="I10725" s="16" t="n">
        <f aca="false">I10721-I10724</f>
        <v>-299.764809344</v>
      </c>
      <c r="J10725" s="16" t="n">
        <f aca="false">J10721-J10724</f>
        <v>-462.24043997056</v>
      </c>
      <c r="K10725" s="16" t="n">
        <f aca="false">K10721-K10724</f>
        <v>-623.884095058854</v>
      </c>
    </row>
    <row r="10726" customFormat="false" ht="15" hidden="false" customHeight="false" outlineLevel="0" collapsed="false">
      <c r="A10726" s="5" t="s">
        <v>313</v>
      </c>
      <c r="G10726" s="25" t="n">
        <f aca="false">G10649+G10662+G10675+G10688</f>
        <v>0</v>
      </c>
      <c r="H10726" s="25" t="n">
        <f aca="false">H10649+H10662+H10675+H10688</f>
        <v>534.9088</v>
      </c>
      <c r="I10726" s="25" t="n">
        <f aca="false">I10649+I10662+I10675+I10688</f>
        <v>504.4</v>
      </c>
      <c r="J10726" s="25" t="n">
        <f aca="false">J10649+J10662+J10675+J10688</f>
        <v>250</v>
      </c>
      <c r="K10726" s="25" t="n">
        <f aca="false">K10649+K10662+K10675+K10688</f>
        <v>0</v>
      </c>
    </row>
    <row r="10727" customFormat="false" ht="15" hidden="false" customHeight="false" outlineLevel="0" collapsed="false">
      <c r="A10727" s="5" t="s">
        <v>314</v>
      </c>
      <c r="G10727" s="20" t="n">
        <f aca="false">IF(OR(G10722&gt;0.001,G10726&gt;0.001),1,0)</f>
        <v>0</v>
      </c>
      <c r="H10727" s="20" t="n">
        <f aca="false">IF(OR(H10722&gt;0.001,H10726&gt;0.001),1,0)</f>
        <v>1</v>
      </c>
      <c r="I10727" s="20" t="n">
        <f aca="false">IF(OR(I10722&gt;0.001,I10726&gt;0.001),1,0)</f>
        <v>1</v>
      </c>
      <c r="J10727" s="20" t="n">
        <f aca="false">IF(OR(J10722&gt;0.001,J10726&gt;0.001),1,0)</f>
        <v>1</v>
      </c>
      <c r="K10727" s="20" t="n">
        <f aca="false">IF(OR(K10722&gt;0.001,K10726&gt;0.001),1,0)</f>
        <v>1</v>
      </c>
    </row>
    <row r="10728" customFormat="false" ht="15" hidden="false" customHeight="false" outlineLevel="0" collapsed="false">
      <c r="A10728" s="5" t="s">
        <v>315</v>
      </c>
      <c r="G10728" s="20" t="n">
        <f aca="false">IF(G10727=1,1,0)</f>
        <v>0</v>
      </c>
      <c r="H10728" s="20" t="n">
        <f aca="false">IF(AND(H10727=1,SUM($G$10727:G10727)=0),1,0)</f>
        <v>1</v>
      </c>
      <c r="I10728" s="20" t="n">
        <f aca="false">IF(AND(I10727=1,SUM($G$10727:H10727)=0),1,0)</f>
        <v>0</v>
      </c>
      <c r="J10728" s="20" t="n">
        <f aca="false">IF(AND(J10727=1,SUM($G$10727:I10727)=0),1,0)</f>
        <v>0</v>
      </c>
      <c r="K10728" s="20" t="n">
        <f aca="false">IF(AND(K10727=1,SUM($G$10727:J10727)=0),1,0)</f>
        <v>0</v>
      </c>
    </row>
    <row r="10729" customFormat="false" ht="15" hidden="false" customHeight="false" outlineLevel="0" collapsed="false">
      <c r="A10729" s="5" t="s">
        <v>316</v>
      </c>
      <c r="G10729" s="25" t="n">
        <f aca="false">(G10691-F10691)-(G10718+G10618-G10716-G10720-G10724)</f>
        <v>0</v>
      </c>
      <c r="H10729" s="25" t="n">
        <f aca="false">(H10691-G10691)-(H10718+H10618-H10716-H10720-H10724)</f>
        <v>1.82076576038526E-013</v>
      </c>
      <c r="I10729" s="25" t="n">
        <f aca="false">(I10691-H10691)-(I10718+I10618-I10716-I10720-I10724)</f>
        <v>-4.52970994047064E-014</v>
      </c>
      <c r="J10729" s="25" t="n">
        <f aca="false">(J10691-I10691)-(J10718+J10618-J10716-J10720-J10724)</f>
        <v>-4.52970994047064E-014</v>
      </c>
      <c r="K10729" s="25" t="n">
        <f aca="false">(K10691-J10691)-(K10718+K10618-K10716-K10720-K10724)</f>
        <v>1.82076576038526E-013</v>
      </c>
    </row>
    <row r="10731" customFormat="false" ht="15" hidden="false" customHeight="false" outlineLevel="0" collapsed="false">
      <c r="A10731" s="23" t="s">
        <v>318</v>
      </c>
      <c r="B10731" s="24"/>
      <c r="C10731" s="24"/>
      <c r="D10731" s="24"/>
      <c r="E10731" s="24"/>
      <c r="F10731" s="24"/>
      <c r="G10731" s="24"/>
      <c r="H10731" s="24"/>
      <c r="I10731" s="24"/>
      <c r="J10731" s="24"/>
      <c r="K10731" s="24"/>
    </row>
    <row r="10732" customFormat="false" ht="15" hidden="false" customHeight="false" outlineLevel="0" collapsed="false">
      <c r="A10732" s="5" t="s">
        <v>319</v>
      </c>
      <c r="G10732" s="25" t="n">
        <f aca="false">G10691</f>
        <v>1299.7088</v>
      </c>
      <c r="H10732" s="25" t="n">
        <f aca="false">H10691</f>
        <v>1294.5088</v>
      </c>
      <c r="I10732" s="25" t="n">
        <f aca="false">I10691</f>
        <v>1289.3088</v>
      </c>
      <c r="J10732" s="25" t="n">
        <f aca="false">J10691</f>
        <v>1284.1088</v>
      </c>
      <c r="K10732" s="25" t="n">
        <f aca="false">K10691</f>
        <v>1278.9088</v>
      </c>
    </row>
    <row r="10733" customFormat="false" ht="15" hidden="false" customHeight="false" outlineLevel="0" collapsed="false">
      <c r="A10733" s="5" t="s">
        <v>320</v>
      </c>
      <c r="G10733" s="25" t="n">
        <f aca="false">Assumptions!$O$53*G10650+Assumptions!$O$54*G10663+Assumptions!$O$55*G10676+Assumptions!$O$56*G10689</f>
        <v>999.7088</v>
      </c>
      <c r="H10733" s="25" t="n">
        <f aca="false">Assumptions!$O$53*H10650+Assumptions!$O$54*H10663+Assumptions!$O$55*H10676+Assumptions!$O$56*H10689</f>
        <v>994.5088</v>
      </c>
      <c r="I10733" s="25" t="n">
        <f aca="false">Assumptions!$O$53*I10650+Assumptions!$O$54*I10663+Assumptions!$O$55*I10676+Assumptions!$O$56*I10689</f>
        <v>989.3088</v>
      </c>
      <c r="J10733" s="25" t="n">
        <f aca="false">Assumptions!$O$53*J10650+Assumptions!$O$54*J10663+Assumptions!$O$55*J10676+Assumptions!$O$56*J10689</f>
        <v>984.1088</v>
      </c>
      <c r="K10733" s="25" t="n">
        <f aca="false">Assumptions!$O$53*K10650+Assumptions!$O$54*K10663+Assumptions!$O$55*K10676+Assumptions!$O$56*K10689</f>
        <v>978.9088</v>
      </c>
    </row>
    <row r="10734" customFormat="false" ht="15" hidden="false" customHeight="false" outlineLevel="0" collapsed="false">
      <c r="A10734" s="5" t="s">
        <v>321</v>
      </c>
      <c r="G10734" s="25" t="n">
        <f aca="false">G10732-G10725</f>
        <v>1299.7088</v>
      </c>
      <c r="H10734" s="25" t="n">
        <f aca="false">H10732-H10725</f>
        <v>1434.0662048</v>
      </c>
      <c r="I10734" s="25" t="n">
        <f aca="false">I10732-I10725</f>
        <v>1589.073609344</v>
      </c>
      <c r="J10734" s="25" t="n">
        <f aca="false">J10732-J10725</f>
        <v>1746.34923997056</v>
      </c>
      <c r="K10734" s="25" t="n">
        <f aca="false">K10732-K10725</f>
        <v>1902.79289505885</v>
      </c>
    </row>
    <row r="10735" customFormat="false" ht="15" hidden="false" customHeight="false" outlineLevel="0" collapsed="false">
      <c r="A10735" s="5" t="s">
        <v>322</v>
      </c>
      <c r="G10735" s="31" t="n">
        <f aca="false">IF(G10613&gt;0,G10732/G10613,0)</f>
        <v>70.6978241949521</v>
      </c>
      <c r="H10735" s="31" t="n">
        <f aca="false">IF(H10613&gt;0,H10732/H10613,0)</f>
        <v>80.9367465962406</v>
      </c>
      <c r="I10735" s="31" t="n">
        <f aca="false">IF(I10613&gt;0,I10732/I10613,0)</f>
        <v>82.763476695823</v>
      </c>
      <c r="J10735" s="31" t="n">
        <f aca="false">IF(J10613&gt;0,J10732/J10613,0)</f>
        <v>83.2623006318033</v>
      </c>
      <c r="K10735" s="31" t="n">
        <f aca="false">IF(K10613&gt;0,K10732/K10613,0)</f>
        <v>83.762757427964</v>
      </c>
    </row>
    <row r="10736" customFormat="false" ht="15" hidden="false" customHeight="false" outlineLevel="0" collapsed="false">
      <c r="A10736" s="5" t="s">
        <v>323</v>
      </c>
      <c r="G10736" s="31" t="n">
        <f aca="false">IF(G10613&gt;0,G10734/G10613,0)</f>
        <v>70.6978241949521</v>
      </c>
      <c r="H10736" s="31" t="n">
        <f aca="false">IF(H10613&gt;0,H10734/H10613,0)</f>
        <v>89.6623128557566</v>
      </c>
      <c r="I10736" s="31" t="n">
        <f aca="false">IF(I10613&gt;0,I10734/I10613,0)</f>
        <v>102.006017980246</v>
      </c>
      <c r="J10736" s="31" t="n">
        <f aca="false">IF(J10613&gt;0,J10734/J10613,0)</f>
        <v>113.234217713133</v>
      </c>
      <c r="K10736" s="31" t="n">
        <f aca="false">IF(K10613&gt;0,K10734/K10613,0)</f>
        <v>124.624351403687</v>
      </c>
    </row>
    <row r="10737" customFormat="false" ht="15" hidden="false" customHeight="false" outlineLevel="0" collapsed="false">
      <c r="A10737" s="5" t="s">
        <v>324</v>
      </c>
      <c r="G10737" s="31" t="n">
        <f aca="false">IF(G10617&gt;0,G10613/G10617,0)</f>
        <v>0.13127677806341</v>
      </c>
      <c r="H10737" s="31" t="n">
        <f aca="false">IF(H10617&gt;0,H10613/H10617,0)</f>
        <v>0.111190805103385</v>
      </c>
      <c r="I10737" s="31" t="n">
        <f aca="false">IF(I10617&gt;0,I10613/I10617,0)</f>
        <v>0.11024648666467</v>
      </c>
      <c r="J10737" s="31" t="n">
        <f aca="false">IF(J10617&gt;0,J10613/J10617,0)</f>
        <v>0.109660569397092</v>
      </c>
      <c r="K10737" s="31" t="n">
        <f aca="false">IF(K10617&gt;0,K10613/K10617,0)</f>
        <v>0.109080209295775</v>
      </c>
    </row>
    <row r="10738" customFormat="false" ht="15" hidden="false" customHeight="false" outlineLevel="0" collapsed="false">
      <c r="A10738" s="5" t="s">
        <v>325</v>
      </c>
      <c r="G10738" s="31" t="n">
        <f aca="false">IF(G10617&gt;0,G10616/G10617,0)</f>
        <v>-0.157532133676093</v>
      </c>
      <c r="H10738" s="31" t="n">
        <f aca="false">IF(H10617&gt;0,H10616/H10617,0)</f>
        <v>-0.133428966124062</v>
      </c>
      <c r="I10738" s="31" t="n">
        <f aca="false">IF(I10617&gt;0,I10616/I10617,0)</f>
        <v>-0.132295783997604</v>
      </c>
      <c r="J10738" s="31" t="n">
        <f aca="false">IF(J10617&gt;0,J10616/J10617,0)</f>
        <v>-0.131592683276511</v>
      </c>
      <c r="K10738" s="31" t="n">
        <f aca="false">IF(K10617&gt;0,K10616/K10617,0)</f>
        <v>-0.13089625115493</v>
      </c>
    </row>
    <row r="10739" customFormat="false" ht="15" hidden="false" customHeight="false" outlineLevel="0" collapsed="false">
      <c r="A10739" s="5" t="s">
        <v>182</v>
      </c>
      <c r="G10739" s="21" t="n">
        <f aca="false">IF(G10732&gt;0,G10626/G10732,0)</f>
        <v>-0.0728692457879796</v>
      </c>
      <c r="H10739" s="21" t="n">
        <f aca="false">IF(H10732&gt;0,H10626/H10732,0)</f>
        <v>-0.103790259903988</v>
      </c>
      <c r="I10739" s="21" t="n">
        <f aca="false">IF(I10732&gt;0,I10626/I10732,0)</f>
        <v>-0.120225197054422</v>
      </c>
      <c r="J10739" s="21" t="n">
        <f aca="false">IF(J10732&gt;0,J10626/J10732,0)</f>
        <v>-0.122478430664567</v>
      </c>
      <c r="K10739" s="21" t="n">
        <f aca="false">IF(K10732&gt;0,K10626/K10732,0)</f>
        <v>-0.122325888357555</v>
      </c>
    </row>
    <row r="10740" customFormat="false" ht="15" hidden="false" customHeight="false" outlineLevel="0" collapsed="false">
      <c r="A10740" s="5" t="s">
        <v>326</v>
      </c>
      <c r="G10740" s="31" t="n">
        <f aca="false">IF(G10617+G10716&gt;0,(G10613-G10624-G10621)/(G10617+G10716),0)</f>
        <v>-0.0759460203800606</v>
      </c>
      <c r="H10740" s="31" t="n">
        <f aca="false">IF(H10617+H10716&gt;0,(H10613-H10624-H10621)/(H10617+H10716),0)</f>
        <v>-0.0643868726775781</v>
      </c>
      <c r="I10740" s="31" t="n">
        <f aca="false">IF(I10617+I10716&gt;0,(I10613-I10624-I10621)/(I10617+I10716),0)</f>
        <v>-0.0638000393994207</v>
      </c>
      <c r="J10740" s="31" t="n">
        <f aca="false">IF(J10617+J10716&gt;0,(J10613-J10624-J10621)/(J10617+J10716),0)</f>
        <v>-0.0634503083935347</v>
      </c>
      <c r="K10740" s="31" t="n">
        <f aca="false">IF(K10617+K10716&gt;0,(K10613-K10624-K10621)/(K10617+K10716),0)</f>
        <v>-0.0631038089376677</v>
      </c>
    </row>
    <row r="10741" customFormat="false" ht="15" hidden="false" customHeight="false" outlineLevel="0" collapsed="false">
      <c r="A10741" s="5" t="s">
        <v>327</v>
      </c>
      <c r="G10741" s="25" t="n">
        <f aca="false">MAX(0,G10725)+Assumptions!$P$53*MAX(0,Assumptions!$D$53-G10650)+Assumptions!$P$54*MAX(0,Assumptions!$D$54-G10663)+Assumptions!$P$55*MAX(0,Assumptions!$D$55-G10676)+Assumptions!$P$56*MAX(0,Assumptions!$D$56-G10689)</f>
        <v>65.0912</v>
      </c>
      <c r="H10741" s="25" t="n">
        <f aca="false">MAX(0,H10725)+Assumptions!$P$53*MAX(0,Assumptions!$D$53-H10650)+Assumptions!$P$54*MAX(0,Assumptions!$D$54-H10663)+Assumptions!$P$55*MAX(0,Assumptions!$D$55-H10676)+Assumptions!$P$56*MAX(0,Assumptions!$D$56-H10689)</f>
        <v>65.0912</v>
      </c>
      <c r="I10741" s="25" t="n">
        <f aca="false">MAX(0,I10725)+Assumptions!$P$53*MAX(0,Assumptions!$D$53-I10650)+Assumptions!$P$54*MAX(0,Assumptions!$D$54-I10663)+Assumptions!$P$55*MAX(0,Assumptions!$D$55-I10676)+Assumptions!$P$56*MAX(0,Assumptions!$D$56-I10689)</f>
        <v>65.0912</v>
      </c>
      <c r="J10741" s="25" t="n">
        <f aca="false">MAX(0,J10725)+Assumptions!$P$53*MAX(0,Assumptions!$D$53-J10650)+Assumptions!$P$54*MAX(0,Assumptions!$D$54-J10663)+Assumptions!$P$55*MAX(0,Assumptions!$D$55-J10676)+Assumptions!$P$56*MAX(0,Assumptions!$D$56-J10689)</f>
        <v>65.0912</v>
      </c>
      <c r="K10741" s="25" t="n">
        <f aca="false">MAX(0,K10725)+Assumptions!$P$53*MAX(0,Assumptions!$D$53-K10650)+Assumptions!$P$54*MAX(0,Assumptions!$D$54-K10663)+Assumptions!$P$55*MAX(0,Assumptions!$D$55-K10676)+Assumptions!$P$56*MAX(0,Assumptions!$D$56-K10689)</f>
        <v>65.0912</v>
      </c>
    </row>
    <row r="10742" customFormat="false" ht="15" hidden="false" customHeight="false" outlineLevel="0" collapsed="false">
      <c r="A10742" s="5" t="s">
        <v>328</v>
      </c>
      <c r="G10742" s="21" t="n">
        <f aca="false">IF(G10732&gt;0,G10732/(G10732+MAX(0,G10613*CHOOSE($C$10596,Assumptions!$C$76,Assumptions!$C$95,Assumptions!$C$114)-G10734)),0)</f>
        <v>1</v>
      </c>
      <c r="H10742" s="21" t="n">
        <f aca="false">IF(H10732&gt;0,H10732/(H10732+MAX(0,H10613*CHOOSE($C$10596,Assumptions!$C$76,Assumptions!$C$95,Assumptions!$C$114)-H10734)),0)</f>
        <v>1</v>
      </c>
      <c r="I10742" s="21" t="n">
        <f aca="false">IF(I10732&gt;0,I10732/(I10732+MAX(0,I10613*CHOOSE($C$10596,Assumptions!$C$76,Assumptions!$C$95,Assumptions!$C$114)-I10734)),0)</f>
        <v>1</v>
      </c>
      <c r="J10742" s="21" t="n">
        <f aca="false">IF(J10732&gt;0,J10732/(J10732+MAX(0,J10613*CHOOSE($C$10596,Assumptions!$C$76,Assumptions!$C$95,Assumptions!$C$114)-J10734)),0)</f>
        <v>1</v>
      </c>
      <c r="K10742" s="21" t="n">
        <f aca="false">IF(K10732&gt;0,K10732/(K10732+MAX(0,K10613*CHOOSE($C$10596,Assumptions!$C$76,Assumptions!$C$95,Assumptions!$C$114)-K10734)),0)</f>
        <v>1</v>
      </c>
    </row>
    <row r="10743" customFormat="false" ht="15" hidden="false" customHeight="false" outlineLevel="0" collapsed="false">
      <c r="A10743" s="5" t="s">
        <v>329</v>
      </c>
      <c r="G10743" s="21" t="n">
        <f aca="false">IF(G10732&gt;0,MAX(0,G10725)/G10732,0)</f>
        <v>0</v>
      </c>
      <c r="H10743" s="21" t="n">
        <f aca="false">IF(H10732&gt;0,MAX(0,H10725)/H10732,0)</f>
        <v>0</v>
      </c>
      <c r="I10743" s="21" t="n">
        <f aca="false">IF(I10732&gt;0,MAX(0,I10725)/I10732,0)</f>
        <v>0</v>
      </c>
      <c r="J10743" s="21" t="n">
        <f aca="false">IF(J10732&gt;0,MAX(0,J10725)/J10732,0)</f>
        <v>0</v>
      </c>
      <c r="K10743" s="21" t="n">
        <f aca="false">IF(K10732&gt;0,MAX(0,K10725)/K10732,0)</f>
        <v>0</v>
      </c>
    </row>
    <row r="10744" customFormat="false" ht="15" hidden="false" customHeight="false" outlineLevel="0" collapsed="false">
      <c r="A10744" s="5" t="s">
        <v>330</v>
      </c>
      <c r="G10744" s="25" t="n">
        <f aca="false">Assumptions!$C$27*(1-CHOOSE($C$10596,Assumptions!$C$79,Assumptions!$C$98,Assumptions!$C$117))</f>
        <v>676</v>
      </c>
      <c r="H10744" s="25" t="n">
        <f aca="false">Assumptions!$C$27*(1-CHOOSE($C$10596,Assumptions!$C$79,Assumptions!$C$98,Assumptions!$C$117))</f>
        <v>676</v>
      </c>
      <c r="I10744" s="25" t="n">
        <f aca="false">Assumptions!$C$27*(1-CHOOSE($C$10596,Assumptions!$C$79,Assumptions!$C$98,Assumptions!$C$117))</f>
        <v>676</v>
      </c>
      <c r="J10744" s="25" t="n">
        <f aca="false">Assumptions!$C$27*(1-CHOOSE($C$10596,Assumptions!$C$79,Assumptions!$C$98,Assumptions!$C$117))</f>
        <v>676</v>
      </c>
      <c r="K10744" s="25" t="n">
        <f aca="false">Assumptions!$C$27*(1-CHOOSE($C$10596,Assumptions!$C$79,Assumptions!$C$98,Assumptions!$C$117))</f>
        <v>676</v>
      </c>
    </row>
    <row r="10745" customFormat="false" ht="15" hidden="false" customHeight="false" outlineLevel="0" collapsed="false">
      <c r="A10745" s="23" t="s">
        <v>331</v>
      </c>
      <c r="B10745" s="24"/>
      <c r="C10745" s="24"/>
      <c r="D10745" s="24"/>
      <c r="E10745" s="24"/>
      <c r="F10745" s="24"/>
      <c r="G10745" s="24"/>
      <c r="H10745" s="24"/>
      <c r="I10745" s="24"/>
      <c r="J10745" s="24"/>
      <c r="K10745" s="24"/>
    </row>
    <row r="10746" customFormat="false" ht="15" hidden="false" customHeight="false" outlineLevel="0" collapsed="false">
      <c r="A10746" s="23" t="s">
        <v>332</v>
      </c>
      <c r="B10746" s="24"/>
      <c r="C10746" s="24"/>
      <c r="D10746" s="24"/>
      <c r="E10746" s="24"/>
      <c r="F10746" s="24"/>
      <c r="G10746" s="24"/>
      <c r="H10746" s="24"/>
      <c r="I10746" s="24"/>
      <c r="J10746" s="24"/>
      <c r="K10746" s="24"/>
    </row>
    <row r="10747" customFormat="false" ht="15" hidden="false" customHeight="false" outlineLevel="0" collapsed="false">
      <c r="A10747" s="5" t="s">
        <v>333</v>
      </c>
      <c r="G10747" s="31" t="n">
        <f aca="false">IF(G10613&gt;0,G10734/G10613,99)</f>
        <v>70.6978241949521</v>
      </c>
      <c r="H10747" s="31" t="n">
        <f aca="false">IF(H10613&gt;0,H10734/H10613,99)</f>
        <v>89.6623128557566</v>
      </c>
      <c r="I10747" s="31" t="n">
        <f aca="false">IF(I10613&gt;0,I10734/I10613,99)</f>
        <v>102.006017980246</v>
      </c>
      <c r="J10747" s="31" t="n">
        <f aca="false">IF(J10613&gt;0,J10734/J10613,99)</f>
        <v>113.234217713133</v>
      </c>
      <c r="K10747" s="31" t="n">
        <f aca="false">IF(K10613&gt;0,K10734/K10613,99)</f>
        <v>124.624351403687</v>
      </c>
    </row>
    <row r="10748" customFormat="false" ht="15" hidden="false" customHeight="false" outlineLevel="0" collapsed="false">
      <c r="A10748" s="5" t="s">
        <v>334</v>
      </c>
      <c r="G10748" s="32" t="n">
        <f aca="false">Assumptions!$G$61</f>
        <v>8.5</v>
      </c>
      <c r="H10748" s="32" t="n">
        <f aca="false">Assumptions!$H$61</f>
        <v>8.5</v>
      </c>
      <c r="I10748" s="32" t="n">
        <f aca="false">Assumptions!$I$61</f>
        <v>8.5</v>
      </c>
      <c r="J10748" s="32" t="n">
        <f aca="false">Assumptions!$J$61</f>
        <v>8.5</v>
      </c>
      <c r="K10748" s="32" t="n">
        <f aca="false">Assumptions!$K$61</f>
        <v>8.5</v>
      </c>
    </row>
    <row r="10749" customFormat="false" ht="15" hidden="false" customHeight="false" outlineLevel="0" collapsed="false">
      <c r="A10749" s="5" t="s">
        <v>335</v>
      </c>
      <c r="G10749" s="31" t="n">
        <f aca="false">G10748-G10747</f>
        <v>-62.1978241949521</v>
      </c>
      <c r="H10749" s="31" t="n">
        <f aca="false">H10748-H10747</f>
        <v>-81.1623128557566</v>
      </c>
      <c r="I10749" s="31" t="n">
        <f aca="false">I10748-I10747</f>
        <v>-93.5060179802461</v>
      </c>
      <c r="J10749" s="31" t="n">
        <f aca="false">J10748-J10747</f>
        <v>-104.734217713133</v>
      </c>
      <c r="K10749" s="31" t="n">
        <f aca="false">K10748-K10747</f>
        <v>-116.124351403687</v>
      </c>
    </row>
    <row r="10750" customFormat="false" ht="15" hidden="false" customHeight="false" outlineLevel="0" collapsed="false">
      <c r="A10750" s="5" t="s">
        <v>336</v>
      </c>
      <c r="G10750" s="21" t="n">
        <f aca="false">IF(G10748=0,0,G10749/ABS(G10748))</f>
        <v>-7.31739108175907</v>
      </c>
      <c r="H10750" s="21" t="n">
        <f aca="false">IF(H10748=0,0,H10749/ABS(H10748))</f>
        <v>-9.5485073947949</v>
      </c>
      <c r="I10750" s="21" t="n">
        <f aca="false">IF(I10748=0,0,I10749/ABS(I10748))</f>
        <v>-11.000707997676</v>
      </c>
      <c r="J10750" s="21" t="n">
        <f aca="false">IF(J10748=0,0,J10749/ABS(J10748))</f>
        <v>-12.3216726721333</v>
      </c>
      <c r="K10750" s="21" t="n">
        <f aca="false">IF(K10748=0,0,K10749/ABS(K10748))</f>
        <v>-13.6616884004338</v>
      </c>
    </row>
    <row r="10751" customFormat="false" ht="15" hidden="false" customHeight="false" outlineLevel="0" collapsed="false">
      <c r="A10751" s="5" t="s">
        <v>337</v>
      </c>
      <c r="G10751" s="20" t="n">
        <f aca="false">IF(G10749&lt;0,1,0)</f>
        <v>1</v>
      </c>
      <c r="H10751" s="20" t="n">
        <f aca="false">IF(H10749&lt;0,1,0)</f>
        <v>1</v>
      </c>
      <c r="I10751" s="20" t="n">
        <f aca="false">IF(I10749&lt;0,1,0)</f>
        <v>1</v>
      </c>
      <c r="J10751" s="20" t="n">
        <f aca="false">IF(J10749&lt;0,1,0)</f>
        <v>1</v>
      </c>
      <c r="K10751" s="20" t="n">
        <f aca="false">IF(K10749&lt;0,1,0)</f>
        <v>1</v>
      </c>
    </row>
    <row r="10752" customFormat="false" ht="15" hidden="false" customHeight="false" outlineLevel="0" collapsed="false">
      <c r="A10752" s="5" t="s">
        <v>338</v>
      </c>
      <c r="C10752" s="20" t="n">
        <f aca="false">IFERROR(INDEX($G$10603:$K$10603,MATCH(1,$G$10751:$K$10751,0)),0)</f>
        <v>2026</v>
      </c>
    </row>
    <row r="10753" customFormat="false" ht="15" hidden="false" customHeight="false" outlineLevel="0" collapsed="false">
      <c r="A10753" s="5" t="s">
        <v>339</v>
      </c>
      <c r="C10753" s="21" t="n">
        <f aca="false">MIN($G$10750:$K$10750)</f>
        <v>-13.6616884004338</v>
      </c>
    </row>
    <row r="10754" customFormat="false" ht="15" hidden="false" customHeight="false" outlineLevel="0" collapsed="false">
      <c r="A10754" s="5" t="s">
        <v>340</v>
      </c>
      <c r="G10754" s="20" t="n">
        <f aca="false">G10751</f>
        <v>1</v>
      </c>
      <c r="H10754" s="20" t="n">
        <f aca="false">H10751</f>
        <v>1</v>
      </c>
      <c r="I10754" s="20" t="n">
        <f aca="false">I10751</f>
        <v>1</v>
      </c>
      <c r="J10754" s="20" t="n">
        <f aca="false">J10751</f>
        <v>1</v>
      </c>
      <c r="K10754" s="20" t="n">
        <f aca="false">K10751</f>
        <v>1</v>
      </c>
    </row>
    <row r="10755" customFormat="false" ht="15" hidden="false" customHeight="false" outlineLevel="0" collapsed="false">
      <c r="A10755" s="5" t="s">
        <v>341</v>
      </c>
      <c r="C10755" s="20" t="n">
        <f aca="false">SUM($G$10754:$K$10754)</f>
        <v>5</v>
      </c>
    </row>
    <row r="10756" customFormat="false" ht="15" hidden="false" customHeight="false" outlineLevel="0" collapsed="false">
      <c r="A10756" s="5" t="s">
        <v>342</v>
      </c>
      <c r="C10756" s="21" t="n">
        <f aca="false">MIN(C10753)</f>
        <v>-13.6616884004338</v>
      </c>
    </row>
    <row r="10758" customFormat="false" ht="15" hidden="false" customHeight="false" outlineLevel="0" collapsed="false">
      <c r="A10758" s="23" t="s">
        <v>444</v>
      </c>
      <c r="B10758" s="24"/>
      <c r="C10758" s="24"/>
      <c r="D10758" s="24"/>
      <c r="E10758" s="24"/>
      <c r="F10758" s="24"/>
      <c r="G10758" s="24"/>
      <c r="H10758" s="24"/>
      <c r="I10758" s="24"/>
      <c r="J10758" s="24"/>
      <c r="K10758" s="24"/>
    </row>
    <row r="10759" customFormat="false" ht="15" hidden="false" customHeight="false" outlineLevel="0" collapsed="false">
      <c r="A10759" s="5" t="s">
        <v>445</v>
      </c>
      <c r="G10759" s="20" t="n">
        <f aca="false">IF($C$10760=1,G10728,IF(G10613=MIN($G$10613:$K$10613),1,0))</f>
        <v>0</v>
      </c>
      <c r="H10759" s="20" t="n">
        <f aca="false">IF($C$10760=1,H10728,IF(AND(H10613=MIN($G$10613:$K$10613),SUM($G$10759:G10759)=0),1,0))</f>
        <v>1</v>
      </c>
      <c r="I10759" s="20" t="n">
        <f aca="false">IF($C$10760=1,I10728,IF(AND(I10613=MIN($G$10613:$K$10613),SUM($G$10759:H10759)=0),1,0))</f>
        <v>0</v>
      </c>
      <c r="J10759" s="20" t="n">
        <f aca="false">IF($C$10760=1,J10728,IF(AND(J10613=MIN($G$10613:$K$10613),SUM($G$10759:I10759)=0),1,0))</f>
        <v>0</v>
      </c>
      <c r="K10759" s="20" t="n">
        <f aca="false">IF($C$10760=1,K10728,IF(AND(K10613=MIN($G$10613:$K$10613),SUM($G$10759:J10759)=0),1,0))</f>
        <v>0</v>
      </c>
    </row>
    <row r="10760" customFormat="false" ht="15" hidden="false" customHeight="false" outlineLevel="0" collapsed="false">
      <c r="A10760" s="5" t="s">
        <v>446</v>
      </c>
      <c r="C10760" s="20" t="n">
        <f aca="false">IF(SUM($G$10728:$K$10728)&gt;0,1,0)</f>
        <v>1</v>
      </c>
    </row>
    <row r="10761" customFormat="false" ht="15" hidden="false" customHeight="false" outlineLevel="0" collapsed="false">
      <c r="A10761" s="5" t="s">
        <v>447</v>
      </c>
      <c r="C10761" s="20" t="n">
        <f aca="false">SUMPRODUCT($G$10759:$K$10759,$G$10603:$K$10603)</f>
        <v>2027</v>
      </c>
    </row>
    <row r="10762" customFormat="false" ht="15" hidden="false" customHeight="false" outlineLevel="0" collapsed="false">
      <c r="A10762" s="5" t="s">
        <v>448</v>
      </c>
      <c r="C10762" s="25" t="n">
        <f aca="false">SUMPRODUCT($G$10759:$K$10759,$G$10613:$K$10613)</f>
        <v>15.99408</v>
      </c>
    </row>
    <row r="10763" customFormat="false" ht="15" hidden="false" customHeight="false" outlineLevel="0" collapsed="false">
      <c r="A10763" s="5" t="s">
        <v>449</v>
      </c>
      <c r="C10763" s="25" t="n">
        <f aca="false">MAX(0,SUMPRODUCT($G$10759:$K$10759,$G$10725:$K$10725))</f>
        <v>0</v>
      </c>
    </row>
    <row r="10764" customFormat="false" ht="15" hidden="false" customHeight="false" outlineLevel="0" collapsed="false">
      <c r="A10764" s="5" t="s">
        <v>450</v>
      </c>
      <c r="C10764" s="25" t="n">
        <f aca="false">(CHOOSE($C$10596,Assumptions!$C$78,Assumptions!$C$97,Assumptions!$C$116)+$C$10600)*C10762</f>
        <v>63.97632</v>
      </c>
    </row>
    <row r="10765" customFormat="false" ht="15" hidden="false" customHeight="false" outlineLevel="0" collapsed="false">
      <c r="A10765" s="5" t="s">
        <v>451</v>
      </c>
      <c r="C10765" s="25" t="n">
        <f aca="false">Assumptions!$C$27*(1-CHOOSE($C$10596,Assumptions!$C$79,Assumptions!$C$98,Assumptions!$C$117))*CHOOSE($C$10596,Assumptions!$C$80,Assumptions!$C$99,Assumptions!$C$118)</f>
        <v>405.6</v>
      </c>
    </row>
    <row r="10766" customFormat="false" ht="15" hidden="false" customHeight="false" outlineLevel="0" collapsed="false">
      <c r="A10766" s="5" t="s">
        <v>452</v>
      </c>
      <c r="C10766" s="25" t="n">
        <f aca="false">MAX(C10764,C10765)+C10763</f>
        <v>405.6</v>
      </c>
    </row>
    <row r="10767" customFormat="false" ht="15" hidden="false" customHeight="false" outlineLevel="0" collapsed="false">
      <c r="A10767" s="2" t="s">
        <v>453</v>
      </c>
      <c r="C10767" s="16" t="n">
        <f aca="false">IF(ISNUMBER(Assumptions!$C$14),Assumptions!$C$14,C10766)</f>
        <v>405.6</v>
      </c>
    </row>
    <row r="10768" customFormat="false" ht="15" hidden="false" customHeight="false" outlineLevel="0" collapsed="false">
      <c r="A10768" s="5" t="s">
        <v>454</v>
      </c>
      <c r="C10768" s="25" t="n">
        <f aca="false">C10767*Assumptions!$C$15</f>
        <v>16.224</v>
      </c>
    </row>
    <row r="10769" customFormat="false" ht="15" hidden="false" customHeight="false" outlineLevel="0" collapsed="false">
      <c r="A10769" s="2" t="s">
        <v>455</v>
      </c>
      <c r="C10769" s="16" t="n">
        <f aca="false">C10767-C10768</f>
        <v>389.376</v>
      </c>
    </row>
    <row r="10770" customFormat="false" ht="15" hidden="false" customHeight="false" outlineLevel="0" collapsed="false">
      <c r="A10770" s="23" t="s">
        <v>456</v>
      </c>
      <c r="B10770" s="24"/>
      <c r="C10770" s="24"/>
      <c r="D10770" s="24"/>
      <c r="E10770" s="24"/>
      <c r="F10770" s="24"/>
      <c r="G10770" s="24"/>
      <c r="H10770" s="24"/>
      <c r="I10770" s="24"/>
      <c r="J10770" s="24"/>
      <c r="K10770" s="24"/>
    </row>
    <row r="10771" customFormat="false" ht="15" hidden="false" customHeight="false" outlineLevel="0" collapsed="false">
      <c r="A10771" s="5" t="s">
        <v>457</v>
      </c>
      <c r="C10771" s="25" t="n">
        <f aca="false">SUMPRODUCT($G$10759:$K$10759,$G$10650:$K$10650)*(1+SUMPRODUCT($G$10759:$K$10759,$G$10642:$K$10642)*Assumptions!$C$16/12)</f>
        <v>241.5743372</v>
      </c>
    </row>
    <row r="10772" customFormat="false" ht="15" hidden="false" customHeight="false" outlineLevel="0" collapsed="false">
      <c r="A10772" s="5" t="s">
        <v>458</v>
      </c>
      <c r="C10772" s="25" t="n">
        <f aca="false">SUMPRODUCT($G$10759:$K$10759,$G$10663:$K$10663)*(1+SUMPRODUCT($G$10759:$K$10759,$G$10655:$K$10655)*Assumptions!$C$16/12)</f>
        <v>526.2257</v>
      </c>
    </row>
    <row r="10773" customFormat="false" ht="15" hidden="false" customHeight="false" outlineLevel="0" collapsed="false">
      <c r="A10773" s="5" t="s">
        <v>459</v>
      </c>
      <c r="C10773" s="25" t="n">
        <f aca="false">SUMPRODUCT($G$10759:$K$10759,$G$10676:$K$10676)*(1+SUMPRODUCT($G$10759:$K$10759,$G$10668:$K$10668)*Assumptions!$C$16/12)</f>
        <v>256.875</v>
      </c>
    </row>
    <row r="10774" customFormat="false" ht="15" hidden="false" customHeight="false" outlineLevel="0" collapsed="false">
      <c r="A10774" s="5" t="s">
        <v>460</v>
      </c>
      <c r="C10774" s="25" t="n">
        <f aca="false">SUMPRODUCT($G$10759:$K$10759,$G$10689:$K$10689)*(1+SUMPRODUCT($G$10759:$K$10759,$G$10681:$K$10681)*Assumptions!$C$16/12)</f>
        <v>305.625</v>
      </c>
    </row>
    <row r="10775" customFormat="false" ht="15" hidden="false" customHeight="false" outlineLevel="0" collapsed="false">
      <c r="A10775" s="23" t="s">
        <v>461</v>
      </c>
      <c r="B10775" s="24"/>
      <c r="C10775" s="24"/>
      <c r="D10775" s="24"/>
      <c r="E10775" s="24"/>
      <c r="F10775" s="24"/>
      <c r="G10775" s="24"/>
      <c r="H10775" s="24"/>
      <c r="I10775" s="24"/>
      <c r="J10775" s="24"/>
      <c r="K10775" s="24"/>
    </row>
    <row r="10776" customFormat="false" ht="15" hidden="false" customHeight="false" outlineLevel="0" collapsed="false">
      <c r="A10776" s="5" t="s">
        <v>457</v>
      </c>
      <c r="C10776" s="26" t="n">
        <f aca="false">Assumptions!$M$53</f>
        <v>1</v>
      </c>
    </row>
    <row r="10777" customFormat="false" ht="15" hidden="false" customHeight="false" outlineLevel="0" collapsed="false">
      <c r="A10777" s="5" t="s">
        <v>458</v>
      </c>
      <c r="C10777" s="26" t="n">
        <f aca="false">Assumptions!$M$54</f>
        <v>2</v>
      </c>
    </row>
    <row r="10778" customFormat="false" ht="15" hidden="false" customHeight="false" outlineLevel="0" collapsed="false">
      <c r="A10778" s="5" t="s">
        <v>459</v>
      </c>
      <c r="C10778" s="26" t="n">
        <f aca="false">Assumptions!$M$55</f>
        <v>3</v>
      </c>
    </row>
    <row r="10779" customFormat="false" ht="15" hidden="false" customHeight="false" outlineLevel="0" collapsed="false">
      <c r="A10779" s="5" t="s">
        <v>460</v>
      </c>
      <c r="C10779" s="26" t="n">
        <f aca="false">Assumptions!$M$56</f>
        <v>4</v>
      </c>
    </row>
    <row r="10780" customFormat="false" ht="15" hidden="false" customHeight="false" outlineLevel="0" collapsed="false">
      <c r="A10780" s="23" t="s">
        <v>462</v>
      </c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</row>
    <row r="10781" customFormat="false" ht="15" hidden="false" customHeight="false" outlineLevel="0" collapsed="false">
      <c r="A10781" s="5" t="s">
        <v>457</v>
      </c>
      <c r="C10781" s="34" t="n">
        <f aca="false">Assumptions!$Q$53</f>
        <v>0</v>
      </c>
    </row>
    <row r="10782" customFormat="false" ht="15" hidden="false" customHeight="false" outlineLevel="0" collapsed="false">
      <c r="A10782" s="5" t="s">
        <v>458</v>
      </c>
      <c r="C10782" s="34" t="n">
        <f aca="false">Assumptions!$Q$54</f>
        <v>0</v>
      </c>
    </row>
    <row r="10783" customFormat="false" ht="15" hidden="false" customHeight="false" outlineLevel="0" collapsed="false">
      <c r="A10783" s="5" t="s">
        <v>459</v>
      </c>
      <c r="C10783" s="34" t="n">
        <f aca="false">Assumptions!$Q$55</f>
        <v>0</v>
      </c>
    </row>
    <row r="10784" customFormat="false" ht="15" hidden="false" customHeight="false" outlineLevel="0" collapsed="false">
      <c r="A10784" s="5" t="s">
        <v>460</v>
      </c>
      <c r="C10784" s="34" t="n">
        <f aca="false">Assumptions!$Q$56</f>
        <v>0</v>
      </c>
    </row>
    <row r="10785" customFormat="false" ht="15" hidden="false" customHeight="false" outlineLevel="0" collapsed="false">
      <c r="A10785" s="23" t="s">
        <v>463</v>
      </c>
      <c r="B10785" s="24"/>
      <c r="C10785" s="24"/>
      <c r="D10785" s="24"/>
      <c r="E10785" s="24"/>
      <c r="F10785" s="24"/>
      <c r="G10785" s="24"/>
      <c r="H10785" s="24"/>
      <c r="I10785" s="24"/>
      <c r="J10785" s="24"/>
      <c r="K10785" s="24"/>
    </row>
    <row r="10786" customFormat="false" ht="15" hidden="false" customHeight="false" outlineLevel="0" collapsed="false">
      <c r="A10786" s="5" t="s">
        <v>457</v>
      </c>
      <c r="C10786" s="25" t="n">
        <f aca="false">IF(C10781&gt;0,MIN(C10771,C10781*$C$10769),0)</f>
        <v>0</v>
      </c>
    </row>
    <row r="10787" customFormat="false" ht="15" hidden="false" customHeight="false" outlineLevel="0" collapsed="false">
      <c r="A10787" s="5" t="s">
        <v>458</v>
      </c>
      <c r="C10787" s="25" t="n">
        <f aca="false">IF(C10782&gt;0,MIN(C10772,C10782*$C$10769),0)</f>
        <v>0</v>
      </c>
    </row>
    <row r="10788" customFormat="false" ht="15" hidden="false" customHeight="false" outlineLevel="0" collapsed="false">
      <c r="A10788" s="5" t="s">
        <v>459</v>
      </c>
      <c r="C10788" s="25" t="n">
        <f aca="false">IF(C10783&gt;0,MIN(C10773,C10783*$C$10769),0)</f>
        <v>0</v>
      </c>
    </row>
    <row r="10789" customFormat="false" ht="15" hidden="false" customHeight="false" outlineLevel="0" collapsed="false">
      <c r="A10789" s="5" t="s">
        <v>460</v>
      </c>
      <c r="C10789" s="25" t="n">
        <f aca="false">IF(C10784&gt;0,MIN(C10774,C10784*$C$10769),0)</f>
        <v>0</v>
      </c>
    </row>
    <row r="10790" customFormat="false" ht="15" hidden="false" customHeight="false" outlineLevel="0" collapsed="false">
      <c r="A10790" s="23" t="s">
        <v>464</v>
      </c>
      <c r="B10790" s="24"/>
      <c r="C10790" s="24"/>
      <c r="D10790" s="24"/>
      <c r="E10790" s="24"/>
      <c r="F10790" s="24"/>
      <c r="G10790" s="24"/>
      <c r="H10790" s="24"/>
      <c r="I10790" s="24"/>
      <c r="J10790" s="24"/>
      <c r="K10790" s="24"/>
    </row>
    <row r="10791" customFormat="false" ht="15" hidden="false" customHeight="false" outlineLevel="0" collapsed="false">
      <c r="A10791" s="5" t="s">
        <v>457</v>
      </c>
      <c r="C10791" s="25" t="n">
        <f aca="false">IF(C10781&gt;0,C10771-C10786,0)</f>
        <v>0</v>
      </c>
      <c r="G10791" s="20" t="n">
        <f aca="false">IF(AND(G10640=1,G10637=1),1,0)</f>
        <v>0</v>
      </c>
      <c r="H10791" s="20" t="n">
        <f aca="false">IF(G10791=1,1,IF(AND(H10640=1,H10637=1),1,0))</f>
        <v>0</v>
      </c>
      <c r="I10791" s="20" t="n">
        <f aca="false">IF(H10791=1,1,IF(AND(I10640=1,I10637=1),1,0))</f>
        <v>0</v>
      </c>
      <c r="J10791" s="20" t="n">
        <f aca="false">IF(I10791=1,1,IF(AND(J10640=1,J10637=1),1,0))</f>
        <v>0</v>
      </c>
      <c r="K10791" s="20" t="n">
        <f aca="false">IF(J10791=1,1,IF(AND(K10640=1,K10637=1),1,0))</f>
        <v>0</v>
      </c>
    </row>
    <row r="10792" customFormat="false" ht="15" hidden="false" customHeight="false" outlineLevel="0" collapsed="false">
      <c r="A10792" s="5" t="s">
        <v>458</v>
      </c>
      <c r="C10792" s="25" t="n">
        <f aca="false">IF(C10782&gt;0,C10772-C10787,0)</f>
        <v>0</v>
      </c>
      <c r="G10792" s="20" t="n">
        <f aca="false">IF(AND(G10653=1,G10637=1),1,0)</f>
        <v>0</v>
      </c>
      <c r="H10792" s="20" t="n">
        <f aca="false">IF(G10792=1,1,IF(AND(H10653=1,H10637=1),1,0))</f>
        <v>0</v>
      </c>
      <c r="I10792" s="20" t="n">
        <f aca="false">IF(H10792=1,1,IF(AND(I10653=1,I10637=1),1,0))</f>
        <v>0</v>
      </c>
      <c r="J10792" s="20" t="n">
        <f aca="false">IF(I10792=1,1,IF(AND(J10653=1,J10637=1),1,0))</f>
        <v>0</v>
      </c>
      <c r="K10792" s="20" t="n">
        <f aca="false">IF(J10792=1,1,IF(AND(K10653=1,K10637=1),1,0))</f>
        <v>0</v>
      </c>
    </row>
    <row r="10793" customFormat="false" ht="15" hidden="false" customHeight="false" outlineLevel="0" collapsed="false">
      <c r="A10793" s="5" t="s">
        <v>459</v>
      </c>
      <c r="C10793" s="25" t="n">
        <f aca="false">IF(C10783&gt;0,C10773-C10788,0)</f>
        <v>0</v>
      </c>
      <c r="G10793" s="20" t="n">
        <f aca="false">IF(AND(G10666=1,G10637=1),1,0)</f>
        <v>0</v>
      </c>
      <c r="H10793" s="20" t="n">
        <f aca="false">IF(G10793=1,1,IF(AND(H10666=1,H10637=1),1,0))</f>
        <v>0</v>
      </c>
      <c r="I10793" s="20" t="n">
        <f aca="false">IF(H10793=1,1,IF(AND(I10666=1,I10637=1),1,0))</f>
        <v>0</v>
      </c>
      <c r="J10793" s="20" t="n">
        <f aca="false">IF(I10793=1,1,IF(AND(J10666=1,J10637=1),1,0))</f>
        <v>0</v>
      </c>
      <c r="K10793" s="20" t="n">
        <f aca="false">IF(J10793=1,1,IF(AND(K10666=1,K10637=1),1,0))</f>
        <v>0</v>
      </c>
    </row>
    <row r="10794" customFormat="false" ht="15" hidden="false" customHeight="false" outlineLevel="0" collapsed="false">
      <c r="A10794" s="5" t="s">
        <v>460</v>
      </c>
      <c r="C10794" s="25" t="n">
        <f aca="false">IF(C10784&gt;0,C10774-C10789,0)</f>
        <v>0</v>
      </c>
      <c r="G10794" s="20" t="n">
        <f aca="false">IF(AND(G10679=1,G10637=1),1,0)</f>
        <v>0</v>
      </c>
      <c r="H10794" s="20" t="n">
        <f aca="false">IF(G10794=1,1,IF(AND(H10679=1,H10637=1),1,0))</f>
        <v>0</v>
      </c>
      <c r="I10794" s="20" t="n">
        <f aca="false">IF(H10794=1,1,IF(AND(I10679=1,I10637=1),1,0))</f>
        <v>0</v>
      </c>
      <c r="J10794" s="20" t="n">
        <f aca="false">IF(I10794=1,1,IF(AND(J10679=1,J10637=1),1,0))</f>
        <v>0</v>
      </c>
      <c r="K10794" s="20" t="n">
        <f aca="false">IF(J10794=1,1,IF(AND(K10679=1,K10637=1),1,0))</f>
        <v>0</v>
      </c>
    </row>
    <row r="10795" customFormat="false" ht="15" hidden="false" customHeight="false" outlineLevel="0" collapsed="false">
      <c r="A10795" s="23" t="s">
        <v>465</v>
      </c>
      <c r="B10795" s="24"/>
      <c r="C10795" s="24"/>
      <c r="D10795" s="24"/>
      <c r="E10795" s="24"/>
      <c r="F10795" s="24"/>
      <c r="G10795" s="24"/>
      <c r="H10795" s="24"/>
      <c r="I10795" s="24"/>
      <c r="J10795" s="24"/>
      <c r="K10795" s="24"/>
    </row>
    <row r="10796" customFormat="false" ht="15" hidden="false" customHeight="false" outlineLevel="0" collapsed="false">
      <c r="A10796" s="5" t="s">
        <v>457</v>
      </c>
      <c r="C10796" s="25" t="n">
        <f aca="false">IF(C10781&gt;0,C10791,C10771)</f>
        <v>241.5743372</v>
      </c>
    </row>
    <row r="10797" customFormat="false" ht="15" hidden="false" customHeight="false" outlineLevel="0" collapsed="false">
      <c r="A10797" s="5" t="s">
        <v>458</v>
      </c>
      <c r="C10797" s="25" t="n">
        <f aca="false">IF(C10782&gt;0,C10792,C10772)</f>
        <v>526.2257</v>
      </c>
    </row>
    <row r="10798" customFormat="false" ht="15" hidden="false" customHeight="false" outlineLevel="0" collapsed="false">
      <c r="A10798" s="5" t="s">
        <v>459</v>
      </c>
      <c r="C10798" s="25" t="n">
        <f aca="false">IF(C10783&gt;0,C10793,C10773)</f>
        <v>256.875</v>
      </c>
    </row>
    <row r="10799" customFormat="false" ht="15" hidden="false" customHeight="false" outlineLevel="0" collapsed="false">
      <c r="A10799" s="5" t="s">
        <v>460</v>
      </c>
      <c r="C10799" s="25" t="n">
        <f aca="false">IF(C10784&gt;0,C10794,C10774)</f>
        <v>305.625</v>
      </c>
    </row>
    <row r="10800" customFormat="false" ht="15" hidden="false" customHeight="false" outlineLevel="0" collapsed="false">
      <c r="A10800" s="23" t="s">
        <v>466</v>
      </c>
      <c r="B10800" s="24"/>
      <c r="C10800" s="24"/>
      <c r="D10800" s="24"/>
      <c r="E10800" s="24"/>
      <c r="F10800" s="24"/>
      <c r="G10800" s="24"/>
      <c r="H10800" s="24"/>
      <c r="I10800" s="24"/>
      <c r="J10800" s="24"/>
      <c r="K10800" s="24"/>
    </row>
    <row r="10801" customFormat="false" ht="15" hidden="false" customHeight="false" outlineLevel="0" collapsed="false">
      <c r="A10801" s="5" t="s">
        <v>457</v>
      </c>
      <c r="C10801" s="20" t="n">
        <f aca="false">IF(C10781&gt;0,Assumptions!$C$17,C10776)</f>
        <v>1</v>
      </c>
    </row>
    <row r="10802" customFormat="false" ht="15" hidden="false" customHeight="false" outlineLevel="0" collapsed="false">
      <c r="A10802" s="5" t="s">
        <v>458</v>
      </c>
      <c r="C10802" s="20" t="n">
        <f aca="false">IF(C10782&gt;0,Assumptions!$C$17,C10777)</f>
        <v>2</v>
      </c>
    </row>
    <row r="10803" customFormat="false" ht="15" hidden="false" customHeight="false" outlineLevel="0" collapsed="false">
      <c r="A10803" s="5" t="s">
        <v>459</v>
      </c>
      <c r="C10803" s="20" t="n">
        <f aca="false">IF(C10783&gt;0,Assumptions!$C$17,C10778)</f>
        <v>3</v>
      </c>
    </row>
    <row r="10804" customFormat="false" ht="15" hidden="false" customHeight="false" outlineLevel="0" collapsed="false">
      <c r="A10804" s="5" t="s">
        <v>460</v>
      </c>
      <c r="C10804" s="20" t="n">
        <f aca="false">IF(C10784&gt;0,Assumptions!$C$17,C10779)</f>
        <v>4</v>
      </c>
    </row>
    <row r="10805" customFormat="false" ht="15" hidden="false" customHeight="false" outlineLevel="0" collapsed="false">
      <c r="A10805" s="23" t="s">
        <v>467</v>
      </c>
      <c r="B10805" s="24"/>
      <c r="C10805" s="24"/>
      <c r="D10805" s="24"/>
      <c r="E10805" s="24"/>
      <c r="F10805" s="24"/>
      <c r="G10805" s="24"/>
      <c r="H10805" s="24"/>
      <c r="I10805" s="24"/>
      <c r="J10805" s="24"/>
      <c r="K10805" s="24"/>
    </row>
    <row r="10806" customFormat="false" ht="15" hidden="false" customHeight="false" outlineLevel="0" collapsed="false">
      <c r="A10806" s="5" t="s">
        <v>457</v>
      </c>
      <c r="C10806" s="25" t="n">
        <f aca="false">SUMPRODUCT(($C$10801:$C$10804&lt;C10801)*$C$10796:$C$10799)</f>
        <v>0</v>
      </c>
    </row>
    <row r="10807" customFormat="false" ht="15" hidden="false" customHeight="false" outlineLevel="0" collapsed="false">
      <c r="A10807" s="5" t="s">
        <v>458</v>
      </c>
      <c r="C10807" s="25" t="n">
        <f aca="false">SUMPRODUCT(($C$10801:$C$10804&lt;C10802)*$C$10796:$C$10799)</f>
        <v>241.5743372</v>
      </c>
    </row>
    <row r="10808" customFormat="false" ht="15" hidden="false" customHeight="false" outlineLevel="0" collapsed="false">
      <c r="A10808" s="5" t="s">
        <v>459</v>
      </c>
      <c r="C10808" s="25" t="n">
        <f aca="false">SUMPRODUCT(($C$10801:$C$10804&lt;C10803)*$C$10796:$C$10799)</f>
        <v>767.8000372</v>
      </c>
    </row>
    <row r="10809" customFormat="false" ht="15" hidden="false" customHeight="false" outlineLevel="0" collapsed="false">
      <c r="A10809" s="5" t="s">
        <v>460</v>
      </c>
      <c r="C10809" s="25" t="n">
        <f aca="false">SUMPRODUCT(($C$10801:$C$10804&lt;C10804)*$C$10796:$C$10799)</f>
        <v>1024.6750372</v>
      </c>
    </row>
    <row r="10810" customFormat="false" ht="15" hidden="false" customHeight="false" outlineLevel="0" collapsed="false">
      <c r="A10810" s="23" t="s">
        <v>468</v>
      </c>
      <c r="B10810" s="24"/>
      <c r="C10810" s="24"/>
      <c r="D10810" s="24"/>
      <c r="E10810" s="24"/>
      <c r="F10810" s="24"/>
      <c r="G10810" s="24"/>
      <c r="H10810" s="24"/>
      <c r="I10810" s="24"/>
      <c r="J10810" s="24"/>
      <c r="K10810" s="24"/>
    </row>
    <row r="10811" customFormat="false" ht="15" hidden="false" customHeight="false" outlineLevel="0" collapsed="false">
      <c r="A10811" s="5" t="s">
        <v>457</v>
      </c>
      <c r="C10811" s="25" t="n">
        <f aca="false">SUMPRODUCT(($C$10801:$C$10804=C10801)*$C$10796:$C$10799)</f>
        <v>241.5743372</v>
      </c>
    </row>
    <row r="10812" customFormat="false" ht="15" hidden="false" customHeight="false" outlineLevel="0" collapsed="false">
      <c r="A10812" s="5" t="s">
        <v>458</v>
      </c>
      <c r="C10812" s="25" t="n">
        <f aca="false">SUMPRODUCT(($C$10801:$C$10804=C10802)*$C$10796:$C$10799)</f>
        <v>526.2257</v>
      </c>
    </row>
    <row r="10813" customFormat="false" ht="15" hidden="false" customHeight="false" outlineLevel="0" collapsed="false">
      <c r="A10813" s="5" t="s">
        <v>459</v>
      </c>
      <c r="C10813" s="25" t="n">
        <f aca="false">SUMPRODUCT(($C$10801:$C$10804=C10803)*$C$10796:$C$10799)</f>
        <v>256.875</v>
      </c>
    </row>
    <row r="10814" customFormat="false" ht="15" hidden="false" customHeight="false" outlineLevel="0" collapsed="false">
      <c r="A10814" s="5" t="s">
        <v>460</v>
      </c>
      <c r="C10814" s="25" t="n">
        <f aca="false">SUMPRODUCT(($C$10801:$C$10804=C10804)*$C$10796:$C$10799)</f>
        <v>305.625</v>
      </c>
    </row>
    <row r="10815" customFormat="false" ht="15" hidden="false" customHeight="false" outlineLevel="0" collapsed="false">
      <c r="A10815" s="23" t="s">
        <v>469</v>
      </c>
      <c r="B10815" s="24"/>
      <c r="C10815" s="24"/>
      <c r="D10815" s="24"/>
      <c r="E10815" s="24"/>
      <c r="F10815" s="24"/>
      <c r="G10815" s="24"/>
      <c r="H10815" s="24"/>
      <c r="I10815" s="24"/>
      <c r="J10815" s="24"/>
      <c r="K10815" s="24"/>
    </row>
    <row r="10816" customFormat="false" ht="15" hidden="false" customHeight="false" outlineLevel="0" collapsed="false">
      <c r="A10816" s="5" t="s">
        <v>457</v>
      </c>
      <c r="C10816" s="25" t="n">
        <f aca="false">IF(C10811=0,0,C10796/C10811*MAX(0,MIN(C10811,$C$10769-SUM($C$10786:$C$10789)-C10806)))</f>
        <v>241.5743372</v>
      </c>
    </row>
    <row r="10817" customFormat="false" ht="15" hidden="false" customHeight="false" outlineLevel="0" collapsed="false">
      <c r="A10817" s="5" t="s">
        <v>458</v>
      </c>
      <c r="C10817" s="25" t="n">
        <f aca="false">IF(C10812=0,0,C10797/C10812*MAX(0,MIN(C10812,$C$10769-SUM($C$10786:$C$10789)-C10807)))</f>
        <v>147.8016628</v>
      </c>
    </row>
    <row r="10818" customFormat="false" ht="15" hidden="false" customHeight="false" outlineLevel="0" collapsed="false">
      <c r="A10818" s="5" t="s">
        <v>459</v>
      </c>
      <c r="C10818" s="25" t="n">
        <f aca="false">IF(C10813=0,0,C10798/C10813*MAX(0,MIN(C10813,$C$10769-SUM($C$10786:$C$10789)-C10808)))</f>
        <v>0</v>
      </c>
    </row>
    <row r="10819" customFormat="false" ht="15" hidden="false" customHeight="false" outlineLevel="0" collapsed="false">
      <c r="A10819" s="5" t="s">
        <v>460</v>
      </c>
      <c r="C10819" s="25" t="n">
        <f aca="false">IF(C10814=0,0,C10799/C10814*MAX(0,MIN(C10814,$C$10769-SUM($C$10786:$C$10789)-C10809)))</f>
        <v>0</v>
      </c>
    </row>
    <row r="10820" customFormat="false" ht="15" hidden="false" customHeight="false" outlineLevel="0" collapsed="false">
      <c r="A10820" s="23" t="s">
        <v>470</v>
      </c>
      <c r="B10820" s="24"/>
      <c r="C10820" s="24"/>
      <c r="D10820" s="24"/>
      <c r="E10820" s="24"/>
      <c r="F10820" s="24"/>
      <c r="G10820" s="24"/>
      <c r="H10820" s="24"/>
      <c r="I10820" s="24"/>
      <c r="J10820" s="24"/>
      <c r="K10820" s="24"/>
    </row>
    <row r="10821" customFormat="false" ht="15" hidden="false" customHeight="false" outlineLevel="0" collapsed="false">
      <c r="A10821" s="2" t="s">
        <v>457</v>
      </c>
      <c r="C10821" s="16" t="n">
        <f aca="false">C10786+C10816</f>
        <v>241.5743372</v>
      </c>
    </row>
    <row r="10822" customFormat="false" ht="15" hidden="false" customHeight="false" outlineLevel="0" collapsed="false">
      <c r="A10822" s="2" t="s">
        <v>458</v>
      </c>
      <c r="C10822" s="16" t="n">
        <f aca="false">C10787+C10817</f>
        <v>147.8016628</v>
      </c>
    </row>
    <row r="10823" customFormat="false" ht="15" hidden="false" customHeight="false" outlineLevel="0" collapsed="false">
      <c r="A10823" s="2" t="s">
        <v>459</v>
      </c>
      <c r="C10823" s="16" t="n">
        <f aca="false">C10788+C10818</f>
        <v>0</v>
      </c>
    </row>
    <row r="10824" customFormat="false" ht="15" hidden="false" customHeight="false" outlineLevel="0" collapsed="false">
      <c r="A10824" s="2" t="s">
        <v>460</v>
      </c>
      <c r="C10824" s="16" t="n">
        <f aca="false">C10789+C10819</f>
        <v>0</v>
      </c>
    </row>
    <row r="10825" customFormat="false" ht="15" hidden="false" customHeight="false" outlineLevel="0" collapsed="false">
      <c r="A10825" s="23" t="s">
        <v>471</v>
      </c>
      <c r="B10825" s="24"/>
      <c r="C10825" s="24"/>
      <c r="D10825" s="24"/>
      <c r="E10825" s="24"/>
      <c r="F10825" s="24"/>
      <c r="G10825" s="24"/>
      <c r="H10825" s="24"/>
      <c r="I10825" s="24"/>
      <c r="J10825" s="24"/>
      <c r="K10825" s="24"/>
    </row>
    <row r="10826" customFormat="false" ht="15" hidden="false" customHeight="false" outlineLevel="0" collapsed="false">
      <c r="A10826" s="5" t="s">
        <v>457</v>
      </c>
      <c r="C10826" s="21" t="n">
        <f aca="false">IF(C10771=0,1,C10821/C10771)</f>
        <v>1</v>
      </c>
    </row>
    <row r="10827" customFormat="false" ht="15" hidden="false" customHeight="false" outlineLevel="0" collapsed="false">
      <c r="A10827" s="5" t="s">
        <v>458</v>
      </c>
      <c r="C10827" s="21" t="n">
        <f aca="false">IF(C10772=0,1,C10822/C10772)</f>
        <v>0.280871236049474</v>
      </c>
    </row>
    <row r="10828" customFormat="false" ht="15" hidden="false" customHeight="false" outlineLevel="0" collapsed="false">
      <c r="A10828" s="5" t="s">
        <v>459</v>
      </c>
      <c r="C10828" s="21" t="n">
        <f aca="false">IF(C10773=0,1,C10823/C10773)</f>
        <v>0</v>
      </c>
    </row>
    <row r="10829" customFormat="false" ht="15" hidden="false" customHeight="false" outlineLevel="0" collapsed="false">
      <c r="A10829" s="5" t="s">
        <v>460</v>
      </c>
      <c r="C10829" s="21" t="n">
        <f aca="false">IF(C10774=0,1,C10824/C10774)</f>
        <v>0</v>
      </c>
    </row>
    <row r="10830" customFormat="false" ht="15" hidden="false" customHeight="false" outlineLevel="0" collapsed="false">
      <c r="A10830" s="23" t="s">
        <v>472</v>
      </c>
      <c r="B10830" s="24"/>
      <c r="C10830" s="24"/>
      <c r="D10830" s="24"/>
      <c r="E10830" s="24"/>
      <c r="F10830" s="24"/>
      <c r="G10830" s="24"/>
      <c r="H10830" s="24"/>
      <c r="I10830" s="24"/>
      <c r="J10830" s="24"/>
      <c r="K10830" s="24"/>
    </row>
    <row r="10831" customFormat="false" ht="15" hidden="false" customHeight="false" outlineLevel="0" collapsed="false">
      <c r="A10831" s="5" t="s">
        <v>457</v>
      </c>
      <c r="C10831" s="25" t="n">
        <f aca="false">C10771-C10821</f>
        <v>0</v>
      </c>
    </row>
    <row r="10832" customFormat="false" ht="15" hidden="false" customHeight="false" outlineLevel="0" collapsed="false">
      <c r="A10832" s="5" t="s">
        <v>458</v>
      </c>
      <c r="C10832" s="25" t="n">
        <f aca="false">C10772-C10822</f>
        <v>378.4240372</v>
      </c>
    </row>
    <row r="10833" customFormat="false" ht="15" hidden="false" customHeight="false" outlineLevel="0" collapsed="false">
      <c r="A10833" s="5" t="s">
        <v>459</v>
      </c>
      <c r="C10833" s="25" t="n">
        <f aca="false">C10773-C10823</f>
        <v>256.875</v>
      </c>
    </row>
    <row r="10834" customFormat="false" ht="15" hidden="false" customHeight="false" outlineLevel="0" collapsed="false">
      <c r="A10834" s="5" t="s">
        <v>460</v>
      </c>
      <c r="C10834" s="25" t="n">
        <f aca="false">C10774-C10824</f>
        <v>305.625</v>
      </c>
    </row>
    <row r="10835" customFormat="false" ht="15" hidden="false" customHeight="false" outlineLevel="0" collapsed="false">
      <c r="A10835" s="23" t="s">
        <v>473</v>
      </c>
      <c r="B10835" s="24"/>
      <c r="C10835" s="24"/>
      <c r="D10835" s="24"/>
      <c r="E10835" s="24"/>
      <c r="F10835" s="24"/>
      <c r="G10835" s="24"/>
      <c r="H10835" s="24"/>
      <c r="I10835" s="24"/>
      <c r="J10835" s="24"/>
      <c r="K10835" s="24"/>
    </row>
    <row r="10836" customFormat="false" ht="15" hidden="false" customHeight="false" outlineLevel="0" collapsed="false">
      <c r="A10836" s="5" t="s">
        <v>457</v>
      </c>
      <c r="C10836" s="21" t="n">
        <f aca="false">IF(C10771=0,0,C10831/C10771)</f>
        <v>0</v>
      </c>
    </row>
    <row r="10837" customFormat="false" ht="15" hidden="false" customHeight="false" outlineLevel="0" collapsed="false">
      <c r="A10837" s="5" t="s">
        <v>458</v>
      </c>
      <c r="C10837" s="21" t="n">
        <f aca="false">IF(C10772=0,0,C10832/C10772)</f>
        <v>0.719128763950526</v>
      </c>
    </row>
    <row r="10838" customFormat="false" ht="15" hidden="false" customHeight="false" outlineLevel="0" collapsed="false">
      <c r="A10838" s="5" t="s">
        <v>459</v>
      </c>
      <c r="C10838" s="21" t="n">
        <f aca="false">IF(C10773=0,0,C10833/C10773)</f>
        <v>1</v>
      </c>
    </row>
    <row r="10839" customFormat="false" ht="15" hidden="false" customHeight="false" outlineLevel="0" collapsed="false">
      <c r="A10839" s="5" t="s">
        <v>460</v>
      </c>
      <c r="C10839" s="21" t="n">
        <f aca="false">IF(C10774=0,0,C10834/C10774)</f>
        <v>1</v>
      </c>
    </row>
    <row r="10840" customFormat="false" ht="15" hidden="false" customHeight="false" outlineLevel="0" collapsed="false">
      <c r="A10840" s="2" t="s">
        <v>474</v>
      </c>
      <c r="C10840" s="16" t="n">
        <f aca="false">MAX(0,$C$10769-SUM($C$10786:$C$10789)-SUM($C$10796:$C$10799))</f>
        <v>0</v>
      </c>
    </row>
    <row r="10841" customFormat="false" ht="15" hidden="false" customHeight="false" outlineLevel="0" collapsed="false">
      <c r="A10841" s="5" t="s">
        <v>475</v>
      </c>
      <c r="C10841" s="25" t="n">
        <f aca="false">SUM($C$10821:$C$10824)+C10840+C10768-C10767</f>
        <v>0</v>
      </c>
    </row>
    <row r="10843" customFormat="false" ht="15" hidden="false" customHeight="false" outlineLevel="0" collapsed="false">
      <c r="A10843" s="23" t="s">
        <v>478</v>
      </c>
      <c r="B10843" s="24"/>
      <c r="C10843" s="24"/>
      <c r="D10843" s="24"/>
      <c r="E10843" s="24"/>
      <c r="F10843" s="24"/>
      <c r="G10843" s="24"/>
      <c r="H10843" s="24"/>
      <c r="I10843" s="24"/>
      <c r="J10843" s="24"/>
      <c r="K10843" s="24"/>
    </row>
    <row r="10844" customFormat="false" ht="15" hidden="false" customHeight="false" outlineLevel="0" collapsed="false">
      <c r="A10844" s="5" t="s">
        <v>479</v>
      </c>
      <c r="C10844" s="26" t="n">
        <f aca="false">Assumptions!$C$30</f>
        <v>2</v>
      </c>
    </row>
    <row r="10845" customFormat="false" ht="15" hidden="false" customHeight="false" outlineLevel="0" collapsed="false">
      <c r="A10845" s="5" t="s">
        <v>480</v>
      </c>
      <c r="C10845" s="28" t="n">
        <f aca="false">Assumptions!$C$31</f>
        <v>100</v>
      </c>
    </row>
    <row r="10846" customFormat="false" ht="15" hidden="false" customHeight="false" outlineLevel="0" collapsed="false">
      <c r="A10846" s="5" t="s">
        <v>481</v>
      </c>
      <c r="C10846" s="39" t="n">
        <f aca="false">Assumptions!$C$32</f>
        <v>78</v>
      </c>
    </row>
    <row r="10847" customFormat="false" ht="15" hidden="false" customHeight="false" outlineLevel="0" collapsed="false">
      <c r="A10847" s="5" t="s">
        <v>482</v>
      </c>
      <c r="C10847" s="25" t="n">
        <f aca="false">C10845*C10846/100*(1+Assumptions!$C$33)</f>
        <v>78.39</v>
      </c>
    </row>
    <row r="10848" customFormat="false" ht="15" hidden="false" customHeight="false" outlineLevel="0" collapsed="false">
      <c r="A10848" s="5" t="s">
        <v>483</v>
      </c>
      <c r="C10848" s="26" t="n">
        <f aca="false">Assumptions!$C$34</f>
        <v>2</v>
      </c>
    </row>
    <row r="10849" customFormat="false" ht="15" hidden="false" customHeight="false" outlineLevel="0" collapsed="false">
      <c r="A10849" s="5" t="s">
        <v>484</v>
      </c>
      <c r="C10849" s="20" t="n">
        <f aca="false">IF(C10760=1,SUMPRODUCT($G$10728:$K$10728,$G$10604:$K$10604),0)</f>
        <v>2</v>
      </c>
    </row>
    <row r="10850" customFormat="false" ht="15" hidden="false" customHeight="false" outlineLevel="0" collapsed="false">
      <c r="A10850" s="5" t="s">
        <v>485</v>
      </c>
      <c r="C10850" s="21" t="n">
        <f aca="false">IFERROR(C10845/CHOOSE(C10844,SUMPRODUCT($G$10759:$K$10759,$G$10650:$K$10650),SUMPRODUCT($G$10759:$K$10759,$G$10663:$K$10663),SUMPRODUCT($G$10759:$K$10759,$G$10676:$K$10676),SUMPRODUCT($G$10759:$K$10759,$G$10689:$K$10689)),0)</f>
        <v>0.196232339089482</v>
      </c>
    </row>
    <row r="10851" customFormat="false" ht="15" hidden="false" customHeight="false" outlineLevel="0" collapsed="false">
      <c r="A10851" s="5" t="s">
        <v>486</v>
      </c>
      <c r="C10851" s="25" t="n">
        <f aca="false">CHOOSE(C10844,C10821,C10822,C10823,C10824)*C10850</f>
        <v>29.0034660125589</v>
      </c>
    </row>
    <row r="10852" customFormat="false" ht="15" hidden="false" customHeight="false" outlineLevel="0" collapsed="false">
      <c r="A10852" s="5" t="s">
        <v>487</v>
      </c>
      <c r="C10852" s="21" t="n">
        <f aca="false">CHOOSE(C10844,C10826,C10827,C10828,C10829)</f>
        <v>0.280871236049474</v>
      </c>
    </row>
    <row r="10853" customFormat="false" ht="15" hidden="false" customHeight="false" outlineLevel="0" collapsed="false">
      <c r="A10853" s="5" t="s">
        <v>488</v>
      </c>
      <c r="C10853" s="20" t="n">
        <f aca="false">IF(C10760=1,C10849,C10848)</f>
        <v>2</v>
      </c>
    </row>
    <row r="10854" customFormat="false" ht="15" hidden="false" customHeight="false" outlineLevel="0" collapsed="false">
      <c r="A10854" s="5" t="s">
        <v>489</v>
      </c>
      <c r="C10854" s="33" t="n">
        <f aca="false">CHOOSE($C$10596,Assumptions!$C$77,Assumptions!$C$96,Assumptions!$C$115)</f>
        <v>70</v>
      </c>
    </row>
    <row r="10855" customFormat="false" ht="15" hidden="false" customHeight="false" outlineLevel="0" collapsed="false">
      <c r="A10855" s="5" t="s">
        <v>490</v>
      </c>
      <c r="C10855" s="25" t="n">
        <f aca="false">INDEX($G$10613:$K$10613,C10848)*CHOOSE($C$10596,Assumptions!$C$76,Assumptions!$C$95,Assumptions!$C$114)+MAX(0,INDEX($G$10725:$K$10725,C10848))</f>
        <v>55.97928</v>
      </c>
    </row>
    <row r="10856" customFormat="false" ht="15" hidden="false" customHeight="false" outlineLevel="0" collapsed="false">
      <c r="A10856" s="23" t="s">
        <v>491</v>
      </c>
      <c r="B10856" s="24"/>
      <c r="C10856" s="24"/>
      <c r="D10856" s="24"/>
      <c r="E10856" s="24"/>
      <c r="F10856" s="24"/>
      <c r="G10856" s="24"/>
      <c r="H10856" s="24"/>
      <c r="I10856" s="24"/>
      <c r="J10856" s="24"/>
      <c r="K10856" s="24"/>
    </row>
    <row r="10857" customFormat="false" ht="15" hidden="false" customHeight="false" outlineLevel="0" collapsed="false">
      <c r="A10857" s="5" t="s">
        <v>457</v>
      </c>
      <c r="C10857" s="25" t="n">
        <f aca="false">INDEX($G$10650:$K$10650,C10848)</f>
        <v>234.9088</v>
      </c>
    </row>
    <row r="10858" customFormat="false" ht="15" hidden="false" customHeight="false" outlineLevel="0" collapsed="false">
      <c r="A10858" s="5" t="s">
        <v>458</v>
      </c>
      <c r="C10858" s="25" t="n">
        <f aca="false">INDEX($G$10663:$K$10663,C10848)</f>
        <v>509.6</v>
      </c>
    </row>
    <row r="10859" customFormat="false" ht="15" hidden="false" customHeight="false" outlineLevel="0" collapsed="false">
      <c r="A10859" s="5" t="s">
        <v>459</v>
      </c>
      <c r="C10859" s="25" t="n">
        <f aca="false">INDEX($G$10676:$K$10676,C10848)</f>
        <v>250</v>
      </c>
    </row>
    <row r="10860" customFormat="false" ht="15" hidden="false" customHeight="false" outlineLevel="0" collapsed="false">
      <c r="A10860" s="5" t="s">
        <v>460</v>
      </c>
      <c r="C10860" s="25" t="n">
        <f aca="false">INDEX($G$10689:$K$10689,C10848)</f>
        <v>300</v>
      </c>
    </row>
    <row r="10861" customFormat="false" ht="15" hidden="false" customHeight="false" outlineLevel="0" collapsed="false">
      <c r="A10861" s="23" t="s">
        <v>461</v>
      </c>
      <c r="B10861" s="24"/>
      <c r="C10861" s="24"/>
      <c r="D10861" s="24"/>
      <c r="E10861" s="24"/>
      <c r="F10861" s="24"/>
      <c r="G10861" s="24"/>
      <c r="H10861" s="24"/>
      <c r="I10861" s="24"/>
      <c r="J10861" s="24"/>
      <c r="K10861" s="24"/>
    </row>
    <row r="10862" customFormat="false" ht="15" hidden="false" customHeight="false" outlineLevel="0" collapsed="false">
      <c r="A10862" s="5" t="s">
        <v>457</v>
      </c>
      <c r="C10862" s="26" t="n">
        <f aca="false">Assumptions!$M$53</f>
        <v>1</v>
      </c>
    </row>
    <row r="10863" customFormat="false" ht="15" hidden="false" customHeight="false" outlineLevel="0" collapsed="false">
      <c r="A10863" s="5" t="s">
        <v>458</v>
      </c>
      <c r="C10863" s="26" t="n">
        <f aca="false">Assumptions!$M$54</f>
        <v>2</v>
      </c>
    </row>
    <row r="10864" customFormat="false" ht="15" hidden="false" customHeight="false" outlineLevel="0" collapsed="false">
      <c r="A10864" s="5" t="s">
        <v>459</v>
      </c>
      <c r="C10864" s="26" t="n">
        <f aca="false">Assumptions!$M$55</f>
        <v>3</v>
      </c>
    </row>
    <row r="10865" customFormat="false" ht="15" hidden="false" customHeight="false" outlineLevel="0" collapsed="false">
      <c r="A10865" s="5" t="s">
        <v>460</v>
      </c>
      <c r="C10865" s="26" t="n">
        <f aca="false">Assumptions!$M$56</f>
        <v>4</v>
      </c>
    </row>
    <row r="10866" customFormat="false" ht="15" hidden="false" customHeight="false" outlineLevel="0" collapsed="false">
      <c r="A10866" s="23" t="s">
        <v>462</v>
      </c>
      <c r="B10866" s="24"/>
      <c r="C10866" s="24"/>
      <c r="D10866" s="24"/>
      <c r="E10866" s="24"/>
      <c r="F10866" s="24"/>
      <c r="G10866" s="24"/>
      <c r="H10866" s="24"/>
      <c r="I10866" s="24"/>
      <c r="J10866" s="24"/>
      <c r="K10866" s="24"/>
    </row>
    <row r="10867" customFormat="false" ht="15" hidden="false" customHeight="false" outlineLevel="0" collapsed="false">
      <c r="A10867" s="5" t="s">
        <v>457</v>
      </c>
      <c r="C10867" s="34" t="n">
        <f aca="false">Assumptions!$Q$53</f>
        <v>0</v>
      </c>
    </row>
    <row r="10868" customFormat="false" ht="15" hidden="false" customHeight="false" outlineLevel="0" collapsed="false">
      <c r="A10868" s="5" t="s">
        <v>458</v>
      </c>
      <c r="C10868" s="34" t="n">
        <f aca="false">Assumptions!$Q$54</f>
        <v>0</v>
      </c>
    </row>
    <row r="10869" customFormat="false" ht="15" hidden="false" customHeight="false" outlineLevel="0" collapsed="false">
      <c r="A10869" s="5" t="s">
        <v>459</v>
      </c>
      <c r="C10869" s="34" t="n">
        <f aca="false">Assumptions!$Q$55</f>
        <v>0</v>
      </c>
    </row>
    <row r="10870" customFormat="false" ht="15" hidden="false" customHeight="false" outlineLevel="0" collapsed="false">
      <c r="A10870" s="5" t="s">
        <v>460</v>
      </c>
      <c r="C10870" s="34" t="n">
        <f aca="false">Assumptions!$Q$56</f>
        <v>0</v>
      </c>
    </row>
    <row r="10871" customFormat="false" ht="15" hidden="false" customHeight="false" outlineLevel="0" collapsed="false">
      <c r="A10871" s="23" t="s">
        <v>463</v>
      </c>
      <c r="B10871" s="24"/>
      <c r="C10871" s="24"/>
      <c r="D10871" s="24"/>
      <c r="E10871" s="24"/>
      <c r="F10871" s="24"/>
      <c r="G10871" s="24"/>
      <c r="H10871" s="24"/>
      <c r="I10871" s="24"/>
      <c r="J10871" s="24"/>
      <c r="K10871" s="24"/>
    </row>
    <row r="10872" customFormat="false" ht="15" hidden="false" customHeight="false" outlineLevel="0" collapsed="false">
      <c r="A10872" s="5" t="s">
        <v>457</v>
      </c>
      <c r="C10872" s="25" t="n">
        <f aca="false">IF(C10867&gt;0,MIN(C10857,C10867*$C$10855),0)</f>
        <v>0</v>
      </c>
    </row>
    <row r="10873" customFormat="false" ht="15" hidden="false" customHeight="false" outlineLevel="0" collapsed="false">
      <c r="A10873" s="5" t="s">
        <v>458</v>
      </c>
      <c r="C10873" s="25" t="n">
        <f aca="false">IF(C10868&gt;0,MIN(C10858,C10868*$C$10855),0)</f>
        <v>0</v>
      </c>
    </row>
    <row r="10874" customFormat="false" ht="15" hidden="false" customHeight="false" outlineLevel="0" collapsed="false">
      <c r="A10874" s="5" t="s">
        <v>459</v>
      </c>
      <c r="C10874" s="25" t="n">
        <f aca="false">IF(C10869&gt;0,MIN(C10859,C10869*$C$10855),0)</f>
        <v>0</v>
      </c>
    </row>
    <row r="10875" customFormat="false" ht="15" hidden="false" customHeight="false" outlineLevel="0" collapsed="false">
      <c r="A10875" s="5" t="s">
        <v>460</v>
      </c>
      <c r="C10875" s="25" t="n">
        <f aca="false">IF(C10870&gt;0,MIN(C10860,C10870*$C$10855),0)</f>
        <v>0</v>
      </c>
    </row>
    <row r="10876" customFormat="false" ht="15" hidden="false" customHeight="false" outlineLevel="0" collapsed="false">
      <c r="A10876" s="23" t="s">
        <v>464</v>
      </c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</row>
    <row r="10877" customFormat="false" ht="15" hidden="false" customHeight="false" outlineLevel="0" collapsed="false">
      <c r="A10877" s="5" t="s">
        <v>457</v>
      </c>
      <c r="C10877" s="25" t="n">
        <f aca="false">IF(C10867&gt;0,C10857-C10872,0)</f>
        <v>0</v>
      </c>
    </row>
    <row r="10878" customFormat="false" ht="15" hidden="false" customHeight="false" outlineLevel="0" collapsed="false">
      <c r="A10878" s="5" t="s">
        <v>458</v>
      </c>
      <c r="C10878" s="25" t="n">
        <f aca="false">IF(C10868&gt;0,C10858-C10873,0)</f>
        <v>0</v>
      </c>
    </row>
    <row r="10879" customFormat="false" ht="15" hidden="false" customHeight="false" outlineLevel="0" collapsed="false">
      <c r="A10879" s="5" t="s">
        <v>459</v>
      </c>
      <c r="C10879" s="25" t="n">
        <f aca="false">IF(C10869&gt;0,C10859-C10874,0)</f>
        <v>0</v>
      </c>
    </row>
    <row r="10880" customFormat="false" ht="15" hidden="false" customHeight="false" outlineLevel="0" collapsed="false">
      <c r="A10880" s="5" t="s">
        <v>460</v>
      </c>
      <c r="C10880" s="25" t="n">
        <f aca="false">IF(C10870&gt;0,C10860-C10875,0)</f>
        <v>0</v>
      </c>
    </row>
    <row r="10881" customFormat="false" ht="15" hidden="false" customHeight="false" outlineLevel="0" collapsed="false">
      <c r="A10881" s="23" t="s">
        <v>465</v>
      </c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</row>
    <row r="10882" customFormat="false" ht="15" hidden="false" customHeight="false" outlineLevel="0" collapsed="false">
      <c r="A10882" s="5" t="s">
        <v>457</v>
      </c>
      <c r="C10882" s="25" t="n">
        <f aca="false">IF(C10867&gt;0,C10877,C10857)</f>
        <v>234.9088</v>
      </c>
    </row>
    <row r="10883" customFormat="false" ht="15" hidden="false" customHeight="false" outlineLevel="0" collapsed="false">
      <c r="A10883" s="5" t="s">
        <v>458</v>
      </c>
      <c r="C10883" s="25" t="n">
        <f aca="false">IF(C10868&gt;0,C10878,C10858)</f>
        <v>509.6</v>
      </c>
    </row>
    <row r="10884" customFormat="false" ht="15" hidden="false" customHeight="false" outlineLevel="0" collapsed="false">
      <c r="A10884" s="5" t="s">
        <v>459</v>
      </c>
      <c r="C10884" s="25" t="n">
        <f aca="false">IF(C10869&gt;0,C10879,C10859)</f>
        <v>250</v>
      </c>
    </row>
    <row r="10885" customFormat="false" ht="15" hidden="false" customHeight="false" outlineLevel="0" collapsed="false">
      <c r="A10885" s="5" t="s">
        <v>460</v>
      </c>
      <c r="C10885" s="25" t="n">
        <f aca="false">IF(C10870&gt;0,C10880,C10860)</f>
        <v>300</v>
      </c>
    </row>
    <row r="10886" customFormat="false" ht="15" hidden="false" customHeight="false" outlineLevel="0" collapsed="false">
      <c r="A10886" s="23" t="s">
        <v>466</v>
      </c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</row>
    <row r="10887" customFormat="false" ht="15" hidden="false" customHeight="false" outlineLevel="0" collapsed="false">
      <c r="A10887" s="5" t="s">
        <v>457</v>
      </c>
      <c r="C10887" s="20" t="n">
        <f aca="false">IF(C10867&gt;0,Assumptions!$C$17,C10862)</f>
        <v>1</v>
      </c>
    </row>
    <row r="10888" customFormat="false" ht="15" hidden="false" customHeight="false" outlineLevel="0" collapsed="false">
      <c r="A10888" s="5" t="s">
        <v>458</v>
      </c>
      <c r="C10888" s="20" t="n">
        <f aca="false">IF(C10868&gt;0,Assumptions!$C$17,C10863)</f>
        <v>2</v>
      </c>
    </row>
    <row r="10889" customFormat="false" ht="15" hidden="false" customHeight="false" outlineLevel="0" collapsed="false">
      <c r="A10889" s="5" t="s">
        <v>459</v>
      </c>
      <c r="C10889" s="20" t="n">
        <f aca="false">IF(C10869&gt;0,Assumptions!$C$17,C10864)</f>
        <v>3</v>
      </c>
    </row>
    <row r="10890" customFormat="false" ht="15" hidden="false" customHeight="false" outlineLevel="0" collapsed="false">
      <c r="A10890" s="5" t="s">
        <v>460</v>
      </c>
      <c r="C10890" s="20" t="n">
        <f aca="false">IF(C10870&gt;0,Assumptions!$C$17,C10865)</f>
        <v>4</v>
      </c>
    </row>
    <row r="10891" customFormat="false" ht="15" hidden="false" customHeight="false" outlineLevel="0" collapsed="false">
      <c r="A10891" s="23" t="s">
        <v>467</v>
      </c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</row>
    <row r="10892" customFormat="false" ht="15" hidden="false" customHeight="false" outlineLevel="0" collapsed="false">
      <c r="A10892" s="5" t="s">
        <v>457</v>
      </c>
      <c r="C10892" s="25" t="n">
        <f aca="false">SUMPRODUCT(($C$10887:$C$10890&lt;C10887)*$C$10882:$C$10885)</f>
        <v>0</v>
      </c>
    </row>
    <row r="10893" customFormat="false" ht="15" hidden="false" customHeight="false" outlineLevel="0" collapsed="false">
      <c r="A10893" s="5" t="s">
        <v>458</v>
      </c>
      <c r="C10893" s="25" t="n">
        <f aca="false">SUMPRODUCT(($C$10887:$C$10890&lt;C10888)*$C$10882:$C$10885)</f>
        <v>234.9088</v>
      </c>
    </row>
    <row r="10894" customFormat="false" ht="15" hidden="false" customHeight="false" outlineLevel="0" collapsed="false">
      <c r="A10894" s="5" t="s">
        <v>459</v>
      </c>
      <c r="C10894" s="25" t="n">
        <f aca="false">SUMPRODUCT(($C$10887:$C$10890&lt;C10889)*$C$10882:$C$10885)</f>
        <v>744.5088</v>
      </c>
    </row>
    <row r="10895" customFormat="false" ht="15" hidden="false" customHeight="false" outlineLevel="0" collapsed="false">
      <c r="A10895" s="5" t="s">
        <v>460</v>
      </c>
      <c r="C10895" s="25" t="n">
        <f aca="false">SUMPRODUCT(($C$10887:$C$10890&lt;C10890)*$C$10882:$C$10885)</f>
        <v>994.5088</v>
      </c>
    </row>
    <row r="10896" customFormat="false" ht="15" hidden="false" customHeight="false" outlineLevel="0" collapsed="false">
      <c r="A10896" s="23" t="s">
        <v>468</v>
      </c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</row>
    <row r="10897" customFormat="false" ht="15" hidden="false" customHeight="false" outlineLevel="0" collapsed="false">
      <c r="A10897" s="5" t="s">
        <v>457</v>
      </c>
      <c r="C10897" s="25" t="n">
        <f aca="false">SUMPRODUCT(($C$10887:$C$10890=C10887)*$C$10882:$C$10885)</f>
        <v>234.9088</v>
      </c>
    </row>
    <row r="10898" customFormat="false" ht="15" hidden="false" customHeight="false" outlineLevel="0" collapsed="false">
      <c r="A10898" s="5" t="s">
        <v>458</v>
      </c>
      <c r="C10898" s="25" t="n">
        <f aca="false">SUMPRODUCT(($C$10887:$C$10890=C10888)*$C$10882:$C$10885)</f>
        <v>509.6</v>
      </c>
    </row>
    <row r="10899" customFormat="false" ht="15" hidden="false" customHeight="false" outlineLevel="0" collapsed="false">
      <c r="A10899" s="5" t="s">
        <v>459</v>
      </c>
      <c r="C10899" s="25" t="n">
        <f aca="false">SUMPRODUCT(($C$10887:$C$10890=C10889)*$C$10882:$C$10885)</f>
        <v>250</v>
      </c>
    </row>
    <row r="10900" customFormat="false" ht="15" hidden="false" customHeight="false" outlineLevel="0" collapsed="false">
      <c r="A10900" s="5" t="s">
        <v>460</v>
      </c>
      <c r="C10900" s="25" t="n">
        <f aca="false">SUMPRODUCT(($C$10887:$C$10890=C10890)*$C$10882:$C$10885)</f>
        <v>300</v>
      </c>
    </row>
    <row r="10901" customFormat="false" ht="15" hidden="false" customHeight="false" outlineLevel="0" collapsed="false">
      <c r="A10901" s="23" t="s">
        <v>469</v>
      </c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</row>
    <row r="10902" customFormat="false" ht="15" hidden="false" customHeight="false" outlineLevel="0" collapsed="false">
      <c r="A10902" s="5" t="s">
        <v>457</v>
      </c>
      <c r="C10902" s="25" t="n">
        <f aca="false">IF(C10897=0,0,C10882/C10897*MAX(0,MIN(C10897,$C$10855-SUM($C$10872:$C$10875)-C10892)))</f>
        <v>55.97928</v>
      </c>
    </row>
    <row r="10903" customFormat="false" ht="15" hidden="false" customHeight="false" outlineLevel="0" collapsed="false">
      <c r="A10903" s="5" t="s">
        <v>458</v>
      </c>
      <c r="C10903" s="25" t="n">
        <f aca="false">IF(C10898=0,0,C10883/C10898*MAX(0,MIN(C10898,$C$10855-SUM($C$10872:$C$10875)-C10893)))</f>
        <v>0</v>
      </c>
    </row>
    <row r="10904" customFormat="false" ht="15" hidden="false" customHeight="false" outlineLevel="0" collapsed="false">
      <c r="A10904" s="5" t="s">
        <v>459</v>
      </c>
      <c r="C10904" s="25" t="n">
        <f aca="false">IF(C10899=0,0,C10884/C10899*MAX(0,MIN(C10899,$C$10855-SUM($C$10872:$C$10875)-C10894)))</f>
        <v>0</v>
      </c>
    </row>
    <row r="10905" customFormat="false" ht="15" hidden="false" customHeight="false" outlineLevel="0" collapsed="false">
      <c r="A10905" s="5" t="s">
        <v>460</v>
      </c>
      <c r="C10905" s="25" t="n">
        <f aca="false">IF(C10900=0,0,C10885/C10900*MAX(0,MIN(C10900,$C$10855-SUM($C$10872:$C$10875)-C10895)))</f>
        <v>0</v>
      </c>
    </row>
    <row r="10906" customFormat="false" ht="15" hidden="false" customHeight="false" outlineLevel="0" collapsed="false">
      <c r="A10906" s="23" t="s">
        <v>470</v>
      </c>
      <c r="B10906" s="24"/>
      <c r="C10906" s="24"/>
      <c r="D10906" s="24"/>
      <c r="E10906" s="24"/>
      <c r="F10906" s="24"/>
      <c r="G10906" s="24"/>
      <c r="H10906" s="24"/>
      <c r="I10906" s="24"/>
      <c r="J10906" s="24"/>
      <c r="K10906" s="24"/>
    </row>
    <row r="10907" customFormat="false" ht="15" hidden="false" customHeight="false" outlineLevel="0" collapsed="false">
      <c r="A10907" s="2" t="s">
        <v>457</v>
      </c>
      <c r="C10907" s="16" t="n">
        <f aca="false">C10872+C10902</f>
        <v>55.97928</v>
      </c>
    </row>
    <row r="10908" customFormat="false" ht="15" hidden="false" customHeight="false" outlineLevel="0" collapsed="false">
      <c r="A10908" s="2" t="s">
        <v>458</v>
      </c>
      <c r="C10908" s="16" t="n">
        <f aca="false">C10873+C10903</f>
        <v>0</v>
      </c>
    </row>
    <row r="10909" customFormat="false" ht="15" hidden="false" customHeight="false" outlineLevel="0" collapsed="false">
      <c r="A10909" s="2" t="s">
        <v>459</v>
      </c>
      <c r="C10909" s="16" t="n">
        <f aca="false">C10874+C10904</f>
        <v>0</v>
      </c>
    </row>
    <row r="10910" customFormat="false" ht="15" hidden="false" customHeight="false" outlineLevel="0" collapsed="false">
      <c r="A10910" s="2" t="s">
        <v>460</v>
      </c>
      <c r="C10910" s="16" t="n">
        <f aca="false">C10875+C10905</f>
        <v>0</v>
      </c>
    </row>
    <row r="10911" customFormat="false" ht="15" hidden="false" customHeight="false" outlineLevel="0" collapsed="false">
      <c r="A10911" s="23" t="s">
        <v>471</v>
      </c>
      <c r="B10911" s="24"/>
      <c r="C10911" s="24"/>
      <c r="D10911" s="24"/>
      <c r="E10911" s="24"/>
      <c r="F10911" s="24"/>
      <c r="G10911" s="24"/>
      <c r="H10911" s="24"/>
      <c r="I10911" s="24"/>
      <c r="J10911" s="24"/>
      <c r="K10911" s="24"/>
    </row>
    <row r="10912" customFormat="false" ht="15" hidden="false" customHeight="false" outlineLevel="0" collapsed="false">
      <c r="A10912" s="5" t="s">
        <v>457</v>
      </c>
      <c r="C10912" s="21" t="n">
        <f aca="false">IF(C10857=0,1,C10907/C10857)</f>
        <v>0.238302183655955</v>
      </c>
    </row>
    <row r="10913" customFormat="false" ht="15" hidden="false" customHeight="false" outlineLevel="0" collapsed="false">
      <c r="A10913" s="5" t="s">
        <v>458</v>
      </c>
      <c r="C10913" s="21" t="n">
        <f aca="false">IF(C10858=0,1,C10908/C10858)</f>
        <v>0</v>
      </c>
    </row>
    <row r="10914" customFormat="false" ht="15" hidden="false" customHeight="false" outlineLevel="0" collapsed="false">
      <c r="A10914" s="5" t="s">
        <v>459</v>
      </c>
      <c r="C10914" s="21" t="n">
        <f aca="false">IF(C10859=0,1,C10909/C10859)</f>
        <v>0</v>
      </c>
    </row>
    <row r="10915" customFormat="false" ht="15" hidden="false" customHeight="false" outlineLevel="0" collapsed="false">
      <c r="A10915" s="5" t="s">
        <v>460</v>
      </c>
      <c r="C10915" s="21" t="n">
        <f aca="false">IF(C10860=0,1,C10910/C10860)</f>
        <v>0</v>
      </c>
    </row>
    <row r="10916" customFormat="false" ht="15" hidden="false" customHeight="false" outlineLevel="0" collapsed="false">
      <c r="A10916" s="23" t="s">
        <v>472</v>
      </c>
      <c r="B10916" s="24"/>
      <c r="C10916" s="24"/>
      <c r="D10916" s="24"/>
      <c r="E10916" s="24"/>
      <c r="F10916" s="24"/>
      <c r="G10916" s="24"/>
      <c r="H10916" s="24"/>
      <c r="I10916" s="24"/>
      <c r="J10916" s="24"/>
      <c r="K10916" s="24"/>
    </row>
    <row r="10917" customFormat="false" ht="15" hidden="false" customHeight="false" outlineLevel="0" collapsed="false">
      <c r="A10917" s="5" t="s">
        <v>457</v>
      </c>
      <c r="C10917" s="25" t="n">
        <f aca="false">C10857-C10907</f>
        <v>178.92952</v>
      </c>
    </row>
    <row r="10918" customFormat="false" ht="15" hidden="false" customHeight="false" outlineLevel="0" collapsed="false">
      <c r="A10918" s="5" t="s">
        <v>458</v>
      </c>
      <c r="C10918" s="25" t="n">
        <f aca="false">C10858-C10908</f>
        <v>509.6</v>
      </c>
    </row>
    <row r="10919" customFormat="false" ht="15" hidden="false" customHeight="false" outlineLevel="0" collapsed="false">
      <c r="A10919" s="5" t="s">
        <v>459</v>
      </c>
      <c r="C10919" s="25" t="n">
        <f aca="false">C10859-C10909</f>
        <v>250</v>
      </c>
    </row>
    <row r="10920" customFormat="false" ht="15" hidden="false" customHeight="false" outlineLevel="0" collapsed="false">
      <c r="A10920" s="5" t="s">
        <v>460</v>
      </c>
      <c r="C10920" s="25" t="n">
        <f aca="false">C10860-C10910</f>
        <v>300</v>
      </c>
    </row>
    <row r="10921" customFormat="false" ht="15" hidden="false" customHeight="false" outlineLevel="0" collapsed="false">
      <c r="A10921" s="23" t="s">
        <v>473</v>
      </c>
      <c r="B10921" s="24"/>
      <c r="C10921" s="24"/>
      <c r="D10921" s="24"/>
      <c r="E10921" s="24"/>
      <c r="F10921" s="24"/>
      <c r="G10921" s="24"/>
      <c r="H10921" s="24"/>
      <c r="I10921" s="24"/>
      <c r="J10921" s="24"/>
      <c r="K10921" s="24"/>
    </row>
    <row r="10922" customFormat="false" ht="15" hidden="false" customHeight="false" outlineLevel="0" collapsed="false">
      <c r="A10922" s="5" t="s">
        <v>457</v>
      </c>
      <c r="C10922" s="21" t="n">
        <f aca="false">IF(C10857=0,0,C10917/C10857)</f>
        <v>0.761697816344045</v>
      </c>
    </row>
    <row r="10923" customFormat="false" ht="15" hidden="false" customHeight="false" outlineLevel="0" collapsed="false">
      <c r="A10923" s="5" t="s">
        <v>458</v>
      </c>
      <c r="C10923" s="21" t="n">
        <f aca="false">IF(C10858=0,0,C10918/C10858)</f>
        <v>1</v>
      </c>
    </row>
    <row r="10924" customFormat="false" ht="15" hidden="false" customHeight="false" outlineLevel="0" collapsed="false">
      <c r="A10924" s="5" t="s">
        <v>459</v>
      </c>
      <c r="C10924" s="21" t="n">
        <f aca="false">IF(C10859=0,0,C10919/C10859)</f>
        <v>1</v>
      </c>
    </row>
    <row r="10925" customFormat="false" ht="15" hidden="false" customHeight="false" outlineLevel="0" collapsed="false">
      <c r="A10925" s="5" t="s">
        <v>460</v>
      </c>
      <c r="C10925" s="21" t="n">
        <f aca="false">IF(C10860=0,0,C10920/C10860)</f>
        <v>1</v>
      </c>
    </row>
    <row r="10926" customFormat="false" ht="15" hidden="false" customHeight="false" outlineLevel="0" collapsed="false">
      <c r="A10926" s="2" t="s">
        <v>474</v>
      </c>
      <c r="C10926" s="16" t="n">
        <f aca="false">MAX(0,$C$10855-SUM($C$10872:$C$10875)-SUM($C$10882:$C$10885))</f>
        <v>0</v>
      </c>
    </row>
    <row r="10927" customFormat="false" ht="15" hidden="false" customHeight="false" outlineLevel="0" collapsed="false">
      <c r="A10927" s="5" t="s">
        <v>492</v>
      </c>
      <c r="C10927" s="33" t="n">
        <f aca="false">MIN(C10854,100*CHOOSE(C10844,C10912,C10913,C10914,C10915))</f>
        <v>0</v>
      </c>
    </row>
    <row r="10928" customFormat="false" ht="15" hidden="false" customHeight="false" outlineLevel="0" collapsed="false">
      <c r="A10928" s="5" t="s">
        <v>493</v>
      </c>
      <c r="C10928" s="20" t="n">
        <f aca="false">IF(C10760=1,C10849+Assumptions!$C$36,C10848)</f>
        <v>3</v>
      </c>
    </row>
    <row r="10929" customFormat="false" ht="15" hidden="false" customHeight="false" outlineLevel="0" collapsed="false">
      <c r="A10929" s="23" t="s">
        <v>494</v>
      </c>
      <c r="B10929" s="24"/>
      <c r="C10929" s="24"/>
      <c r="D10929" s="24"/>
      <c r="E10929" s="24"/>
      <c r="F10929" s="24"/>
      <c r="G10929" s="24"/>
      <c r="H10929" s="24"/>
      <c r="I10929" s="24"/>
      <c r="J10929" s="24"/>
      <c r="K10929" s="24"/>
    </row>
    <row r="10930" customFormat="false" ht="15" hidden="false" customHeight="false" outlineLevel="0" collapsed="false">
      <c r="A10930" s="5" t="s">
        <v>495</v>
      </c>
      <c r="C10930" s="20" t="n">
        <f aca="false">COLUMN()-COLUMN($C$1)</f>
        <v>0</v>
      </c>
      <c r="D10930" s="20" t="n">
        <f aca="false">COLUMN()-COLUMN($C$1)</f>
        <v>1</v>
      </c>
      <c r="E10930" s="20" t="n">
        <f aca="false">COLUMN()-COLUMN($C$1)</f>
        <v>2</v>
      </c>
      <c r="F10930" s="20" t="n">
        <f aca="false">COLUMN()-COLUMN($C$1)</f>
        <v>3</v>
      </c>
      <c r="G10930" s="20" t="n">
        <f aca="false">COLUMN()-COLUMN($C$1)</f>
        <v>4</v>
      </c>
      <c r="H10930" s="20" t="n">
        <f aca="false">COLUMN()-COLUMN($C$1)</f>
        <v>5</v>
      </c>
      <c r="I10930" s="20" t="n">
        <f aca="false">COLUMN()-COLUMN($C$1)</f>
        <v>6</v>
      </c>
    </row>
    <row r="10931" customFormat="false" ht="15" hidden="false" customHeight="false" outlineLevel="0" collapsed="false">
      <c r="A10931" s="5" t="s">
        <v>496</v>
      </c>
      <c r="D10931" s="30" t="n">
        <f aca="false">CHOOSE($C$10844,G10642,G10655,G10668,G10681)</f>
        <v>0.133</v>
      </c>
      <c r="E10931" s="30" t="n">
        <f aca="false">CHOOSE($C$10844,H10642,H10655,H10668,H10681)</f>
        <v>0.1305</v>
      </c>
      <c r="F10931" s="30" t="n">
        <f aca="false">CHOOSE($C$10844,I10642,I10655,I10668,I10681)</f>
        <v>0.128</v>
      </c>
      <c r="G10931" s="30" t="n">
        <f aca="false">CHOOSE($C$10844,J10642,J10655,J10668,J10681)</f>
        <v>0.128</v>
      </c>
      <c r="H10931" s="30" t="n">
        <f aca="false">CHOOSE($C$10844,K10642,K10655,K10668,K10681)</f>
        <v>0.128</v>
      </c>
    </row>
    <row r="10932" customFormat="false" ht="15" hidden="false" customHeight="false" outlineLevel="0" collapsed="false">
      <c r="A10932" s="5" t="s">
        <v>497</v>
      </c>
      <c r="D10932" s="25" t="n">
        <f aca="false">IF(D10930&lt;=$C$10853,$C$10845*D10931,0)</f>
        <v>13.3</v>
      </c>
      <c r="E10932" s="25" t="n">
        <f aca="false">IF(E10930&lt;=$C$10853,$C$10845*E10931,0)</f>
        <v>13.05</v>
      </c>
      <c r="F10932" s="25" t="n">
        <f aca="false">IF(F10930&lt;=$C$10853,$C$10845*F10931,0)</f>
        <v>0</v>
      </c>
      <c r="G10932" s="25" t="n">
        <f aca="false">IF(G10930&lt;=$C$10853,$C$10845*G10931,0)</f>
        <v>0</v>
      </c>
      <c r="H10932" s="25" t="n">
        <f aca="false">IF(H10930&lt;=$C$10853,$C$10845*H10931,0)</f>
        <v>0</v>
      </c>
    </row>
    <row r="10933" customFormat="false" ht="15" hidden="false" customHeight="false" outlineLevel="0" collapsed="false">
      <c r="A10933" s="5" t="s">
        <v>498</v>
      </c>
      <c r="D10933" s="25" t="n">
        <f aca="false">IF(AND($C$10760=0,D10930=$C$10848),$C$10845*$C$10927/100,0)+IF(AND($C$10760=1,D10930=$C$10928),$C$10851,0)</f>
        <v>0</v>
      </c>
      <c r="E10933" s="25" t="n">
        <f aca="false">IF(AND($C$10760=0,E10930=$C$10848),$C$10845*$C$10927/100,0)+IF(AND($C$10760=1,E10930=$C$10928),$C$10851,0)</f>
        <v>0</v>
      </c>
      <c r="F10933" s="25" t="n">
        <f aca="false">IF(AND($C$10760=0,F10930=$C$10848),$C$10845*$C$10927/100,0)+IF(AND($C$10760=1,F10930=$C$10928),$C$10851,0)</f>
        <v>29.0034660125589</v>
      </c>
      <c r="G10933" s="25" t="n">
        <f aca="false">IF(AND($C$10760=0,G10930=$C$10848),$C$10845*$C$10927/100,0)+IF(AND($C$10760=1,G10930=$C$10928),$C$10851,0)</f>
        <v>0</v>
      </c>
      <c r="H10933" s="25" t="n">
        <f aca="false">IF(AND($C$10760=0,H10930=$C$10848),$C$10845*$C$10927/100,0)+IF(AND($C$10760=1,H10930=$C$10928),$C$10851,0)</f>
        <v>0</v>
      </c>
      <c r="I10933" s="25" t="n">
        <f aca="false">IF(AND($C$10760=0,I10930=$C$10848),$C$10845*$C$10927/100,0)+IF(AND($C$10760=1,I10930=$C$10928),$C$10851,0)</f>
        <v>0</v>
      </c>
    </row>
    <row r="10934" customFormat="false" ht="15" hidden="false" customHeight="false" outlineLevel="0" collapsed="false">
      <c r="A10934" s="2" t="s">
        <v>499</v>
      </c>
      <c r="C10934" s="16" t="n">
        <f aca="false">-$C$10847</f>
        <v>-78.39</v>
      </c>
      <c r="D10934" s="16" t="n">
        <f aca="false">D10932+D10933</f>
        <v>13.3</v>
      </c>
      <c r="E10934" s="16" t="n">
        <f aca="false">E10932+E10933</f>
        <v>13.05</v>
      </c>
      <c r="F10934" s="16" t="n">
        <f aca="false">F10932+F10933</f>
        <v>29.0034660125589</v>
      </c>
      <c r="G10934" s="16" t="n">
        <f aca="false">G10932+G10933</f>
        <v>0</v>
      </c>
      <c r="H10934" s="16" t="n">
        <f aca="false">H10932+H10933</f>
        <v>0</v>
      </c>
      <c r="I10934" s="16" t="n">
        <f aca="false">I10932+I10933</f>
        <v>0</v>
      </c>
    </row>
    <row r="10935" customFormat="false" ht="15" hidden="false" customHeight="false" outlineLevel="0" collapsed="false">
      <c r="A10935" s="5" t="s">
        <v>500</v>
      </c>
      <c r="C10935" s="25" t="n">
        <f aca="false">SUM($C$10932:$I$10932)</f>
        <v>26.35</v>
      </c>
    </row>
    <row r="10936" customFormat="false" ht="15" hidden="false" customHeight="false" outlineLevel="0" collapsed="false">
      <c r="A10936" s="5" t="s">
        <v>501</v>
      </c>
      <c r="C10936" s="25" t="n">
        <f aca="false">SUM($C$10933:$I$10933)</f>
        <v>29.0034660125589</v>
      </c>
    </row>
    <row r="10937" customFormat="false" ht="15" hidden="false" customHeight="false" outlineLevel="0" collapsed="false">
      <c r="A10937" s="5" t="s">
        <v>502</v>
      </c>
      <c r="C10937" s="25" t="n">
        <f aca="false">C10935+C10936</f>
        <v>55.3534660125589</v>
      </c>
    </row>
    <row r="10938" customFormat="false" ht="15" hidden="false" customHeight="false" outlineLevel="0" collapsed="false">
      <c r="A10938" s="5" t="s">
        <v>503</v>
      </c>
      <c r="C10938" s="25" t="n">
        <f aca="false">C10936-C10845*C10846/100</f>
        <v>-48.9965339874412</v>
      </c>
    </row>
    <row r="10939" customFormat="false" ht="15" hidden="false" customHeight="false" outlineLevel="0" collapsed="false">
      <c r="A10939" s="5" t="s">
        <v>504</v>
      </c>
      <c r="C10939" s="25" t="n">
        <f aca="false">C10937-C10847</f>
        <v>-23.0365339874411</v>
      </c>
    </row>
    <row r="10940" customFormat="false" ht="15" hidden="false" customHeight="false" outlineLevel="0" collapsed="false">
      <c r="A10940" s="2" t="s">
        <v>385</v>
      </c>
      <c r="C10940" s="43" t="n">
        <f aca="false">C10937/C10847</f>
        <v>0.706129174799832</v>
      </c>
    </row>
    <row r="10941" customFormat="false" ht="15" hidden="false" customHeight="false" outlineLevel="0" collapsed="false">
      <c r="A10941" s="2" t="s">
        <v>384</v>
      </c>
      <c r="C10941" s="41" t="n">
        <f aca="false">IF(C10937&lt;=0,-1,IFERROR(IRR($C$10934:$I$10934,MAX(-0.9,C10940^(1/C10928)-1)),IRR($C$10934:$I$10934,0.1)))</f>
        <v>-0.138534047289136</v>
      </c>
    </row>
    <row r="10942" customFormat="false" ht="15" hidden="false" customHeight="false" outlineLevel="0" collapsed="false">
      <c r="A10942" s="5" t="s">
        <v>505</v>
      </c>
      <c r="C10942" s="31" t="n">
        <f aca="false">MAX($G$10736:$K$10736)</f>
        <v>124.624351403687</v>
      </c>
    </row>
    <row r="10943" customFormat="false" ht="15" hidden="false" customHeight="false" outlineLevel="0" collapsed="false">
      <c r="A10943" s="5" t="s">
        <v>506</v>
      </c>
      <c r="C10943" s="31" t="n">
        <f aca="false">MIN($G$10737:$K$10737)</f>
        <v>0.109080209295775</v>
      </c>
    </row>
    <row r="10944" customFormat="false" ht="15" hidden="false" customHeight="false" outlineLevel="0" collapsed="false">
      <c r="A10944" s="5" t="s">
        <v>507</v>
      </c>
      <c r="C10944" s="25" t="n">
        <f aca="false">SUM($G$10626:$K$10626)</f>
        <v>-697.792895058854</v>
      </c>
    </row>
    <row r="10948" customFormat="false" ht="15" hidden="false" customHeight="false" outlineLevel="0" collapsed="false">
      <c r="A10948" s="9" t="s">
        <v>657</v>
      </c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</row>
    <row r="10949" customFormat="false" ht="15" hidden="false" customHeight="false" outlineLevel="0" collapsed="false">
      <c r="A10949" s="5" t="s">
        <v>622</v>
      </c>
      <c r="C10949" s="11" t="n">
        <v>3</v>
      </c>
    </row>
    <row r="10950" customFormat="false" ht="15" hidden="false" customHeight="false" outlineLevel="0" collapsed="false">
      <c r="A10950" s="5" t="s">
        <v>623</v>
      </c>
      <c r="C10950" s="29" t="n">
        <f aca="false">Sensitivities!$A$43</f>
        <v>0.05</v>
      </c>
    </row>
    <row r="10951" customFormat="false" ht="15" hidden="false" customHeight="false" outlineLevel="0" collapsed="false">
      <c r="A10951" s="5" t="s">
        <v>624</v>
      </c>
      <c r="C10951" s="18" t="n">
        <v>0</v>
      </c>
    </row>
    <row r="10952" customFormat="false" ht="15" hidden="false" customHeight="false" outlineLevel="0" collapsed="false">
      <c r="A10952" s="5" t="s">
        <v>625</v>
      </c>
      <c r="C10952" s="18" t="n">
        <v>0</v>
      </c>
    </row>
    <row r="10953" customFormat="false" ht="15" hidden="false" customHeight="false" outlineLevel="0" collapsed="false">
      <c r="A10953" s="5" t="s">
        <v>626</v>
      </c>
      <c r="C10953" s="15" t="n">
        <v>0</v>
      </c>
    </row>
    <row r="10955" customFormat="false" ht="15" hidden="false" customHeight="false" outlineLevel="0" collapsed="false">
      <c r="A10955" s="23" t="s">
        <v>237</v>
      </c>
      <c r="B10955" s="24"/>
      <c r="C10955" s="24"/>
      <c r="D10955" s="24"/>
      <c r="E10955" s="24"/>
      <c r="F10955" s="24"/>
      <c r="G10955" s="24"/>
      <c r="H10955" s="24"/>
      <c r="I10955" s="24"/>
      <c r="J10955" s="24"/>
      <c r="K10955" s="24"/>
    </row>
    <row r="10956" customFormat="false" ht="15" hidden="false" customHeight="false" outlineLevel="0" collapsed="false">
      <c r="A10956" s="5" t="s">
        <v>238</v>
      </c>
      <c r="F10956" s="26" t="n">
        <f aca="false">Assumptions!$C$6</f>
        <v>2025</v>
      </c>
      <c r="G10956" s="20" t="n">
        <f aca="false">F10956+1</f>
        <v>2026</v>
      </c>
      <c r="H10956" s="20" t="n">
        <f aca="false">G10956+1</f>
        <v>2027</v>
      </c>
      <c r="I10956" s="20" t="n">
        <f aca="false">H10956+1</f>
        <v>2028</v>
      </c>
      <c r="J10956" s="20" t="n">
        <f aca="false">I10956+1</f>
        <v>2029</v>
      </c>
      <c r="K10956" s="20" t="n">
        <f aca="false">J10956+1</f>
        <v>2030</v>
      </c>
    </row>
    <row r="10957" customFormat="false" ht="15" hidden="false" customHeight="false" outlineLevel="0" collapsed="false">
      <c r="A10957" s="5" t="s">
        <v>239</v>
      </c>
      <c r="G10957" s="20" t="n">
        <f aca="false">G10956-Assumptions!$C$6</f>
        <v>1</v>
      </c>
      <c r="H10957" s="20" t="n">
        <f aca="false">H10956-Assumptions!$C$6</f>
        <v>2</v>
      </c>
      <c r="I10957" s="20" t="n">
        <f aca="false">I10956-Assumptions!$C$6</f>
        <v>3</v>
      </c>
      <c r="J10957" s="20" t="n">
        <f aca="false">J10956-Assumptions!$C$6</f>
        <v>4</v>
      </c>
      <c r="K10957" s="20" t="n">
        <f aca="false">K10956-Assumptions!$C$6</f>
        <v>5</v>
      </c>
    </row>
    <row r="10958" customFormat="false" ht="15" hidden="false" customHeight="false" outlineLevel="0" collapsed="false">
      <c r="A10958" s="5" t="s">
        <v>149</v>
      </c>
      <c r="G10958" s="21" t="n">
        <f aca="false">CHOOSE($C$10949,Assumptions!$G$65,Assumptions!$G$84,Assumptions!$G$103)+$C$10950</f>
        <v>-0.184</v>
      </c>
      <c r="H10958" s="21" t="n">
        <f aca="false">CHOOSE($C$10949,Assumptions!$H$65,Assumptions!$H$84,Assumptions!$H$103)+$C$10950</f>
        <v>-0.08</v>
      </c>
      <c r="I10958" s="21" t="n">
        <f aca="false">CHOOSE($C$10949,Assumptions!$I$65,Assumptions!$I$84,Assumptions!$I$103)+$C$10950</f>
        <v>0.024</v>
      </c>
      <c r="J10958" s="21" t="n">
        <f aca="false">CHOOSE($C$10949,Assumptions!$J$65,Assumptions!$J$84,Assumptions!$J$103)+$C$10950</f>
        <v>0.04</v>
      </c>
      <c r="K10958" s="21" t="n">
        <f aca="false">CHOOSE($C$10949,Assumptions!$K$65,Assumptions!$K$84,Assumptions!$K$103)+$C$10950</f>
        <v>0.04</v>
      </c>
    </row>
    <row r="10959" customFormat="false" ht="15" hidden="false" customHeight="false" outlineLevel="0" collapsed="false">
      <c r="A10959" s="5" t="s">
        <v>150</v>
      </c>
      <c r="G10959" s="21" t="n">
        <f aca="false">CHOOSE($C$10949,Assumptions!$G$66,Assumptions!$G$85,Assumptions!$G$104)</f>
        <v>0.305</v>
      </c>
      <c r="H10959" s="21" t="n">
        <f aca="false">CHOOSE($C$10949,Assumptions!$H$66,Assumptions!$H$85,Assumptions!$H$104)</f>
        <v>0.305</v>
      </c>
      <c r="I10959" s="21" t="n">
        <f aca="false">CHOOSE($C$10949,Assumptions!$I$66,Assumptions!$I$85,Assumptions!$I$104)</f>
        <v>0.305</v>
      </c>
      <c r="J10959" s="21" t="n">
        <f aca="false">CHOOSE($C$10949,Assumptions!$J$66,Assumptions!$J$85,Assumptions!$J$104)</f>
        <v>0.305</v>
      </c>
      <c r="K10959" s="21" t="n">
        <f aca="false">CHOOSE($C$10949,Assumptions!$K$66,Assumptions!$K$85,Assumptions!$K$104)</f>
        <v>0.305</v>
      </c>
    </row>
    <row r="10960" customFormat="false" ht="15" hidden="false" customHeight="false" outlineLevel="0" collapsed="false">
      <c r="A10960" s="5" t="s">
        <v>151</v>
      </c>
      <c r="G10960" s="21" t="n">
        <f aca="false">CHOOSE($C$10949,Assumptions!$G$67,Assumptions!$G$86,Assumptions!$G$105)+$C$10951</f>
        <v>0.01</v>
      </c>
      <c r="H10960" s="21" t="n">
        <f aca="false">CHOOSE($C$10949,Assumptions!$H$67,Assumptions!$H$86,Assumptions!$H$105)+$C$10951</f>
        <v>0.01</v>
      </c>
      <c r="I10960" s="21" t="n">
        <f aca="false">CHOOSE($C$10949,Assumptions!$I$67,Assumptions!$I$86,Assumptions!$I$105)+$C$10951</f>
        <v>0.01</v>
      </c>
      <c r="J10960" s="21" t="n">
        <f aca="false">CHOOSE($C$10949,Assumptions!$J$67,Assumptions!$J$86,Assumptions!$J$105)+$C$10951</f>
        <v>0.01</v>
      </c>
      <c r="K10960" s="21" t="n">
        <f aca="false">CHOOSE($C$10949,Assumptions!$K$67,Assumptions!$K$86,Assumptions!$K$105)+$C$10951</f>
        <v>0.01</v>
      </c>
    </row>
    <row r="10961" customFormat="false" ht="15" hidden="false" customHeight="false" outlineLevel="0" collapsed="false">
      <c r="A10961" s="23" t="s">
        <v>240</v>
      </c>
      <c r="B10961" s="24"/>
      <c r="C10961" s="24"/>
      <c r="D10961" s="24"/>
      <c r="E10961" s="24"/>
      <c r="F10961" s="24"/>
      <c r="G10961" s="24"/>
      <c r="H10961" s="24"/>
      <c r="I10961" s="24"/>
      <c r="J10961" s="24"/>
      <c r="K10961" s="24"/>
    </row>
    <row r="10962" customFormat="false" ht="15" hidden="false" customHeight="false" outlineLevel="0" collapsed="false">
      <c r="A10962" s="2" t="s">
        <v>207</v>
      </c>
      <c r="F10962" s="27" t="n">
        <f aca="false">'Historical Financials'!E17</f>
        <v>2400</v>
      </c>
      <c r="G10962" s="16" t="n">
        <f aca="false">F10962*(1+G10958)</f>
        <v>1958.4</v>
      </c>
      <c r="H10962" s="16" t="n">
        <f aca="false">G10962*(1+H10958)</f>
        <v>1801.728</v>
      </c>
      <c r="I10962" s="16" t="n">
        <f aca="false">H10962*(1+I10958)</f>
        <v>1844.969472</v>
      </c>
      <c r="J10962" s="16" t="n">
        <f aca="false">I10962*(1+J10958)</f>
        <v>1918.76825088</v>
      </c>
      <c r="K10962" s="16" t="n">
        <f aca="false">J10962*(1+K10958)</f>
        <v>1995.5189809152</v>
      </c>
    </row>
    <row r="10963" customFormat="false" ht="15" hidden="false" customHeight="false" outlineLevel="0" collapsed="false">
      <c r="A10963" s="5" t="s">
        <v>217</v>
      </c>
      <c r="G10963" s="25" t="n">
        <f aca="false">G10962*(1-G10959)</f>
        <v>1361.088</v>
      </c>
      <c r="H10963" s="25" t="n">
        <f aca="false">H10962*(1-H10959)</f>
        <v>1252.20096</v>
      </c>
      <c r="I10963" s="25" t="n">
        <f aca="false">I10962*(1-I10959)</f>
        <v>1282.25378304</v>
      </c>
      <c r="J10963" s="25" t="n">
        <f aca="false">J10962*(1-J10959)</f>
        <v>1333.5439343616</v>
      </c>
      <c r="K10963" s="25" t="n">
        <f aca="false">K10962*(1-K10959)</f>
        <v>1386.88569173606</v>
      </c>
    </row>
    <row r="10964" customFormat="false" ht="15" hidden="false" customHeight="false" outlineLevel="0" collapsed="false">
      <c r="A10964" s="2" t="s">
        <v>218</v>
      </c>
      <c r="G10964" s="16" t="n">
        <f aca="false">G10962-G10963</f>
        <v>597.312</v>
      </c>
      <c r="H10964" s="16" t="n">
        <f aca="false">H10962-H10963</f>
        <v>549.52704</v>
      </c>
      <c r="I10964" s="16" t="n">
        <f aca="false">I10962-I10963</f>
        <v>562.71568896</v>
      </c>
      <c r="J10964" s="16" t="n">
        <f aca="false">J10962-J10963</f>
        <v>585.2243165184</v>
      </c>
      <c r="K10964" s="16" t="n">
        <f aca="false">K10962-K10963</f>
        <v>608.633289179136</v>
      </c>
    </row>
    <row r="10965" customFormat="false" ht="15" hidden="false" customHeight="false" outlineLevel="0" collapsed="false">
      <c r="A10965" s="5" t="s">
        <v>241</v>
      </c>
      <c r="G10965" s="25" t="n">
        <f aca="false">G10964-G10966</f>
        <v>577.728</v>
      </c>
      <c r="H10965" s="25" t="n">
        <f aca="false">H10964-H10966</f>
        <v>531.50976</v>
      </c>
      <c r="I10965" s="25" t="n">
        <f aca="false">I10964-I10966</f>
        <v>544.26599424</v>
      </c>
      <c r="J10965" s="25" t="n">
        <f aca="false">J10964-J10966</f>
        <v>566.0366340096</v>
      </c>
      <c r="K10965" s="25" t="n">
        <f aca="false">K10964-K10966</f>
        <v>588.678099369984</v>
      </c>
    </row>
    <row r="10966" customFormat="false" ht="15" hidden="false" customHeight="false" outlineLevel="0" collapsed="false">
      <c r="A10966" s="2" t="s">
        <v>242</v>
      </c>
      <c r="G10966" s="16" t="n">
        <f aca="false">G10962*G10960</f>
        <v>19.584</v>
      </c>
      <c r="H10966" s="16" t="n">
        <f aca="false">H10962*H10960</f>
        <v>18.01728</v>
      </c>
      <c r="I10966" s="16" t="n">
        <f aca="false">I10962*I10960</f>
        <v>18.44969472</v>
      </c>
      <c r="J10966" s="16" t="n">
        <f aca="false">J10962*J10960</f>
        <v>19.1876825088</v>
      </c>
      <c r="K10966" s="16" t="n">
        <f aca="false">K10962*K10960</f>
        <v>19.955189809152</v>
      </c>
    </row>
    <row r="10967" customFormat="false" ht="15" hidden="false" customHeight="false" outlineLevel="0" collapsed="false">
      <c r="A10967" s="5" t="s">
        <v>243</v>
      </c>
      <c r="G10967" s="25" t="n">
        <f aca="false">G10962*'Historical Financials'!E22/'Historical Financials'!E17</f>
        <v>43.0848</v>
      </c>
      <c r="H10967" s="25" t="n">
        <f aca="false">H10962*'Historical Financials'!E22/'Historical Financials'!E17</f>
        <v>39.638016</v>
      </c>
      <c r="I10967" s="25" t="n">
        <f aca="false">I10962*'Historical Financials'!E22/'Historical Financials'!E17</f>
        <v>40.589328384</v>
      </c>
      <c r="J10967" s="25" t="n">
        <f aca="false">J10962*'Historical Financials'!E22/'Historical Financials'!E17</f>
        <v>42.21290151936</v>
      </c>
      <c r="K10967" s="25" t="n">
        <f aca="false">K10962*'Historical Financials'!E22/'Historical Financials'!E17</f>
        <v>43.9014175801344</v>
      </c>
    </row>
    <row r="10968" customFormat="false" ht="15" hidden="false" customHeight="false" outlineLevel="0" collapsed="false">
      <c r="A10968" s="5" t="s">
        <v>244</v>
      </c>
      <c r="G10968" s="25" t="n">
        <f aca="false">G10962*'Historical Financials'!E23/'Historical Financials'!E17</f>
        <v>0</v>
      </c>
      <c r="H10968" s="25" t="n">
        <f aca="false">H10962*'Historical Financials'!E23/'Historical Financials'!E17</f>
        <v>0</v>
      </c>
      <c r="I10968" s="25" t="n">
        <f aca="false">I10962*'Historical Financials'!E23/'Historical Financials'!E17</f>
        <v>0</v>
      </c>
      <c r="J10968" s="25" t="n">
        <f aca="false">J10962*'Historical Financials'!E23/'Historical Financials'!E17</f>
        <v>0</v>
      </c>
      <c r="K10968" s="25" t="n">
        <f aca="false">K10962*'Historical Financials'!E23/'Historical Financials'!E17</f>
        <v>0</v>
      </c>
    </row>
    <row r="10969" customFormat="false" ht="15" hidden="false" customHeight="false" outlineLevel="0" collapsed="false">
      <c r="A10969" s="2" t="s">
        <v>245</v>
      </c>
      <c r="G10969" s="16" t="n">
        <f aca="false">G10966-G10967-G10968</f>
        <v>-23.5008</v>
      </c>
      <c r="H10969" s="16" t="n">
        <f aca="false">H10966-H10967-H10968</f>
        <v>-21.620736</v>
      </c>
      <c r="I10969" s="16" t="n">
        <f aca="false">I10966-I10967-I10968</f>
        <v>-22.139633664</v>
      </c>
      <c r="J10969" s="16" t="n">
        <f aca="false">J10966-J10967-J10968</f>
        <v>-23.02521901056</v>
      </c>
      <c r="K10969" s="16" t="n">
        <f aca="false">K10966-K10967-K10968</f>
        <v>-23.9462277709824</v>
      </c>
    </row>
    <row r="10970" customFormat="false" ht="15" hidden="false" customHeight="false" outlineLevel="0" collapsed="false">
      <c r="A10970" s="5" t="s">
        <v>246</v>
      </c>
      <c r="G10970" s="25" t="n">
        <f aca="false">G10996+G11009+G11022+G11035</f>
        <v>140.04</v>
      </c>
      <c r="H10970" s="25" t="n">
        <f aca="false">H10996+H11009+H11022+H11035</f>
        <v>145.6413888</v>
      </c>
      <c r="I10970" s="25" t="n">
        <f aca="false">I10996+I11009+I11022+I11035</f>
        <v>143.0619168</v>
      </c>
      <c r="J10970" s="25" t="n">
        <f aca="false">J10996+J11009+J11022+J11035</f>
        <v>142.3963168</v>
      </c>
      <c r="K10970" s="25" t="n">
        <f aca="false">K10996+K11009+K11022+K11035</f>
        <v>141.7307168</v>
      </c>
    </row>
    <row r="10971" customFormat="false" ht="15" hidden="false" customHeight="false" outlineLevel="0" collapsed="false">
      <c r="A10971" s="5" t="s">
        <v>247</v>
      </c>
      <c r="G10971" s="25" t="n">
        <f aca="false">G10997+G11010+G11023+G11036</f>
        <v>0</v>
      </c>
      <c r="H10971" s="25" t="n">
        <f aca="false">H10997+H11010+H11023+H11036</f>
        <v>0</v>
      </c>
      <c r="I10971" s="25" t="n">
        <f aca="false">I10997+I11010+I11023+I11036</f>
        <v>0</v>
      </c>
      <c r="J10971" s="25" t="n">
        <f aca="false">J10997+J11010+J11023+J11036</f>
        <v>0</v>
      </c>
      <c r="K10971" s="25" t="n">
        <f aca="false">K10997+K11010+K11023+K11036</f>
        <v>0</v>
      </c>
    </row>
    <row r="10972" customFormat="false" ht="15" hidden="false" customHeight="false" outlineLevel="0" collapsed="false">
      <c r="A10972" s="5" t="s">
        <v>212</v>
      </c>
      <c r="G10972" s="25" t="n">
        <f aca="false">G10970+G10971</f>
        <v>140.04</v>
      </c>
      <c r="H10972" s="25" t="n">
        <f aca="false">H10970+H10971</f>
        <v>145.6413888</v>
      </c>
      <c r="I10972" s="25" t="n">
        <f aca="false">I10970+I10971</f>
        <v>143.0619168</v>
      </c>
      <c r="J10972" s="25" t="n">
        <f aca="false">J10970+J10971</f>
        <v>142.3963168</v>
      </c>
      <c r="K10972" s="25" t="n">
        <f aca="false">K10970+K10971</f>
        <v>141.7307168</v>
      </c>
    </row>
    <row r="10973" customFormat="false" ht="15" hidden="false" customHeight="false" outlineLevel="0" collapsed="false">
      <c r="A10973" s="2" t="s">
        <v>223</v>
      </c>
      <c r="G10973" s="16" t="n">
        <f aca="false">G10969-G10972</f>
        <v>-163.5408</v>
      </c>
      <c r="H10973" s="16" t="n">
        <f aca="false">H10969-H10972</f>
        <v>-167.2621248</v>
      </c>
      <c r="I10973" s="16" t="n">
        <f aca="false">I10969-I10972</f>
        <v>-165.201550464</v>
      </c>
      <c r="J10973" s="16" t="n">
        <f aca="false">J10969-J10972</f>
        <v>-165.42153581056</v>
      </c>
      <c r="K10973" s="16" t="n">
        <f aca="false">K10969-K10972</f>
        <v>-165.676944570982</v>
      </c>
    </row>
    <row r="10974" customFormat="false" ht="15" hidden="false" customHeight="false" outlineLevel="0" collapsed="false">
      <c r="A10974" s="5" t="s">
        <v>213</v>
      </c>
      <c r="G10974" s="25" t="n">
        <f aca="false">MAX(0,G10973)*Assumptions!$C$9</f>
        <v>0</v>
      </c>
      <c r="H10974" s="25" t="n">
        <f aca="false">MAX(0,H10973)*Assumptions!$C$9</f>
        <v>0</v>
      </c>
      <c r="I10974" s="25" t="n">
        <f aca="false">MAX(0,I10973)*Assumptions!$C$9</f>
        <v>0</v>
      </c>
      <c r="J10974" s="25" t="n">
        <f aca="false">MAX(0,J10973)*Assumptions!$C$9</f>
        <v>0</v>
      </c>
      <c r="K10974" s="25" t="n">
        <f aca="false">MAX(0,K10973)*Assumptions!$C$9</f>
        <v>0</v>
      </c>
    </row>
    <row r="10975" customFormat="false" ht="15" hidden="false" customHeight="false" outlineLevel="0" collapsed="false">
      <c r="A10975" s="2" t="s">
        <v>248</v>
      </c>
      <c r="G10975" s="16" t="n">
        <f aca="false">G10973-G10974</f>
        <v>-163.5408</v>
      </c>
      <c r="H10975" s="16" t="n">
        <f aca="false">H10973-H10974</f>
        <v>-167.2621248</v>
      </c>
      <c r="I10975" s="16" t="n">
        <f aca="false">I10973-I10974</f>
        <v>-165.201550464</v>
      </c>
      <c r="J10975" s="16" t="n">
        <f aca="false">J10973-J10974</f>
        <v>-165.42153581056</v>
      </c>
      <c r="K10975" s="16" t="n">
        <f aca="false">K10973-K10974</f>
        <v>-165.676944570982</v>
      </c>
    </row>
    <row r="10976" customFormat="false" ht="15" hidden="false" customHeight="false" outlineLevel="0" collapsed="false">
      <c r="A10976" s="23" t="s">
        <v>249</v>
      </c>
      <c r="B10976" s="24"/>
      <c r="C10976" s="24"/>
      <c r="D10976" s="24"/>
      <c r="E10976" s="24"/>
      <c r="F10976" s="24"/>
      <c r="G10976" s="24"/>
      <c r="H10976" s="24"/>
      <c r="I10976" s="24"/>
      <c r="J10976" s="24"/>
      <c r="K10976" s="24"/>
    </row>
    <row r="10977" customFormat="false" ht="15" hidden="false" customHeight="false" outlineLevel="0" collapsed="false">
      <c r="A10977" s="5" t="s">
        <v>153</v>
      </c>
      <c r="G10977" s="25" t="n">
        <f aca="false">G10962*CHOOSE($C$10949,Assumptions!$C$69,Assumptions!$C$88,Assumptions!$C$107)</f>
        <v>31.3344</v>
      </c>
      <c r="H10977" s="25" t="n">
        <f aca="false">H10962*CHOOSE($C$10949,Assumptions!$C$69,Assumptions!$C$88,Assumptions!$C$107)</f>
        <v>28.827648</v>
      </c>
      <c r="I10977" s="25" t="n">
        <f aca="false">I10962*CHOOSE($C$10949,Assumptions!$C$69,Assumptions!$C$88,Assumptions!$C$107)</f>
        <v>29.519511552</v>
      </c>
      <c r="J10977" s="25" t="n">
        <f aca="false">J10962*CHOOSE($C$10949,Assumptions!$C$69,Assumptions!$C$88,Assumptions!$C$107)</f>
        <v>30.70029201408</v>
      </c>
      <c r="K10977" s="25" t="n">
        <f aca="false">K10962*CHOOSE($C$10949,Assumptions!$C$69,Assumptions!$C$88,Assumptions!$C$107)</f>
        <v>31.9283036946432</v>
      </c>
    </row>
    <row r="10978" customFormat="false" ht="15" hidden="false" customHeight="false" outlineLevel="0" collapsed="false">
      <c r="A10978" s="5" t="s">
        <v>250</v>
      </c>
      <c r="G10978" s="25" t="n">
        <f aca="false">CHOOSE($C$10949,Assumptions!$C$70,Assumptions!$C$89,Assumptions!$C$108)*(G10962-F10962)+CHOOSE($C$10949,Assumptions!$C$71,Assumptions!$C$90,Assumptions!$C$109)*G10962</f>
        <v>-41.2416</v>
      </c>
      <c r="H10978" s="25" t="n">
        <f aca="false">CHOOSE($C$10949,Assumptions!$C$70,Assumptions!$C$89,Assumptions!$C$108)*(H10962-G10962)+CHOOSE($C$10949,Assumptions!$C$71,Assumptions!$C$90,Assumptions!$C$109)*H10962</f>
        <v>-7.990272</v>
      </c>
      <c r="I10978" s="25" t="n">
        <f aca="false">CHOOSE($C$10949,Assumptions!$C$70,Assumptions!$C$89,Assumptions!$C$108)*(I10962-H10962)+CHOOSE($C$10949,Assumptions!$C$71,Assumptions!$C$90,Assumptions!$C$109)*I10962</f>
        <v>16.258793472</v>
      </c>
      <c r="J10978" s="25" t="n">
        <f aca="false">CHOOSE($C$10949,Assumptions!$C$70,Assumptions!$C$89,Assumptions!$C$108)*(J10962-I10962)+CHOOSE($C$10949,Assumptions!$C$71,Assumptions!$C$90,Assumptions!$C$109)*J10962</f>
        <v>20.36846297088</v>
      </c>
      <c r="K10978" s="25" t="n">
        <f aca="false">CHOOSE($C$10949,Assumptions!$C$70,Assumptions!$C$89,Assumptions!$C$108)*(K10962-J10962)+CHOOSE($C$10949,Assumptions!$C$71,Assumptions!$C$90,Assumptions!$C$109)*K10962</f>
        <v>21.1832014897152</v>
      </c>
    </row>
    <row r="10979" customFormat="false" ht="15" hidden="false" customHeight="false" outlineLevel="0" collapsed="false">
      <c r="A10979" s="2" t="s">
        <v>251</v>
      </c>
      <c r="G10979" s="16" t="n">
        <f aca="false">G10975+G10967+G10968+G10971-G10977-G10978</f>
        <v>-110.5488</v>
      </c>
      <c r="H10979" s="16" t="n">
        <f aca="false">H10975+H10967+H10968+H10971-H10977-H10978</f>
        <v>-148.4614848</v>
      </c>
      <c r="I10979" s="16" t="n">
        <f aca="false">I10975+I10967+I10968+I10971-I10977-I10978</f>
        <v>-170.390527104</v>
      </c>
      <c r="J10979" s="16" t="n">
        <f aca="false">J10975+J10967+J10968+J10971-J10977-J10978</f>
        <v>-174.27738927616</v>
      </c>
      <c r="K10979" s="16" t="n">
        <f aca="false">K10975+K10967+K10968+K10971-K10977-K10978</f>
        <v>-174.887032175206</v>
      </c>
    </row>
    <row r="10981" customFormat="false" ht="15" hidden="false" customHeight="false" outlineLevel="0" collapsed="false">
      <c r="A10981" s="23" t="s">
        <v>253</v>
      </c>
      <c r="B10981" s="24"/>
      <c r="C10981" s="24"/>
      <c r="D10981" s="24"/>
      <c r="E10981" s="24"/>
      <c r="F10981" s="24"/>
      <c r="G10981" s="24"/>
      <c r="H10981" s="24"/>
      <c r="I10981" s="24"/>
      <c r="J10981" s="24"/>
      <c r="K10981" s="24"/>
    </row>
    <row r="10982" customFormat="false" ht="15" hidden="false" customHeight="false" outlineLevel="0" collapsed="false">
      <c r="A10982" s="5" t="s">
        <v>254</v>
      </c>
      <c r="G10982" s="29" t="n">
        <f aca="false">Assumptions!$G$49</f>
        <v>0.0425</v>
      </c>
      <c r="H10982" s="29" t="n">
        <f aca="false">Assumptions!$H$49</f>
        <v>0.04</v>
      </c>
      <c r="I10982" s="29" t="n">
        <f aca="false">Assumptions!$I$49</f>
        <v>0.0375</v>
      </c>
      <c r="J10982" s="29" t="n">
        <f aca="false">Assumptions!$J$49</f>
        <v>0.0375</v>
      </c>
      <c r="K10982" s="29" t="n">
        <f aca="false">Assumptions!$K$49</f>
        <v>0.0375</v>
      </c>
    </row>
    <row r="10983" customFormat="false" ht="15" hidden="false" customHeight="false" outlineLevel="0" collapsed="false">
      <c r="A10983" s="5" t="s">
        <v>255</v>
      </c>
      <c r="C10983" s="30" t="n">
        <f aca="false">CHOOSE($C$10949,Assumptions!$C$72,Assumptions!$C$91,Assumptions!$C$110)+$C$10952</f>
        <v>0.03</v>
      </c>
    </row>
    <row r="10984" customFormat="false" ht="15" hidden="false" customHeight="false" outlineLevel="0" collapsed="false">
      <c r="A10984" s="5" t="s">
        <v>256</v>
      </c>
      <c r="C10984" s="30" t="n">
        <f aca="false">CHOOSE($C$10949,Assumptions!$C$73,Assumptions!$C$92,Assumptions!$C$111)</f>
        <v>0.16</v>
      </c>
    </row>
    <row r="10985" customFormat="false" ht="15" hidden="false" customHeight="false" outlineLevel="0" collapsed="false">
      <c r="A10985" s="5" t="s">
        <v>257</v>
      </c>
      <c r="C10985" s="31" t="n">
        <f aca="false">CHOOSE($C$10949,Assumptions!$C$74,Assumptions!$C$93,Assumptions!$C$112)</f>
        <v>5</v>
      </c>
    </row>
    <row r="10986" customFormat="false" ht="15" hidden="false" customHeight="false" outlineLevel="0" collapsed="false">
      <c r="A10986" s="5" t="s">
        <v>258</v>
      </c>
      <c r="C10986" s="31" t="n">
        <f aca="false">CHOOSE($C$10949,Assumptions!$C$75,Assumptions!$C$94,Assumptions!$C$113)</f>
        <v>2</v>
      </c>
    </row>
    <row r="10987" customFormat="false" ht="15" hidden="false" customHeight="false" outlineLevel="0" collapsed="false">
      <c r="A10987" s="5" t="s">
        <v>259</v>
      </c>
      <c r="G10987" s="25" t="n">
        <f aca="false">G10992+G11005+G11018+G11031</f>
        <v>1250</v>
      </c>
      <c r="H10987" s="25" t="n">
        <f aca="false">H10992+H11005+H11018+H11031</f>
        <v>1315.5488</v>
      </c>
      <c r="I10987" s="25" t="n">
        <f aca="false">I10992+I11005+I11018+I11031</f>
        <v>1310.3488</v>
      </c>
      <c r="J10987" s="25" t="n">
        <f aca="false">J10992+J11005+J11018+J11031</f>
        <v>1305.1488</v>
      </c>
      <c r="K10987" s="25" t="n">
        <f aca="false">K10992+K11005+K11018+K11031</f>
        <v>1299.9488</v>
      </c>
    </row>
    <row r="10988" customFormat="false" ht="15" hidden="false" customHeight="false" outlineLevel="0" collapsed="false">
      <c r="A10988" s="5" t="s">
        <v>260</v>
      </c>
      <c r="G10988" s="25" t="n">
        <f aca="false">F11078</f>
        <v>45</v>
      </c>
      <c r="H10988" s="25" t="n">
        <f aca="false">G11078</f>
        <v>0</v>
      </c>
      <c r="I10988" s="25" t="n">
        <f aca="false">H11078</f>
        <v>-153.6614848</v>
      </c>
      <c r="J10988" s="25" t="n">
        <f aca="false">I11078</f>
        <v>-329.252011904</v>
      </c>
      <c r="K10988" s="25" t="n">
        <f aca="false">J11078</f>
        <v>-508.72940118016</v>
      </c>
    </row>
    <row r="10989" customFormat="false" ht="15" hidden="false" customHeight="false" outlineLevel="0" collapsed="false">
      <c r="A10989" s="5" t="s">
        <v>261</v>
      </c>
      <c r="G10989" s="25" t="n">
        <f aca="false">G10992*IF(G10993=1,$C$10984,IF(Assumptions!$I$53=1,MAX(G10982,Assumptions!$G$53)+Assumptions!$F$53+$C$10983,Assumptions!$E$53))+G11005*IF(G11006=1,$C$10984,IF(Assumptions!$I$54=1,MAX(G10982,Assumptions!$G$54)+Assumptions!$F$54+$C$10983,Assumptions!$E$54))+G11018*IF(G11019=1,$C$10984,IF(Assumptions!$I$55=1,MAX(G10982,Assumptions!$G$55)+Assumptions!$F$55+$C$10983,Assumptions!$E$55))+G11031*IF(G11032=1,$C$10984,IF(Assumptions!$I$56=1,MAX(G10982,Assumptions!$G$56)+Assumptions!$F$56+$C$10983,Assumptions!$E$56))</f>
        <v>140.04</v>
      </c>
      <c r="H10989" s="25" t="n">
        <f aca="false">H10992*IF(OR(H10993=1,G11144=1),$C$10984,IF(Assumptions!$I$53=1,MAX(H10982,Assumptions!$G$53)+Assumptions!$F$53+$C$10983,Assumptions!$E$53))+H11005*IF(OR(H11006=1,G11145=1),$C$10984,IF(Assumptions!$I$54=1,MAX(H10982,Assumptions!$G$54)+Assumptions!$F$54+$C$10983,Assumptions!$E$54))+H11018*IF(OR(H11019=1,G11146=1),$C$10984,IF(Assumptions!$I$55=1,MAX(H10982,Assumptions!$G$55)+Assumptions!$F$55+$C$10983,Assumptions!$E$55))+H11031*IF(OR(H11032=1,G11147=1),$C$10984,IF(Assumptions!$I$56=1,MAX(H10982,Assumptions!$G$56)+Assumptions!$F$56+$C$10983,Assumptions!$E$56))</f>
        <v>182.801208</v>
      </c>
      <c r="I10989" s="25" t="n">
        <f aca="false">I10992*IF(OR(I10993=1,H11144=1),$C$10984,IF(Assumptions!$I$53=1,MAX(I10982,Assumptions!$G$53)+Assumptions!$F$53+$C$10983,Assumptions!$E$53))+I11005*IF(OR(I11006=1,H11145=1),$C$10984,IF(Assumptions!$I$54=1,MAX(I10982,Assumptions!$G$54)+Assumptions!$F$54+$C$10983,Assumptions!$E$54))+I11018*IF(OR(I11019=1,H11146=1),$C$10984,IF(Assumptions!$I$55=1,MAX(I10982,Assumptions!$G$55)+Assumptions!$F$55+$C$10983,Assumptions!$E$55))+I11031*IF(OR(I11032=1,H11147=1),$C$10984,IF(Assumptions!$I$56=1,MAX(I10982,Assumptions!$G$56)+Assumptions!$F$56+$C$10983,Assumptions!$E$56))</f>
        <v>159.3691168</v>
      </c>
      <c r="J10989" s="25" t="n">
        <f aca="false">J10992*IF(OR(J10993=1,I11144=1),$C$10984,IF(Assumptions!$I$53=1,MAX(J10982,Assumptions!$G$53)+Assumptions!$F$53+$C$10983,Assumptions!$E$53))+J11005*IF(OR(J11006=1,I11145=1),$C$10984,IF(Assumptions!$I$54=1,MAX(J10982,Assumptions!$G$54)+Assumptions!$F$54+$C$10983,Assumptions!$E$54))+J11018*IF(OR(J11019=1,I11146=1),$C$10984,IF(Assumptions!$I$55=1,MAX(J10982,Assumptions!$G$55)+Assumptions!$F$55+$C$10983,Assumptions!$E$55))+J11031*IF(OR(J11032=1,I11147=1),$C$10984,IF(Assumptions!$I$56=1,MAX(J10982,Assumptions!$G$56)+Assumptions!$F$56+$C$10983,Assumptions!$E$56))</f>
        <v>154.8963168</v>
      </c>
      <c r="K10989" s="25" t="n">
        <f aca="false">K10992*IF(OR(K10993=1,J11144=1),$C$10984,IF(Assumptions!$I$53=1,MAX(K10982,Assumptions!$G$53)+Assumptions!$F$53+$C$10983,Assumptions!$E$53))+K11005*IF(OR(K11006=1,J11145=1),$C$10984,IF(Assumptions!$I$54=1,MAX(K10982,Assumptions!$G$54)+Assumptions!$F$54+$C$10983,Assumptions!$E$54))+K11018*IF(OR(K11019=1,J11146=1),$C$10984,IF(Assumptions!$I$55=1,MAX(K10982,Assumptions!$G$55)+Assumptions!$F$55+$C$10983,Assumptions!$E$55))+K11031*IF(OR(K11032=1,J11147=1),$C$10984,IF(Assumptions!$I$56=1,MAX(K10982,Assumptions!$G$56)+Assumptions!$F$56+$C$10983,Assumptions!$E$56))</f>
        <v>141.7307168</v>
      </c>
    </row>
    <row r="10990" customFormat="false" ht="15" hidden="false" customHeight="false" outlineLevel="0" collapsed="false">
      <c r="A10990" s="5" t="s">
        <v>262</v>
      </c>
      <c r="G10990" s="20" t="n">
        <f aca="false">IF(G10966&lt;=0,0,IF(AND((G10987-G10988)/G10966&lt;=$C$10985,G10966/G10989&gt;=$C$10986),1,0))</f>
        <v>0</v>
      </c>
      <c r="H10990" s="20" t="n">
        <f aca="false">IF(H10966&lt;=0,0,IF(AND((H10987-H10988)/H10966&lt;=$C$10985,H10966/H10989&gt;=$C$10986),1,0))</f>
        <v>0</v>
      </c>
      <c r="I10990" s="20" t="n">
        <f aca="false">IF(I10966&lt;=0,0,IF(AND((I10987-I10988)/I10966&lt;=$C$10985,I10966/I10989&gt;=$C$10986),1,0))</f>
        <v>0</v>
      </c>
      <c r="J10990" s="20" t="n">
        <f aca="false">IF(J10966&lt;=0,0,IF(AND((J10987-J10988)/J10966&lt;=$C$10985,J10966/J10989&gt;=$C$10986),1,0))</f>
        <v>0</v>
      </c>
      <c r="K10990" s="20" t="n">
        <f aca="false">IF(K10966&lt;=0,0,IF(AND((K10987-K10988)/K10966&lt;=$C$10985,K10966/K10989&gt;=$C$10986),1,0))</f>
        <v>0</v>
      </c>
    </row>
    <row r="10991" customFormat="false" ht="15" hidden="false" customHeight="false" outlineLevel="0" collapsed="false">
      <c r="A10991" s="23" t="s">
        <v>263</v>
      </c>
      <c r="B10991" s="24"/>
      <c r="C10991" s="24"/>
      <c r="D10991" s="24"/>
      <c r="E10991" s="24"/>
      <c r="F10991" s="24"/>
      <c r="G10991" s="24"/>
      <c r="H10991" s="24"/>
      <c r="I10991" s="24"/>
      <c r="J10991" s="24"/>
      <c r="K10991" s="24"/>
    </row>
    <row r="10992" customFormat="false" ht="15" hidden="false" customHeight="false" outlineLevel="0" collapsed="false">
      <c r="A10992" s="5" t="s">
        <v>264</v>
      </c>
      <c r="G10992" s="25" t="n">
        <f aca="false">F11003</f>
        <v>180</v>
      </c>
      <c r="H10992" s="25" t="n">
        <f aca="false">G11003</f>
        <v>250.7488</v>
      </c>
      <c r="I10992" s="25" t="n">
        <f aca="false">H11003</f>
        <v>250.7488</v>
      </c>
      <c r="J10992" s="25" t="n">
        <f aca="false">I11003</f>
        <v>250.7488</v>
      </c>
      <c r="K10992" s="25" t="n">
        <f aca="false">J11003</f>
        <v>250.7488</v>
      </c>
    </row>
    <row r="10993" customFormat="false" ht="15" hidden="false" customHeight="false" outlineLevel="0" collapsed="false">
      <c r="A10993" s="5" t="s">
        <v>265</v>
      </c>
      <c r="G10993" s="20" t="n">
        <f aca="false">IF(G10956=Assumptions!$K$53,1,0)</f>
        <v>0</v>
      </c>
      <c r="H10993" s="20" t="n">
        <f aca="false">IF(H10956=Assumptions!$K$53,1,0)</f>
        <v>1</v>
      </c>
      <c r="I10993" s="20" t="n">
        <f aca="false">IF(I10956=Assumptions!$K$53,1,0)</f>
        <v>0</v>
      </c>
      <c r="J10993" s="20" t="n">
        <f aca="false">IF(J10956=Assumptions!$K$53,1,0)</f>
        <v>0</v>
      </c>
      <c r="K10993" s="20" t="n">
        <f aca="false">IF(K10956=Assumptions!$K$53,1,0)</f>
        <v>0</v>
      </c>
    </row>
    <row r="10995" customFormat="false" ht="15" hidden="false" customHeight="false" outlineLevel="0" collapsed="false">
      <c r="A10995" s="5" t="s">
        <v>266</v>
      </c>
      <c r="G10995" s="30" t="n">
        <f aca="false">IF(Assumptions!$I$53=1,MAX(G10982,Assumptions!$G$53)+Assumptions!$F$53+$C$10983,Assumptions!$E$53)</f>
        <v>0.116</v>
      </c>
      <c r="H10995" s="30" t="n">
        <f aca="false">IF(G11144=1,$C$10984,IF(Assumptions!$I$53=1,MAX(H10982,Assumptions!$G$53)+Assumptions!$F$53+$C$10983,Assumptions!$E$53))</f>
        <v>0.1135</v>
      </c>
      <c r="I10995" s="30" t="n">
        <f aca="false">IF(H11144=1,$C$10984,IF(Assumptions!$I$53=1,MAX(I10982,Assumptions!$G$53)+Assumptions!$F$53+$C$10983,Assumptions!$E$53))</f>
        <v>0.111</v>
      </c>
      <c r="J10995" s="30" t="n">
        <f aca="false">IF(I11144=1,$C$10984,IF(Assumptions!$I$53=1,MAX(J10982,Assumptions!$G$53)+Assumptions!$F$53+$C$10983,Assumptions!$E$53))</f>
        <v>0.111</v>
      </c>
      <c r="K10995" s="30" t="n">
        <f aca="false">IF(J11144=1,$C$10984,IF(Assumptions!$I$53=1,MAX(K10982,Assumptions!$G$53)+Assumptions!$F$53+$C$10983,Assumptions!$E$53))</f>
        <v>0.111</v>
      </c>
    </row>
    <row r="10996" customFormat="false" ht="15" hidden="false" customHeight="false" outlineLevel="0" collapsed="false">
      <c r="A10996" s="5" t="s">
        <v>267</v>
      </c>
      <c r="G10996" s="25" t="n">
        <f aca="false">G10992*G10995</f>
        <v>20.88</v>
      </c>
      <c r="H10996" s="25" t="n">
        <f aca="false">H10992*H10995</f>
        <v>28.4599888</v>
      </c>
      <c r="I10996" s="25" t="n">
        <f aca="false">I10992*I10995</f>
        <v>27.8331168</v>
      </c>
      <c r="J10996" s="25" t="n">
        <f aca="false">J10992*J10995</f>
        <v>27.8331168</v>
      </c>
      <c r="K10996" s="25" t="n">
        <f aca="false">K10992*K10995</f>
        <v>27.8331168</v>
      </c>
    </row>
    <row r="10997" customFormat="false" ht="15" hidden="false" customHeight="false" outlineLevel="0" collapsed="false">
      <c r="A10997" s="5" t="s">
        <v>268</v>
      </c>
      <c r="G10997" s="25" t="n">
        <f aca="false">G10992*Assumptions!$H$53</f>
        <v>0</v>
      </c>
      <c r="H10997" s="25" t="n">
        <f aca="false">H10992*Assumptions!$H$53</f>
        <v>0</v>
      </c>
      <c r="I10997" s="25" t="n">
        <f aca="false">I10992*Assumptions!$H$53</f>
        <v>0</v>
      </c>
      <c r="J10997" s="25" t="n">
        <f aca="false">J10992*Assumptions!$H$53</f>
        <v>0</v>
      </c>
      <c r="K10997" s="25" t="n">
        <f aca="false">K10992*Assumptions!$H$53</f>
        <v>0</v>
      </c>
    </row>
    <row r="10998" customFormat="false" ht="15" hidden="false" customHeight="false" outlineLevel="0" collapsed="false">
      <c r="A10998" s="5" t="s">
        <v>269</v>
      </c>
      <c r="G10998" s="25" t="n">
        <f aca="false">MIN(G10992,Assumptions!$L$53*Assumptions!$C$53)</f>
        <v>0</v>
      </c>
      <c r="H10998" s="25" t="n">
        <f aca="false">MIN(H10992,Assumptions!$L$53*Assumptions!$C$53)</f>
        <v>0</v>
      </c>
      <c r="I10998" s="25" t="n">
        <f aca="false">MIN(I10992,Assumptions!$L$53*Assumptions!$C$53)</f>
        <v>0</v>
      </c>
      <c r="J10998" s="25" t="n">
        <f aca="false">MIN(J10992,Assumptions!$L$53*Assumptions!$C$53)</f>
        <v>0</v>
      </c>
      <c r="K10998" s="25" t="n">
        <f aca="false">MIN(K10992,Assumptions!$L$53*Assumptions!$C$53)</f>
        <v>0</v>
      </c>
    </row>
    <row r="10999" customFormat="false" ht="15" hidden="false" customHeight="false" outlineLevel="0" collapsed="false">
      <c r="A10999" s="5" t="s">
        <v>270</v>
      </c>
      <c r="G10999" s="25" t="n">
        <f aca="false">IF(AND(Assumptions!$P$53=1,G10956&lt;Assumptions!$K$53),MIN(MAX(0,-G11070),MAX(0,Assumptions!$D$53-G10992)),0)</f>
        <v>70.7488</v>
      </c>
      <c r="H10999" s="25" t="n">
        <f aca="false">IF(AND(Assumptions!$P$53=1,OR(H10956&lt;Assumptions!$K$53,G11144=1)),MIN(MAX(0,-H11070),MAX(0,Assumptions!$D$53-H10992)),0)</f>
        <v>0</v>
      </c>
      <c r="I10999" s="25" t="n">
        <f aca="false">IF(AND(Assumptions!$P$53=1,OR(I10956&lt;Assumptions!$K$53,H11144=1)),MIN(MAX(0,-I11070),MAX(0,Assumptions!$D$53-I10992)),0)</f>
        <v>0</v>
      </c>
      <c r="J10999" s="25" t="n">
        <f aca="false">IF(AND(Assumptions!$P$53=1,OR(J10956&lt;Assumptions!$K$53,I11144=1)),MIN(MAX(0,-J11070),MAX(0,Assumptions!$D$53-J10992)),0)</f>
        <v>0</v>
      </c>
      <c r="K10999" s="25" t="n">
        <f aca="false">IF(AND(Assumptions!$P$53=1,OR(K10956&lt;Assumptions!$K$53,J11144=1)),MIN(MAX(0,-K11070),MAX(0,Assumptions!$D$53-K10992)),0)</f>
        <v>0</v>
      </c>
    </row>
    <row r="11000" customFormat="false" ht="15" hidden="false" customHeight="false" outlineLevel="0" collapsed="false">
      <c r="A11000" s="5" t="s">
        <v>271</v>
      </c>
      <c r="G11000" s="25" t="n">
        <f aca="false">G10993*MIN(G10992-G10998+G10997,MAX(0,G11072-Assumptions!$C$12*G10990))</f>
        <v>0</v>
      </c>
      <c r="H11000" s="25" t="n">
        <f aca="false">H10993*MIN(H10992-H10998+H10997,MAX(0,H11072-Assumptions!$C$12*H10990))</f>
        <v>0</v>
      </c>
      <c r="I11000" s="25" t="n">
        <f aca="false">I10993*MIN(I10992-I10998+I10997,MAX(0,I11072-Assumptions!$C$12*I10990))</f>
        <v>0</v>
      </c>
      <c r="J11000" s="25" t="n">
        <f aca="false">J10993*MIN(J10992-J10998+J10997,MAX(0,J11072-Assumptions!$C$12*J10990))</f>
        <v>0</v>
      </c>
      <c r="K11000" s="25" t="n">
        <f aca="false">K10993*MIN(K10992-K10998+K10997,MAX(0,K11072-Assumptions!$C$12*K10990))</f>
        <v>0</v>
      </c>
    </row>
    <row r="11001" customFormat="false" ht="15" hidden="false" customHeight="false" outlineLevel="0" collapsed="false">
      <c r="A11001" s="5" t="s">
        <v>272</v>
      </c>
      <c r="G11001" s="25" t="n">
        <f aca="false">Assumptions!$N$53*MIN(G10992+G10999+G10997-G10998-G11000,MAX(0,G11076))</f>
        <v>0</v>
      </c>
      <c r="H11001" s="25" t="n">
        <f aca="false">Assumptions!$N$53*MIN(H10992+H10999+H10997-H10998-H11000,MAX(0,H11076))</f>
        <v>0</v>
      </c>
      <c r="I11001" s="25" t="n">
        <f aca="false">Assumptions!$N$53*MIN(I10992+I10999+I10997-I10998-I11000,MAX(0,I11076))</f>
        <v>0</v>
      </c>
      <c r="J11001" s="25" t="n">
        <f aca="false">Assumptions!$N$53*MIN(J10992+J10999+J10997-J10998-J11000,MAX(0,J11076))</f>
        <v>0</v>
      </c>
      <c r="K11001" s="25" t="n">
        <f aca="false">Assumptions!$N$53*MIN(K10992+K10999+K10997-K10998-K11000,MAX(0,K11076))</f>
        <v>0</v>
      </c>
    </row>
    <row r="11002" customFormat="false" ht="15" hidden="false" customHeight="false" outlineLevel="0" collapsed="false">
      <c r="A11002" s="5" t="s">
        <v>273</v>
      </c>
      <c r="G11002" s="25" t="n">
        <f aca="false">G10993*(1-G10990)*(G10992-G10998+G10997-G11000)</f>
        <v>0</v>
      </c>
      <c r="H11002" s="25" t="n">
        <f aca="false">H10993*(1-H10990)*(H10992-H10998+H10997-H11000)</f>
        <v>250.7488</v>
      </c>
      <c r="I11002" s="25" t="n">
        <f aca="false">I10993*(1-I10990)*(I10992-I10998+I10997-I11000)</f>
        <v>0</v>
      </c>
      <c r="J11002" s="25" t="n">
        <f aca="false">J10993*(1-J10990)*(J10992-J10998+J10997-J11000)</f>
        <v>0</v>
      </c>
      <c r="K11002" s="25" t="n">
        <f aca="false">K10993*(1-K10990)*(K10992-K10998+K10997-K11000)</f>
        <v>0</v>
      </c>
    </row>
    <row r="11003" customFormat="false" ht="15" hidden="false" customHeight="false" outlineLevel="0" collapsed="false">
      <c r="A11003" s="2" t="s">
        <v>274</v>
      </c>
      <c r="F11003" s="27" t="n">
        <f aca="false">Assumptions!$C$53</f>
        <v>180</v>
      </c>
      <c r="G11003" s="16" t="n">
        <f aca="false">G10992+G10999+G10997-G10998-G11000-G11001</f>
        <v>250.7488</v>
      </c>
      <c r="H11003" s="16" t="n">
        <f aca="false">H10992+H10999+H10997-H10998-H11000-H11001</f>
        <v>250.7488</v>
      </c>
      <c r="I11003" s="16" t="n">
        <f aca="false">I10992+I10999+I10997-I10998-I11000-I11001</f>
        <v>250.7488</v>
      </c>
      <c r="J11003" s="16" t="n">
        <f aca="false">J10992+J10999+J10997-J10998-J11000-J11001</f>
        <v>250.7488</v>
      </c>
      <c r="K11003" s="16" t="n">
        <f aca="false">K10992+K10999+K10997-K10998-K11000-K11001</f>
        <v>250.7488</v>
      </c>
    </row>
    <row r="11004" customFormat="false" ht="15" hidden="false" customHeight="false" outlineLevel="0" collapsed="false">
      <c r="A11004" s="23" t="s">
        <v>275</v>
      </c>
      <c r="B11004" s="24"/>
      <c r="C11004" s="24"/>
      <c r="D11004" s="24"/>
      <c r="E11004" s="24"/>
      <c r="F11004" s="24"/>
      <c r="G11004" s="24"/>
      <c r="H11004" s="24"/>
      <c r="I11004" s="24"/>
      <c r="J11004" s="24"/>
      <c r="K11004" s="24"/>
    </row>
    <row r="11005" customFormat="false" ht="15" hidden="false" customHeight="false" outlineLevel="0" collapsed="false">
      <c r="A11005" s="5" t="s">
        <v>264</v>
      </c>
      <c r="G11005" s="25" t="n">
        <f aca="false">F11016</f>
        <v>520</v>
      </c>
      <c r="H11005" s="25" t="n">
        <f aca="false">G11016</f>
        <v>514.8</v>
      </c>
      <c r="I11005" s="25" t="n">
        <f aca="false">H11016</f>
        <v>509.6</v>
      </c>
      <c r="J11005" s="25" t="n">
        <f aca="false">I11016</f>
        <v>504.4</v>
      </c>
      <c r="K11005" s="25" t="n">
        <f aca="false">J11016</f>
        <v>499.2</v>
      </c>
    </row>
    <row r="11006" customFormat="false" ht="15" hidden="false" customHeight="false" outlineLevel="0" collapsed="false">
      <c r="A11006" s="5" t="s">
        <v>265</v>
      </c>
      <c r="G11006" s="20" t="n">
        <f aca="false">IF(G10956=Assumptions!$K$54,1,0)</f>
        <v>0</v>
      </c>
      <c r="H11006" s="20" t="n">
        <f aca="false">IF(H10956=Assumptions!$K$54,1,0)</f>
        <v>0</v>
      </c>
      <c r="I11006" s="20" t="n">
        <f aca="false">IF(I10956=Assumptions!$K$54,1,0)</f>
        <v>1</v>
      </c>
      <c r="J11006" s="20" t="n">
        <f aca="false">IF(J10956=Assumptions!$K$54,1,0)</f>
        <v>0</v>
      </c>
      <c r="K11006" s="20" t="n">
        <f aca="false">IF(K10956=Assumptions!$K$54,1,0)</f>
        <v>0</v>
      </c>
    </row>
    <row r="11008" customFormat="false" ht="15" hidden="false" customHeight="false" outlineLevel="0" collapsed="false">
      <c r="A11008" s="5" t="s">
        <v>266</v>
      </c>
      <c r="G11008" s="30" t="n">
        <f aca="false">IF(Assumptions!$I$54=1,MAX(G10982,Assumptions!$G$54)+Assumptions!$F$54+$C$10983,Assumptions!$E$54)</f>
        <v>0.133</v>
      </c>
      <c r="H11008" s="30" t="n">
        <f aca="false">IF(G11145=1,$C$10984,IF(Assumptions!$I$54=1,MAX(H10982,Assumptions!$G$54)+Assumptions!$F$54+$C$10983,Assumptions!$E$54))</f>
        <v>0.1305</v>
      </c>
      <c r="I11008" s="30" t="n">
        <f aca="false">IF(H11145=1,$C$10984,IF(Assumptions!$I$54=1,MAX(I10982,Assumptions!$G$54)+Assumptions!$F$54+$C$10983,Assumptions!$E$54))</f>
        <v>0.128</v>
      </c>
      <c r="J11008" s="30" t="n">
        <f aca="false">IF(I11145=1,$C$10984,IF(Assumptions!$I$54=1,MAX(J10982,Assumptions!$G$54)+Assumptions!$F$54+$C$10983,Assumptions!$E$54))</f>
        <v>0.128</v>
      </c>
      <c r="K11008" s="30" t="n">
        <f aca="false">IF(J11145=1,$C$10984,IF(Assumptions!$I$54=1,MAX(K10982,Assumptions!$G$54)+Assumptions!$F$54+$C$10983,Assumptions!$E$54))</f>
        <v>0.128</v>
      </c>
    </row>
    <row r="11009" customFormat="false" ht="15" hidden="false" customHeight="false" outlineLevel="0" collapsed="false">
      <c r="A11009" s="5" t="s">
        <v>267</v>
      </c>
      <c r="G11009" s="25" t="n">
        <f aca="false">G11005*G11008</f>
        <v>69.16</v>
      </c>
      <c r="H11009" s="25" t="n">
        <f aca="false">H11005*H11008</f>
        <v>67.1814</v>
      </c>
      <c r="I11009" s="25" t="n">
        <f aca="false">I11005*I11008</f>
        <v>65.2288</v>
      </c>
      <c r="J11009" s="25" t="n">
        <f aca="false">J11005*J11008</f>
        <v>64.5632</v>
      </c>
      <c r="K11009" s="25" t="n">
        <f aca="false">K11005*K11008</f>
        <v>63.8976</v>
      </c>
    </row>
    <row r="11010" customFormat="false" ht="15" hidden="false" customHeight="false" outlineLevel="0" collapsed="false">
      <c r="A11010" s="5" t="s">
        <v>268</v>
      </c>
      <c r="G11010" s="25" t="n">
        <f aca="false">G11005*Assumptions!$H$54</f>
        <v>0</v>
      </c>
      <c r="H11010" s="25" t="n">
        <f aca="false">H11005*Assumptions!$H$54</f>
        <v>0</v>
      </c>
      <c r="I11010" s="25" t="n">
        <f aca="false">I11005*Assumptions!$H$54</f>
        <v>0</v>
      </c>
      <c r="J11010" s="25" t="n">
        <f aca="false">J11005*Assumptions!$H$54</f>
        <v>0</v>
      </c>
      <c r="K11010" s="25" t="n">
        <f aca="false">K11005*Assumptions!$H$54</f>
        <v>0</v>
      </c>
    </row>
    <row r="11011" customFormat="false" ht="15" hidden="false" customHeight="false" outlineLevel="0" collapsed="false">
      <c r="A11011" s="5" t="s">
        <v>269</v>
      </c>
      <c r="G11011" s="25" t="n">
        <f aca="false">MIN(G11005,Assumptions!$L$54*Assumptions!$C$54)</f>
        <v>5.2</v>
      </c>
      <c r="H11011" s="25" t="n">
        <f aca="false">MIN(H11005,Assumptions!$L$54*Assumptions!$C$54)</f>
        <v>5.2</v>
      </c>
      <c r="I11011" s="25" t="n">
        <f aca="false">MIN(I11005,Assumptions!$L$54*Assumptions!$C$54)</f>
        <v>5.2</v>
      </c>
      <c r="J11011" s="25" t="n">
        <f aca="false">MIN(J11005,Assumptions!$L$54*Assumptions!$C$54)</f>
        <v>5.2</v>
      </c>
      <c r="K11011" s="25" t="n">
        <f aca="false">MIN(K11005,Assumptions!$L$54*Assumptions!$C$54)</f>
        <v>5.2</v>
      </c>
    </row>
    <row r="11012" customFormat="false" ht="15" hidden="false" customHeight="false" outlineLevel="0" collapsed="false">
      <c r="A11012" s="5" t="s">
        <v>270</v>
      </c>
      <c r="G11012" s="25" t="n">
        <f aca="false">IF(AND(Assumptions!$P$54=1,G10956&lt;Assumptions!$K$54),MIN(MAX(0,-G11070),MAX(0,Assumptions!$D$54-G11005)),0)</f>
        <v>0</v>
      </c>
      <c r="H11012" s="25" t="n">
        <f aca="false">IF(AND(Assumptions!$P$54=1,OR(H10956&lt;Assumptions!$K$54,G11145=1)),MIN(MAX(0,-H11070),MAX(0,Assumptions!$D$54-H11005)),0)</f>
        <v>0</v>
      </c>
      <c r="I11012" s="25" t="n">
        <f aca="false">IF(AND(Assumptions!$P$54=1,OR(I10956&lt;Assumptions!$K$54,H11145=1)),MIN(MAX(0,-I11070),MAX(0,Assumptions!$D$54-I11005)),0)</f>
        <v>0</v>
      </c>
      <c r="J11012" s="25" t="n">
        <f aca="false">IF(AND(Assumptions!$P$54=1,OR(J10956&lt;Assumptions!$K$54,I11145=1)),MIN(MAX(0,-J11070),MAX(0,Assumptions!$D$54-J11005)),0)</f>
        <v>0</v>
      </c>
      <c r="K11012" s="25" t="n">
        <f aca="false">IF(AND(Assumptions!$P$54=1,OR(K10956&lt;Assumptions!$K$54,J11145=1)),MIN(MAX(0,-K11070),MAX(0,Assumptions!$D$54-K11005)),0)</f>
        <v>0</v>
      </c>
    </row>
    <row r="11013" customFormat="false" ht="15" hidden="false" customHeight="false" outlineLevel="0" collapsed="false">
      <c r="A11013" s="5" t="s">
        <v>271</v>
      </c>
      <c r="G11013" s="25" t="n">
        <f aca="false">G11006*MIN(G11005-G11011+G11010,MAX(0,G11072-Assumptions!$C$12*G10990-G11000))</f>
        <v>0</v>
      </c>
      <c r="H11013" s="25" t="n">
        <f aca="false">H11006*MIN(H11005-H11011+H11010,MAX(0,H11072-Assumptions!$C$12*H10990-H11000))</f>
        <v>0</v>
      </c>
      <c r="I11013" s="25" t="n">
        <f aca="false">I11006*MIN(I11005-I11011+I11010,MAX(0,I11072-Assumptions!$C$12*I10990-I11000))</f>
        <v>0</v>
      </c>
      <c r="J11013" s="25" t="n">
        <f aca="false">J11006*MIN(J11005-J11011+J11010,MAX(0,J11072-Assumptions!$C$12*J10990-J11000))</f>
        <v>0</v>
      </c>
      <c r="K11013" s="25" t="n">
        <f aca="false">K11006*MIN(K11005-K11011+K11010,MAX(0,K11072-Assumptions!$C$12*K10990-K11000))</f>
        <v>0</v>
      </c>
    </row>
    <row r="11014" customFormat="false" ht="15" hidden="false" customHeight="false" outlineLevel="0" collapsed="false">
      <c r="A11014" s="5" t="s">
        <v>272</v>
      </c>
      <c r="G11014" s="25" t="n">
        <f aca="false">Assumptions!$N$54*MIN(G11005+G11012+G11010-G11011-G11013,MAX(0,G11076-G11001))</f>
        <v>0</v>
      </c>
      <c r="H11014" s="25" t="n">
        <f aca="false">Assumptions!$N$54*MIN(H11005+H11012+H11010-H11011-H11013,MAX(0,H11076-H11001))</f>
        <v>0</v>
      </c>
      <c r="I11014" s="25" t="n">
        <f aca="false">Assumptions!$N$54*MIN(I11005+I11012+I11010-I11011-I11013,MAX(0,I11076-I11001))</f>
        <v>0</v>
      </c>
      <c r="J11014" s="25" t="n">
        <f aca="false">Assumptions!$N$54*MIN(J11005+J11012+J11010-J11011-J11013,MAX(0,J11076-J11001))</f>
        <v>0</v>
      </c>
      <c r="K11014" s="25" t="n">
        <f aca="false">Assumptions!$N$54*MIN(K11005+K11012+K11010-K11011-K11013,MAX(0,K11076-K11001))</f>
        <v>0</v>
      </c>
    </row>
    <row r="11015" customFormat="false" ht="15" hidden="false" customHeight="false" outlineLevel="0" collapsed="false">
      <c r="A11015" s="5" t="s">
        <v>273</v>
      </c>
      <c r="G11015" s="25" t="n">
        <f aca="false">G11006*(1-G10990)*(G11005-G11011+G11010-G11013)</f>
        <v>0</v>
      </c>
      <c r="H11015" s="25" t="n">
        <f aca="false">H11006*(1-H10990)*(H11005-H11011+H11010-H11013)</f>
        <v>0</v>
      </c>
      <c r="I11015" s="25" t="n">
        <f aca="false">I11006*(1-I10990)*(I11005-I11011+I11010-I11013)</f>
        <v>504.4</v>
      </c>
      <c r="J11015" s="25" t="n">
        <f aca="false">J11006*(1-J10990)*(J11005-J11011+J11010-J11013)</f>
        <v>0</v>
      </c>
      <c r="K11015" s="25" t="n">
        <f aca="false">K11006*(1-K10990)*(K11005-K11011+K11010-K11013)</f>
        <v>0</v>
      </c>
    </row>
    <row r="11016" customFormat="false" ht="15" hidden="false" customHeight="false" outlineLevel="0" collapsed="false">
      <c r="A11016" s="2" t="s">
        <v>274</v>
      </c>
      <c r="F11016" s="27" t="n">
        <f aca="false">Assumptions!$C$54</f>
        <v>520</v>
      </c>
      <c r="G11016" s="16" t="n">
        <f aca="false">G11005+G11012+G11010-G11011-G11013-G11014</f>
        <v>514.8</v>
      </c>
      <c r="H11016" s="16" t="n">
        <f aca="false">H11005+H11012+H11010-H11011-H11013-H11014</f>
        <v>509.6</v>
      </c>
      <c r="I11016" s="16" t="n">
        <f aca="false">I11005+I11012+I11010-I11011-I11013-I11014</f>
        <v>504.4</v>
      </c>
      <c r="J11016" s="16" t="n">
        <f aca="false">J11005+J11012+J11010-J11011-J11013-J11014</f>
        <v>499.2</v>
      </c>
      <c r="K11016" s="16" t="n">
        <f aca="false">K11005+K11012+K11010-K11011-K11013-K11014</f>
        <v>494</v>
      </c>
    </row>
    <row r="11017" customFormat="false" ht="15" hidden="false" customHeight="false" outlineLevel="0" collapsed="false">
      <c r="A11017" s="23" t="s">
        <v>276</v>
      </c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</row>
    <row r="11018" customFormat="false" ht="15" hidden="false" customHeight="false" outlineLevel="0" collapsed="false">
      <c r="A11018" s="5" t="s">
        <v>264</v>
      </c>
      <c r="G11018" s="25" t="n">
        <f aca="false">F11029</f>
        <v>250</v>
      </c>
      <c r="H11018" s="25" t="n">
        <f aca="false">G11029</f>
        <v>250</v>
      </c>
      <c r="I11018" s="25" t="n">
        <f aca="false">H11029</f>
        <v>250</v>
      </c>
      <c r="J11018" s="25" t="n">
        <f aca="false">I11029</f>
        <v>250</v>
      </c>
      <c r="K11018" s="25" t="n">
        <f aca="false">J11029</f>
        <v>250</v>
      </c>
    </row>
    <row r="11019" customFormat="false" ht="15" hidden="false" customHeight="false" outlineLevel="0" collapsed="false">
      <c r="A11019" s="5" t="s">
        <v>265</v>
      </c>
      <c r="G11019" s="20" t="n">
        <f aca="false">IF(G10956=Assumptions!$K$55,1,0)</f>
        <v>0</v>
      </c>
      <c r="H11019" s="20" t="n">
        <f aca="false">IF(H10956=Assumptions!$K$55,1,0)</f>
        <v>0</v>
      </c>
      <c r="I11019" s="20" t="n">
        <f aca="false">IF(I10956=Assumptions!$K$55,1,0)</f>
        <v>0</v>
      </c>
      <c r="J11019" s="20" t="n">
        <f aca="false">IF(J10956=Assumptions!$K$55,1,0)</f>
        <v>1</v>
      </c>
      <c r="K11019" s="20" t="n">
        <f aca="false">IF(K10956=Assumptions!$K$55,1,0)</f>
        <v>0</v>
      </c>
    </row>
    <row r="11021" customFormat="false" ht="15" hidden="false" customHeight="false" outlineLevel="0" collapsed="false">
      <c r="A11021" s="5" t="s">
        <v>266</v>
      </c>
      <c r="G11021" s="30" t="n">
        <f aca="false">IF(Assumptions!$I$55=1,MAX(G10982,Assumptions!$G$55)+Assumptions!$F$55+$C$10983,Assumptions!$E$55)</f>
        <v>0.11</v>
      </c>
      <c r="H11021" s="30" t="n">
        <f aca="false">IF(G11146=1,$C$10984,IF(Assumptions!$I$55=1,MAX(H10982,Assumptions!$G$55)+Assumptions!$F$55+$C$10983,Assumptions!$E$55))</f>
        <v>0.11</v>
      </c>
      <c r="I11021" s="30" t="n">
        <f aca="false">IF(H11146=1,$C$10984,IF(Assumptions!$I$55=1,MAX(I10982,Assumptions!$G$55)+Assumptions!$F$55+$C$10983,Assumptions!$E$55))</f>
        <v>0.11</v>
      </c>
      <c r="J11021" s="30" t="n">
        <f aca="false">IF(I11146=1,$C$10984,IF(Assumptions!$I$55=1,MAX(J10982,Assumptions!$G$55)+Assumptions!$F$55+$C$10983,Assumptions!$E$55))</f>
        <v>0.11</v>
      </c>
      <c r="K11021" s="30" t="n">
        <f aca="false">IF(J11146=1,$C$10984,IF(Assumptions!$I$55=1,MAX(K10982,Assumptions!$G$55)+Assumptions!$F$55+$C$10983,Assumptions!$E$55))</f>
        <v>0.11</v>
      </c>
    </row>
    <row r="11022" customFormat="false" ht="15" hidden="false" customHeight="false" outlineLevel="0" collapsed="false">
      <c r="A11022" s="5" t="s">
        <v>267</v>
      </c>
      <c r="G11022" s="25" t="n">
        <f aca="false">G11018*G11021</f>
        <v>27.5</v>
      </c>
      <c r="H11022" s="25" t="n">
        <f aca="false">H11018*H11021</f>
        <v>27.5</v>
      </c>
      <c r="I11022" s="25" t="n">
        <f aca="false">I11018*I11021</f>
        <v>27.5</v>
      </c>
      <c r="J11022" s="25" t="n">
        <f aca="false">J11018*J11021</f>
        <v>27.5</v>
      </c>
      <c r="K11022" s="25" t="n">
        <f aca="false">K11018*K11021</f>
        <v>27.5</v>
      </c>
    </row>
    <row r="11023" customFormat="false" ht="15" hidden="false" customHeight="false" outlineLevel="0" collapsed="false">
      <c r="A11023" s="5" t="s">
        <v>268</v>
      </c>
      <c r="G11023" s="25" t="n">
        <f aca="false">G11018*Assumptions!$H$55</f>
        <v>0</v>
      </c>
      <c r="H11023" s="25" t="n">
        <f aca="false">H11018*Assumptions!$H$55</f>
        <v>0</v>
      </c>
      <c r="I11023" s="25" t="n">
        <f aca="false">I11018*Assumptions!$H$55</f>
        <v>0</v>
      </c>
      <c r="J11023" s="25" t="n">
        <f aca="false">J11018*Assumptions!$H$55</f>
        <v>0</v>
      </c>
      <c r="K11023" s="25" t="n">
        <f aca="false">K11018*Assumptions!$H$55</f>
        <v>0</v>
      </c>
    </row>
    <row r="11024" customFormat="false" ht="15" hidden="false" customHeight="false" outlineLevel="0" collapsed="false">
      <c r="A11024" s="5" t="s">
        <v>269</v>
      </c>
      <c r="G11024" s="25" t="n">
        <f aca="false">MIN(G11018,Assumptions!$L$55*Assumptions!$C$55)</f>
        <v>0</v>
      </c>
      <c r="H11024" s="25" t="n">
        <f aca="false">MIN(H11018,Assumptions!$L$55*Assumptions!$C$55)</f>
        <v>0</v>
      </c>
      <c r="I11024" s="25" t="n">
        <f aca="false">MIN(I11018,Assumptions!$L$55*Assumptions!$C$55)</f>
        <v>0</v>
      </c>
      <c r="J11024" s="25" t="n">
        <f aca="false">MIN(J11018,Assumptions!$L$55*Assumptions!$C$55)</f>
        <v>0</v>
      </c>
      <c r="K11024" s="25" t="n">
        <f aca="false">MIN(K11018,Assumptions!$L$55*Assumptions!$C$55)</f>
        <v>0</v>
      </c>
    </row>
    <row r="11025" customFormat="false" ht="15" hidden="false" customHeight="false" outlineLevel="0" collapsed="false">
      <c r="A11025" s="5" t="s">
        <v>270</v>
      </c>
      <c r="G11025" s="25" t="n">
        <f aca="false">IF(AND(Assumptions!$P$55=1,G10956&lt;Assumptions!$K$55),MIN(MAX(0,-G11070),MAX(0,Assumptions!$D$55-G11018)),0)</f>
        <v>0</v>
      </c>
      <c r="H11025" s="25" t="n">
        <f aca="false">IF(AND(Assumptions!$P$55=1,OR(H10956&lt;Assumptions!$K$55,G11146=1)),MIN(MAX(0,-H11070),MAX(0,Assumptions!$D$55-H11018)),0)</f>
        <v>0</v>
      </c>
      <c r="I11025" s="25" t="n">
        <f aca="false">IF(AND(Assumptions!$P$55=1,OR(I10956&lt;Assumptions!$K$55,H11146=1)),MIN(MAX(0,-I11070),MAX(0,Assumptions!$D$55-I11018)),0)</f>
        <v>0</v>
      </c>
      <c r="J11025" s="25" t="n">
        <f aca="false">IF(AND(Assumptions!$P$55=1,OR(J10956&lt;Assumptions!$K$55,I11146=1)),MIN(MAX(0,-J11070),MAX(0,Assumptions!$D$55-J11018)),0)</f>
        <v>0</v>
      </c>
      <c r="K11025" s="25" t="n">
        <f aca="false">IF(AND(Assumptions!$P$55=1,OR(K10956&lt;Assumptions!$K$55,J11146=1)),MIN(MAX(0,-K11070),MAX(0,Assumptions!$D$55-K11018)),0)</f>
        <v>0</v>
      </c>
    </row>
    <row r="11026" customFormat="false" ht="15" hidden="false" customHeight="false" outlineLevel="0" collapsed="false">
      <c r="A11026" s="5" t="s">
        <v>271</v>
      </c>
      <c r="G11026" s="25" t="n">
        <f aca="false">G11019*MIN(G11018-G11024+G11023,MAX(0,G11072-Assumptions!$C$12*G10990-G11000-G11013))</f>
        <v>0</v>
      </c>
      <c r="H11026" s="25" t="n">
        <f aca="false">H11019*MIN(H11018-H11024+H11023,MAX(0,H11072-Assumptions!$C$12*H10990-H11000-H11013))</f>
        <v>0</v>
      </c>
      <c r="I11026" s="25" t="n">
        <f aca="false">I11019*MIN(I11018-I11024+I11023,MAX(0,I11072-Assumptions!$C$12*I10990-I11000-I11013))</f>
        <v>0</v>
      </c>
      <c r="J11026" s="25" t="n">
        <f aca="false">J11019*MIN(J11018-J11024+J11023,MAX(0,J11072-Assumptions!$C$12*J10990-J11000-J11013))</f>
        <v>0</v>
      </c>
      <c r="K11026" s="25" t="n">
        <f aca="false">K11019*MIN(K11018-K11024+K11023,MAX(0,K11072-Assumptions!$C$12*K10990-K11000-K11013))</f>
        <v>0</v>
      </c>
    </row>
    <row r="11027" customFormat="false" ht="15" hidden="false" customHeight="false" outlineLevel="0" collapsed="false">
      <c r="A11027" s="5" t="s">
        <v>272</v>
      </c>
      <c r="G11027" s="25" t="n">
        <f aca="false">Assumptions!$N$55*MIN(G11018+G11025+G11023-G11024-G11026,MAX(0,G11076-G11001-G11014))</f>
        <v>0</v>
      </c>
      <c r="H11027" s="25" t="n">
        <f aca="false">Assumptions!$N$55*MIN(H11018+H11025+H11023-H11024-H11026,MAX(0,H11076-H11001-H11014))</f>
        <v>0</v>
      </c>
      <c r="I11027" s="25" t="n">
        <f aca="false">Assumptions!$N$55*MIN(I11018+I11025+I11023-I11024-I11026,MAX(0,I11076-I11001-I11014))</f>
        <v>0</v>
      </c>
      <c r="J11027" s="25" t="n">
        <f aca="false">Assumptions!$N$55*MIN(J11018+J11025+J11023-J11024-J11026,MAX(0,J11076-J11001-J11014))</f>
        <v>0</v>
      </c>
      <c r="K11027" s="25" t="n">
        <f aca="false">Assumptions!$N$55*MIN(K11018+K11025+K11023-K11024-K11026,MAX(0,K11076-K11001-K11014))</f>
        <v>0</v>
      </c>
    </row>
    <row r="11028" customFormat="false" ht="15" hidden="false" customHeight="false" outlineLevel="0" collapsed="false">
      <c r="A11028" s="5" t="s">
        <v>273</v>
      </c>
      <c r="G11028" s="25" t="n">
        <f aca="false">G11019*(1-G10990)*(G11018-G11024+G11023-G11026)</f>
        <v>0</v>
      </c>
      <c r="H11028" s="25" t="n">
        <f aca="false">H11019*(1-H10990)*(H11018-H11024+H11023-H11026)</f>
        <v>0</v>
      </c>
      <c r="I11028" s="25" t="n">
        <f aca="false">I11019*(1-I10990)*(I11018-I11024+I11023-I11026)</f>
        <v>0</v>
      </c>
      <c r="J11028" s="25" t="n">
        <f aca="false">J11019*(1-J10990)*(J11018-J11024+J11023-J11026)</f>
        <v>250</v>
      </c>
      <c r="K11028" s="25" t="n">
        <f aca="false">K11019*(1-K10990)*(K11018-K11024+K11023-K11026)</f>
        <v>0</v>
      </c>
    </row>
    <row r="11029" customFormat="false" ht="15" hidden="false" customHeight="false" outlineLevel="0" collapsed="false">
      <c r="A11029" s="2" t="s">
        <v>274</v>
      </c>
      <c r="F11029" s="27" t="n">
        <f aca="false">Assumptions!$C$55</f>
        <v>250</v>
      </c>
      <c r="G11029" s="16" t="n">
        <f aca="false">G11018+G11025+G11023-G11024-G11026-G11027</f>
        <v>250</v>
      </c>
      <c r="H11029" s="16" t="n">
        <f aca="false">H11018+H11025+H11023-H11024-H11026-H11027</f>
        <v>250</v>
      </c>
      <c r="I11029" s="16" t="n">
        <f aca="false">I11018+I11025+I11023-I11024-I11026-I11027</f>
        <v>250</v>
      </c>
      <c r="J11029" s="16" t="n">
        <f aca="false">J11018+J11025+J11023-J11024-J11026-J11027</f>
        <v>250</v>
      </c>
      <c r="K11029" s="16" t="n">
        <f aca="false">K11018+K11025+K11023-K11024-K11026-K11027</f>
        <v>250</v>
      </c>
    </row>
    <row r="11030" customFormat="false" ht="15" hidden="false" customHeight="false" outlineLevel="0" collapsed="false">
      <c r="A11030" s="23" t="s">
        <v>277</v>
      </c>
      <c r="B11030" s="24"/>
      <c r="C11030" s="24"/>
      <c r="D11030" s="24"/>
      <c r="E11030" s="24"/>
      <c r="F11030" s="24"/>
      <c r="G11030" s="24"/>
      <c r="H11030" s="24"/>
      <c r="I11030" s="24"/>
      <c r="J11030" s="24"/>
      <c r="K11030" s="24"/>
    </row>
    <row r="11031" customFormat="false" ht="15" hidden="false" customHeight="false" outlineLevel="0" collapsed="false">
      <c r="A11031" s="5" t="s">
        <v>264</v>
      </c>
      <c r="G11031" s="25" t="n">
        <f aca="false">F11042</f>
        <v>300</v>
      </c>
      <c r="H11031" s="25" t="n">
        <f aca="false">G11042</f>
        <v>300</v>
      </c>
      <c r="I11031" s="25" t="n">
        <f aca="false">H11042</f>
        <v>300</v>
      </c>
      <c r="J11031" s="25" t="n">
        <f aca="false">I11042</f>
        <v>300</v>
      </c>
      <c r="K11031" s="25" t="n">
        <f aca="false">J11042</f>
        <v>300</v>
      </c>
    </row>
    <row r="11032" customFormat="false" ht="15" hidden="false" customHeight="false" outlineLevel="0" collapsed="false">
      <c r="A11032" s="5" t="s">
        <v>265</v>
      </c>
      <c r="G11032" s="20" t="n">
        <f aca="false">IF(G10956=Assumptions!$K$56,1,0)</f>
        <v>0</v>
      </c>
      <c r="H11032" s="20" t="n">
        <f aca="false">IF(H10956=Assumptions!$K$56,1,0)</f>
        <v>1</v>
      </c>
      <c r="I11032" s="20" t="n">
        <f aca="false">IF(I10956=Assumptions!$K$56,1,0)</f>
        <v>0</v>
      </c>
      <c r="J11032" s="20" t="n">
        <f aca="false">IF(J10956=Assumptions!$K$56,1,0)</f>
        <v>0</v>
      </c>
      <c r="K11032" s="20" t="n">
        <f aca="false">IF(K10956=Assumptions!$K$56,1,0)</f>
        <v>0</v>
      </c>
    </row>
    <row r="11034" customFormat="false" ht="15" hidden="false" customHeight="false" outlineLevel="0" collapsed="false">
      <c r="A11034" s="5" t="s">
        <v>266</v>
      </c>
      <c r="G11034" s="30" t="n">
        <f aca="false">IF(Assumptions!$I$56=1,MAX(G10982,Assumptions!$G$56)+Assumptions!$F$56+$C$10983,Assumptions!$E$56)</f>
        <v>0.075</v>
      </c>
      <c r="H11034" s="30" t="n">
        <f aca="false">IF(G11147=1,$C$10984,IF(Assumptions!$I$56=1,MAX(H10982,Assumptions!$G$56)+Assumptions!$F$56+$C$10983,Assumptions!$E$56))</f>
        <v>0.075</v>
      </c>
      <c r="I11034" s="30" t="n">
        <f aca="false">IF(H11147=1,$C$10984,IF(Assumptions!$I$56=1,MAX(I10982,Assumptions!$G$56)+Assumptions!$F$56+$C$10983,Assumptions!$E$56))</f>
        <v>0.075</v>
      </c>
      <c r="J11034" s="30" t="n">
        <f aca="false">IF(I11147=1,$C$10984,IF(Assumptions!$I$56=1,MAX(J10982,Assumptions!$G$56)+Assumptions!$F$56+$C$10983,Assumptions!$E$56))</f>
        <v>0.075</v>
      </c>
      <c r="K11034" s="30" t="n">
        <f aca="false">IF(J11147=1,$C$10984,IF(Assumptions!$I$56=1,MAX(K10982,Assumptions!$G$56)+Assumptions!$F$56+$C$10983,Assumptions!$E$56))</f>
        <v>0.075</v>
      </c>
    </row>
    <row r="11035" customFormat="false" ht="15" hidden="false" customHeight="false" outlineLevel="0" collapsed="false">
      <c r="A11035" s="5" t="s">
        <v>267</v>
      </c>
      <c r="G11035" s="25" t="n">
        <f aca="false">G11031*G11034</f>
        <v>22.5</v>
      </c>
      <c r="H11035" s="25" t="n">
        <f aca="false">H11031*H11034</f>
        <v>22.5</v>
      </c>
      <c r="I11035" s="25" t="n">
        <f aca="false">I11031*I11034</f>
        <v>22.5</v>
      </c>
      <c r="J11035" s="25" t="n">
        <f aca="false">J11031*J11034</f>
        <v>22.5</v>
      </c>
      <c r="K11035" s="25" t="n">
        <f aca="false">K11031*K11034</f>
        <v>22.5</v>
      </c>
    </row>
    <row r="11036" customFormat="false" ht="15" hidden="false" customHeight="false" outlineLevel="0" collapsed="false">
      <c r="A11036" s="5" t="s">
        <v>268</v>
      </c>
      <c r="G11036" s="25" t="n">
        <f aca="false">G11031*Assumptions!$H$56</f>
        <v>0</v>
      </c>
      <c r="H11036" s="25" t="n">
        <f aca="false">H11031*Assumptions!$H$56</f>
        <v>0</v>
      </c>
      <c r="I11036" s="25" t="n">
        <f aca="false">I11031*Assumptions!$H$56</f>
        <v>0</v>
      </c>
      <c r="J11036" s="25" t="n">
        <f aca="false">J11031*Assumptions!$H$56</f>
        <v>0</v>
      </c>
      <c r="K11036" s="25" t="n">
        <f aca="false">K11031*Assumptions!$H$56</f>
        <v>0</v>
      </c>
    </row>
    <row r="11037" customFormat="false" ht="15" hidden="false" customHeight="false" outlineLevel="0" collapsed="false">
      <c r="A11037" s="5" t="s">
        <v>269</v>
      </c>
      <c r="G11037" s="25" t="n">
        <f aca="false">MIN(G11031,Assumptions!$L$56*Assumptions!$C$56)</f>
        <v>0</v>
      </c>
      <c r="H11037" s="25" t="n">
        <f aca="false">MIN(H11031,Assumptions!$L$56*Assumptions!$C$56)</f>
        <v>0</v>
      </c>
      <c r="I11037" s="25" t="n">
        <f aca="false">MIN(I11031,Assumptions!$L$56*Assumptions!$C$56)</f>
        <v>0</v>
      </c>
      <c r="J11037" s="25" t="n">
        <f aca="false">MIN(J11031,Assumptions!$L$56*Assumptions!$C$56)</f>
        <v>0</v>
      </c>
      <c r="K11037" s="25" t="n">
        <f aca="false">MIN(K11031,Assumptions!$L$56*Assumptions!$C$56)</f>
        <v>0</v>
      </c>
    </row>
    <row r="11038" customFormat="false" ht="15" hidden="false" customHeight="false" outlineLevel="0" collapsed="false">
      <c r="A11038" s="5" t="s">
        <v>270</v>
      </c>
      <c r="G11038" s="25" t="n">
        <f aca="false">IF(AND(Assumptions!$P$56=1,G10956&lt;Assumptions!$K$56),MIN(MAX(0,-G11070),MAX(0,Assumptions!$D$56-G11031)),0)</f>
        <v>0</v>
      </c>
      <c r="H11038" s="25" t="n">
        <f aca="false">IF(AND(Assumptions!$P$56=1,OR(H10956&lt;Assumptions!$K$56,G11147=1)),MIN(MAX(0,-H11070),MAX(0,Assumptions!$D$56-H11031)),0)</f>
        <v>0</v>
      </c>
      <c r="I11038" s="25" t="n">
        <f aca="false">IF(AND(Assumptions!$P$56=1,OR(I10956&lt;Assumptions!$K$56,H11147=1)),MIN(MAX(0,-I11070),MAX(0,Assumptions!$D$56-I11031)),0)</f>
        <v>0</v>
      </c>
      <c r="J11038" s="25" t="n">
        <f aca="false">IF(AND(Assumptions!$P$56=1,OR(J10956&lt;Assumptions!$K$56,I11147=1)),MIN(MAX(0,-J11070),MAX(0,Assumptions!$D$56-J11031)),0)</f>
        <v>0</v>
      </c>
      <c r="K11038" s="25" t="n">
        <f aca="false">IF(AND(Assumptions!$P$56=1,OR(K10956&lt;Assumptions!$K$56,J11147=1)),MIN(MAX(0,-K11070),MAX(0,Assumptions!$D$56-K11031)),0)</f>
        <v>0</v>
      </c>
    </row>
    <row r="11039" customFormat="false" ht="15" hidden="false" customHeight="false" outlineLevel="0" collapsed="false">
      <c r="A11039" s="5" t="s">
        <v>271</v>
      </c>
      <c r="G11039" s="25" t="n">
        <f aca="false">G11032*MIN(G11031-G11037+G11036,MAX(0,G11072-Assumptions!$C$12*G10990-G11000-G11013-G11026))</f>
        <v>0</v>
      </c>
      <c r="H11039" s="25" t="n">
        <f aca="false">H11032*MIN(H11031-H11037+H11036,MAX(0,H11072-Assumptions!$C$12*H10990-H11000-H11013-H11026))</f>
        <v>0</v>
      </c>
      <c r="I11039" s="25" t="n">
        <f aca="false">I11032*MIN(I11031-I11037+I11036,MAX(0,I11072-Assumptions!$C$12*I10990-I11000-I11013-I11026))</f>
        <v>0</v>
      </c>
      <c r="J11039" s="25" t="n">
        <f aca="false">J11032*MIN(J11031-J11037+J11036,MAX(0,J11072-Assumptions!$C$12*J10990-J11000-J11013-J11026))</f>
        <v>0</v>
      </c>
      <c r="K11039" s="25" t="n">
        <f aca="false">K11032*MIN(K11031-K11037+K11036,MAX(0,K11072-Assumptions!$C$12*K10990-K11000-K11013-K11026))</f>
        <v>0</v>
      </c>
    </row>
    <row r="11040" customFormat="false" ht="15" hidden="false" customHeight="false" outlineLevel="0" collapsed="false">
      <c r="A11040" s="5" t="s">
        <v>272</v>
      </c>
      <c r="G11040" s="25" t="n">
        <f aca="false">Assumptions!$N$56*MIN(G11031+G11038+G11036-G11037-G11039,MAX(0,G11076-G11001-G11014-G11027))</f>
        <v>0</v>
      </c>
      <c r="H11040" s="25" t="n">
        <f aca="false">Assumptions!$N$56*MIN(H11031+H11038+H11036-H11037-H11039,MAX(0,H11076-H11001-H11014-H11027))</f>
        <v>0</v>
      </c>
      <c r="I11040" s="25" t="n">
        <f aca="false">Assumptions!$N$56*MIN(I11031+I11038+I11036-I11037-I11039,MAX(0,I11076-I11001-I11014-I11027))</f>
        <v>0</v>
      </c>
      <c r="J11040" s="25" t="n">
        <f aca="false">Assumptions!$N$56*MIN(J11031+J11038+J11036-J11037-J11039,MAX(0,J11076-J11001-J11014-J11027))</f>
        <v>0</v>
      </c>
      <c r="K11040" s="25" t="n">
        <f aca="false">Assumptions!$N$56*MIN(K11031+K11038+K11036-K11037-K11039,MAX(0,K11076-K11001-K11014-K11027))</f>
        <v>0</v>
      </c>
    </row>
    <row r="11041" customFormat="false" ht="15" hidden="false" customHeight="false" outlineLevel="0" collapsed="false">
      <c r="A11041" s="5" t="s">
        <v>273</v>
      </c>
      <c r="G11041" s="25" t="n">
        <f aca="false">G11032*(1-G10990)*(G11031-G11037+G11036-G11039)</f>
        <v>0</v>
      </c>
      <c r="H11041" s="25" t="n">
        <f aca="false">H11032*(1-H10990)*(H11031-H11037+H11036-H11039)</f>
        <v>300</v>
      </c>
      <c r="I11041" s="25" t="n">
        <f aca="false">I11032*(1-I10990)*(I11031-I11037+I11036-I11039)</f>
        <v>0</v>
      </c>
      <c r="J11041" s="25" t="n">
        <f aca="false">J11032*(1-J10990)*(J11031-J11037+J11036-J11039)</f>
        <v>0</v>
      </c>
      <c r="K11041" s="25" t="n">
        <f aca="false">K11032*(1-K10990)*(K11031-K11037+K11036-K11039)</f>
        <v>0</v>
      </c>
    </row>
    <row r="11042" customFormat="false" ht="15" hidden="false" customHeight="false" outlineLevel="0" collapsed="false">
      <c r="A11042" s="2" t="s">
        <v>274</v>
      </c>
      <c r="F11042" s="27" t="n">
        <f aca="false">Assumptions!$C$56</f>
        <v>300</v>
      </c>
      <c r="G11042" s="16" t="n">
        <f aca="false">G11031+G11038+G11036-G11037-G11039-G11040</f>
        <v>300</v>
      </c>
      <c r="H11042" s="16" t="n">
        <f aca="false">H11031+H11038+H11036-H11037-H11039-H11040</f>
        <v>300</v>
      </c>
      <c r="I11042" s="16" t="n">
        <f aca="false">I11031+I11038+I11036-I11037-I11039-I11040</f>
        <v>300</v>
      </c>
      <c r="J11042" s="16" t="n">
        <f aca="false">J11031+J11038+J11036-J11037-J11039-J11040</f>
        <v>300</v>
      </c>
      <c r="K11042" s="16" t="n">
        <f aca="false">K11031+K11038+K11036-K11037-K11039-K11040</f>
        <v>300</v>
      </c>
    </row>
    <row r="11043" customFormat="false" ht="15" hidden="false" customHeight="false" outlineLevel="0" collapsed="false">
      <c r="A11043" s="23" t="s">
        <v>278</v>
      </c>
      <c r="B11043" s="24"/>
      <c r="C11043" s="24"/>
      <c r="D11043" s="24"/>
      <c r="E11043" s="24"/>
      <c r="F11043" s="24"/>
      <c r="G11043" s="24"/>
      <c r="H11043" s="24"/>
      <c r="I11043" s="24"/>
      <c r="J11043" s="24"/>
      <c r="K11043" s="24"/>
    </row>
    <row r="11044" customFormat="false" ht="15" hidden="false" customHeight="false" outlineLevel="0" collapsed="false">
      <c r="A11044" s="2" t="s">
        <v>279</v>
      </c>
      <c r="F11044" s="16" t="n">
        <f aca="false">F11003+F11016+F11029+F11042</f>
        <v>1250</v>
      </c>
      <c r="G11044" s="16" t="n">
        <f aca="false">G11003+G11016+G11029+G11042</f>
        <v>1315.5488</v>
      </c>
      <c r="H11044" s="16" t="n">
        <f aca="false">H11003+H11016+H11029+H11042</f>
        <v>1310.3488</v>
      </c>
      <c r="I11044" s="16" t="n">
        <f aca="false">I11003+I11016+I11029+I11042</f>
        <v>1305.1488</v>
      </c>
      <c r="J11044" s="16" t="n">
        <f aca="false">J11003+J11016+J11029+J11042</f>
        <v>1299.9488</v>
      </c>
      <c r="K11044" s="16" t="n">
        <f aca="false">K11003+K11016+K11029+K11042</f>
        <v>1294.7488</v>
      </c>
    </row>
    <row r="11045" customFormat="false" ht="15" hidden="false" customHeight="false" outlineLevel="0" collapsed="false">
      <c r="A11045" s="5" t="s">
        <v>280</v>
      </c>
      <c r="G11045" s="25" t="n">
        <f aca="false">G10993*Assumptions!$C$53+G11006*Assumptions!$C$54+G11019*Assumptions!$C$55+G11032*Assumptions!$C$56</f>
        <v>0</v>
      </c>
      <c r="H11045" s="25" t="n">
        <f aca="false">H10993*Assumptions!$C$53+H11006*Assumptions!$C$54+H11019*Assumptions!$C$55+H11032*Assumptions!$C$56</f>
        <v>480</v>
      </c>
      <c r="I11045" s="25" t="n">
        <f aca="false">I10993*Assumptions!$C$53+I11006*Assumptions!$C$54+I11019*Assumptions!$C$55+I11032*Assumptions!$C$56</f>
        <v>520</v>
      </c>
      <c r="J11045" s="25" t="n">
        <f aca="false">J10993*Assumptions!$C$53+J11006*Assumptions!$C$54+J11019*Assumptions!$C$55+J11032*Assumptions!$C$56</f>
        <v>250</v>
      </c>
      <c r="K11045" s="25" t="n">
        <f aca="false">K10993*Assumptions!$C$53+K11006*Assumptions!$C$54+K11019*Assumptions!$C$55+K11032*Assumptions!$C$56</f>
        <v>0</v>
      </c>
    </row>
    <row r="11046" customFormat="false" ht="15" hidden="false" customHeight="false" outlineLevel="0" collapsed="false">
      <c r="A11046" s="23" t="s">
        <v>281</v>
      </c>
      <c r="B11046" s="24"/>
      <c r="C11046" s="24"/>
      <c r="D11046" s="24"/>
      <c r="E11046" s="24"/>
      <c r="F11046" s="24"/>
      <c r="G11046" s="24"/>
      <c r="H11046" s="24"/>
      <c r="I11046" s="24"/>
      <c r="J11046" s="24"/>
      <c r="K11046" s="24"/>
    </row>
    <row r="11047" customFormat="false" ht="15" hidden="false" customHeight="false" outlineLevel="0" collapsed="false">
      <c r="A11047" s="5" t="s">
        <v>282</v>
      </c>
      <c r="C11047" s="25" t="n">
        <f aca="false">SUMPRODUCT($G$10993:$K$10993,$G$10992:$K$10992-$G$10998:$K$10998+$G$10997:$K$10997)</f>
        <v>250.7488</v>
      </c>
    </row>
    <row r="11048" customFormat="false" ht="15" hidden="false" customHeight="false" outlineLevel="0" collapsed="false">
      <c r="A11048" s="5" t="s">
        <v>283</v>
      </c>
      <c r="C11048" s="25" t="n">
        <f aca="false">SUMPRODUCT($G$10993:$K$10993,$G$11000:$K$11000)</f>
        <v>0</v>
      </c>
    </row>
    <row r="11049" customFormat="false" ht="15" hidden="false" customHeight="false" outlineLevel="0" collapsed="false">
      <c r="A11049" s="5" t="s">
        <v>284</v>
      </c>
      <c r="C11049" s="5" t="str">
        <f aca="false">IF(SUM($G$10993:$K$10993)=0,"n/a (beyond horizon)",IF(SUMPRODUCT($G$10993:$K$10993,$G$10990:$K$10990)&gt;0,"REFINANCING PASS","REFINANCING FAILURE"))</f>
        <v>REFINANCING FAILURE</v>
      </c>
    </row>
    <row r="11050" customFormat="false" ht="15" hidden="false" customHeight="false" outlineLevel="0" collapsed="false">
      <c r="A11050" s="5" t="s">
        <v>285</v>
      </c>
      <c r="C11050" s="5" t="str">
        <f aca="false">IF(SUM($G$10993:$K$10993)=0,"n/a",IF(C11048&gt;=C11047-0.001,"Repaid from cash",IF(SUMPRODUCT($G$10993:$K$10993,$G$10990:$K$10990)&gt;0,IF(C11048&gt;0,"Partly repaid; remainder refinanced","Refinanced"),IF(SUM($G$11002:$K$11002)&gt;0.001,IF(C11048&gt;0,"Partial repayment; PAYMENT DEFAULT","PAYMENT DEFAULT"),"Repaid from cash"))))</f>
        <v>PAYMENT DEFAULT</v>
      </c>
    </row>
    <row r="11051" customFormat="false" ht="15" hidden="false" customHeight="false" outlineLevel="0" collapsed="false">
      <c r="A11051" s="5" t="s">
        <v>286</v>
      </c>
      <c r="C11051" s="25" t="n">
        <f aca="false">SUMPRODUCT($G$11006:$K$11006,$G$11005:$K$11005-$G$11011:$K$11011+$G$11010:$K$11010)</f>
        <v>504.4</v>
      </c>
    </row>
    <row r="11052" customFormat="false" ht="15" hidden="false" customHeight="false" outlineLevel="0" collapsed="false">
      <c r="A11052" s="5" t="s">
        <v>287</v>
      </c>
      <c r="C11052" s="25" t="n">
        <f aca="false">SUMPRODUCT($G$11006:$K$11006,$G$11013:$K$11013)</f>
        <v>0</v>
      </c>
    </row>
    <row r="11053" customFormat="false" ht="15" hidden="false" customHeight="false" outlineLevel="0" collapsed="false">
      <c r="A11053" s="5" t="s">
        <v>288</v>
      </c>
      <c r="C11053" s="5" t="str">
        <f aca="false">IF(SUM($G$11006:$K$11006)=0,"n/a (beyond horizon)",IF(SUMPRODUCT($G$11006:$K$11006,$G$10990:$K$10990)&gt;0,"REFINANCING PASS","REFINANCING FAILURE"))</f>
        <v>REFINANCING FAILURE</v>
      </c>
    </row>
    <row r="11054" customFormat="false" ht="15" hidden="false" customHeight="false" outlineLevel="0" collapsed="false">
      <c r="A11054" s="5" t="s">
        <v>289</v>
      </c>
      <c r="C11054" s="5" t="str">
        <f aca="false">IF(SUM($G$11006:$K$11006)=0,"n/a",IF(C11052&gt;=C11051-0.001,"Repaid from cash",IF(SUMPRODUCT($G$11006:$K$11006,$G$10990:$K$10990)&gt;0,IF(C11052&gt;0,"Partly repaid; remainder refinanced","Refinanced"),IF(SUM($G$11015:$K$11015)&gt;0.001,IF(C11052&gt;0,"Partial repayment; PAYMENT DEFAULT","PAYMENT DEFAULT"),"Repaid from cash"))))</f>
        <v>PAYMENT DEFAULT</v>
      </c>
    </row>
    <row r="11055" customFormat="false" ht="15" hidden="false" customHeight="false" outlineLevel="0" collapsed="false">
      <c r="A11055" s="5" t="s">
        <v>290</v>
      </c>
      <c r="C11055" s="25" t="n">
        <f aca="false">SUMPRODUCT($G$11019:$K$11019,$G$11018:$K$11018-$G$11024:$K$11024+$G$11023:$K$11023)</f>
        <v>250</v>
      </c>
    </row>
    <row r="11056" customFormat="false" ht="15" hidden="false" customHeight="false" outlineLevel="0" collapsed="false">
      <c r="A11056" s="5" t="s">
        <v>291</v>
      </c>
      <c r="C11056" s="25" t="n">
        <f aca="false">SUMPRODUCT($G$11019:$K$11019,$G$11026:$K$11026)</f>
        <v>0</v>
      </c>
    </row>
    <row r="11057" customFormat="false" ht="15" hidden="false" customHeight="false" outlineLevel="0" collapsed="false">
      <c r="A11057" s="5" t="s">
        <v>292</v>
      </c>
      <c r="C11057" s="5" t="str">
        <f aca="false">IF(SUM($G$11019:$K$11019)=0,"n/a (beyond horizon)",IF(SUMPRODUCT($G$11019:$K$11019,$G$10990:$K$10990)&gt;0,"REFINANCING PASS","REFINANCING FAILURE"))</f>
        <v>REFINANCING FAILURE</v>
      </c>
    </row>
    <row r="11058" customFormat="false" ht="15" hidden="false" customHeight="false" outlineLevel="0" collapsed="false">
      <c r="A11058" s="5" t="s">
        <v>293</v>
      </c>
      <c r="C11058" s="5" t="str">
        <f aca="false">IF(SUM($G$11019:$K$11019)=0,"n/a",IF(C11056&gt;=C11055-0.001,"Repaid from cash",IF(SUMPRODUCT($G$11019:$K$11019,$G$10990:$K$10990)&gt;0,IF(C11056&gt;0,"Partly repaid; remainder refinanced","Refinanced"),IF(SUM($G$11028:$K$11028)&gt;0.001,IF(C11056&gt;0,"Partial repayment; PAYMENT DEFAULT","PAYMENT DEFAULT"),"Repaid from cash"))))</f>
        <v>PAYMENT DEFAULT</v>
      </c>
    </row>
    <row r="11059" customFormat="false" ht="15" hidden="false" customHeight="false" outlineLevel="0" collapsed="false">
      <c r="A11059" s="5" t="s">
        <v>294</v>
      </c>
      <c r="C11059" s="25" t="n">
        <f aca="false">SUMPRODUCT($G$11032:$K$11032,$G$11031:$K$11031-$G$11037:$K$11037+$G$11036:$K$11036)</f>
        <v>300</v>
      </c>
    </row>
    <row r="11060" customFormat="false" ht="15" hidden="false" customHeight="false" outlineLevel="0" collapsed="false">
      <c r="A11060" s="5" t="s">
        <v>295</v>
      </c>
      <c r="C11060" s="25" t="n">
        <f aca="false">SUMPRODUCT($G$11032:$K$11032,$G$11039:$K$11039)</f>
        <v>0</v>
      </c>
    </row>
    <row r="11061" customFormat="false" ht="15" hidden="false" customHeight="false" outlineLevel="0" collapsed="false">
      <c r="A11061" s="5" t="s">
        <v>296</v>
      </c>
      <c r="C11061" s="5" t="str">
        <f aca="false">IF(SUM($G$11032:$K$11032)=0,"n/a (beyond horizon)",IF(SUMPRODUCT($G$11032:$K$11032,$G$10990:$K$10990)&gt;0,"REFINANCING PASS","REFINANCING FAILURE"))</f>
        <v>REFINANCING FAILURE</v>
      </c>
    </row>
    <row r="11062" customFormat="false" ht="15" hidden="false" customHeight="false" outlineLevel="0" collapsed="false">
      <c r="A11062" s="5" t="s">
        <v>297</v>
      </c>
      <c r="C11062" s="5" t="str">
        <f aca="false">IF(SUM($G$11032:$K$11032)=0,"n/a",IF(C11060&gt;=C11059-0.001,"Repaid from cash",IF(SUMPRODUCT($G$11032:$K$11032,$G$10990:$K$10990)&gt;0,IF(C11060&gt;0,"Partly repaid; remainder refinanced","Refinanced"),IF(SUM($G$11041:$K$11041)&gt;0.001,IF(C11060&gt;0,"Partial repayment; PAYMENT DEFAULT","PAYMENT DEFAULT"),"Repaid from cash"))))</f>
        <v>PAYMENT DEFAULT</v>
      </c>
    </row>
    <row r="11063" customFormat="false" ht="15" hidden="false" customHeight="false" outlineLevel="0" collapsed="false">
      <c r="A11063" s="5" t="s">
        <v>298</v>
      </c>
      <c r="C11063" s="20" t="n">
        <f aca="false">IF(C11049="REFINANCING FAILURE",1,0)+IF(C11053="REFINANCING FAILURE",1,0)+IF(C11057="REFINANCING FAILURE",1,0)+IF(C11061="REFINANCING FAILURE",1,0)</f>
        <v>4</v>
      </c>
    </row>
    <row r="11065" customFormat="false" ht="15" hidden="false" customHeight="false" outlineLevel="0" collapsed="false">
      <c r="A11065" s="23" t="s">
        <v>300</v>
      </c>
      <c r="B11065" s="24"/>
      <c r="C11065" s="24"/>
      <c r="D11065" s="24"/>
      <c r="E11065" s="24"/>
      <c r="F11065" s="24"/>
      <c r="G11065" s="24"/>
      <c r="H11065" s="24"/>
      <c r="I11065" s="24"/>
      <c r="J11065" s="24"/>
      <c r="K11065" s="24"/>
    </row>
    <row r="11066" customFormat="false" ht="15" hidden="false" customHeight="false" outlineLevel="0" collapsed="false">
      <c r="A11066" s="5" t="s">
        <v>260</v>
      </c>
      <c r="G11066" s="25" t="n">
        <f aca="false">F11078</f>
        <v>45</v>
      </c>
      <c r="H11066" s="25" t="n">
        <f aca="false">G11078</f>
        <v>0</v>
      </c>
      <c r="I11066" s="25" t="n">
        <f aca="false">H11078</f>
        <v>-153.6614848</v>
      </c>
      <c r="J11066" s="25" t="n">
        <f aca="false">I11078</f>
        <v>-329.252011904</v>
      </c>
      <c r="K11066" s="25" t="n">
        <f aca="false">J11078</f>
        <v>-508.72940118016</v>
      </c>
    </row>
    <row r="11067" customFormat="false" ht="15" hidden="false" customHeight="false" outlineLevel="0" collapsed="false">
      <c r="A11067" s="5" t="s">
        <v>301</v>
      </c>
      <c r="G11067" s="25" t="n">
        <f aca="false">G10979</f>
        <v>-110.5488</v>
      </c>
      <c r="H11067" s="25" t="n">
        <f aca="false">H10979</f>
        <v>-148.4614848</v>
      </c>
      <c r="I11067" s="25" t="n">
        <f aca="false">I10979</f>
        <v>-170.390527104</v>
      </c>
      <c r="J11067" s="25" t="n">
        <f aca="false">J10979</f>
        <v>-174.27738927616</v>
      </c>
      <c r="K11067" s="25" t="n">
        <f aca="false">K10979</f>
        <v>-174.887032175206</v>
      </c>
    </row>
    <row r="11068" customFormat="false" ht="15" hidden="false" customHeight="false" outlineLevel="0" collapsed="false">
      <c r="A11068" s="5" t="s">
        <v>302</v>
      </c>
      <c r="G11068" s="25" t="n">
        <f aca="false">CHOOSE($C$10949,Assumptions!$G$68,Assumptions!$G$87,Assumptions!$G$106)</f>
        <v>0</v>
      </c>
      <c r="H11068" s="25" t="n">
        <f aca="false">CHOOSE($C$10949,Assumptions!$H$68,Assumptions!$H$87,Assumptions!$H$106)</f>
        <v>0</v>
      </c>
      <c r="I11068" s="25" t="n">
        <f aca="false">CHOOSE($C$10949,Assumptions!$I$68,Assumptions!$I$87,Assumptions!$I$106)</f>
        <v>0</v>
      </c>
      <c r="J11068" s="25" t="n">
        <f aca="false">CHOOSE($C$10949,Assumptions!$J$68,Assumptions!$J$87,Assumptions!$J$106)</f>
        <v>0</v>
      </c>
      <c r="K11068" s="25" t="n">
        <f aca="false">CHOOSE($C$10949,Assumptions!$K$68,Assumptions!$K$87,Assumptions!$K$106)</f>
        <v>0</v>
      </c>
    </row>
    <row r="11069" customFormat="false" ht="15" hidden="false" customHeight="false" outlineLevel="0" collapsed="false">
      <c r="A11069" s="5" t="s">
        <v>303</v>
      </c>
      <c r="G11069" s="25" t="n">
        <f aca="false">G10998+G11011+G11024+G11037</f>
        <v>5.2</v>
      </c>
      <c r="H11069" s="25" t="n">
        <f aca="false">H10998+H11011+H11024+H11037</f>
        <v>5.2</v>
      </c>
      <c r="I11069" s="25" t="n">
        <f aca="false">I10998+I11011+I11024+I11037</f>
        <v>5.2</v>
      </c>
      <c r="J11069" s="25" t="n">
        <f aca="false">J10998+J11011+J11024+J11037</f>
        <v>5.2</v>
      </c>
      <c r="K11069" s="25" t="n">
        <f aca="false">K10998+K11011+K11024+K11037</f>
        <v>5.2</v>
      </c>
    </row>
    <row r="11070" customFormat="false" ht="15" hidden="false" customHeight="false" outlineLevel="0" collapsed="false">
      <c r="A11070" s="2" t="s">
        <v>304</v>
      </c>
      <c r="G11070" s="16" t="n">
        <f aca="false">G11066+G11067+G11068-G11069</f>
        <v>-70.7488</v>
      </c>
      <c r="H11070" s="16" t="n">
        <f aca="false">H11066+H11067+H11068-H11069</f>
        <v>-153.6614848</v>
      </c>
      <c r="I11070" s="16" t="n">
        <f aca="false">I11066+I11067+I11068-I11069</f>
        <v>-329.252011904</v>
      </c>
      <c r="J11070" s="16" t="n">
        <f aca="false">J11066+J11067+J11068-J11069</f>
        <v>-508.72940118016</v>
      </c>
      <c r="K11070" s="16" t="n">
        <f aca="false">K11066+K11067+K11068-K11069</f>
        <v>-688.816433355367</v>
      </c>
    </row>
    <row r="11071" customFormat="false" ht="15" hidden="false" customHeight="false" outlineLevel="0" collapsed="false">
      <c r="A11071" s="5" t="s">
        <v>305</v>
      </c>
      <c r="G11071" s="25" t="n">
        <f aca="false">G10999+G11012+G11025+G11038</f>
        <v>70.7488</v>
      </c>
      <c r="H11071" s="25" t="n">
        <f aca="false">H10999+H11012+H11025+H11038</f>
        <v>0</v>
      </c>
      <c r="I11071" s="25" t="n">
        <f aca="false">I10999+I11012+I11025+I11038</f>
        <v>0</v>
      </c>
      <c r="J11071" s="25" t="n">
        <f aca="false">J10999+J11012+J11025+J11038</f>
        <v>0</v>
      </c>
      <c r="K11071" s="25" t="n">
        <f aca="false">K10999+K11012+K11025+K11038</f>
        <v>0</v>
      </c>
    </row>
    <row r="11072" customFormat="false" ht="15" hidden="false" customHeight="false" outlineLevel="0" collapsed="false">
      <c r="A11072" s="2" t="s">
        <v>306</v>
      </c>
      <c r="G11072" s="16" t="n">
        <f aca="false">G11070+G11071</f>
        <v>0</v>
      </c>
      <c r="H11072" s="16" t="n">
        <f aca="false">H11070+H11071</f>
        <v>-153.6614848</v>
      </c>
      <c r="I11072" s="16" t="n">
        <f aca="false">I11070+I11071</f>
        <v>-329.252011904</v>
      </c>
      <c r="J11072" s="16" t="n">
        <f aca="false">J11070+J11071</f>
        <v>-508.72940118016</v>
      </c>
      <c r="K11072" s="16" t="n">
        <f aca="false">K11070+K11071</f>
        <v>-688.816433355367</v>
      </c>
    </row>
    <row r="11073" customFormat="false" ht="15" hidden="false" customHeight="false" outlineLevel="0" collapsed="false">
      <c r="A11073" s="5" t="s">
        <v>307</v>
      </c>
      <c r="G11073" s="25" t="n">
        <f aca="false">G11000+G11013+G11026+G11039</f>
        <v>0</v>
      </c>
      <c r="H11073" s="25" t="n">
        <f aca="false">H11000+H11013+H11026+H11039</f>
        <v>0</v>
      </c>
      <c r="I11073" s="25" t="n">
        <f aca="false">I11000+I11013+I11026+I11039</f>
        <v>0</v>
      </c>
      <c r="J11073" s="25" t="n">
        <f aca="false">J11000+J11013+J11026+J11039</f>
        <v>0</v>
      </c>
      <c r="K11073" s="25" t="n">
        <f aca="false">K11000+K11013+K11026+K11039</f>
        <v>0</v>
      </c>
    </row>
    <row r="11074" customFormat="false" ht="15" hidden="false" customHeight="false" outlineLevel="0" collapsed="false">
      <c r="A11074" s="2" t="s">
        <v>308</v>
      </c>
      <c r="G11074" s="16" t="n">
        <f aca="false">G11072-G11073</f>
        <v>0</v>
      </c>
      <c r="H11074" s="16" t="n">
        <f aca="false">H11072-H11073</f>
        <v>-153.6614848</v>
      </c>
      <c r="I11074" s="16" t="n">
        <f aca="false">I11072-I11073</f>
        <v>-329.252011904</v>
      </c>
      <c r="J11074" s="16" t="n">
        <f aca="false">J11072-J11073</f>
        <v>-508.72940118016</v>
      </c>
      <c r="K11074" s="16" t="n">
        <f aca="false">K11072-K11073</f>
        <v>-688.816433355367</v>
      </c>
    </row>
    <row r="11075" customFormat="false" ht="15" hidden="false" customHeight="false" outlineLevel="0" collapsed="false">
      <c r="A11075" s="5" t="s">
        <v>309</v>
      </c>
      <c r="G11075" s="25" t="n">
        <f aca="false">MAX(0,-G11074)</f>
        <v>-0</v>
      </c>
      <c r="H11075" s="25" t="n">
        <f aca="false">MAX(0,-H11074)</f>
        <v>153.6614848</v>
      </c>
      <c r="I11075" s="25" t="n">
        <f aca="false">MAX(0,-I11074)</f>
        <v>329.252011904</v>
      </c>
      <c r="J11075" s="25" t="n">
        <f aca="false">MAX(0,-J11074)</f>
        <v>508.72940118016</v>
      </c>
      <c r="K11075" s="25" t="n">
        <f aca="false">MAX(0,-K11074)</f>
        <v>688.816433355367</v>
      </c>
    </row>
    <row r="11076" customFormat="false" ht="15" hidden="false" customHeight="false" outlineLevel="0" collapsed="false">
      <c r="A11076" s="5" t="s">
        <v>310</v>
      </c>
      <c r="G11076" s="25" t="n">
        <f aca="false">MAX(0,G11074-Assumptions!$C$12)*Assumptions!$C$13</f>
        <v>0</v>
      </c>
      <c r="H11076" s="25" t="n">
        <f aca="false">MAX(0,H11074-Assumptions!$C$12)*Assumptions!$C$13</f>
        <v>0</v>
      </c>
      <c r="I11076" s="25" t="n">
        <f aca="false">MAX(0,I11074-Assumptions!$C$12)*Assumptions!$C$13</f>
        <v>0</v>
      </c>
      <c r="J11076" s="25" t="n">
        <f aca="false">MAX(0,J11074-Assumptions!$C$12)*Assumptions!$C$13</f>
        <v>0</v>
      </c>
      <c r="K11076" s="25" t="n">
        <f aca="false">MAX(0,K11074-Assumptions!$C$12)*Assumptions!$C$13</f>
        <v>0</v>
      </c>
    </row>
    <row r="11077" customFormat="false" ht="15" hidden="false" customHeight="false" outlineLevel="0" collapsed="false">
      <c r="A11077" s="5" t="s">
        <v>311</v>
      </c>
      <c r="G11077" s="25" t="n">
        <f aca="false">G11001+G11014+G11027+G11040</f>
        <v>0</v>
      </c>
      <c r="H11077" s="25" t="n">
        <f aca="false">H11001+H11014+H11027+H11040</f>
        <v>0</v>
      </c>
      <c r="I11077" s="25" t="n">
        <f aca="false">I11001+I11014+I11027+I11040</f>
        <v>0</v>
      </c>
      <c r="J11077" s="25" t="n">
        <f aca="false">J11001+J11014+J11027+J11040</f>
        <v>0</v>
      </c>
      <c r="K11077" s="25" t="n">
        <f aca="false">K11001+K11014+K11027+K11040</f>
        <v>0</v>
      </c>
    </row>
    <row r="11078" customFormat="false" ht="15" hidden="false" customHeight="false" outlineLevel="0" collapsed="false">
      <c r="A11078" s="2" t="s">
        <v>312</v>
      </c>
      <c r="F11078" s="27" t="n">
        <f aca="false">Assumptions!$C$11</f>
        <v>45</v>
      </c>
      <c r="G11078" s="16" t="n">
        <f aca="false">G11074-G11077</f>
        <v>0</v>
      </c>
      <c r="H11078" s="16" t="n">
        <f aca="false">H11074-H11077</f>
        <v>-153.6614848</v>
      </c>
      <c r="I11078" s="16" t="n">
        <f aca="false">I11074-I11077</f>
        <v>-329.252011904</v>
      </c>
      <c r="J11078" s="16" t="n">
        <f aca="false">J11074-J11077</f>
        <v>-508.72940118016</v>
      </c>
      <c r="K11078" s="16" t="n">
        <f aca="false">K11074-K11077</f>
        <v>-688.816433355367</v>
      </c>
    </row>
    <row r="11079" customFormat="false" ht="15" hidden="false" customHeight="false" outlineLevel="0" collapsed="false">
      <c r="A11079" s="5" t="s">
        <v>313</v>
      </c>
      <c r="G11079" s="25" t="n">
        <f aca="false">G11002+G11015+G11028+G11041</f>
        <v>0</v>
      </c>
      <c r="H11079" s="25" t="n">
        <f aca="false">H11002+H11015+H11028+H11041</f>
        <v>550.7488</v>
      </c>
      <c r="I11079" s="25" t="n">
        <f aca="false">I11002+I11015+I11028+I11041</f>
        <v>504.4</v>
      </c>
      <c r="J11079" s="25" t="n">
        <f aca="false">J11002+J11015+J11028+J11041</f>
        <v>250</v>
      </c>
      <c r="K11079" s="25" t="n">
        <f aca="false">K11002+K11015+K11028+K11041</f>
        <v>0</v>
      </c>
    </row>
    <row r="11080" customFormat="false" ht="15" hidden="false" customHeight="false" outlineLevel="0" collapsed="false">
      <c r="A11080" s="5" t="s">
        <v>314</v>
      </c>
      <c r="G11080" s="20" t="n">
        <f aca="false">IF(OR(G11075&gt;0.001,G11079&gt;0.001),1,0)</f>
        <v>0</v>
      </c>
      <c r="H11080" s="20" t="n">
        <f aca="false">IF(OR(H11075&gt;0.001,H11079&gt;0.001),1,0)</f>
        <v>1</v>
      </c>
      <c r="I11080" s="20" t="n">
        <f aca="false">IF(OR(I11075&gt;0.001,I11079&gt;0.001),1,0)</f>
        <v>1</v>
      </c>
      <c r="J11080" s="20" t="n">
        <f aca="false">IF(OR(J11075&gt;0.001,J11079&gt;0.001),1,0)</f>
        <v>1</v>
      </c>
      <c r="K11080" s="20" t="n">
        <f aca="false">IF(OR(K11075&gt;0.001,K11079&gt;0.001),1,0)</f>
        <v>1</v>
      </c>
    </row>
    <row r="11081" customFormat="false" ht="15" hidden="false" customHeight="false" outlineLevel="0" collapsed="false">
      <c r="A11081" s="5" t="s">
        <v>315</v>
      </c>
      <c r="G11081" s="20" t="n">
        <f aca="false">IF(G11080=1,1,0)</f>
        <v>0</v>
      </c>
      <c r="H11081" s="20" t="n">
        <f aca="false">IF(AND(H11080=1,SUM($G$11080:G11080)=0),1,0)</f>
        <v>1</v>
      </c>
      <c r="I11081" s="20" t="n">
        <f aca="false">IF(AND(I11080=1,SUM($G$11080:H11080)=0),1,0)</f>
        <v>0</v>
      </c>
      <c r="J11081" s="20" t="n">
        <f aca="false">IF(AND(J11080=1,SUM($G$11080:I11080)=0),1,0)</f>
        <v>0</v>
      </c>
      <c r="K11081" s="20" t="n">
        <f aca="false">IF(AND(K11080=1,SUM($G$11080:J11080)=0),1,0)</f>
        <v>0</v>
      </c>
    </row>
    <row r="11082" customFormat="false" ht="15" hidden="false" customHeight="false" outlineLevel="0" collapsed="false">
      <c r="A11082" s="5" t="s">
        <v>316</v>
      </c>
      <c r="G11082" s="25" t="n">
        <f aca="false">(G11044-F11044)-(G11071+G10971-G11069-G11073-G11077)</f>
        <v>0</v>
      </c>
      <c r="H11082" s="25" t="n">
        <f aca="false">(H11044-G11044)-(H11071+H10971-H11069-H11073-H11077)</f>
        <v>-4.52970994047064E-014</v>
      </c>
      <c r="I11082" s="25" t="n">
        <f aca="false">(I11044-H11044)-(I11071+I10971-I11069-I11073-I11077)</f>
        <v>-4.52970994047064E-014</v>
      </c>
      <c r="J11082" s="25" t="n">
        <f aca="false">(J11044-I11044)-(J11071+J10971-J11069-J11073-J11077)</f>
        <v>1.82076576038526E-013</v>
      </c>
      <c r="K11082" s="25" t="n">
        <f aca="false">(K11044-J11044)-(K11071+K10971-K11069-K11073-K11077)</f>
        <v>-2.72670774847938E-013</v>
      </c>
    </row>
    <row r="11084" customFormat="false" ht="15" hidden="false" customHeight="false" outlineLevel="0" collapsed="false">
      <c r="A11084" s="23" t="s">
        <v>318</v>
      </c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</row>
    <row r="11085" customFormat="false" ht="15" hidden="false" customHeight="false" outlineLevel="0" collapsed="false">
      <c r="A11085" s="5" t="s">
        <v>319</v>
      </c>
      <c r="G11085" s="25" t="n">
        <f aca="false">G11044</f>
        <v>1315.5488</v>
      </c>
      <c r="H11085" s="25" t="n">
        <f aca="false">H11044</f>
        <v>1310.3488</v>
      </c>
      <c r="I11085" s="25" t="n">
        <f aca="false">I11044</f>
        <v>1305.1488</v>
      </c>
      <c r="J11085" s="25" t="n">
        <f aca="false">J11044</f>
        <v>1299.9488</v>
      </c>
      <c r="K11085" s="25" t="n">
        <f aca="false">K11044</f>
        <v>1294.7488</v>
      </c>
    </row>
    <row r="11086" customFormat="false" ht="15" hidden="false" customHeight="false" outlineLevel="0" collapsed="false">
      <c r="A11086" s="5" t="s">
        <v>320</v>
      </c>
      <c r="G11086" s="25" t="n">
        <f aca="false">Assumptions!$O$53*G11003+Assumptions!$O$54*G11016+Assumptions!$O$55*G11029+Assumptions!$O$56*G11042</f>
        <v>1015.5488</v>
      </c>
      <c r="H11086" s="25" t="n">
        <f aca="false">Assumptions!$O$53*H11003+Assumptions!$O$54*H11016+Assumptions!$O$55*H11029+Assumptions!$O$56*H11042</f>
        <v>1010.3488</v>
      </c>
      <c r="I11086" s="25" t="n">
        <f aca="false">Assumptions!$O$53*I11003+Assumptions!$O$54*I11016+Assumptions!$O$55*I11029+Assumptions!$O$56*I11042</f>
        <v>1005.1488</v>
      </c>
      <c r="J11086" s="25" t="n">
        <f aca="false">Assumptions!$O$53*J11003+Assumptions!$O$54*J11016+Assumptions!$O$55*J11029+Assumptions!$O$56*J11042</f>
        <v>999.9488</v>
      </c>
      <c r="K11086" s="25" t="n">
        <f aca="false">Assumptions!$O$53*K11003+Assumptions!$O$54*K11016+Assumptions!$O$55*K11029+Assumptions!$O$56*K11042</f>
        <v>994.7488</v>
      </c>
    </row>
    <row r="11087" customFormat="false" ht="15" hidden="false" customHeight="false" outlineLevel="0" collapsed="false">
      <c r="A11087" s="5" t="s">
        <v>321</v>
      </c>
      <c r="G11087" s="25" t="n">
        <f aca="false">G11085-G11078</f>
        <v>1315.5488</v>
      </c>
      <c r="H11087" s="25" t="n">
        <f aca="false">H11085-H11078</f>
        <v>1464.0102848</v>
      </c>
      <c r="I11087" s="25" t="n">
        <f aca="false">I11085-I11078</f>
        <v>1634.400811904</v>
      </c>
      <c r="J11087" s="25" t="n">
        <f aca="false">J11085-J11078</f>
        <v>1808.67820118016</v>
      </c>
      <c r="K11087" s="25" t="n">
        <f aca="false">K11085-K11078</f>
        <v>1983.56523335537</v>
      </c>
    </row>
    <row r="11088" customFormat="false" ht="15" hidden="false" customHeight="false" outlineLevel="0" collapsed="false">
      <c r="A11088" s="5" t="s">
        <v>322</v>
      </c>
      <c r="G11088" s="31" t="n">
        <f aca="false">IF(G10966&gt;0,G11085/G10966,0)</f>
        <v>67.1746732026144</v>
      </c>
      <c r="H11088" s="31" t="n">
        <f aca="false">IF(H10966&gt;0,H11085/H10966,0)</f>
        <v>72.7273373117363</v>
      </c>
      <c r="I11088" s="31" t="n">
        <f aca="false">IF(I10966&gt;0,I11085/I10966,0)</f>
        <v>70.7409428615196</v>
      </c>
      <c r="J11088" s="31" t="n">
        <f aca="false">IF(J10966&gt;0,J11085/J10966,0)</f>
        <v>67.7491301726411</v>
      </c>
      <c r="K11088" s="31" t="n">
        <f aca="false">IF(K10966&gt;0,K11085/K10966,0)</f>
        <v>64.8828105561889</v>
      </c>
    </row>
    <row r="11089" customFormat="false" ht="15" hidden="false" customHeight="false" outlineLevel="0" collapsed="false">
      <c r="A11089" s="5" t="s">
        <v>323</v>
      </c>
      <c r="G11089" s="31" t="n">
        <f aca="false">IF(G10966&gt;0,G11087/G10966,0)</f>
        <v>67.1746732026144</v>
      </c>
      <c r="H11089" s="31" t="n">
        <f aca="false">IF(H10966&gt;0,H11087/H10966,0)</f>
        <v>81.255899048025</v>
      </c>
      <c r="I11089" s="31" t="n">
        <f aca="false">IF(I10966&gt;0,I11087/I10966,0)</f>
        <v>88.586875647989</v>
      </c>
      <c r="J11089" s="31" t="n">
        <f aca="false">IF(J10966&gt;0,J11087/J10966,0)</f>
        <v>94.2624624078833</v>
      </c>
      <c r="K11089" s="31" t="n">
        <f aca="false">IF(K10966&gt;0,K11087/K10966,0)</f>
        <v>99.4009704906765</v>
      </c>
    </row>
    <row r="11090" customFormat="false" ht="15" hidden="false" customHeight="false" outlineLevel="0" collapsed="false">
      <c r="A11090" s="5" t="s">
        <v>324</v>
      </c>
      <c r="G11090" s="31" t="n">
        <f aca="false">IF(G10970&gt;0,G10966/G10970,0)</f>
        <v>0.139845758354756</v>
      </c>
      <c r="H11090" s="31" t="n">
        <f aca="false">IF(H10970&gt;0,H10966/H10970,0)</f>
        <v>0.123709888709878</v>
      </c>
      <c r="I11090" s="31" t="n">
        <f aca="false">IF(I10970&gt;0,I10966/I10970,0)</f>
        <v>0.128963005198599</v>
      </c>
      <c r="J11090" s="31" t="n">
        <f aca="false">IF(J10970&gt;0,J10966/J10970,0)</f>
        <v>0.134748446729487</v>
      </c>
      <c r="K11090" s="31" t="n">
        <f aca="false">IF(K10970&gt;0,K10966/K10970,0)</f>
        <v>0.140796506640909</v>
      </c>
    </row>
    <row r="11091" customFormat="false" ht="15" hidden="false" customHeight="false" outlineLevel="0" collapsed="false">
      <c r="A11091" s="5" t="s">
        <v>325</v>
      </c>
      <c r="G11091" s="31" t="n">
        <f aca="false">IF(G10970&gt;0,G10969/G10970,0)</f>
        <v>-0.167814910025707</v>
      </c>
      <c r="H11091" s="31" t="n">
        <f aca="false">IF(H10970&gt;0,H10969/H10970,0)</f>
        <v>-0.148451866451853</v>
      </c>
      <c r="I11091" s="31" t="n">
        <f aca="false">IF(I10970&gt;0,I10969/I10970,0)</f>
        <v>-0.154755606238319</v>
      </c>
      <c r="J11091" s="31" t="n">
        <f aca="false">IF(J10970&gt;0,J10969/J10970,0)</f>
        <v>-0.161698136075385</v>
      </c>
      <c r="K11091" s="31" t="n">
        <f aca="false">IF(K10970&gt;0,K10969/K10970,0)</f>
        <v>-0.168955807969091</v>
      </c>
    </row>
    <row r="11092" customFormat="false" ht="15" hidden="false" customHeight="false" outlineLevel="0" collapsed="false">
      <c r="A11092" s="5" t="s">
        <v>182</v>
      </c>
      <c r="G11092" s="21" t="n">
        <f aca="false">IF(G11085&gt;0,G10979/G11085,0)</f>
        <v>-0.0840324585450574</v>
      </c>
      <c r="H11092" s="21" t="n">
        <f aca="false">IF(H11085&gt;0,H10979/H11085,0)</f>
        <v>-0.113299210713972</v>
      </c>
      <c r="I11092" s="21" t="n">
        <f aca="false">IF(I11085&gt;0,I10979/I11085,0)</f>
        <v>-0.130552567725611</v>
      </c>
      <c r="J11092" s="21" t="n">
        <f aca="false">IF(J11085&gt;0,J10979/J11085,0)</f>
        <v>-0.134064810303421</v>
      </c>
      <c r="K11092" s="21" t="n">
        <f aca="false">IF(K11085&gt;0,K10979/K11085,0)</f>
        <v>-0.135074102540359</v>
      </c>
    </row>
    <row r="11093" customFormat="false" ht="15" hidden="false" customHeight="false" outlineLevel="0" collapsed="false">
      <c r="A11093" s="5" t="s">
        <v>326</v>
      </c>
      <c r="G11093" s="31" t="n">
        <f aca="false">IF(G10970+G11069&gt;0,(G10966-G10977-G10974)/(G10970+G11069),0)</f>
        <v>-0.0809033324153126</v>
      </c>
      <c r="H11093" s="31" t="n">
        <f aca="false">IF(H10970+H11069&gt;0,(H10966-H10977-H10974)/(H10970+H11069),0)</f>
        <v>-0.0716671205827562</v>
      </c>
      <c r="I11093" s="31" t="n">
        <f aca="false">IF(I10970+I11069&gt;0,(I10966-I10977-I10974)/(I10970+I11069),0)</f>
        <v>-0.0746639263198842</v>
      </c>
      <c r="J11093" s="31" t="n">
        <f aca="false">IF(J10970+J11069&gt;0,(J10966-J10977-J10974)/(J10970+J11069),0)</f>
        <v>-0.0780006558082349</v>
      </c>
      <c r="K11093" s="31" t="n">
        <f aca="false">IF(K10970+K11069&gt;0,(K10966-K10977-K10974)/(K10970+K11069),0)</f>
        <v>-0.0814881608573981</v>
      </c>
    </row>
    <row r="11094" customFormat="false" ht="15" hidden="false" customHeight="false" outlineLevel="0" collapsed="false">
      <c r="A11094" s="5" t="s">
        <v>327</v>
      </c>
      <c r="G11094" s="25" t="n">
        <f aca="false">MAX(0,G11078)+Assumptions!$P$53*MAX(0,Assumptions!$D$53-G11003)+Assumptions!$P$54*MAX(0,Assumptions!$D$54-G11016)+Assumptions!$P$55*MAX(0,Assumptions!$D$55-G11029)+Assumptions!$P$56*MAX(0,Assumptions!$D$56-G11042)</f>
        <v>49.2512</v>
      </c>
      <c r="H11094" s="25" t="n">
        <f aca="false">MAX(0,H11078)+Assumptions!$P$53*MAX(0,Assumptions!$D$53-H11003)+Assumptions!$P$54*MAX(0,Assumptions!$D$54-H11016)+Assumptions!$P$55*MAX(0,Assumptions!$D$55-H11029)+Assumptions!$P$56*MAX(0,Assumptions!$D$56-H11042)</f>
        <v>49.2512</v>
      </c>
      <c r="I11094" s="25" t="n">
        <f aca="false">MAX(0,I11078)+Assumptions!$P$53*MAX(0,Assumptions!$D$53-I11003)+Assumptions!$P$54*MAX(0,Assumptions!$D$54-I11016)+Assumptions!$P$55*MAX(0,Assumptions!$D$55-I11029)+Assumptions!$P$56*MAX(0,Assumptions!$D$56-I11042)</f>
        <v>49.2512</v>
      </c>
      <c r="J11094" s="25" t="n">
        <f aca="false">MAX(0,J11078)+Assumptions!$P$53*MAX(0,Assumptions!$D$53-J11003)+Assumptions!$P$54*MAX(0,Assumptions!$D$54-J11016)+Assumptions!$P$55*MAX(0,Assumptions!$D$55-J11029)+Assumptions!$P$56*MAX(0,Assumptions!$D$56-J11042)</f>
        <v>49.2512</v>
      </c>
      <c r="K11094" s="25" t="n">
        <f aca="false">MAX(0,K11078)+Assumptions!$P$53*MAX(0,Assumptions!$D$53-K11003)+Assumptions!$P$54*MAX(0,Assumptions!$D$54-K11016)+Assumptions!$P$55*MAX(0,Assumptions!$D$55-K11029)+Assumptions!$P$56*MAX(0,Assumptions!$D$56-K11042)</f>
        <v>49.2512</v>
      </c>
    </row>
    <row r="11095" customFormat="false" ht="15" hidden="false" customHeight="false" outlineLevel="0" collapsed="false">
      <c r="A11095" s="5" t="s">
        <v>328</v>
      </c>
      <c r="G11095" s="21" t="n">
        <f aca="false">IF(G11085&gt;0,G11085/(G11085+MAX(0,G10966*CHOOSE($C$10949,Assumptions!$C$76,Assumptions!$C$95,Assumptions!$C$114)-G11087)),0)</f>
        <v>1</v>
      </c>
      <c r="H11095" s="21" t="n">
        <f aca="false">IF(H11085&gt;0,H11085/(H11085+MAX(0,H10966*CHOOSE($C$10949,Assumptions!$C$76,Assumptions!$C$95,Assumptions!$C$114)-H11087)),0)</f>
        <v>1</v>
      </c>
      <c r="I11095" s="21" t="n">
        <f aca="false">IF(I11085&gt;0,I11085/(I11085+MAX(0,I10966*CHOOSE($C$10949,Assumptions!$C$76,Assumptions!$C$95,Assumptions!$C$114)-I11087)),0)</f>
        <v>1</v>
      </c>
      <c r="J11095" s="21" t="n">
        <f aca="false">IF(J11085&gt;0,J11085/(J11085+MAX(0,J10966*CHOOSE($C$10949,Assumptions!$C$76,Assumptions!$C$95,Assumptions!$C$114)-J11087)),0)</f>
        <v>1</v>
      </c>
      <c r="K11095" s="21" t="n">
        <f aca="false">IF(K11085&gt;0,K11085/(K11085+MAX(0,K10966*CHOOSE($C$10949,Assumptions!$C$76,Assumptions!$C$95,Assumptions!$C$114)-K11087)),0)</f>
        <v>1</v>
      </c>
    </row>
    <row r="11096" customFormat="false" ht="15" hidden="false" customHeight="false" outlineLevel="0" collapsed="false">
      <c r="A11096" s="5" t="s">
        <v>329</v>
      </c>
      <c r="G11096" s="21" t="n">
        <f aca="false">IF(G11085&gt;0,MAX(0,G11078)/G11085,0)</f>
        <v>0</v>
      </c>
      <c r="H11096" s="21" t="n">
        <f aca="false">IF(H11085&gt;0,MAX(0,H11078)/H11085,0)</f>
        <v>0</v>
      </c>
      <c r="I11096" s="21" t="n">
        <f aca="false">IF(I11085&gt;0,MAX(0,I11078)/I11085,0)</f>
        <v>0</v>
      </c>
      <c r="J11096" s="21" t="n">
        <f aca="false">IF(J11085&gt;0,MAX(0,J11078)/J11085,0)</f>
        <v>0</v>
      </c>
      <c r="K11096" s="21" t="n">
        <f aca="false">IF(K11085&gt;0,MAX(0,K11078)/K11085,0)</f>
        <v>0</v>
      </c>
    </row>
    <row r="11097" customFormat="false" ht="15" hidden="false" customHeight="false" outlineLevel="0" collapsed="false">
      <c r="A11097" s="5" t="s">
        <v>330</v>
      </c>
      <c r="G11097" s="25" t="n">
        <f aca="false">Assumptions!$C$27*(1-CHOOSE($C$10949,Assumptions!$C$79,Assumptions!$C$98,Assumptions!$C$117))</f>
        <v>676</v>
      </c>
      <c r="H11097" s="25" t="n">
        <f aca="false">Assumptions!$C$27*(1-CHOOSE($C$10949,Assumptions!$C$79,Assumptions!$C$98,Assumptions!$C$117))</f>
        <v>676</v>
      </c>
      <c r="I11097" s="25" t="n">
        <f aca="false">Assumptions!$C$27*(1-CHOOSE($C$10949,Assumptions!$C$79,Assumptions!$C$98,Assumptions!$C$117))</f>
        <v>676</v>
      </c>
      <c r="J11097" s="25" t="n">
        <f aca="false">Assumptions!$C$27*(1-CHOOSE($C$10949,Assumptions!$C$79,Assumptions!$C$98,Assumptions!$C$117))</f>
        <v>676</v>
      </c>
      <c r="K11097" s="25" t="n">
        <f aca="false">Assumptions!$C$27*(1-CHOOSE($C$10949,Assumptions!$C$79,Assumptions!$C$98,Assumptions!$C$117))</f>
        <v>676</v>
      </c>
    </row>
    <row r="11098" customFormat="false" ht="15" hidden="false" customHeight="false" outlineLevel="0" collapsed="false">
      <c r="A11098" s="23" t="s">
        <v>331</v>
      </c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</row>
    <row r="11099" customFormat="false" ht="15" hidden="false" customHeight="false" outlineLevel="0" collapsed="false">
      <c r="A11099" s="23" t="s">
        <v>332</v>
      </c>
      <c r="B11099" s="24"/>
      <c r="C11099" s="24"/>
      <c r="D11099" s="24"/>
      <c r="E11099" s="24"/>
      <c r="F11099" s="24"/>
      <c r="G11099" s="24"/>
      <c r="H11099" s="24"/>
      <c r="I11099" s="24"/>
      <c r="J11099" s="24"/>
      <c r="K11099" s="24"/>
    </row>
    <row r="11100" customFormat="false" ht="15" hidden="false" customHeight="false" outlineLevel="0" collapsed="false">
      <c r="A11100" s="5" t="s">
        <v>333</v>
      </c>
      <c r="G11100" s="31" t="n">
        <f aca="false">IF(G10966&gt;0,G11087/G10966,99)</f>
        <v>67.1746732026144</v>
      </c>
      <c r="H11100" s="31" t="n">
        <f aca="false">IF(H10966&gt;0,H11087/H10966,99)</f>
        <v>81.255899048025</v>
      </c>
      <c r="I11100" s="31" t="n">
        <f aca="false">IF(I10966&gt;0,I11087/I10966,99)</f>
        <v>88.586875647989</v>
      </c>
      <c r="J11100" s="31" t="n">
        <f aca="false">IF(J10966&gt;0,J11087/J10966,99)</f>
        <v>94.2624624078833</v>
      </c>
      <c r="K11100" s="31" t="n">
        <f aca="false">IF(K10966&gt;0,K11087/K10966,99)</f>
        <v>99.4009704906765</v>
      </c>
    </row>
    <row r="11101" customFormat="false" ht="15" hidden="false" customHeight="false" outlineLevel="0" collapsed="false">
      <c r="A11101" s="5" t="s">
        <v>334</v>
      </c>
      <c r="G11101" s="32" t="n">
        <f aca="false">Assumptions!$G$61</f>
        <v>8.5</v>
      </c>
      <c r="H11101" s="32" t="n">
        <f aca="false">Assumptions!$H$61</f>
        <v>8.5</v>
      </c>
      <c r="I11101" s="32" t="n">
        <f aca="false">Assumptions!$I$61</f>
        <v>8.5</v>
      </c>
      <c r="J11101" s="32" t="n">
        <f aca="false">Assumptions!$J$61</f>
        <v>8.5</v>
      </c>
      <c r="K11101" s="32" t="n">
        <f aca="false">Assumptions!$K$61</f>
        <v>8.5</v>
      </c>
    </row>
    <row r="11102" customFormat="false" ht="15" hidden="false" customHeight="false" outlineLevel="0" collapsed="false">
      <c r="A11102" s="5" t="s">
        <v>335</v>
      </c>
      <c r="G11102" s="31" t="n">
        <f aca="false">G11101-G11100</f>
        <v>-58.6746732026144</v>
      </c>
      <c r="H11102" s="31" t="n">
        <f aca="false">H11101-H11100</f>
        <v>-72.755899048025</v>
      </c>
      <c r="I11102" s="31" t="n">
        <f aca="false">I11101-I11100</f>
        <v>-80.086875647989</v>
      </c>
      <c r="J11102" s="31" t="n">
        <f aca="false">J11101-J11100</f>
        <v>-85.7624624078833</v>
      </c>
      <c r="K11102" s="31" t="n">
        <f aca="false">K11101-K11100</f>
        <v>-90.9009704906765</v>
      </c>
    </row>
    <row r="11103" customFormat="false" ht="15" hidden="false" customHeight="false" outlineLevel="0" collapsed="false">
      <c r="A11103" s="5" t="s">
        <v>336</v>
      </c>
      <c r="G11103" s="21" t="n">
        <f aca="false">IF(G11101=0,0,G11102/ABS(G11101))</f>
        <v>-6.90290272971934</v>
      </c>
      <c r="H11103" s="21" t="n">
        <f aca="false">IF(H11101=0,0,H11102/ABS(H11101))</f>
        <v>-8.55951753506177</v>
      </c>
      <c r="I11103" s="21" t="n">
        <f aca="false">IF(I11101=0,0,I11102/ABS(I11101))</f>
        <v>-9.42198537035165</v>
      </c>
      <c r="J11103" s="21" t="n">
        <f aca="false">IF(J11101=0,0,J11102/ABS(J11101))</f>
        <v>-10.089701459751</v>
      </c>
      <c r="K11103" s="21" t="n">
        <f aca="false">IF(K11101=0,0,K11102/ABS(K11101))</f>
        <v>-10.6942318224325</v>
      </c>
    </row>
    <row r="11104" customFormat="false" ht="15" hidden="false" customHeight="false" outlineLevel="0" collapsed="false">
      <c r="A11104" s="5" t="s">
        <v>337</v>
      </c>
      <c r="G11104" s="20" t="n">
        <f aca="false">IF(G11102&lt;0,1,0)</f>
        <v>1</v>
      </c>
      <c r="H11104" s="20" t="n">
        <f aca="false">IF(H11102&lt;0,1,0)</f>
        <v>1</v>
      </c>
      <c r="I11104" s="20" t="n">
        <f aca="false">IF(I11102&lt;0,1,0)</f>
        <v>1</v>
      </c>
      <c r="J11104" s="20" t="n">
        <f aca="false">IF(J11102&lt;0,1,0)</f>
        <v>1</v>
      </c>
      <c r="K11104" s="20" t="n">
        <f aca="false">IF(K11102&lt;0,1,0)</f>
        <v>1</v>
      </c>
    </row>
    <row r="11105" customFormat="false" ht="15" hidden="false" customHeight="false" outlineLevel="0" collapsed="false">
      <c r="A11105" s="5" t="s">
        <v>338</v>
      </c>
      <c r="C11105" s="20" t="n">
        <f aca="false">IFERROR(INDEX($G$10956:$K$10956,MATCH(1,$G$11104:$K$11104,0)),0)</f>
        <v>2026</v>
      </c>
    </row>
    <row r="11106" customFormat="false" ht="15" hidden="false" customHeight="false" outlineLevel="0" collapsed="false">
      <c r="A11106" s="5" t="s">
        <v>339</v>
      </c>
      <c r="C11106" s="21" t="n">
        <f aca="false">MIN($G$11103:$K$11103)</f>
        <v>-10.6942318224325</v>
      </c>
    </row>
    <row r="11107" customFormat="false" ht="15" hidden="false" customHeight="false" outlineLevel="0" collapsed="false">
      <c r="A11107" s="5" t="s">
        <v>340</v>
      </c>
      <c r="G11107" s="20" t="n">
        <f aca="false">G11104</f>
        <v>1</v>
      </c>
      <c r="H11107" s="20" t="n">
        <f aca="false">H11104</f>
        <v>1</v>
      </c>
      <c r="I11107" s="20" t="n">
        <f aca="false">I11104</f>
        <v>1</v>
      </c>
      <c r="J11107" s="20" t="n">
        <f aca="false">J11104</f>
        <v>1</v>
      </c>
      <c r="K11107" s="20" t="n">
        <f aca="false">K11104</f>
        <v>1</v>
      </c>
    </row>
    <row r="11108" customFormat="false" ht="15" hidden="false" customHeight="false" outlineLevel="0" collapsed="false">
      <c r="A11108" s="5" t="s">
        <v>341</v>
      </c>
      <c r="C11108" s="20" t="n">
        <f aca="false">SUM($G$11107:$K$11107)</f>
        <v>5</v>
      </c>
    </row>
    <row r="11109" customFormat="false" ht="15" hidden="false" customHeight="false" outlineLevel="0" collapsed="false">
      <c r="A11109" s="5" t="s">
        <v>342</v>
      </c>
      <c r="C11109" s="21" t="n">
        <f aca="false">MIN(C11106)</f>
        <v>-10.6942318224325</v>
      </c>
    </row>
    <row r="11111" customFormat="false" ht="15" hidden="false" customHeight="false" outlineLevel="0" collapsed="false">
      <c r="A11111" s="23" t="s">
        <v>444</v>
      </c>
      <c r="B11111" s="24"/>
      <c r="C11111" s="24"/>
      <c r="D11111" s="24"/>
      <c r="E11111" s="24"/>
      <c r="F11111" s="24"/>
      <c r="G11111" s="24"/>
      <c r="H11111" s="24"/>
      <c r="I11111" s="24"/>
      <c r="J11111" s="24"/>
      <c r="K11111" s="24"/>
    </row>
    <row r="11112" customFormat="false" ht="15" hidden="false" customHeight="false" outlineLevel="0" collapsed="false">
      <c r="A11112" s="5" t="s">
        <v>445</v>
      </c>
      <c r="G11112" s="20" t="n">
        <f aca="false">IF($C$11113=1,G11081,IF(G10966=MIN($G$10966:$K$10966),1,0))</f>
        <v>0</v>
      </c>
      <c r="H11112" s="20" t="n">
        <f aca="false">IF($C$11113=1,H11081,IF(AND(H10966=MIN($G$10966:$K$10966),SUM($G$11112:G11112)=0),1,0))</f>
        <v>1</v>
      </c>
      <c r="I11112" s="20" t="n">
        <f aca="false">IF($C$11113=1,I11081,IF(AND(I10966=MIN($G$10966:$K$10966),SUM($G$11112:H11112)=0),1,0))</f>
        <v>0</v>
      </c>
      <c r="J11112" s="20" t="n">
        <f aca="false">IF($C$11113=1,J11081,IF(AND(J10966=MIN($G$10966:$K$10966),SUM($G$11112:I11112)=0),1,0))</f>
        <v>0</v>
      </c>
      <c r="K11112" s="20" t="n">
        <f aca="false">IF($C$11113=1,K11081,IF(AND(K10966=MIN($G$10966:$K$10966),SUM($G$11112:J11112)=0),1,0))</f>
        <v>0</v>
      </c>
    </row>
    <row r="11113" customFormat="false" ht="15" hidden="false" customHeight="false" outlineLevel="0" collapsed="false">
      <c r="A11113" s="5" t="s">
        <v>446</v>
      </c>
      <c r="C11113" s="20" t="n">
        <f aca="false">IF(SUM($G$11081:$K$11081)&gt;0,1,0)</f>
        <v>1</v>
      </c>
    </row>
    <row r="11114" customFormat="false" ht="15" hidden="false" customHeight="false" outlineLevel="0" collapsed="false">
      <c r="A11114" s="5" t="s">
        <v>447</v>
      </c>
      <c r="C11114" s="20" t="n">
        <f aca="false">SUMPRODUCT($G$11112:$K$11112,$G$10956:$K$10956)</f>
        <v>2027</v>
      </c>
    </row>
    <row r="11115" customFormat="false" ht="15" hidden="false" customHeight="false" outlineLevel="0" collapsed="false">
      <c r="A11115" s="5" t="s">
        <v>448</v>
      </c>
      <c r="C11115" s="25" t="n">
        <f aca="false">SUMPRODUCT($G$11112:$K$11112,$G$10966:$K$10966)</f>
        <v>18.01728</v>
      </c>
    </row>
    <row r="11116" customFormat="false" ht="15" hidden="false" customHeight="false" outlineLevel="0" collapsed="false">
      <c r="A11116" s="5" t="s">
        <v>449</v>
      </c>
      <c r="C11116" s="25" t="n">
        <f aca="false">MAX(0,SUMPRODUCT($G$11112:$K$11112,$G$11078:$K$11078))</f>
        <v>0</v>
      </c>
    </row>
    <row r="11117" customFormat="false" ht="15" hidden="false" customHeight="false" outlineLevel="0" collapsed="false">
      <c r="A11117" s="5" t="s">
        <v>450</v>
      </c>
      <c r="C11117" s="25" t="n">
        <f aca="false">(CHOOSE($C$10949,Assumptions!$C$78,Assumptions!$C$97,Assumptions!$C$116)+$C$10953)*C11115</f>
        <v>72.06912</v>
      </c>
    </row>
    <row r="11118" customFormat="false" ht="15" hidden="false" customHeight="false" outlineLevel="0" collapsed="false">
      <c r="A11118" s="5" t="s">
        <v>451</v>
      </c>
      <c r="C11118" s="25" t="n">
        <f aca="false">Assumptions!$C$27*(1-CHOOSE($C$10949,Assumptions!$C$79,Assumptions!$C$98,Assumptions!$C$117))*CHOOSE($C$10949,Assumptions!$C$80,Assumptions!$C$99,Assumptions!$C$118)</f>
        <v>405.6</v>
      </c>
    </row>
    <row r="11119" customFormat="false" ht="15" hidden="false" customHeight="false" outlineLevel="0" collapsed="false">
      <c r="A11119" s="5" t="s">
        <v>452</v>
      </c>
      <c r="C11119" s="25" t="n">
        <f aca="false">MAX(C11117,C11118)+C11116</f>
        <v>405.6</v>
      </c>
    </row>
    <row r="11120" customFormat="false" ht="15" hidden="false" customHeight="false" outlineLevel="0" collapsed="false">
      <c r="A11120" s="2" t="s">
        <v>453</v>
      </c>
      <c r="C11120" s="16" t="n">
        <f aca="false">IF(ISNUMBER(Assumptions!$C$14),Assumptions!$C$14,C11119)</f>
        <v>405.6</v>
      </c>
    </row>
    <row r="11121" customFormat="false" ht="15" hidden="false" customHeight="false" outlineLevel="0" collapsed="false">
      <c r="A11121" s="5" t="s">
        <v>454</v>
      </c>
      <c r="C11121" s="25" t="n">
        <f aca="false">C11120*Assumptions!$C$15</f>
        <v>16.224</v>
      </c>
    </row>
    <row r="11122" customFormat="false" ht="15" hidden="false" customHeight="false" outlineLevel="0" collapsed="false">
      <c r="A11122" s="2" t="s">
        <v>455</v>
      </c>
      <c r="C11122" s="16" t="n">
        <f aca="false">C11120-C11121</f>
        <v>389.376</v>
      </c>
    </row>
    <row r="11123" customFormat="false" ht="15" hidden="false" customHeight="false" outlineLevel="0" collapsed="false">
      <c r="A11123" s="23" t="s">
        <v>456</v>
      </c>
      <c r="B11123" s="24"/>
      <c r="C11123" s="24"/>
      <c r="D11123" s="24"/>
      <c r="E11123" s="24"/>
      <c r="F11123" s="24"/>
      <c r="G11123" s="24"/>
      <c r="H11123" s="24"/>
      <c r="I11123" s="24"/>
      <c r="J11123" s="24"/>
      <c r="K11123" s="24"/>
    </row>
    <row r="11124" customFormat="false" ht="15" hidden="false" customHeight="false" outlineLevel="0" collapsed="false">
      <c r="A11124" s="5" t="s">
        <v>457</v>
      </c>
      <c r="C11124" s="25" t="n">
        <f aca="false">SUMPRODUCT($G$11112:$K$11112,$G$11003:$K$11003)*(1+SUMPRODUCT($G$11112:$K$11112,$G$10995:$K$10995)*Assumptions!$C$16/12)</f>
        <v>257.8637972</v>
      </c>
    </row>
    <row r="11125" customFormat="false" ht="15" hidden="false" customHeight="false" outlineLevel="0" collapsed="false">
      <c r="A11125" s="5" t="s">
        <v>458</v>
      </c>
      <c r="C11125" s="25" t="n">
        <f aca="false">SUMPRODUCT($G$11112:$K$11112,$G$11016:$K$11016)*(1+SUMPRODUCT($G$11112:$K$11112,$G$11008:$K$11008)*Assumptions!$C$16/12)</f>
        <v>526.2257</v>
      </c>
    </row>
    <row r="11126" customFormat="false" ht="15" hidden="false" customHeight="false" outlineLevel="0" collapsed="false">
      <c r="A11126" s="5" t="s">
        <v>459</v>
      </c>
      <c r="C11126" s="25" t="n">
        <f aca="false">SUMPRODUCT($G$11112:$K$11112,$G$11029:$K$11029)*(1+SUMPRODUCT($G$11112:$K$11112,$G$11021:$K$11021)*Assumptions!$C$16/12)</f>
        <v>256.875</v>
      </c>
    </row>
    <row r="11127" customFormat="false" ht="15" hidden="false" customHeight="false" outlineLevel="0" collapsed="false">
      <c r="A11127" s="5" t="s">
        <v>460</v>
      </c>
      <c r="C11127" s="25" t="n">
        <f aca="false">SUMPRODUCT($G$11112:$K$11112,$G$11042:$K$11042)*(1+SUMPRODUCT($G$11112:$K$11112,$G$11034:$K$11034)*Assumptions!$C$16/12)</f>
        <v>305.625</v>
      </c>
    </row>
    <row r="11128" customFormat="false" ht="15" hidden="false" customHeight="false" outlineLevel="0" collapsed="false">
      <c r="A11128" s="23" t="s">
        <v>461</v>
      </c>
      <c r="B11128" s="24"/>
      <c r="C11128" s="24"/>
      <c r="D11128" s="24"/>
      <c r="E11128" s="24"/>
      <c r="F11128" s="24"/>
      <c r="G11128" s="24"/>
      <c r="H11128" s="24"/>
      <c r="I11128" s="24"/>
      <c r="J11128" s="24"/>
      <c r="K11128" s="24"/>
    </row>
    <row r="11129" customFormat="false" ht="15" hidden="false" customHeight="false" outlineLevel="0" collapsed="false">
      <c r="A11129" s="5" t="s">
        <v>457</v>
      </c>
      <c r="C11129" s="26" t="n">
        <f aca="false">Assumptions!$M$53</f>
        <v>1</v>
      </c>
    </row>
    <row r="11130" customFormat="false" ht="15" hidden="false" customHeight="false" outlineLevel="0" collapsed="false">
      <c r="A11130" s="5" t="s">
        <v>458</v>
      </c>
      <c r="C11130" s="26" t="n">
        <f aca="false">Assumptions!$M$54</f>
        <v>2</v>
      </c>
    </row>
    <row r="11131" customFormat="false" ht="15" hidden="false" customHeight="false" outlineLevel="0" collapsed="false">
      <c r="A11131" s="5" t="s">
        <v>459</v>
      </c>
      <c r="C11131" s="26" t="n">
        <f aca="false">Assumptions!$M$55</f>
        <v>3</v>
      </c>
    </row>
    <row r="11132" customFormat="false" ht="15" hidden="false" customHeight="false" outlineLevel="0" collapsed="false">
      <c r="A11132" s="5" t="s">
        <v>460</v>
      </c>
      <c r="C11132" s="26" t="n">
        <f aca="false">Assumptions!$M$56</f>
        <v>4</v>
      </c>
    </row>
    <row r="11133" customFormat="false" ht="15" hidden="false" customHeight="false" outlineLevel="0" collapsed="false">
      <c r="A11133" s="23" t="s">
        <v>462</v>
      </c>
      <c r="B11133" s="24"/>
      <c r="C11133" s="24"/>
      <c r="D11133" s="24"/>
      <c r="E11133" s="24"/>
      <c r="F11133" s="24"/>
      <c r="G11133" s="24"/>
      <c r="H11133" s="24"/>
      <c r="I11133" s="24"/>
      <c r="J11133" s="24"/>
      <c r="K11133" s="24"/>
    </row>
    <row r="11134" customFormat="false" ht="15" hidden="false" customHeight="false" outlineLevel="0" collapsed="false">
      <c r="A11134" s="5" t="s">
        <v>457</v>
      </c>
      <c r="C11134" s="34" t="n">
        <f aca="false">Assumptions!$Q$53</f>
        <v>0</v>
      </c>
    </row>
    <row r="11135" customFormat="false" ht="15" hidden="false" customHeight="false" outlineLevel="0" collapsed="false">
      <c r="A11135" s="5" t="s">
        <v>458</v>
      </c>
      <c r="C11135" s="34" t="n">
        <f aca="false">Assumptions!$Q$54</f>
        <v>0</v>
      </c>
    </row>
    <row r="11136" customFormat="false" ht="15" hidden="false" customHeight="false" outlineLevel="0" collapsed="false">
      <c r="A11136" s="5" t="s">
        <v>459</v>
      </c>
      <c r="C11136" s="34" t="n">
        <f aca="false">Assumptions!$Q$55</f>
        <v>0</v>
      </c>
    </row>
    <row r="11137" customFormat="false" ht="15" hidden="false" customHeight="false" outlineLevel="0" collapsed="false">
      <c r="A11137" s="5" t="s">
        <v>460</v>
      </c>
      <c r="C11137" s="34" t="n">
        <f aca="false">Assumptions!$Q$56</f>
        <v>0</v>
      </c>
    </row>
    <row r="11138" customFormat="false" ht="15" hidden="false" customHeight="false" outlineLevel="0" collapsed="false">
      <c r="A11138" s="23" t="s">
        <v>463</v>
      </c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</row>
    <row r="11139" customFormat="false" ht="15" hidden="false" customHeight="false" outlineLevel="0" collapsed="false">
      <c r="A11139" s="5" t="s">
        <v>457</v>
      </c>
      <c r="C11139" s="25" t="n">
        <f aca="false">IF(C11134&gt;0,MIN(C11124,C11134*$C$11122),0)</f>
        <v>0</v>
      </c>
    </row>
    <row r="11140" customFormat="false" ht="15" hidden="false" customHeight="false" outlineLevel="0" collapsed="false">
      <c r="A11140" s="5" t="s">
        <v>458</v>
      </c>
      <c r="C11140" s="25" t="n">
        <f aca="false">IF(C11135&gt;0,MIN(C11125,C11135*$C$11122),0)</f>
        <v>0</v>
      </c>
    </row>
    <row r="11141" customFormat="false" ht="15" hidden="false" customHeight="false" outlineLevel="0" collapsed="false">
      <c r="A11141" s="5" t="s">
        <v>459</v>
      </c>
      <c r="C11141" s="25" t="n">
        <f aca="false">IF(C11136&gt;0,MIN(C11126,C11136*$C$11122),0)</f>
        <v>0</v>
      </c>
    </row>
    <row r="11142" customFormat="false" ht="15" hidden="false" customHeight="false" outlineLevel="0" collapsed="false">
      <c r="A11142" s="5" t="s">
        <v>460</v>
      </c>
      <c r="C11142" s="25" t="n">
        <f aca="false">IF(C11137&gt;0,MIN(C11127,C11137*$C$11122),0)</f>
        <v>0</v>
      </c>
    </row>
    <row r="11143" customFormat="false" ht="15" hidden="false" customHeight="false" outlineLevel="0" collapsed="false">
      <c r="A11143" s="23" t="s">
        <v>464</v>
      </c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</row>
    <row r="11144" customFormat="false" ht="15" hidden="false" customHeight="false" outlineLevel="0" collapsed="false">
      <c r="A11144" s="5" t="s">
        <v>457</v>
      </c>
      <c r="C11144" s="25" t="n">
        <f aca="false">IF(C11134&gt;0,C11124-C11139,0)</f>
        <v>0</v>
      </c>
      <c r="G11144" s="20" t="n">
        <f aca="false">IF(AND(G10993=1,G10990=1),1,0)</f>
        <v>0</v>
      </c>
      <c r="H11144" s="20" t="n">
        <f aca="false">IF(G11144=1,1,IF(AND(H10993=1,H10990=1),1,0))</f>
        <v>0</v>
      </c>
      <c r="I11144" s="20" t="n">
        <f aca="false">IF(H11144=1,1,IF(AND(I10993=1,I10990=1),1,0))</f>
        <v>0</v>
      </c>
      <c r="J11144" s="20" t="n">
        <f aca="false">IF(I11144=1,1,IF(AND(J10993=1,J10990=1),1,0))</f>
        <v>0</v>
      </c>
      <c r="K11144" s="20" t="n">
        <f aca="false">IF(J11144=1,1,IF(AND(K10993=1,K10990=1),1,0))</f>
        <v>0</v>
      </c>
    </row>
    <row r="11145" customFormat="false" ht="15" hidden="false" customHeight="false" outlineLevel="0" collapsed="false">
      <c r="A11145" s="5" t="s">
        <v>458</v>
      </c>
      <c r="C11145" s="25" t="n">
        <f aca="false">IF(C11135&gt;0,C11125-C11140,0)</f>
        <v>0</v>
      </c>
      <c r="G11145" s="20" t="n">
        <f aca="false">IF(AND(G11006=1,G10990=1),1,0)</f>
        <v>0</v>
      </c>
      <c r="H11145" s="20" t="n">
        <f aca="false">IF(G11145=1,1,IF(AND(H11006=1,H10990=1),1,0))</f>
        <v>0</v>
      </c>
      <c r="I11145" s="20" t="n">
        <f aca="false">IF(H11145=1,1,IF(AND(I11006=1,I10990=1),1,0))</f>
        <v>0</v>
      </c>
      <c r="J11145" s="20" t="n">
        <f aca="false">IF(I11145=1,1,IF(AND(J11006=1,J10990=1),1,0))</f>
        <v>0</v>
      </c>
      <c r="K11145" s="20" t="n">
        <f aca="false">IF(J11145=1,1,IF(AND(K11006=1,K10990=1),1,0))</f>
        <v>0</v>
      </c>
    </row>
    <row r="11146" customFormat="false" ht="15" hidden="false" customHeight="false" outlineLevel="0" collapsed="false">
      <c r="A11146" s="5" t="s">
        <v>459</v>
      </c>
      <c r="C11146" s="25" t="n">
        <f aca="false">IF(C11136&gt;0,C11126-C11141,0)</f>
        <v>0</v>
      </c>
      <c r="G11146" s="20" t="n">
        <f aca="false">IF(AND(G11019=1,G10990=1),1,0)</f>
        <v>0</v>
      </c>
      <c r="H11146" s="20" t="n">
        <f aca="false">IF(G11146=1,1,IF(AND(H11019=1,H10990=1),1,0))</f>
        <v>0</v>
      </c>
      <c r="I11146" s="20" t="n">
        <f aca="false">IF(H11146=1,1,IF(AND(I11019=1,I10990=1),1,0))</f>
        <v>0</v>
      </c>
      <c r="J11146" s="20" t="n">
        <f aca="false">IF(I11146=1,1,IF(AND(J11019=1,J10990=1),1,0))</f>
        <v>0</v>
      </c>
      <c r="K11146" s="20" t="n">
        <f aca="false">IF(J11146=1,1,IF(AND(K11019=1,K10990=1),1,0))</f>
        <v>0</v>
      </c>
    </row>
    <row r="11147" customFormat="false" ht="15" hidden="false" customHeight="false" outlineLevel="0" collapsed="false">
      <c r="A11147" s="5" t="s">
        <v>460</v>
      </c>
      <c r="C11147" s="25" t="n">
        <f aca="false">IF(C11137&gt;0,C11127-C11142,0)</f>
        <v>0</v>
      </c>
      <c r="G11147" s="20" t="n">
        <f aca="false">IF(AND(G11032=1,G10990=1),1,0)</f>
        <v>0</v>
      </c>
      <c r="H11147" s="20" t="n">
        <f aca="false">IF(G11147=1,1,IF(AND(H11032=1,H10990=1),1,0))</f>
        <v>0</v>
      </c>
      <c r="I11147" s="20" t="n">
        <f aca="false">IF(H11147=1,1,IF(AND(I11032=1,I10990=1),1,0))</f>
        <v>0</v>
      </c>
      <c r="J11147" s="20" t="n">
        <f aca="false">IF(I11147=1,1,IF(AND(J11032=1,J10990=1),1,0))</f>
        <v>0</v>
      </c>
      <c r="K11147" s="20" t="n">
        <f aca="false">IF(J11147=1,1,IF(AND(K11032=1,K10990=1),1,0))</f>
        <v>0</v>
      </c>
    </row>
    <row r="11148" customFormat="false" ht="15" hidden="false" customHeight="false" outlineLevel="0" collapsed="false">
      <c r="A11148" s="23" t="s">
        <v>465</v>
      </c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</row>
    <row r="11149" customFormat="false" ht="15" hidden="false" customHeight="false" outlineLevel="0" collapsed="false">
      <c r="A11149" s="5" t="s">
        <v>457</v>
      </c>
      <c r="C11149" s="25" t="n">
        <f aca="false">IF(C11134&gt;0,C11144,C11124)</f>
        <v>257.8637972</v>
      </c>
    </row>
    <row r="11150" customFormat="false" ht="15" hidden="false" customHeight="false" outlineLevel="0" collapsed="false">
      <c r="A11150" s="5" t="s">
        <v>458</v>
      </c>
      <c r="C11150" s="25" t="n">
        <f aca="false">IF(C11135&gt;0,C11145,C11125)</f>
        <v>526.2257</v>
      </c>
    </row>
    <row r="11151" customFormat="false" ht="15" hidden="false" customHeight="false" outlineLevel="0" collapsed="false">
      <c r="A11151" s="5" t="s">
        <v>459</v>
      </c>
      <c r="C11151" s="25" t="n">
        <f aca="false">IF(C11136&gt;0,C11146,C11126)</f>
        <v>256.875</v>
      </c>
    </row>
    <row r="11152" customFormat="false" ht="15" hidden="false" customHeight="false" outlineLevel="0" collapsed="false">
      <c r="A11152" s="5" t="s">
        <v>460</v>
      </c>
      <c r="C11152" s="25" t="n">
        <f aca="false">IF(C11137&gt;0,C11147,C11127)</f>
        <v>305.625</v>
      </c>
    </row>
    <row r="11153" customFormat="false" ht="15" hidden="false" customHeight="false" outlineLevel="0" collapsed="false">
      <c r="A11153" s="23" t="s">
        <v>466</v>
      </c>
      <c r="B11153" s="24"/>
      <c r="C11153" s="24"/>
      <c r="D11153" s="24"/>
      <c r="E11153" s="24"/>
      <c r="F11153" s="24"/>
      <c r="G11153" s="24"/>
      <c r="H11153" s="24"/>
      <c r="I11153" s="24"/>
      <c r="J11153" s="24"/>
      <c r="K11153" s="24"/>
    </row>
    <row r="11154" customFormat="false" ht="15" hidden="false" customHeight="false" outlineLevel="0" collapsed="false">
      <c r="A11154" s="5" t="s">
        <v>457</v>
      </c>
      <c r="C11154" s="20" t="n">
        <f aca="false">IF(C11134&gt;0,Assumptions!$C$17,C11129)</f>
        <v>1</v>
      </c>
    </row>
    <row r="11155" customFormat="false" ht="15" hidden="false" customHeight="false" outlineLevel="0" collapsed="false">
      <c r="A11155" s="5" t="s">
        <v>458</v>
      </c>
      <c r="C11155" s="20" t="n">
        <f aca="false">IF(C11135&gt;0,Assumptions!$C$17,C11130)</f>
        <v>2</v>
      </c>
    </row>
    <row r="11156" customFormat="false" ht="15" hidden="false" customHeight="false" outlineLevel="0" collapsed="false">
      <c r="A11156" s="5" t="s">
        <v>459</v>
      </c>
      <c r="C11156" s="20" t="n">
        <f aca="false">IF(C11136&gt;0,Assumptions!$C$17,C11131)</f>
        <v>3</v>
      </c>
    </row>
    <row r="11157" customFormat="false" ht="15" hidden="false" customHeight="false" outlineLevel="0" collapsed="false">
      <c r="A11157" s="5" t="s">
        <v>460</v>
      </c>
      <c r="C11157" s="20" t="n">
        <f aca="false">IF(C11137&gt;0,Assumptions!$C$17,C11132)</f>
        <v>4</v>
      </c>
    </row>
    <row r="11158" customFormat="false" ht="15" hidden="false" customHeight="false" outlineLevel="0" collapsed="false">
      <c r="A11158" s="23" t="s">
        <v>467</v>
      </c>
      <c r="B11158" s="24"/>
      <c r="C11158" s="24"/>
      <c r="D11158" s="24"/>
      <c r="E11158" s="24"/>
      <c r="F11158" s="24"/>
      <c r="G11158" s="24"/>
      <c r="H11158" s="24"/>
      <c r="I11158" s="24"/>
      <c r="J11158" s="24"/>
      <c r="K11158" s="24"/>
    </row>
    <row r="11159" customFormat="false" ht="15" hidden="false" customHeight="false" outlineLevel="0" collapsed="false">
      <c r="A11159" s="5" t="s">
        <v>457</v>
      </c>
      <c r="C11159" s="25" t="n">
        <f aca="false">SUMPRODUCT(($C$11154:$C$11157&lt;C11154)*$C$11149:$C$11152)</f>
        <v>0</v>
      </c>
    </row>
    <row r="11160" customFormat="false" ht="15" hidden="false" customHeight="false" outlineLevel="0" collapsed="false">
      <c r="A11160" s="5" t="s">
        <v>458</v>
      </c>
      <c r="C11160" s="25" t="n">
        <f aca="false">SUMPRODUCT(($C$11154:$C$11157&lt;C11155)*$C$11149:$C$11152)</f>
        <v>257.8637972</v>
      </c>
    </row>
    <row r="11161" customFormat="false" ht="15" hidden="false" customHeight="false" outlineLevel="0" collapsed="false">
      <c r="A11161" s="5" t="s">
        <v>459</v>
      </c>
      <c r="C11161" s="25" t="n">
        <f aca="false">SUMPRODUCT(($C$11154:$C$11157&lt;C11156)*$C$11149:$C$11152)</f>
        <v>784.0894972</v>
      </c>
    </row>
    <row r="11162" customFormat="false" ht="15" hidden="false" customHeight="false" outlineLevel="0" collapsed="false">
      <c r="A11162" s="5" t="s">
        <v>460</v>
      </c>
      <c r="C11162" s="25" t="n">
        <f aca="false">SUMPRODUCT(($C$11154:$C$11157&lt;C11157)*$C$11149:$C$11152)</f>
        <v>1040.9644972</v>
      </c>
    </row>
    <row r="11163" customFormat="false" ht="15" hidden="false" customHeight="false" outlineLevel="0" collapsed="false">
      <c r="A11163" s="23" t="s">
        <v>468</v>
      </c>
      <c r="B11163" s="24"/>
      <c r="C11163" s="24"/>
      <c r="D11163" s="24"/>
      <c r="E11163" s="24"/>
      <c r="F11163" s="24"/>
      <c r="G11163" s="24"/>
      <c r="H11163" s="24"/>
      <c r="I11163" s="24"/>
      <c r="J11163" s="24"/>
      <c r="K11163" s="24"/>
    </row>
    <row r="11164" customFormat="false" ht="15" hidden="false" customHeight="false" outlineLevel="0" collapsed="false">
      <c r="A11164" s="5" t="s">
        <v>457</v>
      </c>
      <c r="C11164" s="25" t="n">
        <f aca="false">SUMPRODUCT(($C$11154:$C$11157=C11154)*$C$11149:$C$11152)</f>
        <v>257.8637972</v>
      </c>
    </row>
    <row r="11165" customFormat="false" ht="15" hidden="false" customHeight="false" outlineLevel="0" collapsed="false">
      <c r="A11165" s="5" t="s">
        <v>458</v>
      </c>
      <c r="C11165" s="25" t="n">
        <f aca="false">SUMPRODUCT(($C$11154:$C$11157=C11155)*$C$11149:$C$11152)</f>
        <v>526.2257</v>
      </c>
    </row>
    <row r="11166" customFormat="false" ht="15" hidden="false" customHeight="false" outlineLevel="0" collapsed="false">
      <c r="A11166" s="5" t="s">
        <v>459</v>
      </c>
      <c r="C11166" s="25" t="n">
        <f aca="false">SUMPRODUCT(($C$11154:$C$11157=C11156)*$C$11149:$C$11152)</f>
        <v>256.875</v>
      </c>
    </row>
    <row r="11167" customFormat="false" ht="15" hidden="false" customHeight="false" outlineLevel="0" collapsed="false">
      <c r="A11167" s="5" t="s">
        <v>460</v>
      </c>
      <c r="C11167" s="25" t="n">
        <f aca="false">SUMPRODUCT(($C$11154:$C$11157=C11157)*$C$11149:$C$11152)</f>
        <v>305.625</v>
      </c>
    </row>
    <row r="11168" customFormat="false" ht="15" hidden="false" customHeight="false" outlineLevel="0" collapsed="false">
      <c r="A11168" s="23" t="s">
        <v>469</v>
      </c>
      <c r="B11168" s="24"/>
      <c r="C11168" s="24"/>
      <c r="D11168" s="24"/>
      <c r="E11168" s="24"/>
      <c r="F11168" s="24"/>
      <c r="G11168" s="24"/>
      <c r="H11168" s="24"/>
      <c r="I11168" s="24"/>
      <c r="J11168" s="24"/>
      <c r="K11168" s="24"/>
    </row>
    <row r="11169" customFormat="false" ht="15" hidden="false" customHeight="false" outlineLevel="0" collapsed="false">
      <c r="A11169" s="5" t="s">
        <v>457</v>
      </c>
      <c r="C11169" s="25" t="n">
        <f aca="false">IF(C11164=0,0,C11149/C11164*MAX(0,MIN(C11164,$C$11122-SUM($C$11139:$C$11142)-C11159)))</f>
        <v>257.8637972</v>
      </c>
    </row>
    <row r="11170" customFormat="false" ht="15" hidden="false" customHeight="false" outlineLevel="0" collapsed="false">
      <c r="A11170" s="5" t="s">
        <v>458</v>
      </c>
      <c r="C11170" s="25" t="n">
        <f aca="false">IF(C11165=0,0,C11150/C11165*MAX(0,MIN(C11165,$C$11122-SUM($C$11139:$C$11142)-C11160)))</f>
        <v>131.5122028</v>
      </c>
    </row>
    <row r="11171" customFormat="false" ht="15" hidden="false" customHeight="false" outlineLevel="0" collapsed="false">
      <c r="A11171" s="5" t="s">
        <v>459</v>
      </c>
      <c r="C11171" s="25" t="n">
        <f aca="false">IF(C11166=0,0,C11151/C11166*MAX(0,MIN(C11166,$C$11122-SUM($C$11139:$C$11142)-C11161)))</f>
        <v>0</v>
      </c>
    </row>
    <row r="11172" customFormat="false" ht="15" hidden="false" customHeight="false" outlineLevel="0" collapsed="false">
      <c r="A11172" s="5" t="s">
        <v>460</v>
      </c>
      <c r="C11172" s="25" t="n">
        <f aca="false">IF(C11167=0,0,C11152/C11167*MAX(0,MIN(C11167,$C$11122-SUM($C$11139:$C$11142)-C11162)))</f>
        <v>0</v>
      </c>
    </row>
    <row r="11173" customFormat="false" ht="15" hidden="false" customHeight="false" outlineLevel="0" collapsed="false">
      <c r="A11173" s="23" t="s">
        <v>470</v>
      </c>
      <c r="B11173" s="24"/>
      <c r="C11173" s="24"/>
      <c r="D11173" s="24"/>
      <c r="E11173" s="24"/>
      <c r="F11173" s="24"/>
      <c r="G11173" s="24"/>
      <c r="H11173" s="24"/>
      <c r="I11173" s="24"/>
      <c r="J11173" s="24"/>
      <c r="K11173" s="24"/>
    </row>
    <row r="11174" customFormat="false" ht="15" hidden="false" customHeight="false" outlineLevel="0" collapsed="false">
      <c r="A11174" s="2" t="s">
        <v>457</v>
      </c>
      <c r="C11174" s="16" t="n">
        <f aca="false">C11139+C11169</f>
        <v>257.8637972</v>
      </c>
    </row>
    <row r="11175" customFormat="false" ht="15" hidden="false" customHeight="false" outlineLevel="0" collapsed="false">
      <c r="A11175" s="2" t="s">
        <v>458</v>
      </c>
      <c r="C11175" s="16" t="n">
        <f aca="false">C11140+C11170</f>
        <v>131.5122028</v>
      </c>
    </row>
    <row r="11176" customFormat="false" ht="15" hidden="false" customHeight="false" outlineLevel="0" collapsed="false">
      <c r="A11176" s="2" t="s">
        <v>459</v>
      </c>
      <c r="C11176" s="16" t="n">
        <f aca="false">C11141+C11171</f>
        <v>0</v>
      </c>
    </row>
    <row r="11177" customFormat="false" ht="15" hidden="false" customHeight="false" outlineLevel="0" collapsed="false">
      <c r="A11177" s="2" t="s">
        <v>460</v>
      </c>
      <c r="C11177" s="16" t="n">
        <f aca="false">C11142+C11172</f>
        <v>0</v>
      </c>
    </row>
    <row r="11178" customFormat="false" ht="15" hidden="false" customHeight="false" outlineLevel="0" collapsed="false">
      <c r="A11178" s="23" t="s">
        <v>471</v>
      </c>
      <c r="B11178" s="24"/>
      <c r="C11178" s="24"/>
      <c r="D11178" s="24"/>
      <c r="E11178" s="24"/>
      <c r="F11178" s="24"/>
      <c r="G11178" s="24"/>
      <c r="H11178" s="24"/>
      <c r="I11178" s="24"/>
      <c r="J11178" s="24"/>
      <c r="K11178" s="24"/>
    </row>
    <row r="11179" customFormat="false" ht="15" hidden="false" customHeight="false" outlineLevel="0" collapsed="false">
      <c r="A11179" s="5" t="s">
        <v>457</v>
      </c>
      <c r="C11179" s="21" t="n">
        <f aca="false">IF(C11124=0,1,C11174/C11124)</f>
        <v>1</v>
      </c>
    </row>
    <row r="11180" customFormat="false" ht="15" hidden="false" customHeight="false" outlineLevel="0" collapsed="false">
      <c r="A11180" s="5" t="s">
        <v>458</v>
      </c>
      <c r="C11180" s="21" t="n">
        <f aca="false">IF(C11125=0,1,C11175/C11125)</f>
        <v>0.249915963435461</v>
      </c>
    </row>
    <row r="11181" customFormat="false" ht="15" hidden="false" customHeight="false" outlineLevel="0" collapsed="false">
      <c r="A11181" s="5" t="s">
        <v>459</v>
      </c>
      <c r="C11181" s="21" t="n">
        <f aca="false">IF(C11126=0,1,C11176/C11126)</f>
        <v>0</v>
      </c>
    </row>
    <row r="11182" customFormat="false" ht="15" hidden="false" customHeight="false" outlineLevel="0" collapsed="false">
      <c r="A11182" s="5" t="s">
        <v>460</v>
      </c>
      <c r="C11182" s="21" t="n">
        <f aca="false">IF(C11127=0,1,C11177/C11127)</f>
        <v>0</v>
      </c>
    </row>
    <row r="11183" customFormat="false" ht="15" hidden="false" customHeight="false" outlineLevel="0" collapsed="false">
      <c r="A11183" s="23" t="s">
        <v>472</v>
      </c>
      <c r="B11183" s="24"/>
      <c r="C11183" s="24"/>
      <c r="D11183" s="24"/>
      <c r="E11183" s="24"/>
      <c r="F11183" s="24"/>
      <c r="G11183" s="24"/>
      <c r="H11183" s="24"/>
      <c r="I11183" s="24"/>
      <c r="J11183" s="24"/>
      <c r="K11183" s="24"/>
    </row>
    <row r="11184" customFormat="false" ht="15" hidden="false" customHeight="false" outlineLevel="0" collapsed="false">
      <c r="A11184" s="5" t="s">
        <v>457</v>
      </c>
      <c r="C11184" s="25" t="n">
        <f aca="false">C11124-C11174</f>
        <v>0</v>
      </c>
    </row>
    <row r="11185" customFormat="false" ht="15" hidden="false" customHeight="false" outlineLevel="0" collapsed="false">
      <c r="A11185" s="5" t="s">
        <v>458</v>
      </c>
      <c r="C11185" s="25" t="n">
        <f aca="false">C11125-C11175</f>
        <v>394.7134972</v>
      </c>
    </row>
    <row r="11186" customFormat="false" ht="15" hidden="false" customHeight="false" outlineLevel="0" collapsed="false">
      <c r="A11186" s="5" t="s">
        <v>459</v>
      </c>
      <c r="C11186" s="25" t="n">
        <f aca="false">C11126-C11176</f>
        <v>256.875</v>
      </c>
    </row>
    <row r="11187" customFormat="false" ht="15" hidden="false" customHeight="false" outlineLevel="0" collapsed="false">
      <c r="A11187" s="5" t="s">
        <v>460</v>
      </c>
      <c r="C11187" s="25" t="n">
        <f aca="false">C11127-C11177</f>
        <v>305.625</v>
      </c>
    </row>
    <row r="11188" customFormat="false" ht="15" hidden="false" customHeight="false" outlineLevel="0" collapsed="false">
      <c r="A11188" s="23" t="s">
        <v>473</v>
      </c>
      <c r="B11188" s="24"/>
      <c r="C11188" s="24"/>
      <c r="D11188" s="24"/>
      <c r="E11188" s="24"/>
      <c r="F11188" s="24"/>
      <c r="G11188" s="24"/>
      <c r="H11188" s="24"/>
      <c r="I11188" s="24"/>
      <c r="J11188" s="24"/>
      <c r="K11188" s="24"/>
    </row>
    <row r="11189" customFormat="false" ht="15" hidden="false" customHeight="false" outlineLevel="0" collapsed="false">
      <c r="A11189" s="5" t="s">
        <v>457</v>
      </c>
      <c r="C11189" s="21" t="n">
        <f aca="false">IF(C11124=0,0,C11184/C11124)</f>
        <v>0</v>
      </c>
    </row>
    <row r="11190" customFormat="false" ht="15" hidden="false" customHeight="false" outlineLevel="0" collapsed="false">
      <c r="A11190" s="5" t="s">
        <v>458</v>
      </c>
      <c r="C11190" s="21" t="n">
        <f aca="false">IF(C11125=0,0,C11185/C11125)</f>
        <v>0.750084036564539</v>
      </c>
    </row>
    <row r="11191" customFormat="false" ht="15" hidden="false" customHeight="false" outlineLevel="0" collapsed="false">
      <c r="A11191" s="5" t="s">
        <v>459</v>
      </c>
      <c r="C11191" s="21" t="n">
        <f aca="false">IF(C11126=0,0,C11186/C11126)</f>
        <v>1</v>
      </c>
    </row>
    <row r="11192" customFormat="false" ht="15" hidden="false" customHeight="false" outlineLevel="0" collapsed="false">
      <c r="A11192" s="5" t="s">
        <v>460</v>
      </c>
      <c r="C11192" s="21" t="n">
        <f aca="false">IF(C11127=0,0,C11187/C11127)</f>
        <v>1</v>
      </c>
    </row>
    <row r="11193" customFormat="false" ht="15" hidden="false" customHeight="false" outlineLevel="0" collapsed="false">
      <c r="A11193" s="2" t="s">
        <v>474</v>
      </c>
      <c r="C11193" s="16" t="n">
        <f aca="false">MAX(0,$C$11122-SUM($C$11139:$C$11142)-SUM($C$11149:$C$11152))</f>
        <v>0</v>
      </c>
    </row>
    <row r="11194" customFormat="false" ht="15" hidden="false" customHeight="false" outlineLevel="0" collapsed="false">
      <c r="A11194" s="5" t="s">
        <v>475</v>
      </c>
      <c r="C11194" s="25" t="n">
        <f aca="false">SUM($C$11174:$C$11177)+C11193+C11121-C11120</f>
        <v>0</v>
      </c>
    </row>
    <row r="11196" customFormat="false" ht="15" hidden="false" customHeight="false" outlineLevel="0" collapsed="false">
      <c r="A11196" s="23" t="s">
        <v>478</v>
      </c>
      <c r="B11196" s="24"/>
      <c r="C11196" s="24"/>
      <c r="D11196" s="24"/>
      <c r="E11196" s="24"/>
      <c r="F11196" s="24"/>
      <c r="G11196" s="24"/>
      <c r="H11196" s="24"/>
      <c r="I11196" s="24"/>
      <c r="J11196" s="24"/>
      <c r="K11196" s="24"/>
    </row>
    <row r="11197" customFormat="false" ht="15" hidden="false" customHeight="false" outlineLevel="0" collapsed="false">
      <c r="A11197" s="5" t="s">
        <v>479</v>
      </c>
      <c r="C11197" s="26" t="n">
        <f aca="false">Assumptions!$C$30</f>
        <v>2</v>
      </c>
    </row>
    <row r="11198" customFormat="false" ht="15" hidden="false" customHeight="false" outlineLevel="0" collapsed="false">
      <c r="A11198" s="5" t="s">
        <v>480</v>
      </c>
      <c r="C11198" s="28" t="n">
        <f aca="false">Assumptions!$C$31</f>
        <v>100</v>
      </c>
    </row>
    <row r="11199" customFormat="false" ht="15" hidden="false" customHeight="false" outlineLevel="0" collapsed="false">
      <c r="A11199" s="5" t="s">
        <v>481</v>
      </c>
      <c r="C11199" s="39" t="n">
        <f aca="false">Assumptions!$C$32</f>
        <v>78</v>
      </c>
    </row>
    <row r="11200" customFormat="false" ht="15" hidden="false" customHeight="false" outlineLevel="0" collapsed="false">
      <c r="A11200" s="5" t="s">
        <v>482</v>
      </c>
      <c r="C11200" s="25" t="n">
        <f aca="false">C11198*C11199/100*(1+Assumptions!$C$33)</f>
        <v>78.39</v>
      </c>
    </row>
    <row r="11201" customFormat="false" ht="15" hidden="false" customHeight="false" outlineLevel="0" collapsed="false">
      <c r="A11201" s="5" t="s">
        <v>483</v>
      </c>
      <c r="C11201" s="26" t="n">
        <f aca="false">Assumptions!$C$34</f>
        <v>2</v>
      </c>
    </row>
    <row r="11202" customFormat="false" ht="15" hidden="false" customHeight="false" outlineLevel="0" collapsed="false">
      <c r="A11202" s="5" t="s">
        <v>484</v>
      </c>
      <c r="C11202" s="20" t="n">
        <f aca="false">IF(C11113=1,SUMPRODUCT($G$11081:$K$11081,$G$10957:$K$10957),0)</f>
        <v>2</v>
      </c>
    </row>
    <row r="11203" customFormat="false" ht="15" hidden="false" customHeight="false" outlineLevel="0" collapsed="false">
      <c r="A11203" s="5" t="s">
        <v>485</v>
      </c>
      <c r="C11203" s="21" t="n">
        <f aca="false">IFERROR(C11198/CHOOSE(C11197,SUMPRODUCT($G$11112:$K$11112,$G$11003:$K$11003),SUMPRODUCT($G$11112:$K$11112,$G$11016:$K$11016),SUMPRODUCT($G$11112:$K$11112,$G$11029:$K$11029),SUMPRODUCT($G$11112:$K$11112,$G$11042:$K$11042)),0)</f>
        <v>0.196232339089482</v>
      </c>
    </row>
    <row r="11204" customFormat="false" ht="15" hidden="false" customHeight="false" outlineLevel="0" collapsed="false">
      <c r="A11204" s="5" t="s">
        <v>486</v>
      </c>
      <c r="C11204" s="25" t="n">
        <f aca="false">CHOOSE(C11197,C11174,C11175,C11176,C11177)*C11203</f>
        <v>25.8069471742543</v>
      </c>
    </row>
    <row r="11205" customFormat="false" ht="15" hidden="false" customHeight="false" outlineLevel="0" collapsed="false">
      <c r="A11205" s="5" t="s">
        <v>487</v>
      </c>
      <c r="C11205" s="21" t="n">
        <f aca="false">CHOOSE(C11197,C11179,C11180,C11181,C11182)</f>
        <v>0.249915963435461</v>
      </c>
    </row>
    <row r="11206" customFormat="false" ht="15" hidden="false" customHeight="false" outlineLevel="0" collapsed="false">
      <c r="A11206" s="5" t="s">
        <v>488</v>
      </c>
      <c r="C11206" s="20" t="n">
        <f aca="false">IF(C11113=1,C11202,C11201)</f>
        <v>2</v>
      </c>
    </row>
    <row r="11207" customFormat="false" ht="15" hidden="false" customHeight="false" outlineLevel="0" collapsed="false">
      <c r="A11207" s="5" t="s">
        <v>489</v>
      </c>
      <c r="C11207" s="33" t="n">
        <f aca="false">CHOOSE($C$10949,Assumptions!$C$77,Assumptions!$C$96,Assumptions!$C$115)</f>
        <v>70</v>
      </c>
    </row>
    <row r="11208" customFormat="false" ht="15" hidden="false" customHeight="false" outlineLevel="0" collapsed="false">
      <c r="A11208" s="5" t="s">
        <v>490</v>
      </c>
      <c r="C11208" s="25" t="n">
        <f aca="false">INDEX($G$10966:$K$10966,C11201)*CHOOSE($C$10949,Assumptions!$C$76,Assumptions!$C$95,Assumptions!$C$114)+MAX(0,INDEX($G$11078:$K$11078,C11201))</f>
        <v>63.06048</v>
      </c>
    </row>
    <row r="11209" customFormat="false" ht="15" hidden="false" customHeight="false" outlineLevel="0" collapsed="false">
      <c r="A11209" s="23" t="s">
        <v>491</v>
      </c>
      <c r="B11209" s="24"/>
      <c r="C11209" s="24"/>
      <c r="D11209" s="24"/>
      <c r="E11209" s="24"/>
      <c r="F11209" s="24"/>
      <c r="G11209" s="24"/>
      <c r="H11209" s="24"/>
      <c r="I11209" s="24"/>
      <c r="J11209" s="24"/>
      <c r="K11209" s="24"/>
    </row>
    <row r="11210" customFormat="false" ht="15" hidden="false" customHeight="false" outlineLevel="0" collapsed="false">
      <c r="A11210" s="5" t="s">
        <v>457</v>
      </c>
      <c r="C11210" s="25" t="n">
        <f aca="false">INDEX($G$11003:$K$11003,C11201)</f>
        <v>250.7488</v>
      </c>
    </row>
    <row r="11211" customFormat="false" ht="15" hidden="false" customHeight="false" outlineLevel="0" collapsed="false">
      <c r="A11211" s="5" t="s">
        <v>458</v>
      </c>
      <c r="C11211" s="25" t="n">
        <f aca="false">INDEX($G$11016:$K$11016,C11201)</f>
        <v>509.6</v>
      </c>
    </row>
    <row r="11212" customFormat="false" ht="15" hidden="false" customHeight="false" outlineLevel="0" collapsed="false">
      <c r="A11212" s="5" t="s">
        <v>459</v>
      </c>
      <c r="C11212" s="25" t="n">
        <f aca="false">INDEX($G$11029:$K$11029,C11201)</f>
        <v>250</v>
      </c>
    </row>
    <row r="11213" customFormat="false" ht="15" hidden="false" customHeight="false" outlineLevel="0" collapsed="false">
      <c r="A11213" s="5" t="s">
        <v>460</v>
      </c>
      <c r="C11213" s="25" t="n">
        <f aca="false">INDEX($G$11042:$K$11042,C11201)</f>
        <v>300</v>
      </c>
    </row>
    <row r="11214" customFormat="false" ht="15" hidden="false" customHeight="false" outlineLevel="0" collapsed="false">
      <c r="A11214" s="23" t="s">
        <v>461</v>
      </c>
      <c r="B11214" s="24"/>
      <c r="C11214" s="24"/>
      <c r="D11214" s="24"/>
      <c r="E11214" s="24"/>
      <c r="F11214" s="24"/>
      <c r="G11214" s="24"/>
      <c r="H11214" s="24"/>
      <c r="I11214" s="24"/>
      <c r="J11214" s="24"/>
      <c r="K11214" s="24"/>
    </row>
    <row r="11215" customFormat="false" ht="15" hidden="false" customHeight="false" outlineLevel="0" collapsed="false">
      <c r="A11215" s="5" t="s">
        <v>457</v>
      </c>
      <c r="C11215" s="26" t="n">
        <f aca="false">Assumptions!$M$53</f>
        <v>1</v>
      </c>
    </row>
    <row r="11216" customFormat="false" ht="15" hidden="false" customHeight="false" outlineLevel="0" collapsed="false">
      <c r="A11216" s="5" t="s">
        <v>458</v>
      </c>
      <c r="C11216" s="26" t="n">
        <f aca="false">Assumptions!$M$54</f>
        <v>2</v>
      </c>
    </row>
    <row r="11217" customFormat="false" ht="15" hidden="false" customHeight="false" outlineLevel="0" collapsed="false">
      <c r="A11217" s="5" t="s">
        <v>459</v>
      </c>
      <c r="C11217" s="26" t="n">
        <f aca="false">Assumptions!$M$55</f>
        <v>3</v>
      </c>
    </row>
    <row r="11218" customFormat="false" ht="15" hidden="false" customHeight="false" outlineLevel="0" collapsed="false">
      <c r="A11218" s="5" t="s">
        <v>460</v>
      </c>
      <c r="C11218" s="26" t="n">
        <f aca="false">Assumptions!$M$56</f>
        <v>4</v>
      </c>
    </row>
    <row r="11219" customFormat="false" ht="15" hidden="false" customHeight="false" outlineLevel="0" collapsed="false">
      <c r="A11219" s="23" t="s">
        <v>462</v>
      </c>
      <c r="B11219" s="24"/>
      <c r="C11219" s="24"/>
      <c r="D11219" s="24"/>
      <c r="E11219" s="24"/>
      <c r="F11219" s="24"/>
      <c r="G11219" s="24"/>
      <c r="H11219" s="24"/>
      <c r="I11219" s="24"/>
      <c r="J11219" s="24"/>
      <c r="K11219" s="24"/>
    </row>
    <row r="11220" customFormat="false" ht="15" hidden="false" customHeight="false" outlineLevel="0" collapsed="false">
      <c r="A11220" s="5" t="s">
        <v>457</v>
      </c>
      <c r="C11220" s="34" t="n">
        <f aca="false">Assumptions!$Q$53</f>
        <v>0</v>
      </c>
    </row>
    <row r="11221" customFormat="false" ht="15" hidden="false" customHeight="false" outlineLevel="0" collapsed="false">
      <c r="A11221" s="5" t="s">
        <v>458</v>
      </c>
      <c r="C11221" s="34" t="n">
        <f aca="false">Assumptions!$Q$54</f>
        <v>0</v>
      </c>
    </row>
    <row r="11222" customFormat="false" ht="15" hidden="false" customHeight="false" outlineLevel="0" collapsed="false">
      <c r="A11222" s="5" t="s">
        <v>459</v>
      </c>
      <c r="C11222" s="34" t="n">
        <f aca="false">Assumptions!$Q$55</f>
        <v>0</v>
      </c>
    </row>
    <row r="11223" customFormat="false" ht="15" hidden="false" customHeight="false" outlineLevel="0" collapsed="false">
      <c r="A11223" s="5" t="s">
        <v>460</v>
      </c>
      <c r="C11223" s="34" t="n">
        <f aca="false">Assumptions!$Q$56</f>
        <v>0</v>
      </c>
    </row>
    <row r="11224" customFormat="false" ht="15" hidden="false" customHeight="false" outlineLevel="0" collapsed="false">
      <c r="A11224" s="23" t="s">
        <v>463</v>
      </c>
      <c r="B11224" s="24"/>
      <c r="C11224" s="24"/>
      <c r="D11224" s="24"/>
      <c r="E11224" s="24"/>
      <c r="F11224" s="24"/>
      <c r="G11224" s="24"/>
      <c r="H11224" s="24"/>
      <c r="I11224" s="24"/>
      <c r="J11224" s="24"/>
      <c r="K11224" s="24"/>
    </row>
    <row r="11225" customFormat="false" ht="15" hidden="false" customHeight="false" outlineLevel="0" collapsed="false">
      <c r="A11225" s="5" t="s">
        <v>457</v>
      </c>
      <c r="C11225" s="25" t="n">
        <f aca="false">IF(C11220&gt;0,MIN(C11210,C11220*$C$11208),0)</f>
        <v>0</v>
      </c>
    </row>
    <row r="11226" customFormat="false" ht="15" hidden="false" customHeight="false" outlineLevel="0" collapsed="false">
      <c r="A11226" s="5" t="s">
        <v>458</v>
      </c>
      <c r="C11226" s="25" t="n">
        <f aca="false">IF(C11221&gt;0,MIN(C11211,C11221*$C$11208),0)</f>
        <v>0</v>
      </c>
    </row>
    <row r="11227" customFormat="false" ht="15" hidden="false" customHeight="false" outlineLevel="0" collapsed="false">
      <c r="A11227" s="5" t="s">
        <v>459</v>
      </c>
      <c r="C11227" s="25" t="n">
        <f aca="false">IF(C11222&gt;0,MIN(C11212,C11222*$C$11208),0)</f>
        <v>0</v>
      </c>
    </row>
    <row r="11228" customFormat="false" ht="15" hidden="false" customHeight="false" outlineLevel="0" collapsed="false">
      <c r="A11228" s="5" t="s">
        <v>460</v>
      </c>
      <c r="C11228" s="25" t="n">
        <f aca="false">IF(C11223&gt;0,MIN(C11213,C11223*$C$11208),0)</f>
        <v>0</v>
      </c>
    </row>
    <row r="11229" customFormat="false" ht="15" hidden="false" customHeight="false" outlineLevel="0" collapsed="false">
      <c r="A11229" s="23" t="s">
        <v>464</v>
      </c>
      <c r="B11229" s="24"/>
      <c r="C11229" s="24"/>
      <c r="D11229" s="24"/>
      <c r="E11229" s="24"/>
      <c r="F11229" s="24"/>
      <c r="G11229" s="24"/>
      <c r="H11229" s="24"/>
      <c r="I11229" s="24"/>
      <c r="J11229" s="24"/>
      <c r="K11229" s="24"/>
    </row>
    <row r="11230" customFormat="false" ht="15" hidden="false" customHeight="false" outlineLevel="0" collapsed="false">
      <c r="A11230" s="5" t="s">
        <v>457</v>
      </c>
      <c r="C11230" s="25" t="n">
        <f aca="false">IF(C11220&gt;0,C11210-C11225,0)</f>
        <v>0</v>
      </c>
    </row>
    <row r="11231" customFormat="false" ht="15" hidden="false" customHeight="false" outlineLevel="0" collapsed="false">
      <c r="A11231" s="5" t="s">
        <v>458</v>
      </c>
      <c r="C11231" s="25" t="n">
        <f aca="false">IF(C11221&gt;0,C11211-C11226,0)</f>
        <v>0</v>
      </c>
    </row>
    <row r="11232" customFormat="false" ht="15" hidden="false" customHeight="false" outlineLevel="0" collapsed="false">
      <c r="A11232" s="5" t="s">
        <v>459</v>
      </c>
      <c r="C11232" s="25" t="n">
        <f aca="false">IF(C11222&gt;0,C11212-C11227,0)</f>
        <v>0</v>
      </c>
    </row>
    <row r="11233" customFormat="false" ht="15" hidden="false" customHeight="false" outlineLevel="0" collapsed="false">
      <c r="A11233" s="5" t="s">
        <v>460</v>
      </c>
      <c r="C11233" s="25" t="n">
        <f aca="false">IF(C11223&gt;0,C11213-C11228,0)</f>
        <v>0</v>
      </c>
    </row>
    <row r="11234" customFormat="false" ht="15" hidden="false" customHeight="false" outlineLevel="0" collapsed="false">
      <c r="A11234" s="23" t="s">
        <v>465</v>
      </c>
      <c r="B11234" s="24"/>
      <c r="C11234" s="24"/>
      <c r="D11234" s="24"/>
      <c r="E11234" s="24"/>
      <c r="F11234" s="24"/>
      <c r="G11234" s="24"/>
      <c r="H11234" s="24"/>
      <c r="I11234" s="24"/>
      <c r="J11234" s="24"/>
      <c r="K11234" s="24"/>
    </row>
    <row r="11235" customFormat="false" ht="15" hidden="false" customHeight="false" outlineLevel="0" collapsed="false">
      <c r="A11235" s="5" t="s">
        <v>457</v>
      </c>
      <c r="C11235" s="25" t="n">
        <f aca="false">IF(C11220&gt;0,C11230,C11210)</f>
        <v>250.7488</v>
      </c>
    </row>
    <row r="11236" customFormat="false" ht="15" hidden="false" customHeight="false" outlineLevel="0" collapsed="false">
      <c r="A11236" s="5" t="s">
        <v>458</v>
      </c>
      <c r="C11236" s="25" t="n">
        <f aca="false">IF(C11221&gt;0,C11231,C11211)</f>
        <v>509.6</v>
      </c>
    </row>
    <row r="11237" customFormat="false" ht="15" hidden="false" customHeight="false" outlineLevel="0" collapsed="false">
      <c r="A11237" s="5" t="s">
        <v>459</v>
      </c>
      <c r="C11237" s="25" t="n">
        <f aca="false">IF(C11222&gt;0,C11232,C11212)</f>
        <v>250</v>
      </c>
    </row>
    <row r="11238" customFormat="false" ht="15" hidden="false" customHeight="false" outlineLevel="0" collapsed="false">
      <c r="A11238" s="5" t="s">
        <v>460</v>
      </c>
      <c r="C11238" s="25" t="n">
        <f aca="false">IF(C11223&gt;0,C11233,C11213)</f>
        <v>300</v>
      </c>
    </row>
    <row r="11239" customFormat="false" ht="15" hidden="false" customHeight="false" outlineLevel="0" collapsed="false">
      <c r="A11239" s="23" t="s">
        <v>466</v>
      </c>
      <c r="B11239" s="24"/>
      <c r="C11239" s="24"/>
      <c r="D11239" s="24"/>
      <c r="E11239" s="24"/>
      <c r="F11239" s="24"/>
      <c r="G11239" s="24"/>
      <c r="H11239" s="24"/>
      <c r="I11239" s="24"/>
      <c r="J11239" s="24"/>
      <c r="K11239" s="24"/>
    </row>
    <row r="11240" customFormat="false" ht="15" hidden="false" customHeight="false" outlineLevel="0" collapsed="false">
      <c r="A11240" s="5" t="s">
        <v>457</v>
      </c>
      <c r="C11240" s="20" t="n">
        <f aca="false">IF(C11220&gt;0,Assumptions!$C$17,C11215)</f>
        <v>1</v>
      </c>
    </row>
    <row r="11241" customFormat="false" ht="15" hidden="false" customHeight="false" outlineLevel="0" collapsed="false">
      <c r="A11241" s="5" t="s">
        <v>458</v>
      </c>
      <c r="C11241" s="20" t="n">
        <f aca="false">IF(C11221&gt;0,Assumptions!$C$17,C11216)</f>
        <v>2</v>
      </c>
    </row>
    <row r="11242" customFormat="false" ht="15" hidden="false" customHeight="false" outlineLevel="0" collapsed="false">
      <c r="A11242" s="5" t="s">
        <v>459</v>
      </c>
      <c r="C11242" s="20" t="n">
        <f aca="false">IF(C11222&gt;0,Assumptions!$C$17,C11217)</f>
        <v>3</v>
      </c>
    </row>
    <row r="11243" customFormat="false" ht="15" hidden="false" customHeight="false" outlineLevel="0" collapsed="false">
      <c r="A11243" s="5" t="s">
        <v>460</v>
      </c>
      <c r="C11243" s="20" t="n">
        <f aca="false">IF(C11223&gt;0,Assumptions!$C$17,C11218)</f>
        <v>4</v>
      </c>
    </row>
    <row r="11244" customFormat="false" ht="15" hidden="false" customHeight="false" outlineLevel="0" collapsed="false">
      <c r="A11244" s="23" t="s">
        <v>467</v>
      </c>
      <c r="B11244" s="24"/>
      <c r="C11244" s="24"/>
      <c r="D11244" s="24"/>
      <c r="E11244" s="24"/>
      <c r="F11244" s="24"/>
      <c r="G11244" s="24"/>
      <c r="H11244" s="24"/>
      <c r="I11244" s="24"/>
      <c r="J11244" s="24"/>
      <c r="K11244" s="24"/>
    </row>
    <row r="11245" customFormat="false" ht="15" hidden="false" customHeight="false" outlineLevel="0" collapsed="false">
      <c r="A11245" s="5" t="s">
        <v>457</v>
      </c>
      <c r="C11245" s="25" t="n">
        <f aca="false">SUMPRODUCT(($C$11240:$C$11243&lt;C11240)*$C$11235:$C$11238)</f>
        <v>0</v>
      </c>
    </row>
    <row r="11246" customFormat="false" ht="15" hidden="false" customHeight="false" outlineLevel="0" collapsed="false">
      <c r="A11246" s="5" t="s">
        <v>458</v>
      </c>
      <c r="C11246" s="25" t="n">
        <f aca="false">SUMPRODUCT(($C$11240:$C$11243&lt;C11241)*$C$11235:$C$11238)</f>
        <v>250.7488</v>
      </c>
    </row>
    <row r="11247" customFormat="false" ht="15" hidden="false" customHeight="false" outlineLevel="0" collapsed="false">
      <c r="A11247" s="5" t="s">
        <v>459</v>
      </c>
      <c r="C11247" s="25" t="n">
        <f aca="false">SUMPRODUCT(($C$11240:$C$11243&lt;C11242)*$C$11235:$C$11238)</f>
        <v>760.3488</v>
      </c>
    </row>
    <row r="11248" customFormat="false" ht="15" hidden="false" customHeight="false" outlineLevel="0" collapsed="false">
      <c r="A11248" s="5" t="s">
        <v>460</v>
      </c>
      <c r="C11248" s="25" t="n">
        <f aca="false">SUMPRODUCT(($C$11240:$C$11243&lt;C11243)*$C$11235:$C$11238)</f>
        <v>1010.3488</v>
      </c>
    </row>
    <row r="11249" customFormat="false" ht="15" hidden="false" customHeight="false" outlineLevel="0" collapsed="false">
      <c r="A11249" s="23" t="s">
        <v>468</v>
      </c>
      <c r="B11249" s="24"/>
      <c r="C11249" s="24"/>
      <c r="D11249" s="24"/>
      <c r="E11249" s="24"/>
      <c r="F11249" s="24"/>
      <c r="G11249" s="24"/>
      <c r="H11249" s="24"/>
      <c r="I11249" s="24"/>
      <c r="J11249" s="24"/>
      <c r="K11249" s="24"/>
    </row>
    <row r="11250" customFormat="false" ht="15" hidden="false" customHeight="false" outlineLevel="0" collapsed="false">
      <c r="A11250" s="5" t="s">
        <v>457</v>
      </c>
      <c r="C11250" s="25" t="n">
        <f aca="false">SUMPRODUCT(($C$11240:$C$11243=C11240)*$C$11235:$C$11238)</f>
        <v>250.7488</v>
      </c>
    </row>
    <row r="11251" customFormat="false" ht="15" hidden="false" customHeight="false" outlineLevel="0" collapsed="false">
      <c r="A11251" s="5" t="s">
        <v>458</v>
      </c>
      <c r="C11251" s="25" t="n">
        <f aca="false">SUMPRODUCT(($C$11240:$C$11243=C11241)*$C$11235:$C$11238)</f>
        <v>509.6</v>
      </c>
    </row>
    <row r="11252" customFormat="false" ht="15" hidden="false" customHeight="false" outlineLevel="0" collapsed="false">
      <c r="A11252" s="5" t="s">
        <v>459</v>
      </c>
      <c r="C11252" s="25" t="n">
        <f aca="false">SUMPRODUCT(($C$11240:$C$11243=C11242)*$C$11235:$C$11238)</f>
        <v>250</v>
      </c>
    </row>
    <row r="11253" customFormat="false" ht="15" hidden="false" customHeight="false" outlineLevel="0" collapsed="false">
      <c r="A11253" s="5" t="s">
        <v>460</v>
      </c>
      <c r="C11253" s="25" t="n">
        <f aca="false">SUMPRODUCT(($C$11240:$C$11243=C11243)*$C$11235:$C$11238)</f>
        <v>300</v>
      </c>
    </row>
    <row r="11254" customFormat="false" ht="15" hidden="false" customHeight="false" outlineLevel="0" collapsed="false">
      <c r="A11254" s="23" t="s">
        <v>469</v>
      </c>
      <c r="B11254" s="24"/>
      <c r="C11254" s="24"/>
      <c r="D11254" s="24"/>
      <c r="E11254" s="24"/>
      <c r="F11254" s="24"/>
      <c r="G11254" s="24"/>
      <c r="H11254" s="24"/>
      <c r="I11254" s="24"/>
      <c r="J11254" s="24"/>
      <c r="K11254" s="24"/>
    </row>
    <row r="11255" customFormat="false" ht="15" hidden="false" customHeight="false" outlineLevel="0" collapsed="false">
      <c r="A11255" s="5" t="s">
        <v>457</v>
      </c>
      <c r="C11255" s="25" t="n">
        <f aca="false">IF(C11250=0,0,C11235/C11250*MAX(0,MIN(C11250,$C$11208-SUM($C$11225:$C$11228)-C11245)))</f>
        <v>63.06048</v>
      </c>
    </row>
    <row r="11256" customFormat="false" ht="15" hidden="false" customHeight="false" outlineLevel="0" collapsed="false">
      <c r="A11256" s="5" t="s">
        <v>458</v>
      </c>
      <c r="C11256" s="25" t="n">
        <f aca="false">IF(C11251=0,0,C11236/C11251*MAX(0,MIN(C11251,$C$11208-SUM($C$11225:$C$11228)-C11246)))</f>
        <v>0</v>
      </c>
    </row>
    <row r="11257" customFormat="false" ht="15" hidden="false" customHeight="false" outlineLevel="0" collapsed="false">
      <c r="A11257" s="5" t="s">
        <v>459</v>
      </c>
      <c r="C11257" s="25" t="n">
        <f aca="false">IF(C11252=0,0,C11237/C11252*MAX(0,MIN(C11252,$C$11208-SUM($C$11225:$C$11228)-C11247)))</f>
        <v>0</v>
      </c>
    </row>
    <row r="11258" customFormat="false" ht="15" hidden="false" customHeight="false" outlineLevel="0" collapsed="false">
      <c r="A11258" s="5" t="s">
        <v>460</v>
      </c>
      <c r="C11258" s="25" t="n">
        <f aca="false">IF(C11253=0,0,C11238/C11253*MAX(0,MIN(C11253,$C$11208-SUM($C$11225:$C$11228)-C11248)))</f>
        <v>0</v>
      </c>
    </row>
    <row r="11259" customFormat="false" ht="15" hidden="false" customHeight="false" outlineLevel="0" collapsed="false">
      <c r="A11259" s="23" t="s">
        <v>470</v>
      </c>
      <c r="B11259" s="24"/>
      <c r="C11259" s="24"/>
      <c r="D11259" s="24"/>
      <c r="E11259" s="24"/>
      <c r="F11259" s="24"/>
      <c r="G11259" s="24"/>
      <c r="H11259" s="24"/>
      <c r="I11259" s="24"/>
      <c r="J11259" s="24"/>
      <c r="K11259" s="24"/>
    </row>
    <row r="11260" customFormat="false" ht="15" hidden="false" customHeight="false" outlineLevel="0" collapsed="false">
      <c r="A11260" s="2" t="s">
        <v>457</v>
      </c>
      <c r="C11260" s="16" t="n">
        <f aca="false">C11225+C11255</f>
        <v>63.06048</v>
      </c>
    </row>
    <row r="11261" customFormat="false" ht="15" hidden="false" customHeight="false" outlineLevel="0" collapsed="false">
      <c r="A11261" s="2" t="s">
        <v>458</v>
      </c>
      <c r="C11261" s="16" t="n">
        <f aca="false">C11226+C11256</f>
        <v>0</v>
      </c>
    </row>
    <row r="11262" customFormat="false" ht="15" hidden="false" customHeight="false" outlineLevel="0" collapsed="false">
      <c r="A11262" s="2" t="s">
        <v>459</v>
      </c>
      <c r="C11262" s="16" t="n">
        <f aca="false">C11227+C11257</f>
        <v>0</v>
      </c>
    </row>
    <row r="11263" customFormat="false" ht="15" hidden="false" customHeight="false" outlineLevel="0" collapsed="false">
      <c r="A11263" s="2" t="s">
        <v>460</v>
      </c>
      <c r="C11263" s="16" t="n">
        <f aca="false">C11228+C11258</f>
        <v>0</v>
      </c>
    </row>
    <row r="11264" customFormat="false" ht="15" hidden="false" customHeight="false" outlineLevel="0" collapsed="false">
      <c r="A11264" s="23" t="s">
        <v>471</v>
      </c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</row>
    <row r="11265" customFormat="false" ht="15" hidden="false" customHeight="false" outlineLevel="0" collapsed="false">
      <c r="A11265" s="5" t="s">
        <v>457</v>
      </c>
      <c r="C11265" s="21" t="n">
        <f aca="false">IF(C11210=0,1,C11260/C11210)</f>
        <v>0.251488661162087</v>
      </c>
    </row>
    <row r="11266" customFormat="false" ht="15" hidden="false" customHeight="false" outlineLevel="0" collapsed="false">
      <c r="A11266" s="5" t="s">
        <v>458</v>
      </c>
      <c r="C11266" s="21" t="n">
        <f aca="false">IF(C11211=0,1,C11261/C11211)</f>
        <v>0</v>
      </c>
    </row>
    <row r="11267" customFormat="false" ht="15" hidden="false" customHeight="false" outlineLevel="0" collapsed="false">
      <c r="A11267" s="5" t="s">
        <v>459</v>
      </c>
      <c r="C11267" s="21" t="n">
        <f aca="false">IF(C11212=0,1,C11262/C11212)</f>
        <v>0</v>
      </c>
    </row>
    <row r="11268" customFormat="false" ht="15" hidden="false" customHeight="false" outlineLevel="0" collapsed="false">
      <c r="A11268" s="5" t="s">
        <v>460</v>
      </c>
      <c r="C11268" s="21" t="n">
        <f aca="false">IF(C11213=0,1,C11263/C11213)</f>
        <v>0</v>
      </c>
    </row>
    <row r="11269" customFormat="false" ht="15" hidden="false" customHeight="false" outlineLevel="0" collapsed="false">
      <c r="A11269" s="23" t="s">
        <v>472</v>
      </c>
      <c r="B11269" s="24"/>
      <c r="C11269" s="24"/>
      <c r="D11269" s="24"/>
      <c r="E11269" s="24"/>
      <c r="F11269" s="24"/>
      <c r="G11269" s="24"/>
      <c r="H11269" s="24"/>
      <c r="I11269" s="24"/>
      <c r="J11269" s="24"/>
      <c r="K11269" s="24"/>
    </row>
    <row r="11270" customFormat="false" ht="15" hidden="false" customHeight="false" outlineLevel="0" collapsed="false">
      <c r="A11270" s="5" t="s">
        <v>457</v>
      </c>
      <c r="C11270" s="25" t="n">
        <f aca="false">C11210-C11260</f>
        <v>187.68832</v>
      </c>
    </row>
    <row r="11271" customFormat="false" ht="15" hidden="false" customHeight="false" outlineLevel="0" collapsed="false">
      <c r="A11271" s="5" t="s">
        <v>458</v>
      </c>
      <c r="C11271" s="25" t="n">
        <f aca="false">C11211-C11261</f>
        <v>509.6</v>
      </c>
    </row>
    <row r="11272" customFormat="false" ht="15" hidden="false" customHeight="false" outlineLevel="0" collapsed="false">
      <c r="A11272" s="5" t="s">
        <v>459</v>
      </c>
      <c r="C11272" s="25" t="n">
        <f aca="false">C11212-C11262</f>
        <v>250</v>
      </c>
    </row>
    <row r="11273" customFormat="false" ht="15" hidden="false" customHeight="false" outlineLevel="0" collapsed="false">
      <c r="A11273" s="5" t="s">
        <v>460</v>
      </c>
      <c r="C11273" s="25" t="n">
        <f aca="false">C11213-C11263</f>
        <v>300</v>
      </c>
    </row>
    <row r="11274" customFormat="false" ht="15" hidden="false" customHeight="false" outlineLevel="0" collapsed="false">
      <c r="A11274" s="23" t="s">
        <v>473</v>
      </c>
      <c r="B11274" s="24"/>
      <c r="C11274" s="24"/>
      <c r="D11274" s="24"/>
      <c r="E11274" s="24"/>
      <c r="F11274" s="24"/>
      <c r="G11274" s="24"/>
      <c r="H11274" s="24"/>
      <c r="I11274" s="24"/>
      <c r="J11274" s="24"/>
      <c r="K11274" s="24"/>
    </row>
    <row r="11275" customFormat="false" ht="15" hidden="false" customHeight="false" outlineLevel="0" collapsed="false">
      <c r="A11275" s="5" t="s">
        <v>457</v>
      </c>
      <c r="C11275" s="21" t="n">
        <f aca="false">IF(C11210=0,0,C11270/C11210)</f>
        <v>0.748511338837913</v>
      </c>
    </row>
    <row r="11276" customFormat="false" ht="15" hidden="false" customHeight="false" outlineLevel="0" collapsed="false">
      <c r="A11276" s="5" t="s">
        <v>458</v>
      </c>
      <c r="C11276" s="21" t="n">
        <f aca="false">IF(C11211=0,0,C11271/C11211)</f>
        <v>1</v>
      </c>
    </row>
    <row r="11277" customFormat="false" ht="15" hidden="false" customHeight="false" outlineLevel="0" collapsed="false">
      <c r="A11277" s="5" t="s">
        <v>459</v>
      </c>
      <c r="C11277" s="21" t="n">
        <f aca="false">IF(C11212=0,0,C11272/C11212)</f>
        <v>1</v>
      </c>
    </row>
    <row r="11278" customFormat="false" ht="15" hidden="false" customHeight="false" outlineLevel="0" collapsed="false">
      <c r="A11278" s="5" t="s">
        <v>460</v>
      </c>
      <c r="C11278" s="21" t="n">
        <f aca="false">IF(C11213=0,0,C11273/C11213)</f>
        <v>1</v>
      </c>
    </row>
    <row r="11279" customFormat="false" ht="15" hidden="false" customHeight="false" outlineLevel="0" collapsed="false">
      <c r="A11279" s="2" t="s">
        <v>474</v>
      </c>
      <c r="C11279" s="16" t="n">
        <f aca="false">MAX(0,$C$11208-SUM($C$11225:$C$11228)-SUM($C$11235:$C$11238))</f>
        <v>0</v>
      </c>
    </row>
    <row r="11280" customFormat="false" ht="15" hidden="false" customHeight="false" outlineLevel="0" collapsed="false">
      <c r="A11280" s="5" t="s">
        <v>492</v>
      </c>
      <c r="C11280" s="33" t="n">
        <f aca="false">MIN(C11207,100*CHOOSE(C11197,C11265,C11266,C11267,C11268))</f>
        <v>0</v>
      </c>
    </row>
    <row r="11281" customFormat="false" ht="15" hidden="false" customHeight="false" outlineLevel="0" collapsed="false">
      <c r="A11281" s="5" t="s">
        <v>493</v>
      </c>
      <c r="C11281" s="20" t="n">
        <f aca="false">IF(C11113=1,C11202+Assumptions!$C$36,C11201)</f>
        <v>3</v>
      </c>
    </row>
    <row r="11282" customFormat="false" ht="15" hidden="false" customHeight="false" outlineLevel="0" collapsed="false">
      <c r="A11282" s="23" t="s">
        <v>494</v>
      </c>
      <c r="B11282" s="24"/>
      <c r="C11282" s="24"/>
      <c r="D11282" s="24"/>
      <c r="E11282" s="24"/>
      <c r="F11282" s="24"/>
      <c r="G11282" s="24"/>
      <c r="H11282" s="24"/>
      <c r="I11282" s="24"/>
      <c r="J11282" s="24"/>
      <c r="K11282" s="24"/>
    </row>
    <row r="11283" customFormat="false" ht="15" hidden="false" customHeight="false" outlineLevel="0" collapsed="false">
      <c r="A11283" s="5" t="s">
        <v>495</v>
      </c>
      <c r="C11283" s="20" t="n">
        <f aca="false">COLUMN()-COLUMN($C$1)</f>
        <v>0</v>
      </c>
      <c r="D11283" s="20" t="n">
        <f aca="false">COLUMN()-COLUMN($C$1)</f>
        <v>1</v>
      </c>
      <c r="E11283" s="20" t="n">
        <f aca="false">COLUMN()-COLUMN($C$1)</f>
        <v>2</v>
      </c>
      <c r="F11283" s="20" t="n">
        <f aca="false">COLUMN()-COLUMN($C$1)</f>
        <v>3</v>
      </c>
      <c r="G11283" s="20" t="n">
        <f aca="false">COLUMN()-COLUMN($C$1)</f>
        <v>4</v>
      </c>
      <c r="H11283" s="20" t="n">
        <f aca="false">COLUMN()-COLUMN($C$1)</f>
        <v>5</v>
      </c>
      <c r="I11283" s="20" t="n">
        <f aca="false">COLUMN()-COLUMN($C$1)</f>
        <v>6</v>
      </c>
    </row>
    <row r="11284" customFormat="false" ht="15" hidden="false" customHeight="false" outlineLevel="0" collapsed="false">
      <c r="A11284" s="5" t="s">
        <v>496</v>
      </c>
      <c r="D11284" s="30" t="n">
        <f aca="false">CHOOSE($C$11197,G10995,G11008,G11021,G11034)</f>
        <v>0.133</v>
      </c>
      <c r="E11284" s="30" t="n">
        <f aca="false">CHOOSE($C$11197,H10995,H11008,H11021,H11034)</f>
        <v>0.1305</v>
      </c>
      <c r="F11284" s="30" t="n">
        <f aca="false">CHOOSE($C$11197,I10995,I11008,I11021,I11034)</f>
        <v>0.128</v>
      </c>
      <c r="G11284" s="30" t="n">
        <f aca="false">CHOOSE($C$11197,J10995,J11008,J11021,J11034)</f>
        <v>0.128</v>
      </c>
      <c r="H11284" s="30" t="n">
        <f aca="false">CHOOSE($C$11197,K10995,K11008,K11021,K11034)</f>
        <v>0.128</v>
      </c>
    </row>
    <row r="11285" customFormat="false" ht="15" hidden="false" customHeight="false" outlineLevel="0" collapsed="false">
      <c r="A11285" s="5" t="s">
        <v>497</v>
      </c>
      <c r="D11285" s="25" t="n">
        <f aca="false">IF(D11283&lt;=$C$11206,$C$11198*D11284,0)</f>
        <v>13.3</v>
      </c>
      <c r="E11285" s="25" t="n">
        <f aca="false">IF(E11283&lt;=$C$11206,$C$11198*E11284,0)</f>
        <v>13.05</v>
      </c>
      <c r="F11285" s="25" t="n">
        <f aca="false">IF(F11283&lt;=$C$11206,$C$11198*F11284,0)</f>
        <v>0</v>
      </c>
      <c r="G11285" s="25" t="n">
        <f aca="false">IF(G11283&lt;=$C$11206,$C$11198*G11284,0)</f>
        <v>0</v>
      </c>
      <c r="H11285" s="25" t="n">
        <f aca="false">IF(H11283&lt;=$C$11206,$C$11198*H11284,0)</f>
        <v>0</v>
      </c>
    </row>
    <row r="11286" customFormat="false" ht="15" hidden="false" customHeight="false" outlineLevel="0" collapsed="false">
      <c r="A11286" s="5" t="s">
        <v>498</v>
      </c>
      <c r="D11286" s="25" t="n">
        <f aca="false">IF(AND($C$11113=0,D11283=$C$11201),$C$11198*$C$11280/100,0)+IF(AND($C$11113=1,D11283=$C$11281),$C$11204,0)</f>
        <v>0</v>
      </c>
      <c r="E11286" s="25" t="n">
        <f aca="false">IF(AND($C$11113=0,E11283=$C$11201),$C$11198*$C$11280/100,0)+IF(AND($C$11113=1,E11283=$C$11281),$C$11204,0)</f>
        <v>0</v>
      </c>
      <c r="F11286" s="25" t="n">
        <f aca="false">IF(AND($C$11113=0,F11283=$C$11201),$C$11198*$C$11280/100,0)+IF(AND($C$11113=1,F11283=$C$11281),$C$11204,0)</f>
        <v>25.8069471742543</v>
      </c>
      <c r="G11286" s="25" t="n">
        <f aca="false">IF(AND($C$11113=0,G11283=$C$11201),$C$11198*$C$11280/100,0)+IF(AND($C$11113=1,G11283=$C$11281),$C$11204,0)</f>
        <v>0</v>
      </c>
      <c r="H11286" s="25" t="n">
        <f aca="false">IF(AND($C$11113=0,H11283=$C$11201),$C$11198*$C$11280/100,0)+IF(AND($C$11113=1,H11283=$C$11281),$C$11204,0)</f>
        <v>0</v>
      </c>
      <c r="I11286" s="25" t="n">
        <f aca="false">IF(AND($C$11113=0,I11283=$C$11201),$C$11198*$C$11280/100,0)+IF(AND($C$11113=1,I11283=$C$11281),$C$11204,0)</f>
        <v>0</v>
      </c>
    </row>
    <row r="11287" customFormat="false" ht="15" hidden="false" customHeight="false" outlineLevel="0" collapsed="false">
      <c r="A11287" s="2" t="s">
        <v>499</v>
      </c>
      <c r="C11287" s="16" t="n">
        <f aca="false">-$C$11200</f>
        <v>-78.39</v>
      </c>
      <c r="D11287" s="16" t="n">
        <f aca="false">D11285+D11286</f>
        <v>13.3</v>
      </c>
      <c r="E11287" s="16" t="n">
        <f aca="false">E11285+E11286</f>
        <v>13.05</v>
      </c>
      <c r="F11287" s="16" t="n">
        <f aca="false">F11285+F11286</f>
        <v>25.8069471742543</v>
      </c>
      <c r="G11287" s="16" t="n">
        <f aca="false">G11285+G11286</f>
        <v>0</v>
      </c>
      <c r="H11287" s="16" t="n">
        <f aca="false">H11285+H11286</f>
        <v>0</v>
      </c>
      <c r="I11287" s="16" t="n">
        <f aca="false">I11285+I11286</f>
        <v>0</v>
      </c>
    </row>
    <row r="11288" customFormat="false" ht="15" hidden="false" customHeight="false" outlineLevel="0" collapsed="false">
      <c r="A11288" s="5" t="s">
        <v>500</v>
      </c>
      <c r="C11288" s="25" t="n">
        <f aca="false">SUM($C$11285:$I$11285)</f>
        <v>26.35</v>
      </c>
    </row>
    <row r="11289" customFormat="false" ht="15" hidden="false" customHeight="false" outlineLevel="0" collapsed="false">
      <c r="A11289" s="5" t="s">
        <v>501</v>
      </c>
      <c r="C11289" s="25" t="n">
        <f aca="false">SUM($C$11286:$I$11286)</f>
        <v>25.8069471742543</v>
      </c>
    </row>
    <row r="11290" customFormat="false" ht="15" hidden="false" customHeight="false" outlineLevel="0" collapsed="false">
      <c r="A11290" s="5" t="s">
        <v>502</v>
      </c>
      <c r="C11290" s="25" t="n">
        <f aca="false">C11288+C11289</f>
        <v>52.1569471742543</v>
      </c>
    </row>
    <row r="11291" customFormat="false" ht="15" hidden="false" customHeight="false" outlineLevel="0" collapsed="false">
      <c r="A11291" s="5" t="s">
        <v>503</v>
      </c>
      <c r="C11291" s="25" t="n">
        <f aca="false">C11289-C11198*C11199/100</f>
        <v>-52.1930528257457</v>
      </c>
    </row>
    <row r="11292" customFormat="false" ht="15" hidden="false" customHeight="false" outlineLevel="0" collapsed="false">
      <c r="A11292" s="5" t="s">
        <v>504</v>
      </c>
      <c r="C11292" s="25" t="n">
        <f aca="false">C11290-C11200</f>
        <v>-26.2330528257457</v>
      </c>
    </row>
    <row r="11293" customFormat="false" ht="15" hidden="false" customHeight="false" outlineLevel="0" collapsed="false">
      <c r="A11293" s="2" t="s">
        <v>385</v>
      </c>
      <c r="C11293" s="43" t="n">
        <f aca="false">C11290/C11200</f>
        <v>0.665352049677948</v>
      </c>
    </row>
    <row r="11294" customFormat="false" ht="15" hidden="false" customHeight="false" outlineLevel="0" collapsed="false">
      <c r="A11294" s="2" t="s">
        <v>384</v>
      </c>
      <c r="C11294" s="41" t="n">
        <f aca="false">IF(C11290&lt;=0,-1,IFERROR(IRR($C$11287:$I$11287,MAX(-0.9,C11293^(1/C11281)-1)),IRR($C$11287:$I$11287,0.1)))</f>
        <v>-0.162372227117705</v>
      </c>
    </row>
    <row r="11295" customFormat="false" ht="15" hidden="false" customHeight="false" outlineLevel="0" collapsed="false">
      <c r="A11295" s="5" t="s">
        <v>505</v>
      </c>
      <c r="C11295" s="31" t="n">
        <f aca="false">MAX($G$11089:$K$11089)</f>
        <v>99.4009704906765</v>
      </c>
    </row>
    <row r="11296" customFormat="false" ht="15" hidden="false" customHeight="false" outlineLevel="0" collapsed="false">
      <c r="A11296" s="5" t="s">
        <v>506</v>
      </c>
      <c r="C11296" s="31" t="n">
        <f aca="false">MIN($G$11090:$K$11090)</f>
        <v>0.123709888709878</v>
      </c>
    </row>
    <row r="11297" customFormat="false" ht="15" hidden="false" customHeight="false" outlineLevel="0" collapsed="false">
      <c r="A11297" s="5" t="s">
        <v>507</v>
      </c>
      <c r="C11297" s="25" t="n">
        <f aca="false">SUM($G$10979:$K$10979)</f>
        <v>-778.565233355366</v>
      </c>
    </row>
    <row r="11301" customFormat="false" ht="15" hidden="false" customHeight="false" outlineLevel="0" collapsed="false">
      <c r="A11301" s="9" t="s">
        <v>658</v>
      </c>
      <c r="B11301" s="10"/>
      <c r="C11301" s="10"/>
      <c r="D11301" s="10"/>
      <c r="E11301" s="10"/>
      <c r="F11301" s="10"/>
      <c r="G11301" s="10"/>
      <c r="H11301" s="10"/>
      <c r="I11301" s="10"/>
      <c r="J11301" s="10"/>
      <c r="K11301" s="10"/>
    </row>
    <row r="11302" customFormat="false" ht="15" hidden="false" customHeight="false" outlineLevel="0" collapsed="false">
      <c r="A11302" s="5" t="s">
        <v>622</v>
      </c>
      <c r="C11302" s="11" t="n">
        <v>3</v>
      </c>
    </row>
    <row r="11303" customFormat="false" ht="15" hidden="false" customHeight="false" outlineLevel="0" collapsed="false">
      <c r="A11303" s="5" t="s">
        <v>623</v>
      </c>
      <c r="C11303" s="29" t="n">
        <f aca="false">Sensitivities!$A$44</f>
        <v>0.1</v>
      </c>
    </row>
    <row r="11304" customFormat="false" ht="15" hidden="false" customHeight="false" outlineLevel="0" collapsed="false">
      <c r="A11304" s="5" t="s">
        <v>624</v>
      </c>
      <c r="C11304" s="18" t="n">
        <v>0</v>
      </c>
    </row>
    <row r="11305" customFormat="false" ht="15" hidden="false" customHeight="false" outlineLevel="0" collapsed="false">
      <c r="A11305" s="5" t="s">
        <v>625</v>
      </c>
      <c r="C11305" s="18" t="n">
        <v>0</v>
      </c>
    </row>
    <row r="11306" customFormat="false" ht="15" hidden="false" customHeight="false" outlineLevel="0" collapsed="false">
      <c r="A11306" s="5" t="s">
        <v>626</v>
      </c>
      <c r="C11306" s="15" t="n">
        <v>0</v>
      </c>
    </row>
    <row r="11308" customFormat="false" ht="15" hidden="false" customHeight="false" outlineLevel="0" collapsed="false">
      <c r="A11308" s="23" t="s">
        <v>237</v>
      </c>
      <c r="B11308" s="24"/>
      <c r="C11308" s="24"/>
      <c r="D11308" s="24"/>
      <c r="E11308" s="24"/>
      <c r="F11308" s="24"/>
      <c r="G11308" s="24"/>
      <c r="H11308" s="24"/>
      <c r="I11308" s="24"/>
      <c r="J11308" s="24"/>
      <c r="K11308" s="24"/>
    </row>
    <row r="11309" customFormat="false" ht="15" hidden="false" customHeight="false" outlineLevel="0" collapsed="false">
      <c r="A11309" s="5" t="s">
        <v>238</v>
      </c>
      <c r="F11309" s="26" t="n">
        <f aca="false">Assumptions!$C$6</f>
        <v>2025</v>
      </c>
      <c r="G11309" s="20" t="n">
        <f aca="false">F11309+1</f>
        <v>2026</v>
      </c>
      <c r="H11309" s="20" t="n">
        <f aca="false">G11309+1</f>
        <v>2027</v>
      </c>
      <c r="I11309" s="20" t="n">
        <f aca="false">H11309+1</f>
        <v>2028</v>
      </c>
      <c r="J11309" s="20" t="n">
        <f aca="false">I11309+1</f>
        <v>2029</v>
      </c>
      <c r="K11309" s="20" t="n">
        <f aca="false">J11309+1</f>
        <v>2030</v>
      </c>
    </row>
    <row r="11310" customFormat="false" ht="15" hidden="false" customHeight="false" outlineLevel="0" collapsed="false">
      <c r="A11310" s="5" t="s">
        <v>239</v>
      </c>
      <c r="G11310" s="20" t="n">
        <f aca="false">G11309-Assumptions!$C$6</f>
        <v>1</v>
      </c>
      <c r="H11310" s="20" t="n">
        <f aca="false">H11309-Assumptions!$C$6</f>
        <v>2</v>
      </c>
      <c r="I11310" s="20" t="n">
        <f aca="false">I11309-Assumptions!$C$6</f>
        <v>3</v>
      </c>
      <c r="J11310" s="20" t="n">
        <f aca="false">J11309-Assumptions!$C$6</f>
        <v>4</v>
      </c>
      <c r="K11310" s="20" t="n">
        <f aca="false">K11309-Assumptions!$C$6</f>
        <v>5</v>
      </c>
    </row>
    <row r="11311" customFormat="false" ht="15" hidden="false" customHeight="false" outlineLevel="0" collapsed="false">
      <c r="A11311" s="5" t="s">
        <v>149</v>
      </c>
      <c r="G11311" s="21" t="n">
        <f aca="false">CHOOSE($C$11302,Assumptions!$G$65,Assumptions!$G$84,Assumptions!$G$103)+$C$11303</f>
        <v>-0.134</v>
      </c>
      <c r="H11311" s="21" t="n">
        <f aca="false">CHOOSE($C$11302,Assumptions!$H$65,Assumptions!$H$84,Assumptions!$H$103)+$C$11303</f>
        <v>-0.03</v>
      </c>
      <c r="I11311" s="21" t="n">
        <f aca="false">CHOOSE($C$11302,Assumptions!$I$65,Assumptions!$I$84,Assumptions!$I$103)+$C$11303</f>
        <v>0.074</v>
      </c>
      <c r="J11311" s="21" t="n">
        <f aca="false">CHOOSE($C$11302,Assumptions!$J$65,Assumptions!$J$84,Assumptions!$J$103)+$C$11303</f>
        <v>0.09</v>
      </c>
      <c r="K11311" s="21" t="n">
        <f aca="false">CHOOSE($C$11302,Assumptions!$K$65,Assumptions!$K$84,Assumptions!$K$103)+$C$11303</f>
        <v>0.09</v>
      </c>
    </row>
    <row r="11312" customFormat="false" ht="15" hidden="false" customHeight="false" outlineLevel="0" collapsed="false">
      <c r="A11312" s="5" t="s">
        <v>150</v>
      </c>
      <c r="G11312" s="21" t="n">
        <f aca="false">CHOOSE($C$11302,Assumptions!$G$66,Assumptions!$G$85,Assumptions!$G$104)</f>
        <v>0.305</v>
      </c>
      <c r="H11312" s="21" t="n">
        <f aca="false">CHOOSE($C$11302,Assumptions!$H$66,Assumptions!$H$85,Assumptions!$H$104)</f>
        <v>0.305</v>
      </c>
      <c r="I11312" s="21" t="n">
        <f aca="false">CHOOSE($C$11302,Assumptions!$I$66,Assumptions!$I$85,Assumptions!$I$104)</f>
        <v>0.305</v>
      </c>
      <c r="J11312" s="21" t="n">
        <f aca="false">CHOOSE($C$11302,Assumptions!$J$66,Assumptions!$J$85,Assumptions!$J$104)</f>
        <v>0.305</v>
      </c>
      <c r="K11312" s="21" t="n">
        <f aca="false">CHOOSE($C$11302,Assumptions!$K$66,Assumptions!$K$85,Assumptions!$K$104)</f>
        <v>0.305</v>
      </c>
    </row>
    <row r="11313" customFormat="false" ht="15" hidden="false" customHeight="false" outlineLevel="0" collapsed="false">
      <c r="A11313" s="5" t="s">
        <v>151</v>
      </c>
      <c r="G11313" s="21" t="n">
        <f aca="false">CHOOSE($C$11302,Assumptions!$G$67,Assumptions!$G$86,Assumptions!$G$105)+$C$11304</f>
        <v>0.01</v>
      </c>
      <c r="H11313" s="21" t="n">
        <f aca="false">CHOOSE($C$11302,Assumptions!$H$67,Assumptions!$H$86,Assumptions!$H$105)+$C$11304</f>
        <v>0.01</v>
      </c>
      <c r="I11313" s="21" t="n">
        <f aca="false">CHOOSE($C$11302,Assumptions!$I$67,Assumptions!$I$86,Assumptions!$I$105)+$C$11304</f>
        <v>0.01</v>
      </c>
      <c r="J11313" s="21" t="n">
        <f aca="false">CHOOSE($C$11302,Assumptions!$J$67,Assumptions!$J$86,Assumptions!$J$105)+$C$11304</f>
        <v>0.01</v>
      </c>
      <c r="K11313" s="21" t="n">
        <f aca="false">CHOOSE($C$11302,Assumptions!$K$67,Assumptions!$K$86,Assumptions!$K$105)+$C$11304</f>
        <v>0.01</v>
      </c>
    </row>
    <row r="11314" customFormat="false" ht="15" hidden="false" customHeight="false" outlineLevel="0" collapsed="false">
      <c r="A11314" s="23" t="s">
        <v>240</v>
      </c>
      <c r="B11314" s="24"/>
      <c r="C11314" s="24"/>
      <c r="D11314" s="24"/>
      <c r="E11314" s="24"/>
      <c r="F11314" s="24"/>
      <c r="G11314" s="24"/>
      <c r="H11314" s="24"/>
      <c r="I11314" s="24"/>
      <c r="J11314" s="24"/>
      <c r="K11314" s="24"/>
    </row>
    <row r="11315" customFormat="false" ht="15" hidden="false" customHeight="false" outlineLevel="0" collapsed="false">
      <c r="A11315" s="2" t="s">
        <v>207</v>
      </c>
      <c r="F11315" s="27" t="n">
        <f aca="false">'Historical Financials'!E17</f>
        <v>2400</v>
      </c>
      <c r="G11315" s="16" t="n">
        <f aca="false">F11315*(1+G11311)</f>
        <v>2078.4</v>
      </c>
      <c r="H11315" s="16" t="n">
        <f aca="false">G11315*(1+H11311)</f>
        <v>2016.048</v>
      </c>
      <c r="I11315" s="16" t="n">
        <f aca="false">H11315*(1+I11311)</f>
        <v>2165.235552</v>
      </c>
      <c r="J11315" s="16" t="n">
        <f aca="false">I11315*(1+J11311)</f>
        <v>2360.10675168</v>
      </c>
      <c r="K11315" s="16" t="n">
        <f aca="false">J11315*(1+K11311)</f>
        <v>2572.5163593312</v>
      </c>
    </row>
    <row r="11316" customFormat="false" ht="15" hidden="false" customHeight="false" outlineLevel="0" collapsed="false">
      <c r="A11316" s="5" t="s">
        <v>217</v>
      </c>
      <c r="G11316" s="25" t="n">
        <f aca="false">G11315*(1-G11312)</f>
        <v>1444.488</v>
      </c>
      <c r="H11316" s="25" t="n">
        <f aca="false">H11315*(1-H11312)</f>
        <v>1401.15336</v>
      </c>
      <c r="I11316" s="25" t="n">
        <f aca="false">I11315*(1-I11312)</f>
        <v>1504.83870864</v>
      </c>
      <c r="J11316" s="25" t="n">
        <f aca="false">J11315*(1-J11312)</f>
        <v>1640.2741924176</v>
      </c>
      <c r="K11316" s="25" t="n">
        <f aca="false">K11315*(1-K11312)</f>
        <v>1787.89886973518</v>
      </c>
    </row>
    <row r="11317" customFormat="false" ht="15" hidden="false" customHeight="false" outlineLevel="0" collapsed="false">
      <c r="A11317" s="2" t="s">
        <v>218</v>
      </c>
      <c r="G11317" s="16" t="n">
        <f aca="false">G11315-G11316</f>
        <v>633.912</v>
      </c>
      <c r="H11317" s="16" t="n">
        <f aca="false">H11315-H11316</f>
        <v>614.89464</v>
      </c>
      <c r="I11317" s="16" t="n">
        <f aca="false">I11315-I11316</f>
        <v>660.39684336</v>
      </c>
      <c r="J11317" s="16" t="n">
        <f aca="false">J11315-J11316</f>
        <v>719.8325592624</v>
      </c>
      <c r="K11317" s="16" t="n">
        <f aca="false">K11315-K11316</f>
        <v>784.617489596016</v>
      </c>
    </row>
    <row r="11318" customFormat="false" ht="15" hidden="false" customHeight="false" outlineLevel="0" collapsed="false">
      <c r="A11318" s="5" t="s">
        <v>241</v>
      </c>
      <c r="G11318" s="25" t="n">
        <f aca="false">G11317-G11319</f>
        <v>613.128</v>
      </c>
      <c r="H11318" s="25" t="n">
        <f aca="false">H11317-H11319</f>
        <v>594.73416</v>
      </c>
      <c r="I11318" s="25" t="n">
        <f aca="false">I11317-I11319</f>
        <v>638.74448784</v>
      </c>
      <c r="J11318" s="25" t="n">
        <f aca="false">J11317-J11319</f>
        <v>696.2314917456</v>
      </c>
      <c r="K11318" s="25" t="n">
        <f aca="false">K11317-K11319</f>
        <v>758.892326002704</v>
      </c>
    </row>
    <row r="11319" customFormat="false" ht="15" hidden="false" customHeight="false" outlineLevel="0" collapsed="false">
      <c r="A11319" s="2" t="s">
        <v>242</v>
      </c>
      <c r="G11319" s="16" t="n">
        <f aca="false">G11315*G11313</f>
        <v>20.784</v>
      </c>
      <c r="H11319" s="16" t="n">
        <f aca="false">H11315*H11313</f>
        <v>20.16048</v>
      </c>
      <c r="I11319" s="16" t="n">
        <f aca="false">I11315*I11313</f>
        <v>21.65235552</v>
      </c>
      <c r="J11319" s="16" t="n">
        <f aca="false">J11315*J11313</f>
        <v>23.6010675168</v>
      </c>
      <c r="K11319" s="16" t="n">
        <f aca="false">K11315*K11313</f>
        <v>25.725163593312</v>
      </c>
    </row>
    <row r="11320" customFormat="false" ht="15" hidden="false" customHeight="false" outlineLevel="0" collapsed="false">
      <c r="A11320" s="5" t="s">
        <v>243</v>
      </c>
      <c r="G11320" s="25" t="n">
        <f aca="false">G11315*'Historical Financials'!E22/'Historical Financials'!E17</f>
        <v>45.7248</v>
      </c>
      <c r="H11320" s="25" t="n">
        <f aca="false">H11315*'Historical Financials'!E22/'Historical Financials'!E17</f>
        <v>44.353056</v>
      </c>
      <c r="I11320" s="25" t="n">
        <f aca="false">I11315*'Historical Financials'!E22/'Historical Financials'!E17</f>
        <v>47.635182144</v>
      </c>
      <c r="J11320" s="25" t="n">
        <f aca="false">J11315*'Historical Financials'!E22/'Historical Financials'!E17</f>
        <v>51.92234853696</v>
      </c>
      <c r="K11320" s="25" t="n">
        <f aca="false">K11315*'Historical Financials'!E22/'Historical Financials'!E17</f>
        <v>56.5953599052864</v>
      </c>
    </row>
    <row r="11321" customFormat="false" ht="15" hidden="false" customHeight="false" outlineLevel="0" collapsed="false">
      <c r="A11321" s="5" t="s">
        <v>244</v>
      </c>
      <c r="G11321" s="25" t="n">
        <f aca="false">G11315*'Historical Financials'!E23/'Historical Financials'!E17</f>
        <v>0</v>
      </c>
      <c r="H11321" s="25" t="n">
        <f aca="false">H11315*'Historical Financials'!E23/'Historical Financials'!E17</f>
        <v>0</v>
      </c>
      <c r="I11321" s="25" t="n">
        <f aca="false">I11315*'Historical Financials'!E23/'Historical Financials'!E17</f>
        <v>0</v>
      </c>
      <c r="J11321" s="25" t="n">
        <f aca="false">J11315*'Historical Financials'!E23/'Historical Financials'!E17</f>
        <v>0</v>
      </c>
      <c r="K11321" s="25" t="n">
        <f aca="false">K11315*'Historical Financials'!E23/'Historical Financials'!E17</f>
        <v>0</v>
      </c>
    </row>
    <row r="11322" customFormat="false" ht="15" hidden="false" customHeight="false" outlineLevel="0" collapsed="false">
      <c r="A11322" s="2" t="s">
        <v>245</v>
      </c>
      <c r="G11322" s="16" t="n">
        <f aca="false">G11319-G11320-G11321</f>
        <v>-24.9408</v>
      </c>
      <c r="H11322" s="16" t="n">
        <f aca="false">H11319-H11320-H11321</f>
        <v>-24.192576</v>
      </c>
      <c r="I11322" s="16" t="n">
        <f aca="false">I11319-I11320-I11321</f>
        <v>-25.982826624</v>
      </c>
      <c r="J11322" s="16" t="n">
        <f aca="false">J11319-J11320-J11321</f>
        <v>-28.32128102016</v>
      </c>
      <c r="K11322" s="16" t="n">
        <f aca="false">K11319-K11320-K11321</f>
        <v>-30.8701963119744</v>
      </c>
    </row>
    <row r="11323" customFormat="false" ht="15" hidden="false" customHeight="false" outlineLevel="0" collapsed="false">
      <c r="A11323" s="5" t="s">
        <v>246</v>
      </c>
      <c r="G11323" s="25" t="n">
        <f aca="false">G11349+G11362+G11375+G11388</f>
        <v>140.04</v>
      </c>
      <c r="H11323" s="25" t="n">
        <f aca="false">H11349+H11362+H11375+H11388</f>
        <v>147.4392288</v>
      </c>
      <c r="I11323" s="25" t="n">
        <f aca="false">I11349+I11362+I11375+I11388</f>
        <v>144.8201568</v>
      </c>
      <c r="J11323" s="25" t="n">
        <f aca="false">J11349+J11362+J11375+J11388</f>
        <v>144.1545568</v>
      </c>
      <c r="K11323" s="25" t="n">
        <f aca="false">K11349+K11362+K11375+K11388</f>
        <v>143.4889568</v>
      </c>
    </row>
    <row r="11324" customFormat="false" ht="15" hidden="false" customHeight="false" outlineLevel="0" collapsed="false">
      <c r="A11324" s="5" t="s">
        <v>247</v>
      </c>
      <c r="G11324" s="25" t="n">
        <f aca="false">G11350+G11363+G11376+G11389</f>
        <v>0</v>
      </c>
      <c r="H11324" s="25" t="n">
        <f aca="false">H11350+H11363+H11376+H11389</f>
        <v>0</v>
      </c>
      <c r="I11324" s="25" t="n">
        <f aca="false">I11350+I11363+I11376+I11389</f>
        <v>0</v>
      </c>
      <c r="J11324" s="25" t="n">
        <f aca="false">J11350+J11363+J11376+J11389</f>
        <v>0</v>
      </c>
      <c r="K11324" s="25" t="n">
        <f aca="false">K11350+K11363+K11376+K11389</f>
        <v>0</v>
      </c>
    </row>
    <row r="11325" customFormat="false" ht="15" hidden="false" customHeight="false" outlineLevel="0" collapsed="false">
      <c r="A11325" s="5" t="s">
        <v>212</v>
      </c>
      <c r="G11325" s="25" t="n">
        <f aca="false">G11323+G11324</f>
        <v>140.04</v>
      </c>
      <c r="H11325" s="25" t="n">
        <f aca="false">H11323+H11324</f>
        <v>147.4392288</v>
      </c>
      <c r="I11325" s="25" t="n">
        <f aca="false">I11323+I11324</f>
        <v>144.8201568</v>
      </c>
      <c r="J11325" s="25" t="n">
        <f aca="false">J11323+J11324</f>
        <v>144.1545568</v>
      </c>
      <c r="K11325" s="25" t="n">
        <f aca="false">K11323+K11324</f>
        <v>143.4889568</v>
      </c>
    </row>
    <row r="11326" customFormat="false" ht="15" hidden="false" customHeight="false" outlineLevel="0" collapsed="false">
      <c r="A11326" s="2" t="s">
        <v>223</v>
      </c>
      <c r="G11326" s="16" t="n">
        <f aca="false">G11322-G11325</f>
        <v>-164.9808</v>
      </c>
      <c r="H11326" s="16" t="n">
        <f aca="false">H11322-H11325</f>
        <v>-171.6318048</v>
      </c>
      <c r="I11326" s="16" t="n">
        <f aca="false">I11322-I11325</f>
        <v>-170.802983424</v>
      </c>
      <c r="J11326" s="16" t="n">
        <f aca="false">J11322-J11325</f>
        <v>-172.47583782016</v>
      </c>
      <c r="K11326" s="16" t="n">
        <f aca="false">K11322-K11325</f>
        <v>-174.359153111974</v>
      </c>
    </row>
    <row r="11327" customFormat="false" ht="15" hidden="false" customHeight="false" outlineLevel="0" collapsed="false">
      <c r="A11327" s="5" t="s">
        <v>213</v>
      </c>
      <c r="G11327" s="25" t="n">
        <f aca="false">MAX(0,G11326)*Assumptions!$C$9</f>
        <v>0</v>
      </c>
      <c r="H11327" s="25" t="n">
        <f aca="false">MAX(0,H11326)*Assumptions!$C$9</f>
        <v>0</v>
      </c>
      <c r="I11327" s="25" t="n">
        <f aca="false">MAX(0,I11326)*Assumptions!$C$9</f>
        <v>0</v>
      </c>
      <c r="J11327" s="25" t="n">
        <f aca="false">MAX(0,J11326)*Assumptions!$C$9</f>
        <v>0</v>
      </c>
      <c r="K11327" s="25" t="n">
        <f aca="false">MAX(0,K11326)*Assumptions!$C$9</f>
        <v>0</v>
      </c>
    </row>
    <row r="11328" customFormat="false" ht="15" hidden="false" customHeight="false" outlineLevel="0" collapsed="false">
      <c r="A11328" s="2" t="s">
        <v>248</v>
      </c>
      <c r="G11328" s="16" t="n">
        <f aca="false">G11326-G11327</f>
        <v>-164.9808</v>
      </c>
      <c r="H11328" s="16" t="n">
        <f aca="false">H11326-H11327</f>
        <v>-171.6318048</v>
      </c>
      <c r="I11328" s="16" t="n">
        <f aca="false">I11326-I11327</f>
        <v>-170.802983424</v>
      </c>
      <c r="J11328" s="16" t="n">
        <f aca="false">J11326-J11327</f>
        <v>-172.47583782016</v>
      </c>
      <c r="K11328" s="16" t="n">
        <f aca="false">K11326-K11327</f>
        <v>-174.359153111974</v>
      </c>
    </row>
    <row r="11329" customFormat="false" ht="15" hidden="false" customHeight="false" outlineLevel="0" collapsed="false">
      <c r="A11329" s="23" t="s">
        <v>249</v>
      </c>
      <c r="B11329" s="24"/>
      <c r="C11329" s="24"/>
      <c r="D11329" s="24"/>
      <c r="E11329" s="24"/>
      <c r="F11329" s="24"/>
      <c r="G11329" s="24"/>
      <c r="H11329" s="24"/>
      <c r="I11329" s="24"/>
      <c r="J11329" s="24"/>
      <c r="K11329" s="24"/>
    </row>
    <row r="11330" customFormat="false" ht="15" hidden="false" customHeight="false" outlineLevel="0" collapsed="false">
      <c r="A11330" s="5" t="s">
        <v>153</v>
      </c>
      <c r="G11330" s="25" t="n">
        <f aca="false">G11315*CHOOSE($C$11302,Assumptions!$C$69,Assumptions!$C$88,Assumptions!$C$107)</f>
        <v>33.2544</v>
      </c>
      <c r="H11330" s="25" t="n">
        <f aca="false">H11315*CHOOSE($C$11302,Assumptions!$C$69,Assumptions!$C$88,Assumptions!$C$107)</f>
        <v>32.256768</v>
      </c>
      <c r="I11330" s="25" t="n">
        <f aca="false">I11315*CHOOSE($C$11302,Assumptions!$C$69,Assumptions!$C$88,Assumptions!$C$107)</f>
        <v>34.643768832</v>
      </c>
      <c r="J11330" s="25" t="n">
        <f aca="false">J11315*CHOOSE($C$11302,Assumptions!$C$69,Assumptions!$C$88,Assumptions!$C$107)</f>
        <v>37.76170802688</v>
      </c>
      <c r="K11330" s="25" t="n">
        <f aca="false">K11315*CHOOSE($C$11302,Assumptions!$C$69,Assumptions!$C$88,Assumptions!$C$107)</f>
        <v>41.1602617492992</v>
      </c>
    </row>
    <row r="11331" customFormat="false" ht="15" hidden="false" customHeight="false" outlineLevel="0" collapsed="false">
      <c r="A11331" s="5" t="s">
        <v>250</v>
      </c>
      <c r="G11331" s="25" t="n">
        <f aca="false">CHOOSE($C$11302,Assumptions!$C$70,Assumptions!$C$89,Assumptions!$C$108)*(G11315-F11315)+CHOOSE($C$11302,Assumptions!$C$71,Assumptions!$C$90,Assumptions!$C$109)*G11315</f>
        <v>-26.1216</v>
      </c>
      <c r="H11331" s="25" t="n">
        <f aca="false">CHOOSE($C$11302,Assumptions!$C$70,Assumptions!$C$89,Assumptions!$C$108)*(H11315-G11315)+CHOOSE($C$11302,Assumptions!$C$71,Assumptions!$C$90,Assumptions!$C$109)*H11315</f>
        <v>4.61404799999999</v>
      </c>
      <c r="I11331" s="25" t="n">
        <f aca="false">CHOOSE($C$11302,Assumptions!$C$70,Assumptions!$C$89,Assumptions!$C$108)*(I11315-H11315)+CHOOSE($C$11302,Assumptions!$C$71,Assumptions!$C$90,Assumptions!$C$109)*I11315</f>
        <v>30.893919552</v>
      </c>
      <c r="J11331" s="25" t="n">
        <f aca="false">CHOOSE($C$11302,Assumptions!$C$70,Assumptions!$C$89,Assumptions!$C$108)*(J11315-I11315)+CHOOSE($C$11302,Assumptions!$C$71,Assumptions!$C$90,Assumptions!$C$109)*J11315</f>
        <v>37.54518447168</v>
      </c>
      <c r="K11331" s="25" t="n">
        <f aca="false">CHOOSE($C$11302,Assumptions!$C$70,Assumptions!$C$89,Assumptions!$C$108)*(K11315-J11315)+CHOOSE($C$11302,Assumptions!$C$71,Assumptions!$C$90,Assumptions!$C$109)*K11315</f>
        <v>40.9242510741312</v>
      </c>
    </row>
    <row r="11332" customFormat="false" ht="15" hidden="false" customHeight="false" outlineLevel="0" collapsed="false">
      <c r="A11332" s="2" t="s">
        <v>251</v>
      </c>
      <c r="G11332" s="16" t="n">
        <f aca="false">G11328+G11320+G11321+G11324-G11330-G11331</f>
        <v>-126.3888</v>
      </c>
      <c r="H11332" s="16" t="n">
        <f aca="false">H11328+H11320+H11321+H11324-H11330-H11331</f>
        <v>-164.1495648</v>
      </c>
      <c r="I11332" s="16" t="n">
        <f aca="false">I11328+I11320+I11321+I11324-I11330-I11331</f>
        <v>-188.705489664</v>
      </c>
      <c r="J11332" s="16" t="n">
        <f aca="false">J11328+J11320+J11321+J11324-J11330-J11331</f>
        <v>-195.86038178176</v>
      </c>
      <c r="K11332" s="16" t="n">
        <f aca="false">K11328+K11320+K11321+K11324-K11330-K11331</f>
        <v>-199.848306030118</v>
      </c>
    </row>
    <row r="11334" customFormat="false" ht="15" hidden="false" customHeight="false" outlineLevel="0" collapsed="false">
      <c r="A11334" s="23" t="s">
        <v>253</v>
      </c>
      <c r="B11334" s="24"/>
      <c r="C11334" s="24"/>
      <c r="D11334" s="24"/>
      <c r="E11334" s="24"/>
      <c r="F11334" s="24"/>
      <c r="G11334" s="24"/>
      <c r="H11334" s="24"/>
      <c r="I11334" s="24"/>
      <c r="J11334" s="24"/>
      <c r="K11334" s="24"/>
    </row>
    <row r="11335" customFormat="false" ht="15" hidden="false" customHeight="false" outlineLevel="0" collapsed="false">
      <c r="A11335" s="5" t="s">
        <v>254</v>
      </c>
      <c r="G11335" s="29" t="n">
        <f aca="false">Assumptions!$G$49</f>
        <v>0.0425</v>
      </c>
      <c r="H11335" s="29" t="n">
        <f aca="false">Assumptions!$H$49</f>
        <v>0.04</v>
      </c>
      <c r="I11335" s="29" t="n">
        <f aca="false">Assumptions!$I$49</f>
        <v>0.0375</v>
      </c>
      <c r="J11335" s="29" t="n">
        <f aca="false">Assumptions!$J$49</f>
        <v>0.0375</v>
      </c>
      <c r="K11335" s="29" t="n">
        <f aca="false">Assumptions!$K$49</f>
        <v>0.0375</v>
      </c>
    </row>
    <row r="11336" customFormat="false" ht="15" hidden="false" customHeight="false" outlineLevel="0" collapsed="false">
      <c r="A11336" s="5" t="s">
        <v>255</v>
      </c>
      <c r="C11336" s="30" t="n">
        <f aca="false">CHOOSE($C$11302,Assumptions!$C$72,Assumptions!$C$91,Assumptions!$C$110)+$C$11305</f>
        <v>0.03</v>
      </c>
    </row>
    <row r="11337" customFormat="false" ht="15" hidden="false" customHeight="false" outlineLevel="0" collapsed="false">
      <c r="A11337" s="5" t="s">
        <v>256</v>
      </c>
      <c r="C11337" s="30" t="n">
        <f aca="false">CHOOSE($C$11302,Assumptions!$C$73,Assumptions!$C$92,Assumptions!$C$111)</f>
        <v>0.16</v>
      </c>
    </row>
    <row r="11338" customFormat="false" ht="15" hidden="false" customHeight="false" outlineLevel="0" collapsed="false">
      <c r="A11338" s="5" t="s">
        <v>257</v>
      </c>
      <c r="C11338" s="31" t="n">
        <f aca="false">CHOOSE($C$11302,Assumptions!$C$74,Assumptions!$C$93,Assumptions!$C$112)</f>
        <v>5</v>
      </c>
    </row>
    <row r="11339" customFormat="false" ht="15" hidden="false" customHeight="false" outlineLevel="0" collapsed="false">
      <c r="A11339" s="5" t="s">
        <v>258</v>
      </c>
      <c r="C11339" s="31" t="n">
        <f aca="false">CHOOSE($C$11302,Assumptions!$C$75,Assumptions!$C$94,Assumptions!$C$113)</f>
        <v>2</v>
      </c>
    </row>
    <row r="11340" customFormat="false" ht="15" hidden="false" customHeight="false" outlineLevel="0" collapsed="false">
      <c r="A11340" s="5" t="s">
        <v>259</v>
      </c>
      <c r="G11340" s="25" t="n">
        <f aca="false">G11345+G11358+G11371+G11384</f>
        <v>1250</v>
      </c>
      <c r="H11340" s="25" t="n">
        <f aca="false">H11345+H11358+H11371+H11384</f>
        <v>1331.3888</v>
      </c>
      <c r="I11340" s="25" t="n">
        <f aca="false">I11345+I11358+I11371+I11384</f>
        <v>1326.1888</v>
      </c>
      <c r="J11340" s="25" t="n">
        <f aca="false">J11345+J11358+J11371+J11384</f>
        <v>1320.9888</v>
      </c>
      <c r="K11340" s="25" t="n">
        <f aca="false">K11345+K11358+K11371+K11384</f>
        <v>1315.7888</v>
      </c>
    </row>
    <row r="11341" customFormat="false" ht="15" hidden="false" customHeight="false" outlineLevel="0" collapsed="false">
      <c r="A11341" s="5" t="s">
        <v>260</v>
      </c>
      <c r="G11341" s="25" t="n">
        <f aca="false">F11431</f>
        <v>45</v>
      </c>
      <c r="H11341" s="25" t="n">
        <f aca="false">G11431</f>
        <v>0</v>
      </c>
      <c r="I11341" s="25" t="n">
        <f aca="false">H11431</f>
        <v>-169.3495648</v>
      </c>
      <c r="J11341" s="25" t="n">
        <f aca="false">I11431</f>
        <v>-363.255054464</v>
      </c>
      <c r="K11341" s="25" t="n">
        <f aca="false">J11431</f>
        <v>-564.31543624576</v>
      </c>
    </row>
    <row r="11342" customFormat="false" ht="15" hidden="false" customHeight="false" outlineLevel="0" collapsed="false">
      <c r="A11342" s="5" t="s">
        <v>261</v>
      </c>
      <c r="G11342" s="25" t="n">
        <f aca="false">G11345*IF(G11346=1,$C$11337,IF(Assumptions!$I$53=1,MAX(G11335,Assumptions!$G$53)+Assumptions!$F$53+$C$11336,Assumptions!$E$53))+G11358*IF(G11359=1,$C$11337,IF(Assumptions!$I$54=1,MAX(G11335,Assumptions!$G$54)+Assumptions!$F$54+$C$11336,Assumptions!$E$54))+G11371*IF(G11372=1,$C$11337,IF(Assumptions!$I$55=1,MAX(G11335,Assumptions!$G$55)+Assumptions!$F$55+$C$11336,Assumptions!$E$55))+G11384*IF(G11385=1,$C$11337,IF(Assumptions!$I$56=1,MAX(G11335,Assumptions!$G$56)+Assumptions!$F$56+$C$11336,Assumptions!$E$56))</f>
        <v>140.04</v>
      </c>
      <c r="H11342" s="25" t="n">
        <f aca="false">H11345*IF(OR(H11346=1,G11497=1),$C$11337,IF(Assumptions!$I$53=1,MAX(H11335,Assumptions!$G$53)+Assumptions!$F$53+$C$11336,Assumptions!$E$53))+H11358*IF(OR(H11359=1,G11498=1),$C$11337,IF(Assumptions!$I$54=1,MAX(H11335,Assumptions!$G$54)+Assumptions!$F$54+$C$11336,Assumptions!$E$54))+H11371*IF(OR(H11372=1,G11499=1),$C$11337,IF(Assumptions!$I$55=1,MAX(H11335,Assumptions!$G$55)+Assumptions!$F$55+$C$11336,Assumptions!$E$55))+H11384*IF(OR(H11385=1,G11500=1),$C$11337,IF(Assumptions!$I$56=1,MAX(H11335,Assumptions!$G$56)+Assumptions!$F$56+$C$11336,Assumptions!$E$56))</f>
        <v>185.335608</v>
      </c>
      <c r="I11342" s="25" t="n">
        <f aca="false">I11345*IF(OR(I11346=1,H11497=1),$C$11337,IF(Assumptions!$I$53=1,MAX(I11335,Assumptions!$G$53)+Assumptions!$F$53+$C$11336,Assumptions!$E$53))+I11358*IF(OR(I11359=1,H11498=1),$C$11337,IF(Assumptions!$I$54=1,MAX(I11335,Assumptions!$G$54)+Assumptions!$F$54+$C$11336,Assumptions!$E$54))+I11371*IF(OR(I11372=1,H11499=1),$C$11337,IF(Assumptions!$I$55=1,MAX(I11335,Assumptions!$G$55)+Assumptions!$F$55+$C$11336,Assumptions!$E$55))+I11384*IF(OR(I11385=1,H11500=1),$C$11337,IF(Assumptions!$I$56=1,MAX(I11335,Assumptions!$G$56)+Assumptions!$F$56+$C$11336,Assumptions!$E$56))</f>
        <v>161.1273568</v>
      </c>
      <c r="J11342" s="25" t="n">
        <f aca="false">J11345*IF(OR(J11346=1,I11497=1),$C$11337,IF(Assumptions!$I$53=1,MAX(J11335,Assumptions!$G$53)+Assumptions!$F$53+$C$11336,Assumptions!$E$53))+J11358*IF(OR(J11359=1,I11498=1),$C$11337,IF(Assumptions!$I$54=1,MAX(J11335,Assumptions!$G$54)+Assumptions!$F$54+$C$11336,Assumptions!$E$54))+J11371*IF(OR(J11372=1,I11499=1),$C$11337,IF(Assumptions!$I$55=1,MAX(J11335,Assumptions!$G$55)+Assumptions!$F$55+$C$11336,Assumptions!$E$55))+J11384*IF(OR(J11385=1,I11500=1),$C$11337,IF(Assumptions!$I$56=1,MAX(J11335,Assumptions!$G$56)+Assumptions!$F$56+$C$11336,Assumptions!$E$56))</f>
        <v>156.6545568</v>
      </c>
      <c r="K11342" s="25" t="n">
        <f aca="false">K11345*IF(OR(K11346=1,J11497=1),$C$11337,IF(Assumptions!$I$53=1,MAX(K11335,Assumptions!$G$53)+Assumptions!$F$53+$C$11336,Assumptions!$E$53))+K11358*IF(OR(K11359=1,J11498=1),$C$11337,IF(Assumptions!$I$54=1,MAX(K11335,Assumptions!$G$54)+Assumptions!$F$54+$C$11336,Assumptions!$E$54))+K11371*IF(OR(K11372=1,J11499=1),$C$11337,IF(Assumptions!$I$55=1,MAX(K11335,Assumptions!$G$55)+Assumptions!$F$55+$C$11336,Assumptions!$E$55))+K11384*IF(OR(K11385=1,J11500=1),$C$11337,IF(Assumptions!$I$56=1,MAX(K11335,Assumptions!$G$56)+Assumptions!$F$56+$C$11336,Assumptions!$E$56))</f>
        <v>143.4889568</v>
      </c>
    </row>
    <row r="11343" customFormat="false" ht="15" hidden="false" customHeight="false" outlineLevel="0" collapsed="false">
      <c r="A11343" s="5" t="s">
        <v>262</v>
      </c>
      <c r="G11343" s="20" t="n">
        <f aca="false">IF(G11319&lt;=0,0,IF(AND((G11340-G11341)/G11319&lt;=$C$11338,G11319/G11342&gt;=$C$11339),1,0))</f>
        <v>0</v>
      </c>
      <c r="H11343" s="20" t="n">
        <f aca="false">IF(H11319&lt;=0,0,IF(AND((H11340-H11341)/H11319&lt;=$C$11338,H11319/H11342&gt;=$C$11339),1,0))</f>
        <v>0</v>
      </c>
      <c r="I11343" s="20" t="n">
        <f aca="false">IF(I11319&lt;=0,0,IF(AND((I11340-I11341)/I11319&lt;=$C$11338,I11319/I11342&gt;=$C$11339),1,0))</f>
        <v>0</v>
      </c>
      <c r="J11343" s="20" t="n">
        <f aca="false">IF(J11319&lt;=0,0,IF(AND((J11340-J11341)/J11319&lt;=$C$11338,J11319/J11342&gt;=$C$11339),1,0))</f>
        <v>0</v>
      </c>
      <c r="K11343" s="20" t="n">
        <f aca="false">IF(K11319&lt;=0,0,IF(AND((K11340-K11341)/K11319&lt;=$C$11338,K11319/K11342&gt;=$C$11339),1,0))</f>
        <v>0</v>
      </c>
    </row>
    <row r="11344" customFormat="false" ht="15" hidden="false" customHeight="false" outlineLevel="0" collapsed="false">
      <c r="A11344" s="23" t="s">
        <v>263</v>
      </c>
      <c r="B11344" s="24"/>
      <c r="C11344" s="24"/>
      <c r="D11344" s="24"/>
      <c r="E11344" s="24"/>
      <c r="F11344" s="24"/>
      <c r="G11344" s="24"/>
      <c r="H11344" s="24"/>
      <c r="I11344" s="24"/>
      <c r="J11344" s="24"/>
      <c r="K11344" s="24"/>
    </row>
    <row r="11345" customFormat="false" ht="15" hidden="false" customHeight="false" outlineLevel="0" collapsed="false">
      <c r="A11345" s="5" t="s">
        <v>264</v>
      </c>
      <c r="G11345" s="25" t="n">
        <f aca="false">F11356</f>
        <v>180</v>
      </c>
      <c r="H11345" s="25" t="n">
        <f aca="false">G11356</f>
        <v>266.5888</v>
      </c>
      <c r="I11345" s="25" t="n">
        <f aca="false">H11356</f>
        <v>266.5888</v>
      </c>
      <c r="J11345" s="25" t="n">
        <f aca="false">I11356</f>
        <v>266.5888</v>
      </c>
      <c r="K11345" s="25" t="n">
        <f aca="false">J11356</f>
        <v>266.5888</v>
      </c>
    </row>
    <row r="11346" customFormat="false" ht="15" hidden="false" customHeight="false" outlineLevel="0" collapsed="false">
      <c r="A11346" s="5" t="s">
        <v>265</v>
      </c>
      <c r="G11346" s="20" t="n">
        <f aca="false">IF(G11309=Assumptions!$K$53,1,0)</f>
        <v>0</v>
      </c>
      <c r="H11346" s="20" t="n">
        <f aca="false">IF(H11309=Assumptions!$K$53,1,0)</f>
        <v>1</v>
      </c>
      <c r="I11346" s="20" t="n">
        <f aca="false">IF(I11309=Assumptions!$K$53,1,0)</f>
        <v>0</v>
      </c>
      <c r="J11346" s="20" t="n">
        <f aca="false">IF(J11309=Assumptions!$K$53,1,0)</f>
        <v>0</v>
      </c>
      <c r="K11346" s="20" t="n">
        <f aca="false">IF(K11309=Assumptions!$K$53,1,0)</f>
        <v>0</v>
      </c>
    </row>
    <row r="11348" customFormat="false" ht="15" hidden="false" customHeight="false" outlineLevel="0" collapsed="false">
      <c r="A11348" s="5" t="s">
        <v>266</v>
      </c>
      <c r="G11348" s="30" t="n">
        <f aca="false">IF(Assumptions!$I$53=1,MAX(G11335,Assumptions!$G$53)+Assumptions!$F$53+$C$11336,Assumptions!$E$53)</f>
        <v>0.116</v>
      </c>
      <c r="H11348" s="30" t="n">
        <f aca="false">IF(G11497=1,$C$11337,IF(Assumptions!$I$53=1,MAX(H11335,Assumptions!$G$53)+Assumptions!$F$53+$C$11336,Assumptions!$E$53))</f>
        <v>0.1135</v>
      </c>
      <c r="I11348" s="30" t="n">
        <f aca="false">IF(H11497=1,$C$11337,IF(Assumptions!$I$53=1,MAX(I11335,Assumptions!$G$53)+Assumptions!$F$53+$C$11336,Assumptions!$E$53))</f>
        <v>0.111</v>
      </c>
      <c r="J11348" s="30" t="n">
        <f aca="false">IF(I11497=1,$C$11337,IF(Assumptions!$I$53=1,MAX(J11335,Assumptions!$G$53)+Assumptions!$F$53+$C$11336,Assumptions!$E$53))</f>
        <v>0.111</v>
      </c>
      <c r="K11348" s="30" t="n">
        <f aca="false">IF(J11497=1,$C$11337,IF(Assumptions!$I$53=1,MAX(K11335,Assumptions!$G$53)+Assumptions!$F$53+$C$11336,Assumptions!$E$53))</f>
        <v>0.111</v>
      </c>
    </row>
    <row r="11349" customFormat="false" ht="15" hidden="false" customHeight="false" outlineLevel="0" collapsed="false">
      <c r="A11349" s="5" t="s">
        <v>267</v>
      </c>
      <c r="G11349" s="25" t="n">
        <f aca="false">G11345*G11348</f>
        <v>20.88</v>
      </c>
      <c r="H11349" s="25" t="n">
        <f aca="false">H11345*H11348</f>
        <v>30.2578288</v>
      </c>
      <c r="I11349" s="25" t="n">
        <f aca="false">I11345*I11348</f>
        <v>29.5913568</v>
      </c>
      <c r="J11349" s="25" t="n">
        <f aca="false">J11345*J11348</f>
        <v>29.5913568</v>
      </c>
      <c r="K11349" s="25" t="n">
        <f aca="false">K11345*K11348</f>
        <v>29.5913568</v>
      </c>
    </row>
    <row r="11350" customFormat="false" ht="15" hidden="false" customHeight="false" outlineLevel="0" collapsed="false">
      <c r="A11350" s="5" t="s">
        <v>268</v>
      </c>
      <c r="G11350" s="25" t="n">
        <f aca="false">G11345*Assumptions!$H$53</f>
        <v>0</v>
      </c>
      <c r="H11350" s="25" t="n">
        <f aca="false">H11345*Assumptions!$H$53</f>
        <v>0</v>
      </c>
      <c r="I11350" s="25" t="n">
        <f aca="false">I11345*Assumptions!$H$53</f>
        <v>0</v>
      </c>
      <c r="J11350" s="25" t="n">
        <f aca="false">J11345*Assumptions!$H$53</f>
        <v>0</v>
      </c>
      <c r="K11350" s="25" t="n">
        <f aca="false">K11345*Assumptions!$H$53</f>
        <v>0</v>
      </c>
    </row>
    <row r="11351" customFormat="false" ht="15" hidden="false" customHeight="false" outlineLevel="0" collapsed="false">
      <c r="A11351" s="5" t="s">
        <v>269</v>
      </c>
      <c r="G11351" s="25" t="n">
        <f aca="false">MIN(G11345,Assumptions!$L$53*Assumptions!$C$53)</f>
        <v>0</v>
      </c>
      <c r="H11351" s="25" t="n">
        <f aca="false">MIN(H11345,Assumptions!$L$53*Assumptions!$C$53)</f>
        <v>0</v>
      </c>
      <c r="I11351" s="25" t="n">
        <f aca="false">MIN(I11345,Assumptions!$L$53*Assumptions!$C$53)</f>
        <v>0</v>
      </c>
      <c r="J11351" s="25" t="n">
        <f aca="false">MIN(J11345,Assumptions!$L$53*Assumptions!$C$53)</f>
        <v>0</v>
      </c>
      <c r="K11351" s="25" t="n">
        <f aca="false">MIN(K11345,Assumptions!$L$53*Assumptions!$C$53)</f>
        <v>0</v>
      </c>
    </row>
    <row r="11352" customFormat="false" ht="15" hidden="false" customHeight="false" outlineLevel="0" collapsed="false">
      <c r="A11352" s="5" t="s">
        <v>270</v>
      </c>
      <c r="G11352" s="25" t="n">
        <f aca="false">IF(AND(Assumptions!$P$53=1,G11309&lt;Assumptions!$K$53),MIN(MAX(0,-G11423),MAX(0,Assumptions!$D$53-G11345)),0)</f>
        <v>86.5888</v>
      </c>
      <c r="H11352" s="25" t="n">
        <f aca="false">IF(AND(Assumptions!$P$53=1,OR(H11309&lt;Assumptions!$K$53,G11497=1)),MIN(MAX(0,-H11423),MAX(0,Assumptions!$D$53-H11345)),0)</f>
        <v>0</v>
      </c>
      <c r="I11352" s="25" t="n">
        <f aca="false">IF(AND(Assumptions!$P$53=1,OR(I11309&lt;Assumptions!$K$53,H11497=1)),MIN(MAX(0,-I11423),MAX(0,Assumptions!$D$53-I11345)),0)</f>
        <v>0</v>
      </c>
      <c r="J11352" s="25" t="n">
        <f aca="false">IF(AND(Assumptions!$P$53=1,OR(J11309&lt;Assumptions!$K$53,I11497=1)),MIN(MAX(0,-J11423),MAX(0,Assumptions!$D$53-J11345)),0)</f>
        <v>0</v>
      </c>
      <c r="K11352" s="25" t="n">
        <f aca="false">IF(AND(Assumptions!$P$53=1,OR(K11309&lt;Assumptions!$K$53,J11497=1)),MIN(MAX(0,-K11423),MAX(0,Assumptions!$D$53-K11345)),0)</f>
        <v>0</v>
      </c>
    </row>
    <row r="11353" customFormat="false" ht="15" hidden="false" customHeight="false" outlineLevel="0" collapsed="false">
      <c r="A11353" s="5" t="s">
        <v>271</v>
      </c>
      <c r="G11353" s="25" t="n">
        <f aca="false">G11346*MIN(G11345-G11351+G11350,MAX(0,G11425-Assumptions!$C$12*G11343))</f>
        <v>0</v>
      </c>
      <c r="H11353" s="25" t="n">
        <f aca="false">H11346*MIN(H11345-H11351+H11350,MAX(0,H11425-Assumptions!$C$12*H11343))</f>
        <v>0</v>
      </c>
      <c r="I11353" s="25" t="n">
        <f aca="false">I11346*MIN(I11345-I11351+I11350,MAX(0,I11425-Assumptions!$C$12*I11343))</f>
        <v>0</v>
      </c>
      <c r="J11353" s="25" t="n">
        <f aca="false">J11346*MIN(J11345-J11351+J11350,MAX(0,J11425-Assumptions!$C$12*J11343))</f>
        <v>0</v>
      </c>
      <c r="K11353" s="25" t="n">
        <f aca="false">K11346*MIN(K11345-K11351+K11350,MAX(0,K11425-Assumptions!$C$12*K11343))</f>
        <v>0</v>
      </c>
    </row>
    <row r="11354" customFormat="false" ht="15" hidden="false" customHeight="false" outlineLevel="0" collapsed="false">
      <c r="A11354" s="5" t="s">
        <v>272</v>
      </c>
      <c r="G11354" s="25" t="n">
        <f aca="false">Assumptions!$N$53*MIN(G11345+G11352+G11350-G11351-G11353,MAX(0,G11429))</f>
        <v>0</v>
      </c>
      <c r="H11354" s="25" t="n">
        <f aca="false">Assumptions!$N$53*MIN(H11345+H11352+H11350-H11351-H11353,MAX(0,H11429))</f>
        <v>0</v>
      </c>
      <c r="I11354" s="25" t="n">
        <f aca="false">Assumptions!$N$53*MIN(I11345+I11352+I11350-I11351-I11353,MAX(0,I11429))</f>
        <v>0</v>
      </c>
      <c r="J11354" s="25" t="n">
        <f aca="false">Assumptions!$N$53*MIN(J11345+J11352+J11350-J11351-J11353,MAX(0,J11429))</f>
        <v>0</v>
      </c>
      <c r="K11354" s="25" t="n">
        <f aca="false">Assumptions!$N$53*MIN(K11345+K11352+K11350-K11351-K11353,MAX(0,K11429))</f>
        <v>0</v>
      </c>
    </row>
    <row r="11355" customFormat="false" ht="15" hidden="false" customHeight="false" outlineLevel="0" collapsed="false">
      <c r="A11355" s="5" t="s">
        <v>273</v>
      </c>
      <c r="G11355" s="25" t="n">
        <f aca="false">G11346*(1-G11343)*(G11345-G11351+G11350-G11353)</f>
        <v>0</v>
      </c>
      <c r="H11355" s="25" t="n">
        <f aca="false">H11346*(1-H11343)*(H11345-H11351+H11350-H11353)</f>
        <v>266.5888</v>
      </c>
      <c r="I11355" s="25" t="n">
        <f aca="false">I11346*(1-I11343)*(I11345-I11351+I11350-I11353)</f>
        <v>0</v>
      </c>
      <c r="J11355" s="25" t="n">
        <f aca="false">J11346*(1-J11343)*(J11345-J11351+J11350-J11353)</f>
        <v>0</v>
      </c>
      <c r="K11355" s="25" t="n">
        <f aca="false">K11346*(1-K11343)*(K11345-K11351+K11350-K11353)</f>
        <v>0</v>
      </c>
    </row>
    <row r="11356" customFormat="false" ht="15" hidden="false" customHeight="false" outlineLevel="0" collapsed="false">
      <c r="A11356" s="2" t="s">
        <v>274</v>
      </c>
      <c r="F11356" s="27" t="n">
        <f aca="false">Assumptions!$C$53</f>
        <v>180</v>
      </c>
      <c r="G11356" s="16" t="n">
        <f aca="false">G11345+G11352+G11350-G11351-G11353-G11354</f>
        <v>266.5888</v>
      </c>
      <c r="H11356" s="16" t="n">
        <f aca="false">H11345+H11352+H11350-H11351-H11353-H11354</f>
        <v>266.5888</v>
      </c>
      <c r="I11356" s="16" t="n">
        <f aca="false">I11345+I11352+I11350-I11351-I11353-I11354</f>
        <v>266.5888</v>
      </c>
      <c r="J11356" s="16" t="n">
        <f aca="false">J11345+J11352+J11350-J11351-J11353-J11354</f>
        <v>266.5888</v>
      </c>
      <c r="K11356" s="16" t="n">
        <f aca="false">K11345+K11352+K11350-K11351-K11353-K11354</f>
        <v>266.5888</v>
      </c>
    </row>
    <row r="11357" customFormat="false" ht="15" hidden="false" customHeight="false" outlineLevel="0" collapsed="false">
      <c r="A11357" s="23" t="s">
        <v>275</v>
      </c>
      <c r="B11357" s="24"/>
      <c r="C11357" s="24"/>
      <c r="D11357" s="24"/>
      <c r="E11357" s="24"/>
      <c r="F11357" s="24"/>
      <c r="G11357" s="24"/>
      <c r="H11357" s="24"/>
      <c r="I11357" s="24"/>
      <c r="J11357" s="24"/>
      <c r="K11357" s="24"/>
    </row>
    <row r="11358" customFormat="false" ht="15" hidden="false" customHeight="false" outlineLevel="0" collapsed="false">
      <c r="A11358" s="5" t="s">
        <v>264</v>
      </c>
      <c r="G11358" s="25" t="n">
        <f aca="false">F11369</f>
        <v>520</v>
      </c>
      <c r="H11358" s="25" t="n">
        <f aca="false">G11369</f>
        <v>514.8</v>
      </c>
      <c r="I11358" s="25" t="n">
        <f aca="false">H11369</f>
        <v>509.6</v>
      </c>
      <c r="J11358" s="25" t="n">
        <f aca="false">I11369</f>
        <v>504.4</v>
      </c>
      <c r="K11358" s="25" t="n">
        <f aca="false">J11369</f>
        <v>499.2</v>
      </c>
    </row>
    <row r="11359" customFormat="false" ht="15" hidden="false" customHeight="false" outlineLevel="0" collapsed="false">
      <c r="A11359" s="5" t="s">
        <v>265</v>
      </c>
      <c r="G11359" s="20" t="n">
        <f aca="false">IF(G11309=Assumptions!$K$54,1,0)</f>
        <v>0</v>
      </c>
      <c r="H11359" s="20" t="n">
        <f aca="false">IF(H11309=Assumptions!$K$54,1,0)</f>
        <v>0</v>
      </c>
      <c r="I11359" s="20" t="n">
        <f aca="false">IF(I11309=Assumptions!$K$54,1,0)</f>
        <v>1</v>
      </c>
      <c r="J11359" s="20" t="n">
        <f aca="false">IF(J11309=Assumptions!$K$54,1,0)</f>
        <v>0</v>
      </c>
      <c r="K11359" s="20" t="n">
        <f aca="false">IF(K11309=Assumptions!$K$54,1,0)</f>
        <v>0</v>
      </c>
    </row>
    <row r="11361" customFormat="false" ht="15" hidden="false" customHeight="false" outlineLevel="0" collapsed="false">
      <c r="A11361" s="5" t="s">
        <v>266</v>
      </c>
      <c r="G11361" s="30" t="n">
        <f aca="false">IF(Assumptions!$I$54=1,MAX(G11335,Assumptions!$G$54)+Assumptions!$F$54+$C$11336,Assumptions!$E$54)</f>
        <v>0.133</v>
      </c>
      <c r="H11361" s="30" t="n">
        <f aca="false">IF(G11498=1,$C$11337,IF(Assumptions!$I$54=1,MAX(H11335,Assumptions!$G$54)+Assumptions!$F$54+$C$11336,Assumptions!$E$54))</f>
        <v>0.1305</v>
      </c>
      <c r="I11361" s="30" t="n">
        <f aca="false">IF(H11498=1,$C$11337,IF(Assumptions!$I$54=1,MAX(I11335,Assumptions!$G$54)+Assumptions!$F$54+$C$11336,Assumptions!$E$54))</f>
        <v>0.128</v>
      </c>
      <c r="J11361" s="30" t="n">
        <f aca="false">IF(I11498=1,$C$11337,IF(Assumptions!$I$54=1,MAX(J11335,Assumptions!$G$54)+Assumptions!$F$54+$C$11336,Assumptions!$E$54))</f>
        <v>0.128</v>
      </c>
      <c r="K11361" s="30" t="n">
        <f aca="false">IF(J11498=1,$C$11337,IF(Assumptions!$I$54=1,MAX(K11335,Assumptions!$G$54)+Assumptions!$F$54+$C$11336,Assumptions!$E$54))</f>
        <v>0.128</v>
      </c>
    </row>
    <row r="11362" customFormat="false" ht="15" hidden="false" customHeight="false" outlineLevel="0" collapsed="false">
      <c r="A11362" s="5" t="s">
        <v>267</v>
      </c>
      <c r="G11362" s="25" t="n">
        <f aca="false">G11358*G11361</f>
        <v>69.16</v>
      </c>
      <c r="H11362" s="25" t="n">
        <f aca="false">H11358*H11361</f>
        <v>67.1814</v>
      </c>
      <c r="I11362" s="25" t="n">
        <f aca="false">I11358*I11361</f>
        <v>65.2288</v>
      </c>
      <c r="J11362" s="25" t="n">
        <f aca="false">J11358*J11361</f>
        <v>64.5632</v>
      </c>
      <c r="K11362" s="25" t="n">
        <f aca="false">K11358*K11361</f>
        <v>63.8976</v>
      </c>
    </row>
    <row r="11363" customFormat="false" ht="15" hidden="false" customHeight="false" outlineLevel="0" collapsed="false">
      <c r="A11363" s="5" t="s">
        <v>268</v>
      </c>
      <c r="G11363" s="25" t="n">
        <f aca="false">G11358*Assumptions!$H$54</f>
        <v>0</v>
      </c>
      <c r="H11363" s="25" t="n">
        <f aca="false">H11358*Assumptions!$H$54</f>
        <v>0</v>
      </c>
      <c r="I11363" s="25" t="n">
        <f aca="false">I11358*Assumptions!$H$54</f>
        <v>0</v>
      </c>
      <c r="J11363" s="25" t="n">
        <f aca="false">J11358*Assumptions!$H$54</f>
        <v>0</v>
      </c>
      <c r="K11363" s="25" t="n">
        <f aca="false">K11358*Assumptions!$H$54</f>
        <v>0</v>
      </c>
    </row>
    <row r="11364" customFormat="false" ht="15" hidden="false" customHeight="false" outlineLevel="0" collapsed="false">
      <c r="A11364" s="5" t="s">
        <v>269</v>
      </c>
      <c r="G11364" s="25" t="n">
        <f aca="false">MIN(G11358,Assumptions!$L$54*Assumptions!$C$54)</f>
        <v>5.2</v>
      </c>
      <c r="H11364" s="25" t="n">
        <f aca="false">MIN(H11358,Assumptions!$L$54*Assumptions!$C$54)</f>
        <v>5.2</v>
      </c>
      <c r="I11364" s="25" t="n">
        <f aca="false">MIN(I11358,Assumptions!$L$54*Assumptions!$C$54)</f>
        <v>5.2</v>
      </c>
      <c r="J11364" s="25" t="n">
        <f aca="false">MIN(J11358,Assumptions!$L$54*Assumptions!$C$54)</f>
        <v>5.2</v>
      </c>
      <c r="K11364" s="25" t="n">
        <f aca="false">MIN(K11358,Assumptions!$L$54*Assumptions!$C$54)</f>
        <v>5.2</v>
      </c>
    </row>
    <row r="11365" customFormat="false" ht="15" hidden="false" customHeight="false" outlineLevel="0" collapsed="false">
      <c r="A11365" s="5" t="s">
        <v>270</v>
      </c>
      <c r="G11365" s="25" t="n">
        <f aca="false">IF(AND(Assumptions!$P$54=1,G11309&lt;Assumptions!$K$54),MIN(MAX(0,-G11423),MAX(0,Assumptions!$D$54-G11358)),0)</f>
        <v>0</v>
      </c>
      <c r="H11365" s="25" t="n">
        <f aca="false">IF(AND(Assumptions!$P$54=1,OR(H11309&lt;Assumptions!$K$54,G11498=1)),MIN(MAX(0,-H11423),MAX(0,Assumptions!$D$54-H11358)),0)</f>
        <v>0</v>
      </c>
      <c r="I11365" s="25" t="n">
        <f aca="false">IF(AND(Assumptions!$P$54=1,OR(I11309&lt;Assumptions!$K$54,H11498=1)),MIN(MAX(0,-I11423),MAX(0,Assumptions!$D$54-I11358)),0)</f>
        <v>0</v>
      </c>
      <c r="J11365" s="25" t="n">
        <f aca="false">IF(AND(Assumptions!$P$54=1,OR(J11309&lt;Assumptions!$K$54,I11498=1)),MIN(MAX(0,-J11423),MAX(0,Assumptions!$D$54-J11358)),0)</f>
        <v>0</v>
      </c>
      <c r="K11365" s="25" t="n">
        <f aca="false">IF(AND(Assumptions!$P$54=1,OR(K11309&lt;Assumptions!$K$54,J11498=1)),MIN(MAX(0,-K11423),MAX(0,Assumptions!$D$54-K11358)),0)</f>
        <v>0</v>
      </c>
    </row>
    <row r="11366" customFormat="false" ht="15" hidden="false" customHeight="false" outlineLevel="0" collapsed="false">
      <c r="A11366" s="5" t="s">
        <v>271</v>
      </c>
      <c r="G11366" s="25" t="n">
        <f aca="false">G11359*MIN(G11358-G11364+G11363,MAX(0,G11425-Assumptions!$C$12*G11343-G11353))</f>
        <v>0</v>
      </c>
      <c r="H11366" s="25" t="n">
        <f aca="false">H11359*MIN(H11358-H11364+H11363,MAX(0,H11425-Assumptions!$C$12*H11343-H11353))</f>
        <v>0</v>
      </c>
      <c r="I11366" s="25" t="n">
        <f aca="false">I11359*MIN(I11358-I11364+I11363,MAX(0,I11425-Assumptions!$C$12*I11343-I11353))</f>
        <v>0</v>
      </c>
      <c r="J11366" s="25" t="n">
        <f aca="false">J11359*MIN(J11358-J11364+J11363,MAX(0,J11425-Assumptions!$C$12*J11343-J11353))</f>
        <v>0</v>
      </c>
      <c r="K11366" s="25" t="n">
        <f aca="false">K11359*MIN(K11358-K11364+K11363,MAX(0,K11425-Assumptions!$C$12*K11343-K11353))</f>
        <v>0</v>
      </c>
    </row>
    <row r="11367" customFormat="false" ht="15" hidden="false" customHeight="false" outlineLevel="0" collapsed="false">
      <c r="A11367" s="5" t="s">
        <v>272</v>
      </c>
      <c r="G11367" s="25" t="n">
        <f aca="false">Assumptions!$N$54*MIN(G11358+G11365+G11363-G11364-G11366,MAX(0,G11429-G11354))</f>
        <v>0</v>
      </c>
      <c r="H11367" s="25" t="n">
        <f aca="false">Assumptions!$N$54*MIN(H11358+H11365+H11363-H11364-H11366,MAX(0,H11429-H11354))</f>
        <v>0</v>
      </c>
      <c r="I11367" s="25" t="n">
        <f aca="false">Assumptions!$N$54*MIN(I11358+I11365+I11363-I11364-I11366,MAX(0,I11429-I11354))</f>
        <v>0</v>
      </c>
      <c r="J11367" s="25" t="n">
        <f aca="false">Assumptions!$N$54*MIN(J11358+J11365+J11363-J11364-J11366,MAX(0,J11429-J11354))</f>
        <v>0</v>
      </c>
      <c r="K11367" s="25" t="n">
        <f aca="false">Assumptions!$N$54*MIN(K11358+K11365+K11363-K11364-K11366,MAX(0,K11429-K11354))</f>
        <v>0</v>
      </c>
    </row>
    <row r="11368" customFormat="false" ht="15" hidden="false" customHeight="false" outlineLevel="0" collapsed="false">
      <c r="A11368" s="5" t="s">
        <v>273</v>
      </c>
      <c r="G11368" s="25" t="n">
        <f aca="false">G11359*(1-G11343)*(G11358-G11364+G11363-G11366)</f>
        <v>0</v>
      </c>
      <c r="H11368" s="25" t="n">
        <f aca="false">H11359*(1-H11343)*(H11358-H11364+H11363-H11366)</f>
        <v>0</v>
      </c>
      <c r="I11368" s="25" t="n">
        <f aca="false">I11359*(1-I11343)*(I11358-I11364+I11363-I11366)</f>
        <v>504.4</v>
      </c>
      <c r="J11368" s="25" t="n">
        <f aca="false">J11359*(1-J11343)*(J11358-J11364+J11363-J11366)</f>
        <v>0</v>
      </c>
      <c r="K11368" s="25" t="n">
        <f aca="false">K11359*(1-K11343)*(K11358-K11364+K11363-K11366)</f>
        <v>0</v>
      </c>
    </row>
    <row r="11369" customFormat="false" ht="15" hidden="false" customHeight="false" outlineLevel="0" collapsed="false">
      <c r="A11369" s="2" t="s">
        <v>274</v>
      </c>
      <c r="F11369" s="27" t="n">
        <f aca="false">Assumptions!$C$54</f>
        <v>520</v>
      </c>
      <c r="G11369" s="16" t="n">
        <f aca="false">G11358+G11365+G11363-G11364-G11366-G11367</f>
        <v>514.8</v>
      </c>
      <c r="H11369" s="16" t="n">
        <f aca="false">H11358+H11365+H11363-H11364-H11366-H11367</f>
        <v>509.6</v>
      </c>
      <c r="I11369" s="16" t="n">
        <f aca="false">I11358+I11365+I11363-I11364-I11366-I11367</f>
        <v>504.4</v>
      </c>
      <c r="J11369" s="16" t="n">
        <f aca="false">J11358+J11365+J11363-J11364-J11366-J11367</f>
        <v>499.2</v>
      </c>
      <c r="K11369" s="16" t="n">
        <f aca="false">K11358+K11365+K11363-K11364-K11366-K11367</f>
        <v>494</v>
      </c>
    </row>
    <row r="11370" customFormat="false" ht="15" hidden="false" customHeight="false" outlineLevel="0" collapsed="false">
      <c r="A11370" s="23" t="s">
        <v>276</v>
      </c>
      <c r="B11370" s="24"/>
      <c r="C11370" s="24"/>
      <c r="D11370" s="24"/>
      <c r="E11370" s="24"/>
      <c r="F11370" s="24"/>
      <c r="G11370" s="24"/>
      <c r="H11370" s="24"/>
      <c r="I11370" s="24"/>
      <c r="J11370" s="24"/>
      <c r="K11370" s="24"/>
    </row>
    <row r="11371" customFormat="false" ht="15" hidden="false" customHeight="false" outlineLevel="0" collapsed="false">
      <c r="A11371" s="5" t="s">
        <v>264</v>
      </c>
      <c r="G11371" s="25" t="n">
        <f aca="false">F11382</f>
        <v>250</v>
      </c>
      <c r="H11371" s="25" t="n">
        <f aca="false">G11382</f>
        <v>250</v>
      </c>
      <c r="I11371" s="25" t="n">
        <f aca="false">H11382</f>
        <v>250</v>
      </c>
      <c r="J11371" s="25" t="n">
        <f aca="false">I11382</f>
        <v>250</v>
      </c>
      <c r="K11371" s="25" t="n">
        <f aca="false">J11382</f>
        <v>250</v>
      </c>
    </row>
    <row r="11372" customFormat="false" ht="15" hidden="false" customHeight="false" outlineLevel="0" collapsed="false">
      <c r="A11372" s="5" t="s">
        <v>265</v>
      </c>
      <c r="G11372" s="20" t="n">
        <f aca="false">IF(G11309=Assumptions!$K$55,1,0)</f>
        <v>0</v>
      </c>
      <c r="H11372" s="20" t="n">
        <f aca="false">IF(H11309=Assumptions!$K$55,1,0)</f>
        <v>0</v>
      </c>
      <c r="I11372" s="20" t="n">
        <f aca="false">IF(I11309=Assumptions!$K$55,1,0)</f>
        <v>0</v>
      </c>
      <c r="J11372" s="20" t="n">
        <f aca="false">IF(J11309=Assumptions!$K$55,1,0)</f>
        <v>1</v>
      </c>
      <c r="K11372" s="20" t="n">
        <f aca="false">IF(K11309=Assumptions!$K$55,1,0)</f>
        <v>0</v>
      </c>
    </row>
    <row r="11374" customFormat="false" ht="15" hidden="false" customHeight="false" outlineLevel="0" collapsed="false">
      <c r="A11374" s="5" t="s">
        <v>266</v>
      </c>
      <c r="G11374" s="30" t="n">
        <f aca="false">IF(Assumptions!$I$55=1,MAX(G11335,Assumptions!$G$55)+Assumptions!$F$55+$C$11336,Assumptions!$E$55)</f>
        <v>0.11</v>
      </c>
      <c r="H11374" s="30" t="n">
        <f aca="false">IF(G11499=1,$C$11337,IF(Assumptions!$I$55=1,MAX(H11335,Assumptions!$G$55)+Assumptions!$F$55+$C$11336,Assumptions!$E$55))</f>
        <v>0.11</v>
      </c>
      <c r="I11374" s="30" t="n">
        <f aca="false">IF(H11499=1,$C$11337,IF(Assumptions!$I$55=1,MAX(I11335,Assumptions!$G$55)+Assumptions!$F$55+$C$11336,Assumptions!$E$55))</f>
        <v>0.11</v>
      </c>
      <c r="J11374" s="30" t="n">
        <f aca="false">IF(I11499=1,$C$11337,IF(Assumptions!$I$55=1,MAX(J11335,Assumptions!$G$55)+Assumptions!$F$55+$C$11336,Assumptions!$E$55))</f>
        <v>0.11</v>
      </c>
      <c r="K11374" s="30" t="n">
        <f aca="false">IF(J11499=1,$C$11337,IF(Assumptions!$I$55=1,MAX(K11335,Assumptions!$G$55)+Assumptions!$F$55+$C$11336,Assumptions!$E$55))</f>
        <v>0.11</v>
      </c>
    </row>
    <row r="11375" customFormat="false" ht="15" hidden="false" customHeight="false" outlineLevel="0" collapsed="false">
      <c r="A11375" s="5" t="s">
        <v>267</v>
      </c>
      <c r="G11375" s="25" t="n">
        <f aca="false">G11371*G11374</f>
        <v>27.5</v>
      </c>
      <c r="H11375" s="25" t="n">
        <f aca="false">H11371*H11374</f>
        <v>27.5</v>
      </c>
      <c r="I11375" s="25" t="n">
        <f aca="false">I11371*I11374</f>
        <v>27.5</v>
      </c>
      <c r="J11375" s="25" t="n">
        <f aca="false">J11371*J11374</f>
        <v>27.5</v>
      </c>
      <c r="K11375" s="25" t="n">
        <f aca="false">K11371*K11374</f>
        <v>27.5</v>
      </c>
    </row>
    <row r="11376" customFormat="false" ht="15" hidden="false" customHeight="false" outlineLevel="0" collapsed="false">
      <c r="A11376" s="5" t="s">
        <v>268</v>
      </c>
      <c r="G11376" s="25" t="n">
        <f aca="false">G11371*Assumptions!$H$55</f>
        <v>0</v>
      </c>
      <c r="H11376" s="25" t="n">
        <f aca="false">H11371*Assumptions!$H$55</f>
        <v>0</v>
      </c>
      <c r="I11376" s="25" t="n">
        <f aca="false">I11371*Assumptions!$H$55</f>
        <v>0</v>
      </c>
      <c r="J11376" s="25" t="n">
        <f aca="false">J11371*Assumptions!$H$55</f>
        <v>0</v>
      </c>
      <c r="K11376" s="25" t="n">
        <f aca="false">K11371*Assumptions!$H$55</f>
        <v>0</v>
      </c>
    </row>
    <row r="11377" customFormat="false" ht="15" hidden="false" customHeight="false" outlineLevel="0" collapsed="false">
      <c r="A11377" s="5" t="s">
        <v>269</v>
      </c>
      <c r="G11377" s="25" t="n">
        <f aca="false">MIN(G11371,Assumptions!$L$55*Assumptions!$C$55)</f>
        <v>0</v>
      </c>
      <c r="H11377" s="25" t="n">
        <f aca="false">MIN(H11371,Assumptions!$L$55*Assumptions!$C$55)</f>
        <v>0</v>
      </c>
      <c r="I11377" s="25" t="n">
        <f aca="false">MIN(I11371,Assumptions!$L$55*Assumptions!$C$55)</f>
        <v>0</v>
      </c>
      <c r="J11377" s="25" t="n">
        <f aca="false">MIN(J11371,Assumptions!$L$55*Assumptions!$C$55)</f>
        <v>0</v>
      </c>
      <c r="K11377" s="25" t="n">
        <f aca="false">MIN(K11371,Assumptions!$L$55*Assumptions!$C$55)</f>
        <v>0</v>
      </c>
    </row>
    <row r="11378" customFormat="false" ht="15" hidden="false" customHeight="false" outlineLevel="0" collapsed="false">
      <c r="A11378" s="5" t="s">
        <v>270</v>
      </c>
      <c r="G11378" s="25" t="n">
        <f aca="false">IF(AND(Assumptions!$P$55=1,G11309&lt;Assumptions!$K$55),MIN(MAX(0,-G11423),MAX(0,Assumptions!$D$55-G11371)),0)</f>
        <v>0</v>
      </c>
      <c r="H11378" s="25" t="n">
        <f aca="false">IF(AND(Assumptions!$P$55=1,OR(H11309&lt;Assumptions!$K$55,G11499=1)),MIN(MAX(0,-H11423),MAX(0,Assumptions!$D$55-H11371)),0)</f>
        <v>0</v>
      </c>
      <c r="I11378" s="25" t="n">
        <f aca="false">IF(AND(Assumptions!$P$55=1,OR(I11309&lt;Assumptions!$K$55,H11499=1)),MIN(MAX(0,-I11423),MAX(0,Assumptions!$D$55-I11371)),0)</f>
        <v>0</v>
      </c>
      <c r="J11378" s="25" t="n">
        <f aca="false">IF(AND(Assumptions!$P$55=1,OR(J11309&lt;Assumptions!$K$55,I11499=1)),MIN(MAX(0,-J11423),MAX(0,Assumptions!$D$55-J11371)),0)</f>
        <v>0</v>
      </c>
      <c r="K11378" s="25" t="n">
        <f aca="false">IF(AND(Assumptions!$P$55=1,OR(K11309&lt;Assumptions!$K$55,J11499=1)),MIN(MAX(0,-K11423),MAX(0,Assumptions!$D$55-K11371)),0)</f>
        <v>0</v>
      </c>
    </row>
    <row r="11379" customFormat="false" ht="15" hidden="false" customHeight="false" outlineLevel="0" collapsed="false">
      <c r="A11379" s="5" t="s">
        <v>271</v>
      </c>
      <c r="G11379" s="25" t="n">
        <f aca="false">G11372*MIN(G11371-G11377+G11376,MAX(0,G11425-Assumptions!$C$12*G11343-G11353-G11366))</f>
        <v>0</v>
      </c>
      <c r="H11379" s="25" t="n">
        <f aca="false">H11372*MIN(H11371-H11377+H11376,MAX(0,H11425-Assumptions!$C$12*H11343-H11353-H11366))</f>
        <v>0</v>
      </c>
      <c r="I11379" s="25" t="n">
        <f aca="false">I11372*MIN(I11371-I11377+I11376,MAX(0,I11425-Assumptions!$C$12*I11343-I11353-I11366))</f>
        <v>0</v>
      </c>
      <c r="J11379" s="25" t="n">
        <f aca="false">J11372*MIN(J11371-J11377+J11376,MAX(0,J11425-Assumptions!$C$12*J11343-J11353-J11366))</f>
        <v>0</v>
      </c>
      <c r="K11379" s="25" t="n">
        <f aca="false">K11372*MIN(K11371-K11377+K11376,MAX(0,K11425-Assumptions!$C$12*K11343-K11353-K11366))</f>
        <v>0</v>
      </c>
    </row>
    <row r="11380" customFormat="false" ht="15" hidden="false" customHeight="false" outlineLevel="0" collapsed="false">
      <c r="A11380" s="5" t="s">
        <v>272</v>
      </c>
      <c r="G11380" s="25" t="n">
        <f aca="false">Assumptions!$N$55*MIN(G11371+G11378+G11376-G11377-G11379,MAX(0,G11429-G11354-G11367))</f>
        <v>0</v>
      </c>
      <c r="H11380" s="25" t="n">
        <f aca="false">Assumptions!$N$55*MIN(H11371+H11378+H11376-H11377-H11379,MAX(0,H11429-H11354-H11367))</f>
        <v>0</v>
      </c>
      <c r="I11380" s="25" t="n">
        <f aca="false">Assumptions!$N$55*MIN(I11371+I11378+I11376-I11377-I11379,MAX(0,I11429-I11354-I11367))</f>
        <v>0</v>
      </c>
      <c r="J11380" s="25" t="n">
        <f aca="false">Assumptions!$N$55*MIN(J11371+J11378+J11376-J11377-J11379,MAX(0,J11429-J11354-J11367))</f>
        <v>0</v>
      </c>
      <c r="K11380" s="25" t="n">
        <f aca="false">Assumptions!$N$55*MIN(K11371+K11378+K11376-K11377-K11379,MAX(0,K11429-K11354-K11367))</f>
        <v>0</v>
      </c>
    </row>
    <row r="11381" customFormat="false" ht="15" hidden="false" customHeight="false" outlineLevel="0" collapsed="false">
      <c r="A11381" s="5" t="s">
        <v>273</v>
      </c>
      <c r="G11381" s="25" t="n">
        <f aca="false">G11372*(1-G11343)*(G11371-G11377+G11376-G11379)</f>
        <v>0</v>
      </c>
      <c r="H11381" s="25" t="n">
        <f aca="false">H11372*(1-H11343)*(H11371-H11377+H11376-H11379)</f>
        <v>0</v>
      </c>
      <c r="I11381" s="25" t="n">
        <f aca="false">I11372*(1-I11343)*(I11371-I11377+I11376-I11379)</f>
        <v>0</v>
      </c>
      <c r="J11381" s="25" t="n">
        <f aca="false">J11372*(1-J11343)*(J11371-J11377+J11376-J11379)</f>
        <v>250</v>
      </c>
      <c r="K11381" s="25" t="n">
        <f aca="false">K11372*(1-K11343)*(K11371-K11377+K11376-K11379)</f>
        <v>0</v>
      </c>
    </row>
    <row r="11382" customFormat="false" ht="15" hidden="false" customHeight="false" outlineLevel="0" collapsed="false">
      <c r="A11382" s="2" t="s">
        <v>274</v>
      </c>
      <c r="F11382" s="27" t="n">
        <f aca="false">Assumptions!$C$55</f>
        <v>250</v>
      </c>
      <c r="G11382" s="16" t="n">
        <f aca="false">G11371+G11378+G11376-G11377-G11379-G11380</f>
        <v>250</v>
      </c>
      <c r="H11382" s="16" t="n">
        <f aca="false">H11371+H11378+H11376-H11377-H11379-H11380</f>
        <v>250</v>
      </c>
      <c r="I11382" s="16" t="n">
        <f aca="false">I11371+I11378+I11376-I11377-I11379-I11380</f>
        <v>250</v>
      </c>
      <c r="J11382" s="16" t="n">
        <f aca="false">J11371+J11378+J11376-J11377-J11379-J11380</f>
        <v>250</v>
      </c>
      <c r="K11382" s="16" t="n">
        <f aca="false">K11371+K11378+K11376-K11377-K11379-K11380</f>
        <v>250</v>
      </c>
    </row>
    <row r="11383" customFormat="false" ht="15" hidden="false" customHeight="false" outlineLevel="0" collapsed="false">
      <c r="A11383" s="23" t="s">
        <v>277</v>
      </c>
      <c r="B11383" s="24"/>
      <c r="C11383" s="24"/>
      <c r="D11383" s="24"/>
      <c r="E11383" s="24"/>
      <c r="F11383" s="24"/>
      <c r="G11383" s="24"/>
      <c r="H11383" s="24"/>
      <c r="I11383" s="24"/>
      <c r="J11383" s="24"/>
      <c r="K11383" s="24"/>
    </row>
    <row r="11384" customFormat="false" ht="15" hidden="false" customHeight="false" outlineLevel="0" collapsed="false">
      <c r="A11384" s="5" t="s">
        <v>264</v>
      </c>
      <c r="G11384" s="25" t="n">
        <f aca="false">F11395</f>
        <v>300</v>
      </c>
      <c r="H11384" s="25" t="n">
        <f aca="false">G11395</f>
        <v>300</v>
      </c>
      <c r="I11384" s="25" t="n">
        <f aca="false">H11395</f>
        <v>300</v>
      </c>
      <c r="J11384" s="25" t="n">
        <f aca="false">I11395</f>
        <v>300</v>
      </c>
      <c r="K11384" s="25" t="n">
        <f aca="false">J11395</f>
        <v>300</v>
      </c>
    </row>
    <row r="11385" customFormat="false" ht="15" hidden="false" customHeight="false" outlineLevel="0" collapsed="false">
      <c r="A11385" s="5" t="s">
        <v>265</v>
      </c>
      <c r="G11385" s="20" t="n">
        <f aca="false">IF(G11309=Assumptions!$K$56,1,0)</f>
        <v>0</v>
      </c>
      <c r="H11385" s="20" t="n">
        <f aca="false">IF(H11309=Assumptions!$K$56,1,0)</f>
        <v>1</v>
      </c>
      <c r="I11385" s="20" t="n">
        <f aca="false">IF(I11309=Assumptions!$K$56,1,0)</f>
        <v>0</v>
      </c>
      <c r="J11385" s="20" t="n">
        <f aca="false">IF(J11309=Assumptions!$K$56,1,0)</f>
        <v>0</v>
      </c>
      <c r="K11385" s="20" t="n">
        <f aca="false">IF(K11309=Assumptions!$K$56,1,0)</f>
        <v>0</v>
      </c>
    </row>
    <row r="11387" customFormat="false" ht="15" hidden="false" customHeight="false" outlineLevel="0" collapsed="false">
      <c r="A11387" s="5" t="s">
        <v>266</v>
      </c>
      <c r="G11387" s="30" t="n">
        <f aca="false">IF(Assumptions!$I$56=1,MAX(G11335,Assumptions!$G$56)+Assumptions!$F$56+$C$11336,Assumptions!$E$56)</f>
        <v>0.075</v>
      </c>
      <c r="H11387" s="30" t="n">
        <f aca="false">IF(G11500=1,$C$11337,IF(Assumptions!$I$56=1,MAX(H11335,Assumptions!$G$56)+Assumptions!$F$56+$C$11336,Assumptions!$E$56))</f>
        <v>0.075</v>
      </c>
      <c r="I11387" s="30" t="n">
        <f aca="false">IF(H11500=1,$C$11337,IF(Assumptions!$I$56=1,MAX(I11335,Assumptions!$G$56)+Assumptions!$F$56+$C$11336,Assumptions!$E$56))</f>
        <v>0.075</v>
      </c>
      <c r="J11387" s="30" t="n">
        <f aca="false">IF(I11500=1,$C$11337,IF(Assumptions!$I$56=1,MAX(J11335,Assumptions!$G$56)+Assumptions!$F$56+$C$11336,Assumptions!$E$56))</f>
        <v>0.075</v>
      </c>
      <c r="K11387" s="30" t="n">
        <f aca="false">IF(J11500=1,$C$11337,IF(Assumptions!$I$56=1,MAX(K11335,Assumptions!$G$56)+Assumptions!$F$56+$C$11336,Assumptions!$E$56))</f>
        <v>0.075</v>
      </c>
    </row>
    <row r="11388" customFormat="false" ht="15" hidden="false" customHeight="false" outlineLevel="0" collapsed="false">
      <c r="A11388" s="5" t="s">
        <v>267</v>
      </c>
      <c r="G11388" s="25" t="n">
        <f aca="false">G11384*G11387</f>
        <v>22.5</v>
      </c>
      <c r="H11388" s="25" t="n">
        <f aca="false">H11384*H11387</f>
        <v>22.5</v>
      </c>
      <c r="I11388" s="25" t="n">
        <f aca="false">I11384*I11387</f>
        <v>22.5</v>
      </c>
      <c r="J11388" s="25" t="n">
        <f aca="false">J11384*J11387</f>
        <v>22.5</v>
      </c>
      <c r="K11388" s="25" t="n">
        <f aca="false">K11384*K11387</f>
        <v>22.5</v>
      </c>
    </row>
    <row r="11389" customFormat="false" ht="15" hidden="false" customHeight="false" outlineLevel="0" collapsed="false">
      <c r="A11389" s="5" t="s">
        <v>268</v>
      </c>
      <c r="G11389" s="25" t="n">
        <f aca="false">G11384*Assumptions!$H$56</f>
        <v>0</v>
      </c>
      <c r="H11389" s="25" t="n">
        <f aca="false">H11384*Assumptions!$H$56</f>
        <v>0</v>
      </c>
      <c r="I11389" s="25" t="n">
        <f aca="false">I11384*Assumptions!$H$56</f>
        <v>0</v>
      </c>
      <c r="J11389" s="25" t="n">
        <f aca="false">J11384*Assumptions!$H$56</f>
        <v>0</v>
      </c>
      <c r="K11389" s="25" t="n">
        <f aca="false">K11384*Assumptions!$H$56</f>
        <v>0</v>
      </c>
    </row>
    <row r="11390" customFormat="false" ht="15" hidden="false" customHeight="false" outlineLevel="0" collapsed="false">
      <c r="A11390" s="5" t="s">
        <v>269</v>
      </c>
      <c r="G11390" s="25" t="n">
        <f aca="false">MIN(G11384,Assumptions!$L$56*Assumptions!$C$56)</f>
        <v>0</v>
      </c>
      <c r="H11390" s="25" t="n">
        <f aca="false">MIN(H11384,Assumptions!$L$56*Assumptions!$C$56)</f>
        <v>0</v>
      </c>
      <c r="I11390" s="25" t="n">
        <f aca="false">MIN(I11384,Assumptions!$L$56*Assumptions!$C$56)</f>
        <v>0</v>
      </c>
      <c r="J11390" s="25" t="n">
        <f aca="false">MIN(J11384,Assumptions!$L$56*Assumptions!$C$56)</f>
        <v>0</v>
      </c>
      <c r="K11390" s="25" t="n">
        <f aca="false">MIN(K11384,Assumptions!$L$56*Assumptions!$C$56)</f>
        <v>0</v>
      </c>
    </row>
    <row r="11391" customFormat="false" ht="15" hidden="false" customHeight="false" outlineLevel="0" collapsed="false">
      <c r="A11391" s="5" t="s">
        <v>270</v>
      </c>
      <c r="G11391" s="25" t="n">
        <f aca="false">IF(AND(Assumptions!$P$56=1,G11309&lt;Assumptions!$K$56),MIN(MAX(0,-G11423),MAX(0,Assumptions!$D$56-G11384)),0)</f>
        <v>0</v>
      </c>
      <c r="H11391" s="25" t="n">
        <f aca="false">IF(AND(Assumptions!$P$56=1,OR(H11309&lt;Assumptions!$K$56,G11500=1)),MIN(MAX(0,-H11423),MAX(0,Assumptions!$D$56-H11384)),0)</f>
        <v>0</v>
      </c>
      <c r="I11391" s="25" t="n">
        <f aca="false">IF(AND(Assumptions!$P$56=1,OR(I11309&lt;Assumptions!$K$56,H11500=1)),MIN(MAX(0,-I11423),MAX(0,Assumptions!$D$56-I11384)),0)</f>
        <v>0</v>
      </c>
      <c r="J11391" s="25" t="n">
        <f aca="false">IF(AND(Assumptions!$P$56=1,OR(J11309&lt;Assumptions!$K$56,I11500=1)),MIN(MAX(0,-J11423),MAX(0,Assumptions!$D$56-J11384)),0)</f>
        <v>0</v>
      </c>
      <c r="K11391" s="25" t="n">
        <f aca="false">IF(AND(Assumptions!$P$56=1,OR(K11309&lt;Assumptions!$K$56,J11500=1)),MIN(MAX(0,-K11423),MAX(0,Assumptions!$D$56-K11384)),0)</f>
        <v>0</v>
      </c>
    </row>
    <row r="11392" customFormat="false" ht="15" hidden="false" customHeight="false" outlineLevel="0" collapsed="false">
      <c r="A11392" s="5" t="s">
        <v>271</v>
      </c>
      <c r="G11392" s="25" t="n">
        <f aca="false">G11385*MIN(G11384-G11390+G11389,MAX(0,G11425-Assumptions!$C$12*G11343-G11353-G11366-G11379))</f>
        <v>0</v>
      </c>
      <c r="H11392" s="25" t="n">
        <f aca="false">H11385*MIN(H11384-H11390+H11389,MAX(0,H11425-Assumptions!$C$12*H11343-H11353-H11366-H11379))</f>
        <v>0</v>
      </c>
      <c r="I11392" s="25" t="n">
        <f aca="false">I11385*MIN(I11384-I11390+I11389,MAX(0,I11425-Assumptions!$C$12*I11343-I11353-I11366-I11379))</f>
        <v>0</v>
      </c>
      <c r="J11392" s="25" t="n">
        <f aca="false">J11385*MIN(J11384-J11390+J11389,MAX(0,J11425-Assumptions!$C$12*J11343-J11353-J11366-J11379))</f>
        <v>0</v>
      </c>
      <c r="K11392" s="25" t="n">
        <f aca="false">K11385*MIN(K11384-K11390+K11389,MAX(0,K11425-Assumptions!$C$12*K11343-K11353-K11366-K11379))</f>
        <v>0</v>
      </c>
    </row>
    <row r="11393" customFormat="false" ht="15" hidden="false" customHeight="false" outlineLevel="0" collapsed="false">
      <c r="A11393" s="5" t="s">
        <v>272</v>
      </c>
      <c r="G11393" s="25" t="n">
        <f aca="false">Assumptions!$N$56*MIN(G11384+G11391+G11389-G11390-G11392,MAX(0,G11429-G11354-G11367-G11380))</f>
        <v>0</v>
      </c>
      <c r="H11393" s="25" t="n">
        <f aca="false">Assumptions!$N$56*MIN(H11384+H11391+H11389-H11390-H11392,MAX(0,H11429-H11354-H11367-H11380))</f>
        <v>0</v>
      </c>
      <c r="I11393" s="25" t="n">
        <f aca="false">Assumptions!$N$56*MIN(I11384+I11391+I11389-I11390-I11392,MAX(0,I11429-I11354-I11367-I11380))</f>
        <v>0</v>
      </c>
      <c r="J11393" s="25" t="n">
        <f aca="false">Assumptions!$N$56*MIN(J11384+J11391+J11389-J11390-J11392,MAX(0,J11429-J11354-J11367-J11380))</f>
        <v>0</v>
      </c>
      <c r="K11393" s="25" t="n">
        <f aca="false">Assumptions!$N$56*MIN(K11384+K11391+K11389-K11390-K11392,MAX(0,K11429-K11354-K11367-K11380))</f>
        <v>0</v>
      </c>
    </row>
    <row r="11394" customFormat="false" ht="15" hidden="false" customHeight="false" outlineLevel="0" collapsed="false">
      <c r="A11394" s="5" t="s">
        <v>273</v>
      </c>
      <c r="G11394" s="25" t="n">
        <f aca="false">G11385*(1-G11343)*(G11384-G11390+G11389-G11392)</f>
        <v>0</v>
      </c>
      <c r="H11394" s="25" t="n">
        <f aca="false">H11385*(1-H11343)*(H11384-H11390+H11389-H11392)</f>
        <v>300</v>
      </c>
      <c r="I11394" s="25" t="n">
        <f aca="false">I11385*(1-I11343)*(I11384-I11390+I11389-I11392)</f>
        <v>0</v>
      </c>
      <c r="J11394" s="25" t="n">
        <f aca="false">J11385*(1-J11343)*(J11384-J11390+J11389-J11392)</f>
        <v>0</v>
      </c>
      <c r="K11394" s="25" t="n">
        <f aca="false">K11385*(1-K11343)*(K11384-K11390+K11389-K11392)</f>
        <v>0</v>
      </c>
    </row>
    <row r="11395" customFormat="false" ht="15" hidden="false" customHeight="false" outlineLevel="0" collapsed="false">
      <c r="A11395" s="2" t="s">
        <v>274</v>
      </c>
      <c r="F11395" s="27" t="n">
        <f aca="false">Assumptions!$C$56</f>
        <v>300</v>
      </c>
      <c r="G11395" s="16" t="n">
        <f aca="false">G11384+G11391+G11389-G11390-G11392-G11393</f>
        <v>300</v>
      </c>
      <c r="H11395" s="16" t="n">
        <f aca="false">H11384+H11391+H11389-H11390-H11392-H11393</f>
        <v>300</v>
      </c>
      <c r="I11395" s="16" t="n">
        <f aca="false">I11384+I11391+I11389-I11390-I11392-I11393</f>
        <v>300</v>
      </c>
      <c r="J11395" s="16" t="n">
        <f aca="false">J11384+J11391+J11389-J11390-J11392-J11393</f>
        <v>300</v>
      </c>
      <c r="K11395" s="16" t="n">
        <f aca="false">K11384+K11391+K11389-K11390-K11392-K11393</f>
        <v>300</v>
      </c>
    </row>
    <row r="11396" customFormat="false" ht="15" hidden="false" customHeight="false" outlineLevel="0" collapsed="false">
      <c r="A11396" s="23" t="s">
        <v>278</v>
      </c>
      <c r="B11396" s="24"/>
      <c r="C11396" s="24"/>
      <c r="D11396" s="24"/>
      <c r="E11396" s="24"/>
      <c r="F11396" s="24"/>
      <c r="G11396" s="24"/>
      <c r="H11396" s="24"/>
      <c r="I11396" s="24"/>
      <c r="J11396" s="24"/>
      <c r="K11396" s="24"/>
    </row>
    <row r="11397" customFormat="false" ht="15" hidden="false" customHeight="false" outlineLevel="0" collapsed="false">
      <c r="A11397" s="2" t="s">
        <v>279</v>
      </c>
      <c r="F11397" s="16" t="n">
        <f aca="false">F11356+F11369+F11382+F11395</f>
        <v>1250</v>
      </c>
      <c r="G11397" s="16" t="n">
        <f aca="false">G11356+G11369+G11382+G11395</f>
        <v>1331.3888</v>
      </c>
      <c r="H11397" s="16" t="n">
        <f aca="false">H11356+H11369+H11382+H11395</f>
        <v>1326.1888</v>
      </c>
      <c r="I11397" s="16" t="n">
        <f aca="false">I11356+I11369+I11382+I11395</f>
        <v>1320.9888</v>
      </c>
      <c r="J11397" s="16" t="n">
        <f aca="false">J11356+J11369+J11382+J11395</f>
        <v>1315.7888</v>
      </c>
      <c r="K11397" s="16" t="n">
        <f aca="false">K11356+K11369+K11382+K11395</f>
        <v>1310.5888</v>
      </c>
    </row>
    <row r="11398" customFormat="false" ht="15" hidden="false" customHeight="false" outlineLevel="0" collapsed="false">
      <c r="A11398" s="5" t="s">
        <v>280</v>
      </c>
      <c r="G11398" s="25" t="n">
        <f aca="false">G11346*Assumptions!$C$53+G11359*Assumptions!$C$54+G11372*Assumptions!$C$55+G11385*Assumptions!$C$56</f>
        <v>0</v>
      </c>
      <c r="H11398" s="25" t="n">
        <f aca="false">H11346*Assumptions!$C$53+H11359*Assumptions!$C$54+H11372*Assumptions!$C$55+H11385*Assumptions!$C$56</f>
        <v>480</v>
      </c>
      <c r="I11398" s="25" t="n">
        <f aca="false">I11346*Assumptions!$C$53+I11359*Assumptions!$C$54+I11372*Assumptions!$C$55+I11385*Assumptions!$C$56</f>
        <v>520</v>
      </c>
      <c r="J11398" s="25" t="n">
        <f aca="false">J11346*Assumptions!$C$53+J11359*Assumptions!$C$54+J11372*Assumptions!$C$55+J11385*Assumptions!$C$56</f>
        <v>250</v>
      </c>
      <c r="K11398" s="25" t="n">
        <f aca="false">K11346*Assumptions!$C$53+K11359*Assumptions!$C$54+K11372*Assumptions!$C$55+K11385*Assumptions!$C$56</f>
        <v>0</v>
      </c>
    </row>
    <row r="11399" customFormat="false" ht="15" hidden="false" customHeight="false" outlineLevel="0" collapsed="false">
      <c r="A11399" s="23" t="s">
        <v>281</v>
      </c>
      <c r="B11399" s="24"/>
      <c r="C11399" s="24"/>
      <c r="D11399" s="24"/>
      <c r="E11399" s="24"/>
      <c r="F11399" s="24"/>
      <c r="G11399" s="24"/>
      <c r="H11399" s="24"/>
      <c r="I11399" s="24"/>
      <c r="J11399" s="24"/>
      <c r="K11399" s="24"/>
    </row>
    <row r="11400" customFormat="false" ht="15" hidden="false" customHeight="false" outlineLevel="0" collapsed="false">
      <c r="A11400" s="5" t="s">
        <v>282</v>
      </c>
      <c r="C11400" s="25" t="n">
        <f aca="false">SUMPRODUCT($G$11346:$K$11346,$G$11345:$K$11345-$G$11351:$K$11351+$G$11350:$K$11350)</f>
        <v>266.5888</v>
      </c>
    </row>
    <row r="11401" customFormat="false" ht="15" hidden="false" customHeight="false" outlineLevel="0" collapsed="false">
      <c r="A11401" s="5" t="s">
        <v>283</v>
      </c>
      <c r="C11401" s="25" t="n">
        <f aca="false">SUMPRODUCT($G$11346:$K$11346,$G$11353:$K$11353)</f>
        <v>0</v>
      </c>
    </row>
    <row r="11402" customFormat="false" ht="15" hidden="false" customHeight="false" outlineLevel="0" collapsed="false">
      <c r="A11402" s="5" t="s">
        <v>284</v>
      </c>
      <c r="C11402" s="5" t="str">
        <f aca="false">IF(SUM($G$11346:$K$11346)=0,"n/a (beyond horizon)",IF(SUMPRODUCT($G$11346:$K$11346,$G$11343:$K$11343)&gt;0,"REFINANCING PASS","REFINANCING FAILURE"))</f>
        <v>REFINANCING FAILURE</v>
      </c>
    </row>
    <row r="11403" customFormat="false" ht="15" hidden="false" customHeight="false" outlineLevel="0" collapsed="false">
      <c r="A11403" s="5" t="s">
        <v>285</v>
      </c>
      <c r="C11403" s="5" t="str">
        <f aca="false">IF(SUM($G$11346:$K$11346)=0,"n/a",IF(C11401&gt;=C11400-0.001,"Repaid from cash",IF(SUMPRODUCT($G$11346:$K$11346,$G$11343:$K$11343)&gt;0,IF(C11401&gt;0,"Partly repaid; remainder refinanced","Refinanced"),IF(SUM($G$11355:$K$11355)&gt;0.001,IF(C11401&gt;0,"Partial repayment; PAYMENT DEFAULT","PAYMENT DEFAULT"),"Repaid from cash"))))</f>
        <v>PAYMENT DEFAULT</v>
      </c>
    </row>
    <row r="11404" customFormat="false" ht="15" hidden="false" customHeight="false" outlineLevel="0" collapsed="false">
      <c r="A11404" s="5" t="s">
        <v>286</v>
      </c>
      <c r="C11404" s="25" t="n">
        <f aca="false">SUMPRODUCT($G$11359:$K$11359,$G$11358:$K$11358-$G$11364:$K$11364+$G$11363:$K$11363)</f>
        <v>504.4</v>
      </c>
    </row>
    <row r="11405" customFormat="false" ht="15" hidden="false" customHeight="false" outlineLevel="0" collapsed="false">
      <c r="A11405" s="5" t="s">
        <v>287</v>
      </c>
      <c r="C11405" s="25" t="n">
        <f aca="false">SUMPRODUCT($G$11359:$K$11359,$G$11366:$K$11366)</f>
        <v>0</v>
      </c>
    </row>
    <row r="11406" customFormat="false" ht="15" hidden="false" customHeight="false" outlineLevel="0" collapsed="false">
      <c r="A11406" s="5" t="s">
        <v>288</v>
      </c>
      <c r="C11406" s="5" t="str">
        <f aca="false">IF(SUM($G$11359:$K$11359)=0,"n/a (beyond horizon)",IF(SUMPRODUCT($G$11359:$K$11359,$G$11343:$K$11343)&gt;0,"REFINANCING PASS","REFINANCING FAILURE"))</f>
        <v>REFINANCING FAILURE</v>
      </c>
    </row>
    <row r="11407" customFormat="false" ht="15" hidden="false" customHeight="false" outlineLevel="0" collapsed="false">
      <c r="A11407" s="5" t="s">
        <v>289</v>
      </c>
      <c r="C11407" s="5" t="str">
        <f aca="false">IF(SUM($G$11359:$K$11359)=0,"n/a",IF(C11405&gt;=C11404-0.001,"Repaid from cash",IF(SUMPRODUCT($G$11359:$K$11359,$G$11343:$K$11343)&gt;0,IF(C11405&gt;0,"Partly repaid; remainder refinanced","Refinanced"),IF(SUM($G$11368:$K$11368)&gt;0.001,IF(C11405&gt;0,"Partial repayment; PAYMENT DEFAULT","PAYMENT DEFAULT"),"Repaid from cash"))))</f>
        <v>PAYMENT DEFAULT</v>
      </c>
    </row>
    <row r="11408" customFormat="false" ht="15" hidden="false" customHeight="false" outlineLevel="0" collapsed="false">
      <c r="A11408" s="5" t="s">
        <v>290</v>
      </c>
      <c r="C11408" s="25" t="n">
        <f aca="false">SUMPRODUCT($G$11372:$K$11372,$G$11371:$K$11371-$G$11377:$K$11377+$G$11376:$K$11376)</f>
        <v>250</v>
      </c>
    </row>
    <row r="11409" customFormat="false" ht="15" hidden="false" customHeight="false" outlineLevel="0" collapsed="false">
      <c r="A11409" s="5" t="s">
        <v>291</v>
      </c>
      <c r="C11409" s="25" t="n">
        <f aca="false">SUMPRODUCT($G$11372:$K$11372,$G$11379:$K$11379)</f>
        <v>0</v>
      </c>
    </row>
    <row r="11410" customFormat="false" ht="15" hidden="false" customHeight="false" outlineLevel="0" collapsed="false">
      <c r="A11410" s="5" t="s">
        <v>292</v>
      </c>
      <c r="C11410" s="5" t="str">
        <f aca="false">IF(SUM($G$11372:$K$11372)=0,"n/a (beyond horizon)",IF(SUMPRODUCT($G$11372:$K$11372,$G$11343:$K$11343)&gt;0,"REFINANCING PASS","REFINANCING FAILURE"))</f>
        <v>REFINANCING FAILURE</v>
      </c>
    </row>
    <row r="11411" customFormat="false" ht="15" hidden="false" customHeight="false" outlineLevel="0" collapsed="false">
      <c r="A11411" s="5" t="s">
        <v>293</v>
      </c>
      <c r="C11411" s="5" t="str">
        <f aca="false">IF(SUM($G$11372:$K$11372)=0,"n/a",IF(C11409&gt;=C11408-0.001,"Repaid from cash",IF(SUMPRODUCT($G$11372:$K$11372,$G$11343:$K$11343)&gt;0,IF(C11409&gt;0,"Partly repaid; remainder refinanced","Refinanced"),IF(SUM($G$11381:$K$11381)&gt;0.001,IF(C11409&gt;0,"Partial repayment; PAYMENT DEFAULT","PAYMENT DEFAULT"),"Repaid from cash"))))</f>
        <v>PAYMENT DEFAULT</v>
      </c>
    </row>
    <row r="11412" customFormat="false" ht="15" hidden="false" customHeight="false" outlineLevel="0" collapsed="false">
      <c r="A11412" s="5" t="s">
        <v>294</v>
      </c>
      <c r="C11412" s="25" t="n">
        <f aca="false">SUMPRODUCT($G$11385:$K$11385,$G$11384:$K$11384-$G$11390:$K$11390+$G$11389:$K$11389)</f>
        <v>300</v>
      </c>
    </row>
    <row r="11413" customFormat="false" ht="15" hidden="false" customHeight="false" outlineLevel="0" collapsed="false">
      <c r="A11413" s="5" t="s">
        <v>295</v>
      </c>
      <c r="C11413" s="25" t="n">
        <f aca="false">SUMPRODUCT($G$11385:$K$11385,$G$11392:$K$11392)</f>
        <v>0</v>
      </c>
    </row>
    <row r="11414" customFormat="false" ht="15" hidden="false" customHeight="false" outlineLevel="0" collapsed="false">
      <c r="A11414" s="5" t="s">
        <v>296</v>
      </c>
      <c r="C11414" s="5" t="str">
        <f aca="false">IF(SUM($G$11385:$K$11385)=0,"n/a (beyond horizon)",IF(SUMPRODUCT($G$11385:$K$11385,$G$11343:$K$11343)&gt;0,"REFINANCING PASS","REFINANCING FAILURE"))</f>
        <v>REFINANCING FAILURE</v>
      </c>
    </row>
    <row r="11415" customFormat="false" ht="15" hidden="false" customHeight="false" outlineLevel="0" collapsed="false">
      <c r="A11415" s="5" t="s">
        <v>297</v>
      </c>
      <c r="C11415" s="5" t="str">
        <f aca="false">IF(SUM($G$11385:$K$11385)=0,"n/a",IF(C11413&gt;=C11412-0.001,"Repaid from cash",IF(SUMPRODUCT($G$11385:$K$11385,$G$11343:$K$11343)&gt;0,IF(C11413&gt;0,"Partly repaid; remainder refinanced","Refinanced"),IF(SUM($G$11394:$K$11394)&gt;0.001,IF(C11413&gt;0,"Partial repayment; PAYMENT DEFAULT","PAYMENT DEFAULT"),"Repaid from cash"))))</f>
        <v>PAYMENT DEFAULT</v>
      </c>
    </row>
    <row r="11416" customFormat="false" ht="15" hidden="false" customHeight="false" outlineLevel="0" collapsed="false">
      <c r="A11416" s="5" t="s">
        <v>298</v>
      </c>
      <c r="C11416" s="20" t="n">
        <f aca="false">IF(C11402="REFINANCING FAILURE",1,0)+IF(C11406="REFINANCING FAILURE",1,0)+IF(C11410="REFINANCING FAILURE",1,0)+IF(C11414="REFINANCING FAILURE",1,0)</f>
        <v>4</v>
      </c>
    </row>
    <row r="11418" customFormat="false" ht="15" hidden="false" customHeight="false" outlineLevel="0" collapsed="false">
      <c r="A11418" s="23" t="s">
        <v>300</v>
      </c>
      <c r="B11418" s="24"/>
      <c r="C11418" s="24"/>
      <c r="D11418" s="24"/>
      <c r="E11418" s="24"/>
      <c r="F11418" s="24"/>
      <c r="G11418" s="24"/>
      <c r="H11418" s="24"/>
      <c r="I11418" s="24"/>
      <c r="J11418" s="24"/>
      <c r="K11418" s="24"/>
    </row>
    <row r="11419" customFormat="false" ht="15" hidden="false" customHeight="false" outlineLevel="0" collapsed="false">
      <c r="A11419" s="5" t="s">
        <v>260</v>
      </c>
      <c r="G11419" s="25" t="n">
        <f aca="false">F11431</f>
        <v>45</v>
      </c>
      <c r="H11419" s="25" t="n">
        <f aca="false">G11431</f>
        <v>0</v>
      </c>
      <c r="I11419" s="25" t="n">
        <f aca="false">H11431</f>
        <v>-169.3495648</v>
      </c>
      <c r="J11419" s="25" t="n">
        <f aca="false">I11431</f>
        <v>-363.255054464</v>
      </c>
      <c r="K11419" s="25" t="n">
        <f aca="false">J11431</f>
        <v>-564.31543624576</v>
      </c>
    </row>
    <row r="11420" customFormat="false" ht="15" hidden="false" customHeight="false" outlineLevel="0" collapsed="false">
      <c r="A11420" s="5" t="s">
        <v>301</v>
      </c>
      <c r="G11420" s="25" t="n">
        <f aca="false">G11332</f>
        <v>-126.3888</v>
      </c>
      <c r="H11420" s="25" t="n">
        <f aca="false">H11332</f>
        <v>-164.1495648</v>
      </c>
      <c r="I11420" s="25" t="n">
        <f aca="false">I11332</f>
        <v>-188.705489664</v>
      </c>
      <c r="J11420" s="25" t="n">
        <f aca="false">J11332</f>
        <v>-195.86038178176</v>
      </c>
      <c r="K11420" s="25" t="n">
        <f aca="false">K11332</f>
        <v>-199.848306030118</v>
      </c>
    </row>
    <row r="11421" customFormat="false" ht="15" hidden="false" customHeight="false" outlineLevel="0" collapsed="false">
      <c r="A11421" s="5" t="s">
        <v>302</v>
      </c>
      <c r="G11421" s="25" t="n">
        <f aca="false">CHOOSE($C$11302,Assumptions!$G$68,Assumptions!$G$87,Assumptions!$G$106)</f>
        <v>0</v>
      </c>
      <c r="H11421" s="25" t="n">
        <f aca="false">CHOOSE($C$11302,Assumptions!$H$68,Assumptions!$H$87,Assumptions!$H$106)</f>
        <v>0</v>
      </c>
      <c r="I11421" s="25" t="n">
        <f aca="false">CHOOSE($C$11302,Assumptions!$I$68,Assumptions!$I$87,Assumptions!$I$106)</f>
        <v>0</v>
      </c>
      <c r="J11421" s="25" t="n">
        <f aca="false">CHOOSE($C$11302,Assumptions!$J$68,Assumptions!$J$87,Assumptions!$J$106)</f>
        <v>0</v>
      </c>
      <c r="K11421" s="25" t="n">
        <f aca="false">CHOOSE($C$11302,Assumptions!$K$68,Assumptions!$K$87,Assumptions!$K$106)</f>
        <v>0</v>
      </c>
    </row>
    <row r="11422" customFormat="false" ht="15" hidden="false" customHeight="false" outlineLevel="0" collapsed="false">
      <c r="A11422" s="5" t="s">
        <v>303</v>
      </c>
      <c r="G11422" s="25" t="n">
        <f aca="false">G11351+G11364+G11377+G11390</f>
        <v>5.2</v>
      </c>
      <c r="H11422" s="25" t="n">
        <f aca="false">H11351+H11364+H11377+H11390</f>
        <v>5.2</v>
      </c>
      <c r="I11422" s="25" t="n">
        <f aca="false">I11351+I11364+I11377+I11390</f>
        <v>5.2</v>
      </c>
      <c r="J11422" s="25" t="n">
        <f aca="false">J11351+J11364+J11377+J11390</f>
        <v>5.2</v>
      </c>
      <c r="K11422" s="25" t="n">
        <f aca="false">K11351+K11364+K11377+K11390</f>
        <v>5.2</v>
      </c>
    </row>
    <row r="11423" customFormat="false" ht="15" hidden="false" customHeight="false" outlineLevel="0" collapsed="false">
      <c r="A11423" s="2" t="s">
        <v>304</v>
      </c>
      <c r="G11423" s="16" t="n">
        <f aca="false">G11419+G11420+G11421-G11422</f>
        <v>-86.5888</v>
      </c>
      <c r="H11423" s="16" t="n">
        <f aca="false">H11419+H11420+H11421-H11422</f>
        <v>-169.3495648</v>
      </c>
      <c r="I11423" s="16" t="n">
        <f aca="false">I11419+I11420+I11421-I11422</f>
        <v>-363.255054464</v>
      </c>
      <c r="J11423" s="16" t="n">
        <f aca="false">J11419+J11420+J11421-J11422</f>
        <v>-564.31543624576</v>
      </c>
      <c r="K11423" s="16" t="n">
        <f aca="false">K11419+K11420+K11421-K11422</f>
        <v>-769.363742275879</v>
      </c>
    </row>
    <row r="11424" customFormat="false" ht="15" hidden="false" customHeight="false" outlineLevel="0" collapsed="false">
      <c r="A11424" s="5" t="s">
        <v>305</v>
      </c>
      <c r="G11424" s="25" t="n">
        <f aca="false">G11352+G11365+G11378+G11391</f>
        <v>86.5888</v>
      </c>
      <c r="H11424" s="25" t="n">
        <f aca="false">H11352+H11365+H11378+H11391</f>
        <v>0</v>
      </c>
      <c r="I11424" s="25" t="n">
        <f aca="false">I11352+I11365+I11378+I11391</f>
        <v>0</v>
      </c>
      <c r="J11424" s="25" t="n">
        <f aca="false">J11352+J11365+J11378+J11391</f>
        <v>0</v>
      </c>
      <c r="K11424" s="25" t="n">
        <f aca="false">K11352+K11365+K11378+K11391</f>
        <v>0</v>
      </c>
    </row>
    <row r="11425" customFormat="false" ht="15" hidden="false" customHeight="false" outlineLevel="0" collapsed="false">
      <c r="A11425" s="2" t="s">
        <v>306</v>
      </c>
      <c r="G11425" s="16" t="n">
        <f aca="false">G11423+G11424</f>
        <v>0</v>
      </c>
      <c r="H11425" s="16" t="n">
        <f aca="false">H11423+H11424</f>
        <v>-169.3495648</v>
      </c>
      <c r="I11425" s="16" t="n">
        <f aca="false">I11423+I11424</f>
        <v>-363.255054464</v>
      </c>
      <c r="J11425" s="16" t="n">
        <f aca="false">J11423+J11424</f>
        <v>-564.31543624576</v>
      </c>
      <c r="K11425" s="16" t="n">
        <f aca="false">K11423+K11424</f>
        <v>-769.363742275879</v>
      </c>
    </row>
    <row r="11426" customFormat="false" ht="15" hidden="false" customHeight="false" outlineLevel="0" collapsed="false">
      <c r="A11426" s="5" t="s">
        <v>307</v>
      </c>
      <c r="G11426" s="25" t="n">
        <f aca="false">G11353+G11366+G11379+G11392</f>
        <v>0</v>
      </c>
      <c r="H11426" s="25" t="n">
        <f aca="false">H11353+H11366+H11379+H11392</f>
        <v>0</v>
      </c>
      <c r="I11426" s="25" t="n">
        <f aca="false">I11353+I11366+I11379+I11392</f>
        <v>0</v>
      </c>
      <c r="J11426" s="25" t="n">
        <f aca="false">J11353+J11366+J11379+J11392</f>
        <v>0</v>
      </c>
      <c r="K11426" s="25" t="n">
        <f aca="false">K11353+K11366+K11379+K11392</f>
        <v>0</v>
      </c>
    </row>
    <row r="11427" customFormat="false" ht="15" hidden="false" customHeight="false" outlineLevel="0" collapsed="false">
      <c r="A11427" s="2" t="s">
        <v>308</v>
      </c>
      <c r="G11427" s="16" t="n">
        <f aca="false">G11425-G11426</f>
        <v>0</v>
      </c>
      <c r="H11427" s="16" t="n">
        <f aca="false">H11425-H11426</f>
        <v>-169.3495648</v>
      </c>
      <c r="I11427" s="16" t="n">
        <f aca="false">I11425-I11426</f>
        <v>-363.255054464</v>
      </c>
      <c r="J11427" s="16" t="n">
        <f aca="false">J11425-J11426</f>
        <v>-564.31543624576</v>
      </c>
      <c r="K11427" s="16" t="n">
        <f aca="false">K11425-K11426</f>
        <v>-769.363742275879</v>
      </c>
    </row>
    <row r="11428" customFormat="false" ht="15" hidden="false" customHeight="false" outlineLevel="0" collapsed="false">
      <c r="A11428" s="5" t="s">
        <v>309</v>
      </c>
      <c r="G11428" s="25" t="n">
        <f aca="false">MAX(0,-G11427)</f>
        <v>-0</v>
      </c>
      <c r="H11428" s="25" t="n">
        <f aca="false">MAX(0,-H11427)</f>
        <v>169.3495648</v>
      </c>
      <c r="I11428" s="25" t="n">
        <f aca="false">MAX(0,-I11427)</f>
        <v>363.255054464</v>
      </c>
      <c r="J11428" s="25" t="n">
        <f aca="false">MAX(0,-J11427)</f>
        <v>564.31543624576</v>
      </c>
      <c r="K11428" s="25" t="n">
        <f aca="false">MAX(0,-K11427)</f>
        <v>769.363742275879</v>
      </c>
    </row>
    <row r="11429" customFormat="false" ht="15" hidden="false" customHeight="false" outlineLevel="0" collapsed="false">
      <c r="A11429" s="5" t="s">
        <v>310</v>
      </c>
      <c r="G11429" s="25" t="n">
        <f aca="false">MAX(0,G11427-Assumptions!$C$12)*Assumptions!$C$13</f>
        <v>0</v>
      </c>
      <c r="H11429" s="25" t="n">
        <f aca="false">MAX(0,H11427-Assumptions!$C$12)*Assumptions!$C$13</f>
        <v>0</v>
      </c>
      <c r="I11429" s="25" t="n">
        <f aca="false">MAX(0,I11427-Assumptions!$C$12)*Assumptions!$C$13</f>
        <v>0</v>
      </c>
      <c r="J11429" s="25" t="n">
        <f aca="false">MAX(0,J11427-Assumptions!$C$12)*Assumptions!$C$13</f>
        <v>0</v>
      </c>
      <c r="K11429" s="25" t="n">
        <f aca="false">MAX(0,K11427-Assumptions!$C$12)*Assumptions!$C$13</f>
        <v>0</v>
      </c>
    </row>
    <row r="11430" customFormat="false" ht="15" hidden="false" customHeight="false" outlineLevel="0" collapsed="false">
      <c r="A11430" s="5" t="s">
        <v>311</v>
      </c>
      <c r="G11430" s="25" t="n">
        <f aca="false">G11354+G11367+G11380+G11393</f>
        <v>0</v>
      </c>
      <c r="H11430" s="25" t="n">
        <f aca="false">H11354+H11367+H11380+H11393</f>
        <v>0</v>
      </c>
      <c r="I11430" s="25" t="n">
        <f aca="false">I11354+I11367+I11380+I11393</f>
        <v>0</v>
      </c>
      <c r="J11430" s="25" t="n">
        <f aca="false">J11354+J11367+J11380+J11393</f>
        <v>0</v>
      </c>
      <c r="K11430" s="25" t="n">
        <f aca="false">K11354+K11367+K11380+K11393</f>
        <v>0</v>
      </c>
    </row>
    <row r="11431" customFormat="false" ht="15" hidden="false" customHeight="false" outlineLevel="0" collapsed="false">
      <c r="A11431" s="2" t="s">
        <v>312</v>
      </c>
      <c r="F11431" s="27" t="n">
        <f aca="false">Assumptions!$C$11</f>
        <v>45</v>
      </c>
      <c r="G11431" s="16" t="n">
        <f aca="false">G11427-G11430</f>
        <v>0</v>
      </c>
      <c r="H11431" s="16" t="n">
        <f aca="false">H11427-H11430</f>
        <v>-169.3495648</v>
      </c>
      <c r="I11431" s="16" t="n">
        <f aca="false">I11427-I11430</f>
        <v>-363.255054464</v>
      </c>
      <c r="J11431" s="16" t="n">
        <f aca="false">J11427-J11430</f>
        <v>-564.31543624576</v>
      </c>
      <c r="K11431" s="16" t="n">
        <f aca="false">K11427-K11430</f>
        <v>-769.363742275879</v>
      </c>
    </row>
    <row r="11432" customFormat="false" ht="15" hidden="false" customHeight="false" outlineLevel="0" collapsed="false">
      <c r="A11432" s="5" t="s">
        <v>313</v>
      </c>
      <c r="G11432" s="25" t="n">
        <f aca="false">G11355+G11368+G11381+G11394</f>
        <v>0</v>
      </c>
      <c r="H11432" s="25" t="n">
        <f aca="false">H11355+H11368+H11381+H11394</f>
        <v>566.5888</v>
      </c>
      <c r="I11432" s="25" t="n">
        <f aca="false">I11355+I11368+I11381+I11394</f>
        <v>504.4</v>
      </c>
      <c r="J11432" s="25" t="n">
        <f aca="false">J11355+J11368+J11381+J11394</f>
        <v>250</v>
      </c>
      <c r="K11432" s="25" t="n">
        <f aca="false">K11355+K11368+K11381+K11394</f>
        <v>0</v>
      </c>
    </row>
    <row r="11433" customFormat="false" ht="15" hidden="false" customHeight="false" outlineLevel="0" collapsed="false">
      <c r="A11433" s="5" t="s">
        <v>314</v>
      </c>
      <c r="G11433" s="20" t="n">
        <f aca="false">IF(OR(G11428&gt;0.001,G11432&gt;0.001),1,0)</f>
        <v>0</v>
      </c>
      <c r="H11433" s="20" t="n">
        <f aca="false">IF(OR(H11428&gt;0.001,H11432&gt;0.001),1,0)</f>
        <v>1</v>
      </c>
      <c r="I11433" s="20" t="n">
        <f aca="false">IF(OR(I11428&gt;0.001,I11432&gt;0.001),1,0)</f>
        <v>1</v>
      </c>
      <c r="J11433" s="20" t="n">
        <f aca="false">IF(OR(J11428&gt;0.001,J11432&gt;0.001),1,0)</f>
        <v>1</v>
      </c>
      <c r="K11433" s="20" t="n">
        <f aca="false">IF(OR(K11428&gt;0.001,K11432&gt;0.001),1,0)</f>
        <v>1</v>
      </c>
    </row>
    <row r="11434" customFormat="false" ht="15" hidden="false" customHeight="false" outlineLevel="0" collapsed="false">
      <c r="A11434" s="5" t="s">
        <v>315</v>
      </c>
      <c r="G11434" s="20" t="n">
        <f aca="false">IF(G11433=1,1,0)</f>
        <v>0</v>
      </c>
      <c r="H11434" s="20" t="n">
        <f aca="false">IF(AND(H11433=1,SUM($G$11433:G11433)=0),1,0)</f>
        <v>1</v>
      </c>
      <c r="I11434" s="20" t="n">
        <f aca="false">IF(AND(I11433=1,SUM($G$11433:H11433)=0),1,0)</f>
        <v>0</v>
      </c>
      <c r="J11434" s="20" t="n">
        <f aca="false">IF(AND(J11433=1,SUM($G$11433:I11433)=0),1,0)</f>
        <v>0</v>
      </c>
      <c r="K11434" s="20" t="n">
        <f aca="false">IF(AND(K11433=1,SUM($G$11433:J11433)=0),1,0)</f>
        <v>0</v>
      </c>
    </row>
    <row r="11435" customFormat="false" ht="15" hidden="false" customHeight="false" outlineLevel="0" collapsed="false">
      <c r="A11435" s="5" t="s">
        <v>316</v>
      </c>
      <c r="G11435" s="25" t="n">
        <f aca="false">(G11397-F11397)-(G11424+G11324-G11422-G11426-G11430)</f>
        <v>0</v>
      </c>
      <c r="H11435" s="25" t="n">
        <f aca="false">(H11397-G11397)-(H11424+H11324-H11422-H11426-H11430)</f>
        <v>-4.52970994047064E-014</v>
      </c>
      <c r="I11435" s="25" t="n">
        <f aca="false">(I11397-H11397)-(I11424+I11324-I11422-I11426-I11430)</f>
        <v>1.82076576038526E-013</v>
      </c>
      <c r="J11435" s="25" t="n">
        <f aca="false">(J11397-I11397)-(J11424+J11324-J11422-J11426-J11430)</f>
        <v>-4.52970994047064E-014</v>
      </c>
      <c r="K11435" s="25" t="n">
        <f aca="false">(K11397-J11397)-(K11424+K11324-K11422-K11426-K11430)</f>
        <v>-4.52970994047064E-014</v>
      </c>
    </row>
    <row r="11437" customFormat="false" ht="15" hidden="false" customHeight="false" outlineLevel="0" collapsed="false">
      <c r="A11437" s="23" t="s">
        <v>318</v>
      </c>
      <c r="B11437" s="24"/>
      <c r="C11437" s="24"/>
      <c r="D11437" s="24"/>
      <c r="E11437" s="24"/>
      <c r="F11437" s="24"/>
      <c r="G11437" s="24"/>
      <c r="H11437" s="24"/>
      <c r="I11437" s="24"/>
      <c r="J11437" s="24"/>
      <c r="K11437" s="24"/>
    </row>
    <row r="11438" customFormat="false" ht="15" hidden="false" customHeight="false" outlineLevel="0" collapsed="false">
      <c r="A11438" s="5" t="s">
        <v>319</v>
      </c>
      <c r="G11438" s="25" t="n">
        <f aca="false">G11397</f>
        <v>1331.3888</v>
      </c>
      <c r="H11438" s="25" t="n">
        <f aca="false">H11397</f>
        <v>1326.1888</v>
      </c>
      <c r="I11438" s="25" t="n">
        <f aca="false">I11397</f>
        <v>1320.9888</v>
      </c>
      <c r="J11438" s="25" t="n">
        <f aca="false">J11397</f>
        <v>1315.7888</v>
      </c>
      <c r="K11438" s="25" t="n">
        <f aca="false">K11397</f>
        <v>1310.5888</v>
      </c>
    </row>
    <row r="11439" customFormat="false" ht="15" hidden="false" customHeight="false" outlineLevel="0" collapsed="false">
      <c r="A11439" s="5" t="s">
        <v>320</v>
      </c>
      <c r="G11439" s="25" t="n">
        <f aca="false">Assumptions!$O$53*G11356+Assumptions!$O$54*G11369+Assumptions!$O$55*G11382+Assumptions!$O$56*G11395</f>
        <v>1031.3888</v>
      </c>
      <c r="H11439" s="25" t="n">
        <f aca="false">Assumptions!$O$53*H11356+Assumptions!$O$54*H11369+Assumptions!$O$55*H11382+Assumptions!$O$56*H11395</f>
        <v>1026.1888</v>
      </c>
      <c r="I11439" s="25" t="n">
        <f aca="false">Assumptions!$O$53*I11356+Assumptions!$O$54*I11369+Assumptions!$O$55*I11382+Assumptions!$O$56*I11395</f>
        <v>1020.9888</v>
      </c>
      <c r="J11439" s="25" t="n">
        <f aca="false">Assumptions!$O$53*J11356+Assumptions!$O$54*J11369+Assumptions!$O$55*J11382+Assumptions!$O$56*J11395</f>
        <v>1015.7888</v>
      </c>
      <c r="K11439" s="25" t="n">
        <f aca="false">Assumptions!$O$53*K11356+Assumptions!$O$54*K11369+Assumptions!$O$55*K11382+Assumptions!$O$56*K11395</f>
        <v>1010.5888</v>
      </c>
    </row>
    <row r="11440" customFormat="false" ht="15" hidden="false" customHeight="false" outlineLevel="0" collapsed="false">
      <c r="A11440" s="5" t="s">
        <v>321</v>
      </c>
      <c r="G11440" s="25" t="n">
        <f aca="false">G11438-G11431</f>
        <v>1331.3888</v>
      </c>
      <c r="H11440" s="25" t="n">
        <f aca="false">H11438-H11431</f>
        <v>1495.5383648</v>
      </c>
      <c r="I11440" s="25" t="n">
        <f aca="false">I11438-I11431</f>
        <v>1684.243854464</v>
      </c>
      <c r="J11440" s="25" t="n">
        <f aca="false">J11438-J11431</f>
        <v>1880.10423624576</v>
      </c>
      <c r="K11440" s="25" t="n">
        <f aca="false">K11438-K11431</f>
        <v>2079.95254227588</v>
      </c>
    </row>
    <row r="11441" customFormat="false" ht="15" hidden="false" customHeight="false" outlineLevel="0" collapsed="false">
      <c r="A11441" s="5" t="s">
        <v>322</v>
      </c>
      <c r="G11441" s="31" t="n">
        <f aca="false">IF(G11319&gt;0,G11438/G11319,0)</f>
        <v>64.0583525789068</v>
      </c>
      <c r="H11441" s="31" t="n">
        <f aca="false">IF(H11319&gt;0,H11438/H11319,0)</f>
        <v>65.7816083744038</v>
      </c>
      <c r="I11441" s="31" t="n">
        <f aca="false">IF(I11319&gt;0,I11438/I11319,0)</f>
        <v>61.0090111803226</v>
      </c>
      <c r="J11441" s="31" t="n">
        <f aca="false">IF(J11319&gt;0,J11438/J11319,0)</f>
        <v>55.7512408734638</v>
      </c>
      <c r="K11441" s="31" t="n">
        <f aca="false">IF(K11319&gt;0,K11438/K11319,0)</f>
        <v>50.9457906942417</v>
      </c>
    </row>
    <row r="11442" customFormat="false" ht="15" hidden="false" customHeight="false" outlineLevel="0" collapsed="false">
      <c r="A11442" s="5" t="s">
        <v>323</v>
      </c>
      <c r="G11442" s="31" t="n">
        <f aca="false">IF(G11319&gt;0,G11440/G11319,0)</f>
        <v>64.0583525789068</v>
      </c>
      <c r="H11442" s="31" t="n">
        <f aca="false">IF(H11319&gt;0,H11440/H11319,0)</f>
        <v>74.1816844043396</v>
      </c>
      <c r="I11442" s="31" t="n">
        <f aca="false">IF(I11319&gt;0,I11440/I11319,0)</f>
        <v>77.785710331067</v>
      </c>
      <c r="J11442" s="31" t="n">
        <f aca="false">IF(J11319&gt;0,J11440/J11319,0)</f>
        <v>79.6618303348966</v>
      </c>
      <c r="K11442" s="31" t="n">
        <f aca="false">IF(K11319&gt;0,K11440/K11319,0)</f>
        <v>80.8528402445853</v>
      </c>
    </row>
    <row r="11443" customFormat="false" ht="15" hidden="false" customHeight="false" outlineLevel="0" collapsed="false">
      <c r="A11443" s="5" t="s">
        <v>324</v>
      </c>
      <c r="G11443" s="31" t="n">
        <f aca="false">IF(G11323&gt;0,G11319/G11323,0)</f>
        <v>0.148414738646101</v>
      </c>
      <c r="H11443" s="31" t="n">
        <f aca="false">IF(H11323&gt;0,H11319/H11323,0)</f>
        <v>0.136737557325042</v>
      </c>
      <c r="I11443" s="31" t="n">
        <f aca="false">IF(I11323&gt;0,I11319/I11323,0)</f>
        <v>0.149512029253652</v>
      </c>
      <c r="J11443" s="31" t="n">
        <f aca="false">IF(J11323&gt;0,J11319/J11323,0)</f>
        <v>0.163720579083352</v>
      </c>
      <c r="K11443" s="31" t="n">
        <f aca="false">IF(K11323&gt;0,K11319/K11323,0)</f>
        <v>0.179283229643719</v>
      </c>
    </row>
    <row r="11444" customFormat="false" ht="15" hidden="false" customHeight="false" outlineLevel="0" collapsed="false">
      <c r="A11444" s="5" t="s">
        <v>325</v>
      </c>
      <c r="G11444" s="31" t="n">
        <f aca="false">IF(G11323&gt;0,G11322/G11323,0)</f>
        <v>-0.178097686375321</v>
      </c>
      <c r="H11444" s="31" t="n">
        <f aca="false">IF(H11323&gt;0,H11322/H11323,0)</f>
        <v>-0.164085068790051</v>
      </c>
      <c r="I11444" s="31" t="n">
        <f aca="false">IF(I11323&gt;0,I11322/I11323,0)</f>
        <v>-0.179414435104382</v>
      </c>
      <c r="J11444" s="31" t="n">
        <f aca="false">IF(J11323&gt;0,J11322/J11323,0)</f>
        <v>-0.196464694900023</v>
      </c>
      <c r="K11444" s="31" t="n">
        <f aca="false">IF(K11323&gt;0,K11322/K11323,0)</f>
        <v>-0.215139875572462</v>
      </c>
    </row>
    <row r="11445" customFormat="false" ht="15" hidden="false" customHeight="false" outlineLevel="0" collapsed="false">
      <c r="A11445" s="5" t="s">
        <v>182</v>
      </c>
      <c r="G11445" s="21" t="n">
        <f aca="false">IF(G11438&gt;0,G11332/G11438,0)</f>
        <v>-0.0949300459790559</v>
      </c>
      <c r="H11445" s="21" t="n">
        <f aca="false">IF(H11438&gt;0,H11332/H11438,0)</f>
        <v>-0.123775411766409</v>
      </c>
      <c r="I11445" s="21" t="n">
        <f aca="false">IF(I11438&gt;0,I11332/I11438,0)</f>
        <v>-0.142851695384548</v>
      </c>
      <c r="J11445" s="21" t="n">
        <f aca="false">IF(J11438&gt;0,J11332/J11438,0)</f>
        <v>-0.148853966367368</v>
      </c>
      <c r="K11445" s="21" t="n">
        <f aca="false">IF(K11438&gt;0,K11332/K11438,0)</f>
        <v>-0.15248742094402</v>
      </c>
    </row>
    <row r="11446" customFormat="false" ht="15" hidden="false" customHeight="false" outlineLevel="0" collapsed="false">
      <c r="A11446" s="5" t="s">
        <v>326</v>
      </c>
      <c r="G11446" s="31" t="n">
        <f aca="false">IF(G11323+G11422&gt;0,(G11319-G11330-G11327)/(G11323+G11422),0)</f>
        <v>-0.0858606444505646</v>
      </c>
      <c r="H11446" s="31" t="n">
        <f aca="false">IF(H11323+H11422&gt;0,(H11319-H11330-H11327)/(H11323+H11422),0)</f>
        <v>-0.0792475702026084</v>
      </c>
      <c r="I11446" s="31" t="n">
        <f aca="false">IF(I11323+I11422&gt;0,(I11319-I11330-I11327)/(I11323+I11422),0)</f>
        <v>-0.0865977851850905</v>
      </c>
      <c r="J11446" s="31" t="n">
        <f aca="false">IF(J11323+J11422&gt;0,(J11319-J11330-J11327)/(J11323+J11422),0)</f>
        <v>-0.0948122428500287</v>
      </c>
      <c r="K11446" s="31" t="n">
        <f aca="false">IF(K11323+K11422&gt;0,(K11319-K11330-K11327)/(K11323+K11422),0)</f>
        <v>-0.103807965891837</v>
      </c>
    </row>
    <row r="11447" customFormat="false" ht="15" hidden="false" customHeight="false" outlineLevel="0" collapsed="false">
      <c r="A11447" s="5" t="s">
        <v>327</v>
      </c>
      <c r="G11447" s="25" t="n">
        <f aca="false">MAX(0,G11431)+Assumptions!$P$53*MAX(0,Assumptions!$D$53-G11356)+Assumptions!$P$54*MAX(0,Assumptions!$D$54-G11369)+Assumptions!$P$55*MAX(0,Assumptions!$D$55-G11382)+Assumptions!$P$56*MAX(0,Assumptions!$D$56-G11395)</f>
        <v>33.4112</v>
      </c>
      <c r="H11447" s="25" t="n">
        <f aca="false">MAX(0,H11431)+Assumptions!$P$53*MAX(0,Assumptions!$D$53-H11356)+Assumptions!$P$54*MAX(0,Assumptions!$D$54-H11369)+Assumptions!$P$55*MAX(0,Assumptions!$D$55-H11382)+Assumptions!$P$56*MAX(0,Assumptions!$D$56-H11395)</f>
        <v>33.4112</v>
      </c>
      <c r="I11447" s="25" t="n">
        <f aca="false">MAX(0,I11431)+Assumptions!$P$53*MAX(0,Assumptions!$D$53-I11356)+Assumptions!$P$54*MAX(0,Assumptions!$D$54-I11369)+Assumptions!$P$55*MAX(0,Assumptions!$D$55-I11382)+Assumptions!$P$56*MAX(0,Assumptions!$D$56-I11395)</f>
        <v>33.4112</v>
      </c>
      <c r="J11447" s="25" t="n">
        <f aca="false">MAX(0,J11431)+Assumptions!$P$53*MAX(0,Assumptions!$D$53-J11356)+Assumptions!$P$54*MAX(0,Assumptions!$D$54-J11369)+Assumptions!$P$55*MAX(0,Assumptions!$D$55-J11382)+Assumptions!$P$56*MAX(0,Assumptions!$D$56-J11395)</f>
        <v>33.4112</v>
      </c>
      <c r="K11447" s="25" t="n">
        <f aca="false">MAX(0,K11431)+Assumptions!$P$53*MAX(0,Assumptions!$D$53-K11356)+Assumptions!$P$54*MAX(0,Assumptions!$D$54-K11369)+Assumptions!$P$55*MAX(0,Assumptions!$D$55-K11382)+Assumptions!$P$56*MAX(0,Assumptions!$D$56-K11395)</f>
        <v>33.4112</v>
      </c>
    </row>
    <row r="11448" customFormat="false" ht="15" hidden="false" customHeight="false" outlineLevel="0" collapsed="false">
      <c r="A11448" s="5" t="s">
        <v>328</v>
      </c>
      <c r="G11448" s="21" t="n">
        <f aca="false">IF(G11438&gt;0,G11438/(G11438+MAX(0,G11319*CHOOSE($C$11302,Assumptions!$C$76,Assumptions!$C$95,Assumptions!$C$114)-G11440)),0)</f>
        <v>1</v>
      </c>
      <c r="H11448" s="21" t="n">
        <f aca="false">IF(H11438&gt;0,H11438/(H11438+MAX(0,H11319*CHOOSE($C$11302,Assumptions!$C$76,Assumptions!$C$95,Assumptions!$C$114)-H11440)),0)</f>
        <v>1</v>
      </c>
      <c r="I11448" s="21" t="n">
        <f aca="false">IF(I11438&gt;0,I11438/(I11438+MAX(0,I11319*CHOOSE($C$11302,Assumptions!$C$76,Assumptions!$C$95,Assumptions!$C$114)-I11440)),0)</f>
        <v>1</v>
      </c>
      <c r="J11448" s="21" t="n">
        <f aca="false">IF(J11438&gt;0,J11438/(J11438+MAX(0,J11319*CHOOSE($C$11302,Assumptions!$C$76,Assumptions!$C$95,Assumptions!$C$114)-J11440)),0)</f>
        <v>1</v>
      </c>
      <c r="K11448" s="21" t="n">
        <f aca="false">IF(K11438&gt;0,K11438/(K11438+MAX(0,K11319*CHOOSE($C$11302,Assumptions!$C$76,Assumptions!$C$95,Assumptions!$C$114)-K11440)),0)</f>
        <v>1</v>
      </c>
    </row>
    <row r="11449" customFormat="false" ht="15" hidden="false" customHeight="false" outlineLevel="0" collapsed="false">
      <c r="A11449" s="5" t="s">
        <v>329</v>
      </c>
      <c r="G11449" s="21" t="n">
        <f aca="false">IF(G11438&gt;0,MAX(0,G11431)/G11438,0)</f>
        <v>0</v>
      </c>
      <c r="H11449" s="21" t="n">
        <f aca="false">IF(H11438&gt;0,MAX(0,H11431)/H11438,0)</f>
        <v>0</v>
      </c>
      <c r="I11449" s="21" t="n">
        <f aca="false">IF(I11438&gt;0,MAX(0,I11431)/I11438,0)</f>
        <v>0</v>
      </c>
      <c r="J11449" s="21" t="n">
        <f aca="false">IF(J11438&gt;0,MAX(0,J11431)/J11438,0)</f>
        <v>0</v>
      </c>
      <c r="K11449" s="21" t="n">
        <f aca="false">IF(K11438&gt;0,MAX(0,K11431)/K11438,0)</f>
        <v>0</v>
      </c>
    </row>
    <row r="11450" customFormat="false" ht="15" hidden="false" customHeight="false" outlineLevel="0" collapsed="false">
      <c r="A11450" s="5" t="s">
        <v>330</v>
      </c>
      <c r="G11450" s="25" t="n">
        <f aca="false">Assumptions!$C$27*(1-CHOOSE($C$11302,Assumptions!$C$79,Assumptions!$C$98,Assumptions!$C$117))</f>
        <v>676</v>
      </c>
      <c r="H11450" s="25" t="n">
        <f aca="false">Assumptions!$C$27*(1-CHOOSE($C$11302,Assumptions!$C$79,Assumptions!$C$98,Assumptions!$C$117))</f>
        <v>676</v>
      </c>
      <c r="I11450" s="25" t="n">
        <f aca="false">Assumptions!$C$27*(1-CHOOSE($C$11302,Assumptions!$C$79,Assumptions!$C$98,Assumptions!$C$117))</f>
        <v>676</v>
      </c>
      <c r="J11450" s="25" t="n">
        <f aca="false">Assumptions!$C$27*(1-CHOOSE($C$11302,Assumptions!$C$79,Assumptions!$C$98,Assumptions!$C$117))</f>
        <v>676</v>
      </c>
      <c r="K11450" s="25" t="n">
        <f aca="false">Assumptions!$C$27*(1-CHOOSE($C$11302,Assumptions!$C$79,Assumptions!$C$98,Assumptions!$C$117))</f>
        <v>676</v>
      </c>
    </row>
    <row r="11451" customFormat="false" ht="15" hidden="false" customHeight="false" outlineLevel="0" collapsed="false">
      <c r="A11451" s="23" t="s">
        <v>331</v>
      </c>
      <c r="B11451" s="24"/>
      <c r="C11451" s="24"/>
      <c r="D11451" s="24"/>
      <c r="E11451" s="24"/>
      <c r="F11451" s="24"/>
      <c r="G11451" s="24"/>
      <c r="H11451" s="24"/>
      <c r="I11451" s="24"/>
      <c r="J11451" s="24"/>
      <c r="K11451" s="24"/>
    </row>
    <row r="11452" customFormat="false" ht="15" hidden="false" customHeight="false" outlineLevel="0" collapsed="false">
      <c r="A11452" s="23" t="s">
        <v>332</v>
      </c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</row>
    <row r="11453" customFormat="false" ht="15" hidden="false" customHeight="false" outlineLevel="0" collapsed="false">
      <c r="A11453" s="5" t="s">
        <v>333</v>
      </c>
      <c r="G11453" s="31" t="n">
        <f aca="false">IF(G11319&gt;0,G11440/G11319,99)</f>
        <v>64.0583525789068</v>
      </c>
      <c r="H11453" s="31" t="n">
        <f aca="false">IF(H11319&gt;0,H11440/H11319,99)</f>
        <v>74.1816844043396</v>
      </c>
      <c r="I11453" s="31" t="n">
        <f aca="false">IF(I11319&gt;0,I11440/I11319,99)</f>
        <v>77.785710331067</v>
      </c>
      <c r="J11453" s="31" t="n">
        <f aca="false">IF(J11319&gt;0,J11440/J11319,99)</f>
        <v>79.6618303348966</v>
      </c>
      <c r="K11453" s="31" t="n">
        <f aca="false">IF(K11319&gt;0,K11440/K11319,99)</f>
        <v>80.8528402445853</v>
      </c>
    </row>
    <row r="11454" customFormat="false" ht="15" hidden="false" customHeight="false" outlineLevel="0" collapsed="false">
      <c r="A11454" s="5" t="s">
        <v>334</v>
      </c>
      <c r="G11454" s="32" t="n">
        <f aca="false">Assumptions!$G$61</f>
        <v>8.5</v>
      </c>
      <c r="H11454" s="32" t="n">
        <f aca="false">Assumptions!$H$61</f>
        <v>8.5</v>
      </c>
      <c r="I11454" s="32" t="n">
        <f aca="false">Assumptions!$I$61</f>
        <v>8.5</v>
      </c>
      <c r="J11454" s="32" t="n">
        <f aca="false">Assumptions!$J$61</f>
        <v>8.5</v>
      </c>
      <c r="K11454" s="32" t="n">
        <f aca="false">Assumptions!$K$61</f>
        <v>8.5</v>
      </c>
    </row>
    <row r="11455" customFormat="false" ht="15" hidden="false" customHeight="false" outlineLevel="0" collapsed="false">
      <c r="A11455" s="5" t="s">
        <v>335</v>
      </c>
      <c r="G11455" s="31" t="n">
        <f aca="false">G11454-G11453</f>
        <v>-55.5583525789068</v>
      </c>
      <c r="H11455" s="31" t="n">
        <f aca="false">H11454-H11453</f>
        <v>-65.6816844043396</v>
      </c>
      <c r="I11455" s="31" t="n">
        <f aca="false">I11454-I11453</f>
        <v>-69.285710331067</v>
      </c>
      <c r="J11455" s="31" t="n">
        <f aca="false">J11454-J11453</f>
        <v>-71.1618303348966</v>
      </c>
      <c r="K11455" s="31" t="n">
        <f aca="false">K11454-K11453</f>
        <v>-72.3528402445853</v>
      </c>
    </row>
    <row r="11456" customFormat="false" ht="15" hidden="false" customHeight="false" outlineLevel="0" collapsed="false">
      <c r="A11456" s="5" t="s">
        <v>336</v>
      </c>
      <c r="G11456" s="21" t="n">
        <f aca="false">IF(G11454=0,0,G11455/ABS(G11454))</f>
        <v>-6.53627677398904</v>
      </c>
      <c r="H11456" s="21" t="n">
        <f aca="false">IF(H11454=0,0,H11455/ABS(H11454))</f>
        <v>-7.72725698874583</v>
      </c>
      <c r="I11456" s="21" t="n">
        <f aca="false">IF(I11454=0,0,I11455/ABS(I11454))</f>
        <v>-8.15126003894906</v>
      </c>
      <c r="J11456" s="21" t="n">
        <f aca="false">IF(J11454=0,0,J11455/ABS(J11454))</f>
        <v>-8.37198003939959</v>
      </c>
      <c r="K11456" s="21" t="n">
        <f aca="false">IF(K11454=0,0,K11455/ABS(K11454))</f>
        <v>-8.51209885230416</v>
      </c>
    </row>
    <row r="11457" customFormat="false" ht="15" hidden="false" customHeight="false" outlineLevel="0" collapsed="false">
      <c r="A11457" s="5" t="s">
        <v>337</v>
      </c>
      <c r="G11457" s="20" t="n">
        <f aca="false">IF(G11455&lt;0,1,0)</f>
        <v>1</v>
      </c>
      <c r="H11457" s="20" t="n">
        <f aca="false">IF(H11455&lt;0,1,0)</f>
        <v>1</v>
      </c>
      <c r="I11457" s="20" t="n">
        <f aca="false">IF(I11455&lt;0,1,0)</f>
        <v>1</v>
      </c>
      <c r="J11457" s="20" t="n">
        <f aca="false">IF(J11455&lt;0,1,0)</f>
        <v>1</v>
      </c>
      <c r="K11457" s="20" t="n">
        <f aca="false">IF(K11455&lt;0,1,0)</f>
        <v>1</v>
      </c>
    </row>
    <row r="11458" customFormat="false" ht="15" hidden="false" customHeight="false" outlineLevel="0" collapsed="false">
      <c r="A11458" s="5" t="s">
        <v>338</v>
      </c>
      <c r="C11458" s="20" t="n">
        <f aca="false">IFERROR(INDEX($G$11309:$K$11309,MATCH(1,$G$11457:$K$11457,0)),0)</f>
        <v>2026</v>
      </c>
    </row>
    <row r="11459" customFormat="false" ht="15" hidden="false" customHeight="false" outlineLevel="0" collapsed="false">
      <c r="A11459" s="5" t="s">
        <v>339</v>
      </c>
      <c r="C11459" s="21" t="n">
        <f aca="false">MIN($G$11456:$K$11456)</f>
        <v>-8.51209885230416</v>
      </c>
    </row>
    <row r="11460" customFormat="false" ht="15" hidden="false" customHeight="false" outlineLevel="0" collapsed="false">
      <c r="A11460" s="5" t="s">
        <v>340</v>
      </c>
      <c r="G11460" s="20" t="n">
        <f aca="false">G11457</f>
        <v>1</v>
      </c>
      <c r="H11460" s="20" t="n">
        <f aca="false">H11457</f>
        <v>1</v>
      </c>
      <c r="I11460" s="20" t="n">
        <f aca="false">I11457</f>
        <v>1</v>
      </c>
      <c r="J11460" s="20" t="n">
        <f aca="false">J11457</f>
        <v>1</v>
      </c>
      <c r="K11460" s="20" t="n">
        <f aca="false">K11457</f>
        <v>1</v>
      </c>
    </row>
    <row r="11461" customFormat="false" ht="15" hidden="false" customHeight="false" outlineLevel="0" collapsed="false">
      <c r="A11461" s="5" t="s">
        <v>341</v>
      </c>
      <c r="C11461" s="20" t="n">
        <f aca="false">SUM($G$11460:$K$11460)</f>
        <v>5</v>
      </c>
    </row>
    <row r="11462" customFormat="false" ht="15" hidden="false" customHeight="false" outlineLevel="0" collapsed="false">
      <c r="A11462" s="5" t="s">
        <v>342</v>
      </c>
      <c r="C11462" s="21" t="n">
        <f aca="false">MIN(C11459)</f>
        <v>-8.51209885230416</v>
      </c>
    </row>
    <row r="11464" customFormat="false" ht="15" hidden="false" customHeight="false" outlineLevel="0" collapsed="false">
      <c r="A11464" s="23" t="s">
        <v>444</v>
      </c>
      <c r="B11464" s="24"/>
      <c r="C11464" s="24"/>
      <c r="D11464" s="24"/>
      <c r="E11464" s="24"/>
      <c r="F11464" s="24"/>
      <c r="G11464" s="24"/>
      <c r="H11464" s="24"/>
      <c r="I11464" s="24"/>
      <c r="J11464" s="24"/>
      <c r="K11464" s="24"/>
    </row>
    <row r="11465" customFormat="false" ht="15" hidden="false" customHeight="false" outlineLevel="0" collapsed="false">
      <c r="A11465" s="5" t="s">
        <v>445</v>
      </c>
      <c r="G11465" s="20" t="n">
        <f aca="false">IF($C$11466=1,G11434,IF(G11319=MIN($G$11319:$K$11319),1,0))</f>
        <v>0</v>
      </c>
      <c r="H11465" s="20" t="n">
        <f aca="false">IF($C$11466=1,H11434,IF(AND(H11319=MIN($G$11319:$K$11319),SUM($G$11465:G11465)=0),1,0))</f>
        <v>1</v>
      </c>
      <c r="I11465" s="20" t="n">
        <f aca="false">IF($C$11466=1,I11434,IF(AND(I11319=MIN($G$11319:$K$11319),SUM($G$11465:H11465)=0),1,0))</f>
        <v>0</v>
      </c>
      <c r="J11465" s="20" t="n">
        <f aca="false">IF($C$11466=1,J11434,IF(AND(J11319=MIN($G$11319:$K$11319),SUM($G$11465:I11465)=0),1,0))</f>
        <v>0</v>
      </c>
      <c r="K11465" s="20" t="n">
        <f aca="false">IF($C$11466=1,K11434,IF(AND(K11319=MIN($G$11319:$K$11319),SUM($G$11465:J11465)=0),1,0))</f>
        <v>0</v>
      </c>
    </row>
    <row r="11466" customFormat="false" ht="15" hidden="false" customHeight="false" outlineLevel="0" collapsed="false">
      <c r="A11466" s="5" t="s">
        <v>446</v>
      </c>
      <c r="C11466" s="20" t="n">
        <f aca="false">IF(SUM($G$11434:$K$11434)&gt;0,1,0)</f>
        <v>1</v>
      </c>
    </row>
    <row r="11467" customFormat="false" ht="15" hidden="false" customHeight="false" outlineLevel="0" collapsed="false">
      <c r="A11467" s="5" t="s">
        <v>447</v>
      </c>
      <c r="C11467" s="20" t="n">
        <f aca="false">SUMPRODUCT($G$11465:$K$11465,$G$11309:$K$11309)</f>
        <v>2027</v>
      </c>
    </row>
    <row r="11468" customFormat="false" ht="15" hidden="false" customHeight="false" outlineLevel="0" collapsed="false">
      <c r="A11468" s="5" t="s">
        <v>448</v>
      </c>
      <c r="C11468" s="25" t="n">
        <f aca="false">SUMPRODUCT($G$11465:$K$11465,$G$11319:$K$11319)</f>
        <v>20.16048</v>
      </c>
    </row>
    <row r="11469" customFormat="false" ht="15" hidden="false" customHeight="false" outlineLevel="0" collapsed="false">
      <c r="A11469" s="5" t="s">
        <v>449</v>
      </c>
      <c r="C11469" s="25" t="n">
        <f aca="false">MAX(0,SUMPRODUCT($G$11465:$K$11465,$G$11431:$K$11431))</f>
        <v>0</v>
      </c>
    </row>
    <row r="11470" customFormat="false" ht="15" hidden="false" customHeight="false" outlineLevel="0" collapsed="false">
      <c r="A11470" s="5" t="s">
        <v>450</v>
      </c>
      <c r="C11470" s="25" t="n">
        <f aca="false">(CHOOSE($C$11302,Assumptions!$C$78,Assumptions!$C$97,Assumptions!$C$116)+$C$11306)*C11468</f>
        <v>80.64192</v>
      </c>
    </row>
    <row r="11471" customFormat="false" ht="15" hidden="false" customHeight="false" outlineLevel="0" collapsed="false">
      <c r="A11471" s="5" t="s">
        <v>451</v>
      </c>
      <c r="C11471" s="25" t="n">
        <f aca="false">Assumptions!$C$27*(1-CHOOSE($C$11302,Assumptions!$C$79,Assumptions!$C$98,Assumptions!$C$117))*CHOOSE($C$11302,Assumptions!$C$80,Assumptions!$C$99,Assumptions!$C$118)</f>
        <v>405.6</v>
      </c>
    </row>
    <row r="11472" customFormat="false" ht="15" hidden="false" customHeight="false" outlineLevel="0" collapsed="false">
      <c r="A11472" s="5" t="s">
        <v>452</v>
      </c>
      <c r="C11472" s="25" t="n">
        <f aca="false">MAX(C11470,C11471)+C11469</f>
        <v>405.6</v>
      </c>
    </row>
    <row r="11473" customFormat="false" ht="15" hidden="false" customHeight="false" outlineLevel="0" collapsed="false">
      <c r="A11473" s="2" t="s">
        <v>453</v>
      </c>
      <c r="C11473" s="16" t="n">
        <f aca="false">IF(ISNUMBER(Assumptions!$C$14),Assumptions!$C$14,C11472)</f>
        <v>405.6</v>
      </c>
    </row>
    <row r="11474" customFormat="false" ht="15" hidden="false" customHeight="false" outlineLevel="0" collapsed="false">
      <c r="A11474" s="5" t="s">
        <v>454</v>
      </c>
      <c r="C11474" s="25" t="n">
        <f aca="false">C11473*Assumptions!$C$15</f>
        <v>16.224</v>
      </c>
    </row>
    <row r="11475" customFormat="false" ht="15" hidden="false" customHeight="false" outlineLevel="0" collapsed="false">
      <c r="A11475" s="2" t="s">
        <v>455</v>
      </c>
      <c r="C11475" s="16" t="n">
        <f aca="false">C11473-C11474</f>
        <v>389.376</v>
      </c>
    </row>
    <row r="11476" customFormat="false" ht="15" hidden="false" customHeight="false" outlineLevel="0" collapsed="false">
      <c r="A11476" s="23" t="s">
        <v>456</v>
      </c>
      <c r="B11476" s="24"/>
      <c r="C11476" s="24"/>
      <c r="D11476" s="24"/>
      <c r="E11476" s="24"/>
      <c r="F11476" s="24"/>
      <c r="G11476" s="24"/>
      <c r="H11476" s="24"/>
      <c r="I11476" s="24"/>
      <c r="J11476" s="24"/>
      <c r="K11476" s="24"/>
    </row>
    <row r="11477" customFormat="false" ht="15" hidden="false" customHeight="false" outlineLevel="0" collapsed="false">
      <c r="A11477" s="5" t="s">
        <v>457</v>
      </c>
      <c r="C11477" s="25" t="n">
        <f aca="false">SUMPRODUCT($G$11465:$K$11465,$G$11356:$K$11356)*(1+SUMPRODUCT($G$11465:$K$11465,$G$11348:$K$11348)*Assumptions!$C$16/12)</f>
        <v>274.1532572</v>
      </c>
    </row>
    <row r="11478" customFormat="false" ht="15" hidden="false" customHeight="false" outlineLevel="0" collapsed="false">
      <c r="A11478" s="5" t="s">
        <v>458</v>
      </c>
      <c r="C11478" s="25" t="n">
        <f aca="false">SUMPRODUCT($G$11465:$K$11465,$G$11369:$K$11369)*(1+SUMPRODUCT($G$11465:$K$11465,$G$11361:$K$11361)*Assumptions!$C$16/12)</f>
        <v>526.2257</v>
      </c>
    </row>
    <row r="11479" customFormat="false" ht="15" hidden="false" customHeight="false" outlineLevel="0" collapsed="false">
      <c r="A11479" s="5" t="s">
        <v>459</v>
      </c>
      <c r="C11479" s="25" t="n">
        <f aca="false">SUMPRODUCT($G$11465:$K$11465,$G$11382:$K$11382)*(1+SUMPRODUCT($G$11465:$K$11465,$G$11374:$K$11374)*Assumptions!$C$16/12)</f>
        <v>256.875</v>
      </c>
    </row>
    <row r="11480" customFormat="false" ht="15" hidden="false" customHeight="false" outlineLevel="0" collapsed="false">
      <c r="A11480" s="5" t="s">
        <v>460</v>
      </c>
      <c r="C11480" s="25" t="n">
        <f aca="false">SUMPRODUCT($G$11465:$K$11465,$G$11395:$K$11395)*(1+SUMPRODUCT($G$11465:$K$11465,$G$11387:$K$11387)*Assumptions!$C$16/12)</f>
        <v>305.625</v>
      </c>
    </row>
    <row r="11481" customFormat="false" ht="15" hidden="false" customHeight="false" outlineLevel="0" collapsed="false">
      <c r="A11481" s="23" t="s">
        <v>461</v>
      </c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</row>
    <row r="11482" customFormat="false" ht="15" hidden="false" customHeight="false" outlineLevel="0" collapsed="false">
      <c r="A11482" s="5" t="s">
        <v>457</v>
      </c>
      <c r="C11482" s="26" t="n">
        <f aca="false">Assumptions!$M$53</f>
        <v>1</v>
      </c>
    </row>
    <row r="11483" customFormat="false" ht="15" hidden="false" customHeight="false" outlineLevel="0" collapsed="false">
      <c r="A11483" s="5" t="s">
        <v>458</v>
      </c>
      <c r="C11483" s="26" t="n">
        <f aca="false">Assumptions!$M$54</f>
        <v>2</v>
      </c>
    </row>
    <row r="11484" customFormat="false" ht="15" hidden="false" customHeight="false" outlineLevel="0" collapsed="false">
      <c r="A11484" s="5" t="s">
        <v>459</v>
      </c>
      <c r="C11484" s="26" t="n">
        <f aca="false">Assumptions!$M$55</f>
        <v>3</v>
      </c>
    </row>
    <row r="11485" customFormat="false" ht="15" hidden="false" customHeight="false" outlineLevel="0" collapsed="false">
      <c r="A11485" s="5" t="s">
        <v>460</v>
      </c>
      <c r="C11485" s="26" t="n">
        <f aca="false">Assumptions!$M$56</f>
        <v>4</v>
      </c>
    </row>
    <row r="11486" customFormat="false" ht="15" hidden="false" customHeight="false" outlineLevel="0" collapsed="false">
      <c r="A11486" s="23" t="s">
        <v>462</v>
      </c>
      <c r="B11486" s="24"/>
      <c r="C11486" s="24"/>
      <c r="D11486" s="24"/>
      <c r="E11486" s="24"/>
      <c r="F11486" s="24"/>
      <c r="G11486" s="24"/>
      <c r="H11486" s="24"/>
      <c r="I11486" s="24"/>
      <c r="J11486" s="24"/>
      <c r="K11486" s="24"/>
    </row>
    <row r="11487" customFormat="false" ht="15" hidden="false" customHeight="false" outlineLevel="0" collapsed="false">
      <c r="A11487" s="5" t="s">
        <v>457</v>
      </c>
      <c r="C11487" s="34" t="n">
        <f aca="false">Assumptions!$Q$53</f>
        <v>0</v>
      </c>
    </row>
    <row r="11488" customFormat="false" ht="15" hidden="false" customHeight="false" outlineLevel="0" collapsed="false">
      <c r="A11488" s="5" t="s">
        <v>458</v>
      </c>
      <c r="C11488" s="34" t="n">
        <f aca="false">Assumptions!$Q$54</f>
        <v>0</v>
      </c>
    </row>
    <row r="11489" customFormat="false" ht="15" hidden="false" customHeight="false" outlineLevel="0" collapsed="false">
      <c r="A11489" s="5" t="s">
        <v>459</v>
      </c>
      <c r="C11489" s="34" t="n">
        <f aca="false">Assumptions!$Q$55</f>
        <v>0</v>
      </c>
    </row>
    <row r="11490" customFormat="false" ht="15" hidden="false" customHeight="false" outlineLevel="0" collapsed="false">
      <c r="A11490" s="5" t="s">
        <v>460</v>
      </c>
      <c r="C11490" s="34" t="n">
        <f aca="false">Assumptions!$Q$56</f>
        <v>0</v>
      </c>
    </row>
    <row r="11491" customFormat="false" ht="15" hidden="false" customHeight="false" outlineLevel="0" collapsed="false">
      <c r="A11491" s="23" t="s">
        <v>463</v>
      </c>
      <c r="B11491" s="24"/>
      <c r="C11491" s="24"/>
      <c r="D11491" s="24"/>
      <c r="E11491" s="24"/>
      <c r="F11491" s="24"/>
      <c r="G11491" s="24"/>
      <c r="H11491" s="24"/>
      <c r="I11491" s="24"/>
      <c r="J11491" s="24"/>
      <c r="K11491" s="24"/>
    </row>
    <row r="11492" customFormat="false" ht="15" hidden="false" customHeight="false" outlineLevel="0" collapsed="false">
      <c r="A11492" s="5" t="s">
        <v>457</v>
      </c>
      <c r="C11492" s="25" t="n">
        <f aca="false">IF(C11487&gt;0,MIN(C11477,C11487*$C$11475),0)</f>
        <v>0</v>
      </c>
    </row>
    <row r="11493" customFormat="false" ht="15" hidden="false" customHeight="false" outlineLevel="0" collapsed="false">
      <c r="A11493" s="5" t="s">
        <v>458</v>
      </c>
      <c r="C11493" s="25" t="n">
        <f aca="false">IF(C11488&gt;0,MIN(C11478,C11488*$C$11475),0)</f>
        <v>0</v>
      </c>
    </row>
    <row r="11494" customFormat="false" ht="15" hidden="false" customHeight="false" outlineLevel="0" collapsed="false">
      <c r="A11494" s="5" t="s">
        <v>459</v>
      </c>
      <c r="C11494" s="25" t="n">
        <f aca="false">IF(C11489&gt;0,MIN(C11479,C11489*$C$11475),0)</f>
        <v>0</v>
      </c>
    </row>
    <row r="11495" customFormat="false" ht="15" hidden="false" customHeight="false" outlineLevel="0" collapsed="false">
      <c r="A11495" s="5" t="s">
        <v>460</v>
      </c>
      <c r="C11495" s="25" t="n">
        <f aca="false">IF(C11490&gt;0,MIN(C11480,C11490*$C$11475),0)</f>
        <v>0</v>
      </c>
    </row>
    <row r="11496" customFormat="false" ht="15" hidden="false" customHeight="false" outlineLevel="0" collapsed="false">
      <c r="A11496" s="23" t="s">
        <v>464</v>
      </c>
      <c r="B11496" s="24"/>
      <c r="C11496" s="24"/>
      <c r="D11496" s="24"/>
      <c r="E11496" s="24"/>
      <c r="F11496" s="24"/>
      <c r="G11496" s="24"/>
      <c r="H11496" s="24"/>
      <c r="I11496" s="24"/>
      <c r="J11496" s="24"/>
      <c r="K11496" s="24"/>
    </row>
    <row r="11497" customFormat="false" ht="15" hidden="false" customHeight="false" outlineLevel="0" collapsed="false">
      <c r="A11497" s="5" t="s">
        <v>457</v>
      </c>
      <c r="C11497" s="25" t="n">
        <f aca="false">IF(C11487&gt;0,C11477-C11492,0)</f>
        <v>0</v>
      </c>
      <c r="G11497" s="20" t="n">
        <f aca="false">IF(AND(G11346=1,G11343=1),1,0)</f>
        <v>0</v>
      </c>
      <c r="H11497" s="20" t="n">
        <f aca="false">IF(G11497=1,1,IF(AND(H11346=1,H11343=1),1,0))</f>
        <v>0</v>
      </c>
      <c r="I11497" s="20" t="n">
        <f aca="false">IF(H11497=1,1,IF(AND(I11346=1,I11343=1),1,0))</f>
        <v>0</v>
      </c>
      <c r="J11497" s="20" t="n">
        <f aca="false">IF(I11497=1,1,IF(AND(J11346=1,J11343=1),1,0))</f>
        <v>0</v>
      </c>
      <c r="K11497" s="20" t="n">
        <f aca="false">IF(J11497=1,1,IF(AND(K11346=1,K11343=1),1,0))</f>
        <v>0</v>
      </c>
    </row>
    <row r="11498" customFormat="false" ht="15" hidden="false" customHeight="false" outlineLevel="0" collapsed="false">
      <c r="A11498" s="5" t="s">
        <v>458</v>
      </c>
      <c r="C11498" s="25" t="n">
        <f aca="false">IF(C11488&gt;0,C11478-C11493,0)</f>
        <v>0</v>
      </c>
      <c r="G11498" s="20" t="n">
        <f aca="false">IF(AND(G11359=1,G11343=1),1,0)</f>
        <v>0</v>
      </c>
      <c r="H11498" s="20" t="n">
        <f aca="false">IF(G11498=1,1,IF(AND(H11359=1,H11343=1),1,0))</f>
        <v>0</v>
      </c>
      <c r="I11498" s="20" t="n">
        <f aca="false">IF(H11498=1,1,IF(AND(I11359=1,I11343=1),1,0))</f>
        <v>0</v>
      </c>
      <c r="J11498" s="20" t="n">
        <f aca="false">IF(I11498=1,1,IF(AND(J11359=1,J11343=1),1,0))</f>
        <v>0</v>
      </c>
      <c r="K11498" s="20" t="n">
        <f aca="false">IF(J11498=1,1,IF(AND(K11359=1,K11343=1),1,0))</f>
        <v>0</v>
      </c>
    </row>
    <row r="11499" customFormat="false" ht="15" hidden="false" customHeight="false" outlineLevel="0" collapsed="false">
      <c r="A11499" s="5" t="s">
        <v>459</v>
      </c>
      <c r="C11499" s="25" t="n">
        <f aca="false">IF(C11489&gt;0,C11479-C11494,0)</f>
        <v>0</v>
      </c>
      <c r="G11499" s="20" t="n">
        <f aca="false">IF(AND(G11372=1,G11343=1),1,0)</f>
        <v>0</v>
      </c>
      <c r="H11499" s="20" t="n">
        <f aca="false">IF(G11499=1,1,IF(AND(H11372=1,H11343=1),1,0))</f>
        <v>0</v>
      </c>
      <c r="I11499" s="20" t="n">
        <f aca="false">IF(H11499=1,1,IF(AND(I11372=1,I11343=1),1,0))</f>
        <v>0</v>
      </c>
      <c r="J11499" s="20" t="n">
        <f aca="false">IF(I11499=1,1,IF(AND(J11372=1,J11343=1),1,0))</f>
        <v>0</v>
      </c>
      <c r="K11499" s="20" t="n">
        <f aca="false">IF(J11499=1,1,IF(AND(K11372=1,K11343=1),1,0))</f>
        <v>0</v>
      </c>
    </row>
    <row r="11500" customFormat="false" ht="15" hidden="false" customHeight="false" outlineLevel="0" collapsed="false">
      <c r="A11500" s="5" t="s">
        <v>460</v>
      </c>
      <c r="C11500" s="25" t="n">
        <f aca="false">IF(C11490&gt;0,C11480-C11495,0)</f>
        <v>0</v>
      </c>
      <c r="G11500" s="20" t="n">
        <f aca="false">IF(AND(G11385=1,G11343=1),1,0)</f>
        <v>0</v>
      </c>
      <c r="H11500" s="20" t="n">
        <f aca="false">IF(G11500=1,1,IF(AND(H11385=1,H11343=1),1,0))</f>
        <v>0</v>
      </c>
      <c r="I11500" s="20" t="n">
        <f aca="false">IF(H11500=1,1,IF(AND(I11385=1,I11343=1),1,0))</f>
        <v>0</v>
      </c>
      <c r="J11500" s="20" t="n">
        <f aca="false">IF(I11500=1,1,IF(AND(J11385=1,J11343=1),1,0))</f>
        <v>0</v>
      </c>
      <c r="K11500" s="20" t="n">
        <f aca="false">IF(J11500=1,1,IF(AND(K11385=1,K11343=1),1,0))</f>
        <v>0</v>
      </c>
    </row>
    <row r="11501" customFormat="false" ht="15" hidden="false" customHeight="false" outlineLevel="0" collapsed="false">
      <c r="A11501" s="23" t="s">
        <v>465</v>
      </c>
      <c r="B11501" s="24"/>
      <c r="C11501" s="24"/>
      <c r="D11501" s="24"/>
      <c r="E11501" s="24"/>
      <c r="F11501" s="24"/>
      <c r="G11501" s="24"/>
      <c r="H11501" s="24"/>
      <c r="I11501" s="24"/>
      <c r="J11501" s="24"/>
      <c r="K11501" s="24"/>
    </row>
    <row r="11502" customFormat="false" ht="15" hidden="false" customHeight="false" outlineLevel="0" collapsed="false">
      <c r="A11502" s="5" t="s">
        <v>457</v>
      </c>
      <c r="C11502" s="25" t="n">
        <f aca="false">IF(C11487&gt;0,C11497,C11477)</f>
        <v>274.1532572</v>
      </c>
    </row>
    <row r="11503" customFormat="false" ht="15" hidden="false" customHeight="false" outlineLevel="0" collapsed="false">
      <c r="A11503" s="5" t="s">
        <v>458</v>
      </c>
      <c r="C11503" s="25" t="n">
        <f aca="false">IF(C11488&gt;0,C11498,C11478)</f>
        <v>526.2257</v>
      </c>
    </row>
    <row r="11504" customFormat="false" ht="15" hidden="false" customHeight="false" outlineLevel="0" collapsed="false">
      <c r="A11504" s="5" t="s">
        <v>459</v>
      </c>
      <c r="C11504" s="25" t="n">
        <f aca="false">IF(C11489&gt;0,C11499,C11479)</f>
        <v>256.875</v>
      </c>
    </row>
    <row r="11505" customFormat="false" ht="15" hidden="false" customHeight="false" outlineLevel="0" collapsed="false">
      <c r="A11505" s="5" t="s">
        <v>460</v>
      </c>
      <c r="C11505" s="25" t="n">
        <f aca="false">IF(C11490&gt;0,C11500,C11480)</f>
        <v>305.625</v>
      </c>
    </row>
    <row r="11506" customFormat="false" ht="15" hidden="false" customHeight="false" outlineLevel="0" collapsed="false">
      <c r="A11506" s="23" t="s">
        <v>466</v>
      </c>
      <c r="B11506" s="24"/>
      <c r="C11506" s="24"/>
      <c r="D11506" s="24"/>
      <c r="E11506" s="24"/>
      <c r="F11506" s="24"/>
      <c r="G11506" s="24"/>
      <c r="H11506" s="24"/>
      <c r="I11506" s="24"/>
      <c r="J11506" s="24"/>
      <c r="K11506" s="24"/>
    </row>
    <row r="11507" customFormat="false" ht="15" hidden="false" customHeight="false" outlineLevel="0" collapsed="false">
      <c r="A11507" s="5" t="s">
        <v>457</v>
      </c>
      <c r="C11507" s="20" t="n">
        <f aca="false">IF(C11487&gt;0,Assumptions!$C$17,C11482)</f>
        <v>1</v>
      </c>
    </row>
    <row r="11508" customFormat="false" ht="15" hidden="false" customHeight="false" outlineLevel="0" collapsed="false">
      <c r="A11508" s="5" t="s">
        <v>458</v>
      </c>
      <c r="C11508" s="20" t="n">
        <f aca="false">IF(C11488&gt;0,Assumptions!$C$17,C11483)</f>
        <v>2</v>
      </c>
    </row>
    <row r="11509" customFormat="false" ht="15" hidden="false" customHeight="false" outlineLevel="0" collapsed="false">
      <c r="A11509" s="5" t="s">
        <v>459</v>
      </c>
      <c r="C11509" s="20" t="n">
        <f aca="false">IF(C11489&gt;0,Assumptions!$C$17,C11484)</f>
        <v>3</v>
      </c>
    </row>
    <row r="11510" customFormat="false" ht="15" hidden="false" customHeight="false" outlineLevel="0" collapsed="false">
      <c r="A11510" s="5" t="s">
        <v>460</v>
      </c>
      <c r="C11510" s="20" t="n">
        <f aca="false">IF(C11490&gt;0,Assumptions!$C$17,C11485)</f>
        <v>4</v>
      </c>
    </row>
    <row r="11511" customFormat="false" ht="15" hidden="false" customHeight="false" outlineLevel="0" collapsed="false">
      <c r="A11511" s="23" t="s">
        <v>467</v>
      </c>
      <c r="B11511" s="24"/>
      <c r="C11511" s="24"/>
      <c r="D11511" s="24"/>
      <c r="E11511" s="24"/>
      <c r="F11511" s="24"/>
      <c r="G11511" s="24"/>
      <c r="H11511" s="24"/>
      <c r="I11511" s="24"/>
      <c r="J11511" s="24"/>
      <c r="K11511" s="24"/>
    </row>
    <row r="11512" customFormat="false" ht="15" hidden="false" customHeight="false" outlineLevel="0" collapsed="false">
      <c r="A11512" s="5" t="s">
        <v>457</v>
      </c>
      <c r="C11512" s="25" t="n">
        <f aca="false">SUMPRODUCT(($C$11507:$C$11510&lt;C11507)*$C$11502:$C$11505)</f>
        <v>0</v>
      </c>
    </row>
    <row r="11513" customFormat="false" ht="15" hidden="false" customHeight="false" outlineLevel="0" collapsed="false">
      <c r="A11513" s="5" t="s">
        <v>458</v>
      </c>
      <c r="C11513" s="25" t="n">
        <f aca="false">SUMPRODUCT(($C$11507:$C$11510&lt;C11508)*$C$11502:$C$11505)</f>
        <v>274.1532572</v>
      </c>
    </row>
    <row r="11514" customFormat="false" ht="15" hidden="false" customHeight="false" outlineLevel="0" collapsed="false">
      <c r="A11514" s="5" t="s">
        <v>459</v>
      </c>
      <c r="C11514" s="25" t="n">
        <f aca="false">SUMPRODUCT(($C$11507:$C$11510&lt;C11509)*$C$11502:$C$11505)</f>
        <v>800.3789572</v>
      </c>
    </row>
    <row r="11515" customFormat="false" ht="15" hidden="false" customHeight="false" outlineLevel="0" collapsed="false">
      <c r="A11515" s="5" t="s">
        <v>460</v>
      </c>
      <c r="C11515" s="25" t="n">
        <f aca="false">SUMPRODUCT(($C$11507:$C$11510&lt;C11510)*$C$11502:$C$11505)</f>
        <v>1057.2539572</v>
      </c>
    </row>
    <row r="11516" customFormat="false" ht="15" hidden="false" customHeight="false" outlineLevel="0" collapsed="false">
      <c r="A11516" s="23" t="s">
        <v>468</v>
      </c>
      <c r="B11516" s="24"/>
      <c r="C11516" s="24"/>
      <c r="D11516" s="24"/>
      <c r="E11516" s="24"/>
      <c r="F11516" s="24"/>
      <c r="G11516" s="24"/>
      <c r="H11516" s="24"/>
      <c r="I11516" s="24"/>
      <c r="J11516" s="24"/>
      <c r="K11516" s="24"/>
    </row>
    <row r="11517" customFormat="false" ht="15" hidden="false" customHeight="false" outlineLevel="0" collapsed="false">
      <c r="A11517" s="5" t="s">
        <v>457</v>
      </c>
      <c r="C11517" s="25" t="n">
        <f aca="false">SUMPRODUCT(($C$11507:$C$11510=C11507)*$C$11502:$C$11505)</f>
        <v>274.1532572</v>
      </c>
    </row>
    <row r="11518" customFormat="false" ht="15" hidden="false" customHeight="false" outlineLevel="0" collapsed="false">
      <c r="A11518" s="5" t="s">
        <v>458</v>
      </c>
      <c r="C11518" s="25" t="n">
        <f aca="false">SUMPRODUCT(($C$11507:$C$11510=C11508)*$C$11502:$C$11505)</f>
        <v>526.2257</v>
      </c>
    </row>
    <row r="11519" customFormat="false" ht="15" hidden="false" customHeight="false" outlineLevel="0" collapsed="false">
      <c r="A11519" s="5" t="s">
        <v>459</v>
      </c>
      <c r="C11519" s="25" t="n">
        <f aca="false">SUMPRODUCT(($C$11507:$C$11510=C11509)*$C$11502:$C$11505)</f>
        <v>256.875</v>
      </c>
    </row>
    <row r="11520" customFormat="false" ht="15" hidden="false" customHeight="false" outlineLevel="0" collapsed="false">
      <c r="A11520" s="5" t="s">
        <v>460</v>
      </c>
      <c r="C11520" s="25" t="n">
        <f aca="false">SUMPRODUCT(($C$11507:$C$11510=C11510)*$C$11502:$C$11505)</f>
        <v>305.625</v>
      </c>
    </row>
    <row r="11521" customFormat="false" ht="15" hidden="false" customHeight="false" outlineLevel="0" collapsed="false">
      <c r="A11521" s="23" t="s">
        <v>469</v>
      </c>
      <c r="B11521" s="24"/>
      <c r="C11521" s="24"/>
      <c r="D11521" s="24"/>
      <c r="E11521" s="24"/>
      <c r="F11521" s="24"/>
      <c r="G11521" s="24"/>
      <c r="H11521" s="24"/>
      <c r="I11521" s="24"/>
      <c r="J11521" s="24"/>
      <c r="K11521" s="24"/>
    </row>
    <row r="11522" customFormat="false" ht="15" hidden="false" customHeight="false" outlineLevel="0" collapsed="false">
      <c r="A11522" s="5" t="s">
        <v>457</v>
      </c>
      <c r="C11522" s="25" t="n">
        <f aca="false">IF(C11517=0,0,C11502/C11517*MAX(0,MIN(C11517,$C$11475-SUM($C$11492:$C$11495)-C11512)))</f>
        <v>274.1532572</v>
      </c>
    </row>
    <row r="11523" customFormat="false" ht="15" hidden="false" customHeight="false" outlineLevel="0" collapsed="false">
      <c r="A11523" s="5" t="s">
        <v>458</v>
      </c>
      <c r="C11523" s="25" t="n">
        <f aca="false">IF(C11518=0,0,C11503/C11518*MAX(0,MIN(C11518,$C$11475-SUM($C$11492:$C$11495)-C11513)))</f>
        <v>115.2227428</v>
      </c>
    </row>
    <row r="11524" customFormat="false" ht="15" hidden="false" customHeight="false" outlineLevel="0" collapsed="false">
      <c r="A11524" s="5" t="s">
        <v>459</v>
      </c>
      <c r="C11524" s="25" t="n">
        <f aca="false">IF(C11519=0,0,C11504/C11519*MAX(0,MIN(C11519,$C$11475-SUM($C$11492:$C$11495)-C11514)))</f>
        <v>0</v>
      </c>
    </row>
    <row r="11525" customFormat="false" ht="15" hidden="false" customHeight="false" outlineLevel="0" collapsed="false">
      <c r="A11525" s="5" t="s">
        <v>460</v>
      </c>
      <c r="C11525" s="25" t="n">
        <f aca="false">IF(C11520=0,0,C11505/C11520*MAX(0,MIN(C11520,$C$11475-SUM($C$11492:$C$11495)-C11515)))</f>
        <v>0</v>
      </c>
    </row>
    <row r="11526" customFormat="false" ht="15" hidden="false" customHeight="false" outlineLevel="0" collapsed="false">
      <c r="A11526" s="23" t="s">
        <v>470</v>
      </c>
      <c r="B11526" s="24"/>
      <c r="C11526" s="24"/>
      <c r="D11526" s="24"/>
      <c r="E11526" s="24"/>
      <c r="F11526" s="24"/>
      <c r="G11526" s="24"/>
      <c r="H11526" s="24"/>
      <c r="I11526" s="24"/>
      <c r="J11526" s="24"/>
      <c r="K11526" s="24"/>
    </row>
    <row r="11527" customFormat="false" ht="15" hidden="false" customHeight="false" outlineLevel="0" collapsed="false">
      <c r="A11527" s="2" t="s">
        <v>457</v>
      </c>
      <c r="C11527" s="16" t="n">
        <f aca="false">C11492+C11522</f>
        <v>274.1532572</v>
      </c>
    </row>
    <row r="11528" customFormat="false" ht="15" hidden="false" customHeight="false" outlineLevel="0" collapsed="false">
      <c r="A11528" s="2" t="s">
        <v>458</v>
      </c>
      <c r="C11528" s="16" t="n">
        <f aca="false">C11493+C11523</f>
        <v>115.2227428</v>
      </c>
    </row>
    <row r="11529" customFormat="false" ht="15" hidden="false" customHeight="false" outlineLevel="0" collapsed="false">
      <c r="A11529" s="2" t="s">
        <v>459</v>
      </c>
      <c r="C11529" s="16" t="n">
        <f aca="false">C11494+C11524</f>
        <v>0</v>
      </c>
    </row>
    <row r="11530" customFormat="false" ht="15" hidden="false" customHeight="false" outlineLevel="0" collapsed="false">
      <c r="A11530" s="2" t="s">
        <v>460</v>
      </c>
      <c r="C11530" s="16" t="n">
        <f aca="false">C11495+C11525</f>
        <v>0</v>
      </c>
    </row>
    <row r="11531" customFormat="false" ht="15" hidden="false" customHeight="false" outlineLevel="0" collapsed="false">
      <c r="A11531" s="23" t="s">
        <v>471</v>
      </c>
      <c r="B11531" s="24"/>
      <c r="C11531" s="24"/>
      <c r="D11531" s="24"/>
      <c r="E11531" s="24"/>
      <c r="F11531" s="24"/>
      <c r="G11531" s="24"/>
      <c r="H11531" s="24"/>
      <c r="I11531" s="24"/>
      <c r="J11531" s="24"/>
      <c r="K11531" s="24"/>
    </row>
    <row r="11532" customFormat="false" ht="15" hidden="false" customHeight="false" outlineLevel="0" collapsed="false">
      <c r="A11532" s="5" t="s">
        <v>457</v>
      </c>
      <c r="C11532" s="21" t="n">
        <f aca="false">IF(C11477=0,1,C11527/C11477)</f>
        <v>1</v>
      </c>
    </row>
    <row r="11533" customFormat="false" ht="15" hidden="false" customHeight="false" outlineLevel="0" collapsed="false">
      <c r="A11533" s="5" t="s">
        <v>458</v>
      </c>
      <c r="C11533" s="21" t="n">
        <f aca="false">IF(C11478=0,1,C11528/C11478)</f>
        <v>0.218960690821448</v>
      </c>
    </row>
    <row r="11534" customFormat="false" ht="15" hidden="false" customHeight="false" outlineLevel="0" collapsed="false">
      <c r="A11534" s="5" t="s">
        <v>459</v>
      </c>
      <c r="C11534" s="21" t="n">
        <f aca="false">IF(C11479=0,1,C11529/C11479)</f>
        <v>0</v>
      </c>
    </row>
    <row r="11535" customFormat="false" ht="15" hidden="false" customHeight="false" outlineLevel="0" collapsed="false">
      <c r="A11535" s="5" t="s">
        <v>460</v>
      </c>
      <c r="C11535" s="21" t="n">
        <f aca="false">IF(C11480=0,1,C11530/C11480)</f>
        <v>0</v>
      </c>
    </row>
    <row r="11536" customFormat="false" ht="15" hidden="false" customHeight="false" outlineLevel="0" collapsed="false">
      <c r="A11536" s="23" t="s">
        <v>472</v>
      </c>
      <c r="B11536" s="24"/>
      <c r="C11536" s="24"/>
      <c r="D11536" s="24"/>
      <c r="E11536" s="24"/>
      <c r="F11536" s="24"/>
      <c r="G11536" s="24"/>
      <c r="H11536" s="24"/>
      <c r="I11536" s="24"/>
      <c r="J11536" s="24"/>
      <c r="K11536" s="24"/>
    </row>
    <row r="11537" customFormat="false" ht="15" hidden="false" customHeight="false" outlineLevel="0" collapsed="false">
      <c r="A11537" s="5" t="s">
        <v>457</v>
      </c>
      <c r="C11537" s="25" t="n">
        <f aca="false">C11477-C11527</f>
        <v>0</v>
      </c>
    </row>
    <row r="11538" customFormat="false" ht="15" hidden="false" customHeight="false" outlineLevel="0" collapsed="false">
      <c r="A11538" s="5" t="s">
        <v>458</v>
      </c>
      <c r="C11538" s="25" t="n">
        <f aca="false">C11478-C11528</f>
        <v>411.0029572</v>
      </c>
    </row>
    <row r="11539" customFormat="false" ht="15" hidden="false" customHeight="false" outlineLevel="0" collapsed="false">
      <c r="A11539" s="5" t="s">
        <v>459</v>
      </c>
      <c r="C11539" s="25" t="n">
        <f aca="false">C11479-C11529</f>
        <v>256.875</v>
      </c>
    </row>
    <row r="11540" customFormat="false" ht="15" hidden="false" customHeight="false" outlineLevel="0" collapsed="false">
      <c r="A11540" s="5" t="s">
        <v>460</v>
      </c>
      <c r="C11540" s="25" t="n">
        <f aca="false">C11480-C11530</f>
        <v>305.625</v>
      </c>
    </row>
    <row r="11541" customFormat="false" ht="15" hidden="false" customHeight="false" outlineLevel="0" collapsed="false">
      <c r="A11541" s="23" t="s">
        <v>473</v>
      </c>
      <c r="B11541" s="24"/>
      <c r="C11541" s="24"/>
      <c r="D11541" s="24"/>
      <c r="E11541" s="24"/>
      <c r="F11541" s="24"/>
      <c r="G11541" s="24"/>
      <c r="H11541" s="24"/>
      <c r="I11541" s="24"/>
      <c r="J11541" s="24"/>
      <c r="K11541" s="24"/>
    </row>
    <row r="11542" customFormat="false" ht="15" hidden="false" customHeight="false" outlineLevel="0" collapsed="false">
      <c r="A11542" s="5" t="s">
        <v>457</v>
      </c>
      <c r="C11542" s="21" t="n">
        <f aca="false">IF(C11477=0,0,C11537/C11477)</f>
        <v>0</v>
      </c>
    </row>
    <row r="11543" customFormat="false" ht="15" hidden="false" customHeight="false" outlineLevel="0" collapsed="false">
      <c r="A11543" s="5" t="s">
        <v>458</v>
      </c>
      <c r="C11543" s="21" t="n">
        <f aca="false">IF(C11478=0,0,C11538/C11478)</f>
        <v>0.781039309178552</v>
      </c>
    </row>
    <row r="11544" customFormat="false" ht="15" hidden="false" customHeight="false" outlineLevel="0" collapsed="false">
      <c r="A11544" s="5" t="s">
        <v>459</v>
      </c>
      <c r="C11544" s="21" t="n">
        <f aca="false">IF(C11479=0,0,C11539/C11479)</f>
        <v>1</v>
      </c>
    </row>
    <row r="11545" customFormat="false" ht="15" hidden="false" customHeight="false" outlineLevel="0" collapsed="false">
      <c r="A11545" s="5" t="s">
        <v>460</v>
      </c>
      <c r="C11545" s="21" t="n">
        <f aca="false">IF(C11480=0,0,C11540/C11480)</f>
        <v>1</v>
      </c>
    </row>
    <row r="11546" customFormat="false" ht="15" hidden="false" customHeight="false" outlineLevel="0" collapsed="false">
      <c r="A11546" s="2" t="s">
        <v>474</v>
      </c>
      <c r="C11546" s="16" t="n">
        <f aca="false">MAX(0,$C$11475-SUM($C$11492:$C$11495)-SUM($C$11502:$C$11505))</f>
        <v>0</v>
      </c>
    </row>
    <row r="11547" customFormat="false" ht="15" hidden="false" customHeight="false" outlineLevel="0" collapsed="false">
      <c r="A11547" s="5" t="s">
        <v>475</v>
      </c>
      <c r="C11547" s="25" t="n">
        <f aca="false">SUM($C$11527:$C$11530)+C11546+C11474-C11473</f>
        <v>0</v>
      </c>
    </row>
    <row r="11549" customFormat="false" ht="15" hidden="false" customHeight="false" outlineLevel="0" collapsed="false">
      <c r="A11549" s="23" t="s">
        <v>478</v>
      </c>
      <c r="B11549" s="24"/>
      <c r="C11549" s="24"/>
      <c r="D11549" s="24"/>
      <c r="E11549" s="24"/>
      <c r="F11549" s="24"/>
      <c r="G11549" s="24"/>
      <c r="H11549" s="24"/>
      <c r="I11549" s="24"/>
      <c r="J11549" s="24"/>
      <c r="K11549" s="24"/>
    </row>
    <row r="11550" customFormat="false" ht="15" hidden="false" customHeight="false" outlineLevel="0" collapsed="false">
      <c r="A11550" s="5" t="s">
        <v>479</v>
      </c>
      <c r="C11550" s="26" t="n">
        <f aca="false">Assumptions!$C$30</f>
        <v>2</v>
      </c>
    </row>
    <row r="11551" customFormat="false" ht="15" hidden="false" customHeight="false" outlineLevel="0" collapsed="false">
      <c r="A11551" s="5" t="s">
        <v>480</v>
      </c>
      <c r="C11551" s="28" t="n">
        <f aca="false">Assumptions!$C$31</f>
        <v>100</v>
      </c>
    </row>
    <row r="11552" customFormat="false" ht="15" hidden="false" customHeight="false" outlineLevel="0" collapsed="false">
      <c r="A11552" s="5" t="s">
        <v>481</v>
      </c>
      <c r="C11552" s="39" t="n">
        <f aca="false">Assumptions!$C$32</f>
        <v>78</v>
      </c>
    </row>
    <row r="11553" customFormat="false" ht="15" hidden="false" customHeight="false" outlineLevel="0" collapsed="false">
      <c r="A11553" s="5" t="s">
        <v>482</v>
      </c>
      <c r="C11553" s="25" t="n">
        <f aca="false">C11551*C11552/100*(1+Assumptions!$C$33)</f>
        <v>78.39</v>
      </c>
    </row>
    <row r="11554" customFormat="false" ht="15" hidden="false" customHeight="false" outlineLevel="0" collapsed="false">
      <c r="A11554" s="5" t="s">
        <v>483</v>
      </c>
      <c r="C11554" s="26" t="n">
        <f aca="false">Assumptions!$C$34</f>
        <v>2</v>
      </c>
    </row>
    <row r="11555" customFormat="false" ht="15" hidden="false" customHeight="false" outlineLevel="0" collapsed="false">
      <c r="A11555" s="5" t="s">
        <v>484</v>
      </c>
      <c r="C11555" s="20" t="n">
        <f aca="false">IF(C11466=1,SUMPRODUCT($G$11434:$K$11434,$G$11310:$K$11310),0)</f>
        <v>2</v>
      </c>
    </row>
    <row r="11556" customFormat="false" ht="15" hidden="false" customHeight="false" outlineLevel="0" collapsed="false">
      <c r="A11556" s="5" t="s">
        <v>485</v>
      </c>
      <c r="C11556" s="21" t="n">
        <f aca="false">IFERROR(C11551/CHOOSE(C11550,SUMPRODUCT($G$11465:$K$11465,$G$11356:$K$11356),SUMPRODUCT($G$11465:$K$11465,$G$11369:$K$11369),SUMPRODUCT($G$11465:$K$11465,$G$11382:$K$11382),SUMPRODUCT($G$11465:$K$11465,$G$11395:$K$11395)),0)</f>
        <v>0.196232339089482</v>
      </c>
    </row>
    <row r="11557" customFormat="false" ht="15" hidden="false" customHeight="false" outlineLevel="0" collapsed="false">
      <c r="A11557" s="5" t="s">
        <v>486</v>
      </c>
      <c r="C11557" s="25" t="n">
        <f aca="false">CHOOSE(C11550,C11527,C11528,C11529,C11530)*C11556</f>
        <v>22.6104283359498</v>
      </c>
    </row>
    <row r="11558" customFormat="false" ht="15" hidden="false" customHeight="false" outlineLevel="0" collapsed="false">
      <c r="A11558" s="5" t="s">
        <v>487</v>
      </c>
      <c r="C11558" s="21" t="n">
        <f aca="false">CHOOSE(C11550,C11532,C11533,C11534,C11535)</f>
        <v>0.218960690821448</v>
      </c>
    </row>
    <row r="11559" customFormat="false" ht="15" hidden="false" customHeight="false" outlineLevel="0" collapsed="false">
      <c r="A11559" s="5" t="s">
        <v>488</v>
      </c>
      <c r="C11559" s="20" t="n">
        <f aca="false">IF(C11466=1,C11555,C11554)</f>
        <v>2</v>
      </c>
    </row>
    <row r="11560" customFormat="false" ht="15" hidden="false" customHeight="false" outlineLevel="0" collapsed="false">
      <c r="A11560" s="5" t="s">
        <v>489</v>
      </c>
      <c r="C11560" s="33" t="n">
        <f aca="false">CHOOSE($C$11302,Assumptions!$C$77,Assumptions!$C$96,Assumptions!$C$115)</f>
        <v>70</v>
      </c>
    </row>
    <row r="11561" customFormat="false" ht="15" hidden="false" customHeight="false" outlineLevel="0" collapsed="false">
      <c r="A11561" s="5" t="s">
        <v>490</v>
      </c>
      <c r="C11561" s="25" t="n">
        <f aca="false">INDEX($G$11319:$K$11319,C11554)*CHOOSE($C$11302,Assumptions!$C$76,Assumptions!$C$95,Assumptions!$C$114)+MAX(0,INDEX($G$11431:$K$11431,C11554))</f>
        <v>70.56168</v>
      </c>
    </row>
    <row r="11562" customFormat="false" ht="15" hidden="false" customHeight="false" outlineLevel="0" collapsed="false">
      <c r="A11562" s="23" t="s">
        <v>491</v>
      </c>
      <c r="B11562" s="24"/>
      <c r="C11562" s="24"/>
      <c r="D11562" s="24"/>
      <c r="E11562" s="24"/>
      <c r="F11562" s="24"/>
      <c r="G11562" s="24"/>
      <c r="H11562" s="24"/>
      <c r="I11562" s="24"/>
      <c r="J11562" s="24"/>
      <c r="K11562" s="24"/>
    </row>
    <row r="11563" customFormat="false" ht="15" hidden="false" customHeight="false" outlineLevel="0" collapsed="false">
      <c r="A11563" s="5" t="s">
        <v>457</v>
      </c>
      <c r="C11563" s="25" t="n">
        <f aca="false">INDEX($G$11356:$K$11356,C11554)</f>
        <v>266.5888</v>
      </c>
    </row>
    <row r="11564" customFormat="false" ht="15" hidden="false" customHeight="false" outlineLevel="0" collapsed="false">
      <c r="A11564" s="5" t="s">
        <v>458</v>
      </c>
      <c r="C11564" s="25" t="n">
        <f aca="false">INDEX($G$11369:$K$11369,C11554)</f>
        <v>509.6</v>
      </c>
    </row>
    <row r="11565" customFormat="false" ht="15" hidden="false" customHeight="false" outlineLevel="0" collapsed="false">
      <c r="A11565" s="5" t="s">
        <v>459</v>
      </c>
      <c r="C11565" s="25" t="n">
        <f aca="false">INDEX($G$11382:$K$11382,C11554)</f>
        <v>250</v>
      </c>
    </row>
    <row r="11566" customFormat="false" ht="15" hidden="false" customHeight="false" outlineLevel="0" collapsed="false">
      <c r="A11566" s="5" t="s">
        <v>460</v>
      </c>
      <c r="C11566" s="25" t="n">
        <f aca="false">INDEX($G$11395:$K$11395,C11554)</f>
        <v>300</v>
      </c>
    </row>
    <row r="11567" customFormat="false" ht="15" hidden="false" customHeight="false" outlineLevel="0" collapsed="false">
      <c r="A11567" s="23" t="s">
        <v>461</v>
      </c>
      <c r="B11567" s="24"/>
      <c r="C11567" s="24"/>
      <c r="D11567" s="24"/>
      <c r="E11567" s="24"/>
      <c r="F11567" s="24"/>
      <c r="G11567" s="24"/>
      <c r="H11567" s="24"/>
      <c r="I11567" s="24"/>
      <c r="J11567" s="24"/>
      <c r="K11567" s="24"/>
    </row>
    <row r="11568" customFormat="false" ht="15" hidden="false" customHeight="false" outlineLevel="0" collapsed="false">
      <c r="A11568" s="5" t="s">
        <v>457</v>
      </c>
      <c r="C11568" s="26" t="n">
        <f aca="false">Assumptions!$M$53</f>
        <v>1</v>
      </c>
    </row>
    <row r="11569" customFormat="false" ht="15" hidden="false" customHeight="false" outlineLevel="0" collapsed="false">
      <c r="A11569" s="5" t="s">
        <v>458</v>
      </c>
      <c r="C11569" s="26" t="n">
        <f aca="false">Assumptions!$M$54</f>
        <v>2</v>
      </c>
    </row>
    <row r="11570" customFormat="false" ht="15" hidden="false" customHeight="false" outlineLevel="0" collapsed="false">
      <c r="A11570" s="5" t="s">
        <v>459</v>
      </c>
      <c r="C11570" s="26" t="n">
        <f aca="false">Assumptions!$M$55</f>
        <v>3</v>
      </c>
    </row>
    <row r="11571" customFormat="false" ht="15" hidden="false" customHeight="false" outlineLevel="0" collapsed="false">
      <c r="A11571" s="5" t="s">
        <v>460</v>
      </c>
      <c r="C11571" s="26" t="n">
        <f aca="false">Assumptions!$M$56</f>
        <v>4</v>
      </c>
    </row>
    <row r="11572" customFormat="false" ht="15" hidden="false" customHeight="false" outlineLevel="0" collapsed="false">
      <c r="A11572" s="23" t="s">
        <v>462</v>
      </c>
      <c r="B11572" s="24"/>
      <c r="C11572" s="24"/>
      <c r="D11572" s="24"/>
      <c r="E11572" s="24"/>
      <c r="F11572" s="24"/>
      <c r="G11572" s="24"/>
      <c r="H11572" s="24"/>
      <c r="I11572" s="24"/>
      <c r="J11572" s="24"/>
      <c r="K11572" s="24"/>
    </row>
    <row r="11573" customFormat="false" ht="15" hidden="false" customHeight="false" outlineLevel="0" collapsed="false">
      <c r="A11573" s="5" t="s">
        <v>457</v>
      </c>
      <c r="C11573" s="34" t="n">
        <f aca="false">Assumptions!$Q$53</f>
        <v>0</v>
      </c>
    </row>
    <row r="11574" customFormat="false" ht="15" hidden="false" customHeight="false" outlineLevel="0" collapsed="false">
      <c r="A11574" s="5" t="s">
        <v>458</v>
      </c>
      <c r="C11574" s="34" t="n">
        <f aca="false">Assumptions!$Q$54</f>
        <v>0</v>
      </c>
    </row>
    <row r="11575" customFormat="false" ht="15" hidden="false" customHeight="false" outlineLevel="0" collapsed="false">
      <c r="A11575" s="5" t="s">
        <v>459</v>
      </c>
      <c r="C11575" s="34" t="n">
        <f aca="false">Assumptions!$Q$55</f>
        <v>0</v>
      </c>
    </row>
    <row r="11576" customFormat="false" ht="15" hidden="false" customHeight="false" outlineLevel="0" collapsed="false">
      <c r="A11576" s="5" t="s">
        <v>460</v>
      </c>
      <c r="C11576" s="34" t="n">
        <f aca="false">Assumptions!$Q$56</f>
        <v>0</v>
      </c>
    </row>
    <row r="11577" customFormat="false" ht="15" hidden="false" customHeight="false" outlineLevel="0" collapsed="false">
      <c r="A11577" s="23" t="s">
        <v>463</v>
      </c>
      <c r="B11577" s="24"/>
      <c r="C11577" s="24"/>
      <c r="D11577" s="24"/>
      <c r="E11577" s="24"/>
      <c r="F11577" s="24"/>
      <c r="G11577" s="24"/>
      <c r="H11577" s="24"/>
      <c r="I11577" s="24"/>
      <c r="J11577" s="24"/>
      <c r="K11577" s="24"/>
    </row>
    <row r="11578" customFormat="false" ht="15" hidden="false" customHeight="false" outlineLevel="0" collapsed="false">
      <c r="A11578" s="5" t="s">
        <v>457</v>
      </c>
      <c r="C11578" s="25" t="n">
        <f aca="false">IF(C11573&gt;0,MIN(C11563,C11573*$C$11561),0)</f>
        <v>0</v>
      </c>
    </row>
    <row r="11579" customFormat="false" ht="15" hidden="false" customHeight="false" outlineLevel="0" collapsed="false">
      <c r="A11579" s="5" t="s">
        <v>458</v>
      </c>
      <c r="C11579" s="25" t="n">
        <f aca="false">IF(C11574&gt;0,MIN(C11564,C11574*$C$11561),0)</f>
        <v>0</v>
      </c>
    </row>
    <row r="11580" customFormat="false" ht="15" hidden="false" customHeight="false" outlineLevel="0" collapsed="false">
      <c r="A11580" s="5" t="s">
        <v>459</v>
      </c>
      <c r="C11580" s="25" t="n">
        <f aca="false">IF(C11575&gt;0,MIN(C11565,C11575*$C$11561),0)</f>
        <v>0</v>
      </c>
    </row>
    <row r="11581" customFormat="false" ht="15" hidden="false" customHeight="false" outlineLevel="0" collapsed="false">
      <c r="A11581" s="5" t="s">
        <v>460</v>
      </c>
      <c r="C11581" s="25" t="n">
        <f aca="false">IF(C11576&gt;0,MIN(C11566,C11576*$C$11561),0)</f>
        <v>0</v>
      </c>
    </row>
    <row r="11582" customFormat="false" ht="15" hidden="false" customHeight="false" outlineLevel="0" collapsed="false">
      <c r="A11582" s="23" t="s">
        <v>464</v>
      </c>
      <c r="B11582" s="24"/>
      <c r="C11582" s="24"/>
      <c r="D11582" s="24"/>
      <c r="E11582" s="24"/>
      <c r="F11582" s="24"/>
      <c r="G11582" s="24"/>
      <c r="H11582" s="24"/>
      <c r="I11582" s="24"/>
      <c r="J11582" s="24"/>
      <c r="K11582" s="24"/>
    </row>
    <row r="11583" customFormat="false" ht="15" hidden="false" customHeight="false" outlineLevel="0" collapsed="false">
      <c r="A11583" s="5" t="s">
        <v>457</v>
      </c>
      <c r="C11583" s="25" t="n">
        <f aca="false">IF(C11573&gt;0,C11563-C11578,0)</f>
        <v>0</v>
      </c>
    </row>
    <row r="11584" customFormat="false" ht="15" hidden="false" customHeight="false" outlineLevel="0" collapsed="false">
      <c r="A11584" s="5" t="s">
        <v>458</v>
      </c>
      <c r="C11584" s="25" t="n">
        <f aca="false">IF(C11574&gt;0,C11564-C11579,0)</f>
        <v>0</v>
      </c>
    </row>
    <row r="11585" customFormat="false" ht="15" hidden="false" customHeight="false" outlineLevel="0" collapsed="false">
      <c r="A11585" s="5" t="s">
        <v>459</v>
      </c>
      <c r="C11585" s="25" t="n">
        <f aca="false">IF(C11575&gt;0,C11565-C11580,0)</f>
        <v>0</v>
      </c>
    </row>
    <row r="11586" customFormat="false" ht="15" hidden="false" customHeight="false" outlineLevel="0" collapsed="false">
      <c r="A11586" s="5" t="s">
        <v>460</v>
      </c>
      <c r="C11586" s="25" t="n">
        <f aca="false">IF(C11576&gt;0,C11566-C11581,0)</f>
        <v>0</v>
      </c>
    </row>
    <row r="11587" customFormat="false" ht="15" hidden="false" customHeight="false" outlineLevel="0" collapsed="false">
      <c r="A11587" s="23" t="s">
        <v>465</v>
      </c>
      <c r="B11587" s="24"/>
      <c r="C11587" s="24"/>
      <c r="D11587" s="24"/>
      <c r="E11587" s="24"/>
      <c r="F11587" s="24"/>
      <c r="G11587" s="24"/>
      <c r="H11587" s="24"/>
      <c r="I11587" s="24"/>
      <c r="J11587" s="24"/>
      <c r="K11587" s="24"/>
    </row>
    <row r="11588" customFormat="false" ht="15" hidden="false" customHeight="false" outlineLevel="0" collapsed="false">
      <c r="A11588" s="5" t="s">
        <v>457</v>
      </c>
      <c r="C11588" s="25" t="n">
        <f aca="false">IF(C11573&gt;0,C11583,C11563)</f>
        <v>266.5888</v>
      </c>
    </row>
    <row r="11589" customFormat="false" ht="15" hidden="false" customHeight="false" outlineLevel="0" collapsed="false">
      <c r="A11589" s="5" t="s">
        <v>458</v>
      </c>
      <c r="C11589" s="25" t="n">
        <f aca="false">IF(C11574&gt;0,C11584,C11564)</f>
        <v>509.6</v>
      </c>
    </row>
    <row r="11590" customFormat="false" ht="15" hidden="false" customHeight="false" outlineLevel="0" collapsed="false">
      <c r="A11590" s="5" t="s">
        <v>459</v>
      </c>
      <c r="C11590" s="25" t="n">
        <f aca="false">IF(C11575&gt;0,C11585,C11565)</f>
        <v>250</v>
      </c>
    </row>
    <row r="11591" customFormat="false" ht="15" hidden="false" customHeight="false" outlineLevel="0" collapsed="false">
      <c r="A11591" s="5" t="s">
        <v>460</v>
      </c>
      <c r="C11591" s="25" t="n">
        <f aca="false">IF(C11576&gt;0,C11586,C11566)</f>
        <v>300</v>
      </c>
    </row>
    <row r="11592" customFormat="false" ht="15" hidden="false" customHeight="false" outlineLevel="0" collapsed="false">
      <c r="A11592" s="23" t="s">
        <v>466</v>
      </c>
      <c r="B11592" s="24"/>
      <c r="C11592" s="24"/>
      <c r="D11592" s="24"/>
      <c r="E11592" s="24"/>
      <c r="F11592" s="24"/>
      <c r="G11592" s="24"/>
      <c r="H11592" s="24"/>
      <c r="I11592" s="24"/>
      <c r="J11592" s="24"/>
      <c r="K11592" s="24"/>
    </row>
    <row r="11593" customFormat="false" ht="15" hidden="false" customHeight="false" outlineLevel="0" collapsed="false">
      <c r="A11593" s="5" t="s">
        <v>457</v>
      </c>
      <c r="C11593" s="20" t="n">
        <f aca="false">IF(C11573&gt;0,Assumptions!$C$17,C11568)</f>
        <v>1</v>
      </c>
    </row>
    <row r="11594" customFormat="false" ht="15" hidden="false" customHeight="false" outlineLevel="0" collapsed="false">
      <c r="A11594" s="5" t="s">
        <v>458</v>
      </c>
      <c r="C11594" s="20" t="n">
        <f aca="false">IF(C11574&gt;0,Assumptions!$C$17,C11569)</f>
        <v>2</v>
      </c>
    </row>
    <row r="11595" customFormat="false" ht="15" hidden="false" customHeight="false" outlineLevel="0" collapsed="false">
      <c r="A11595" s="5" t="s">
        <v>459</v>
      </c>
      <c r="C11595" s="20" t="n">
        <f aca="false">IF(C11575&gt;0,Assumptions!$C$17,C11570)</f>
        <v>3</v>
      </c>
    </row>
    <row r="11596" customFormat="false" ht="15" hidden="false" customHeight="false" outlineLevel="0" collapsed="false">
      <c r="A11596" s="5" t="s">
        <v>460</v>
      </c>
      <c r="C11596" s="20" t="n">
        <f aca="false">IF(C11576&gt;0,Assumptions!$C$17,C11571)</f>
        <v>4</v>
      </c>
    </row>
    <row r="11597" customFormat="false" ht="15" hidden="false" customHeight="false" outlineLevel="0" collapsed="false">
      <c r="A11597" s="23" t="s">
        <v>467</v>
      </c>
      <c r="B11597" s="24"/>
      <c r="C11597" s="24"/>
      <c r="D11597" s="24"/>
      <c r="E11597" s="24"/>
      <c r="F11597" s="24"/>
      <c r="G11597" s="24"/>
      <c r="H11597" s="24"/>
      <c r="I11597" s="24"/>
      <c r="J11597" s="24"/>
      <c r="K11597" s="24"/>
    </row>
    <row r="11598" customFormat="false" ht="15" hidden="false" customHeight="false" outlineLevel="0" collapsed="false">
      <c r="A11598" s="5" t="s">
        <v>457</v>
      </c>
      <c r="C11598" s="25" t="n">
        <f aca="false">SUMPRODUCT(($C$11593:$C$11596&lt;C11593)*$C$11588:$C$11591)</f>
        <v>0</v>
      </c>
    </row>
    <row r="11599" customFormat="false" ht="15" hidden="false" customHeight="false" outlineLevel="0" collapsed="false">
      <c r="A11599" s="5" t="s">
        <v>458</v>
      </c>
      <c r="C11599" s="25" t="n">
        <f aca="false">SUMPRODUCT(($C$11593:$C$11596&lt;C11594)*$C$11588:$C$11591)</f>
        <v>266.5888</v>
      </c>
    </row>
    <row r="11600" customFormat="false" ht="15" hidden="false" customHeight="false" outlineLevel="0" collapsed="false">
      <c r="A11600" s="5" t="s">
        <v>459</v>
      </c>
      <c r="C11600" s="25" t="n">
        <f aca="false">SUMPRODUCT(($C$11593:$C$11596&lt;C11595)*$C$11588:$C$11591)</f>
        <v>776.1888</v>
      </c>
    </row>
    <row r="11601" customFormat="false" ht="15" hidden="false" customHeight="false" outlineLevel="0" collapsed="false">
      <c r="A11601" s="5" t="s">
        <v>460</v>
      </c>
      <c r="C11601" s="25" t="n">
        <f aca="false">SUMPRODUCT(($C$11593:$C$11596&lt;C11596)*$C$11588:$C$11591)</f>
        <v>1026.1888</v>
      </c>
    </row>
    <row r="11602" customFormat="false" ht="15" hidden="false" customHeight="false" outlineLevel="0" collapsed="false">
      <c r="A11602" s="23" t="s">
        <v>468</v>
      </c>
      <c r="B11602" s="24"/>
      <c r="C11602" s="24"/>
      <c r="D11602" s="24"/>
      <c r="E11602" s="24"/>
      <c r="F11602" s="24"/>
      <c r="G11602" s="24"/>
      <c r="H11602" s="24"/>
      <c r="I11602" s="24"/>
      <c r="J11602" s="24"/>
      <c r="K11602" s="24"/>
    </row>
    <row r="11603" customFormat="false" ht="15" hidden="false" customHeight="false" outlineLevel="0" collapsed="false">
      <c r="A11603" s="5" t="s">
        <v>457</v>
      </c>
      <c r="C11603" s="25" t="n">
        <f aca="false">SUMPRODUCT(($C$11593:$C$11596=C11593)*$C$11588:$C$11591)</f>
        <v>266.5888</v>
      </c>
    </row>
    <row r="11604" customFormat="false" ht="15" hidden="false" customHeight="false" outlineLevel="0" collapsed="false">
      <c r="A11604" s="5" t="s">
        <v>458</v>
      </c>
      <c r="C11604" s="25" t="n">
        <f aca="false">SUMPRODUCT(($C$11593:$C$11596=C11594)*$C$11588:$C$11591)</f>
        <v>509.6</v>
      </c>
    </row>
    <row r="11605" customFormat="false" ht="15" hidden="false" customHeight="false" outlineLevel="0" collapsed="false">
      <c r="A11605" s="5" t="s">
        <v>459</v>
      </c>
      <c r="C11605" s="25" t="n">
        <f aca="false">SUMPRODUCT(($C$11593:$C$11596=C11595)*$C$11588:$C$11591)</f>
        <v>250</v>
      </c>
    </row>
    <row r="11606" customFormat="false" ht="15" hidden="false" customHeight="false" outlineLevel="0" collapsed="false">
      <c r="A11606" s="5" t="s">
        <v>460</v>
      </c>
      <c r="C11606" s="25" t="n">
        <f aca="false">SUMPRODUCT(($C$11593:$C$11596=C11596)*$C$11588:$C$11591)</f>
        <v>300</v>
      </c>
    </row>
    <row r="11607" customFormat="false" ht="15" hidden="false" customHeight="false" outlineLevel="0" collapsed="false">
      <c r="A11607" s="23" t="s">
        <v>469</v>
      </c>
      <c r="B11607" s="24"/>
      <c r="C11607" s="24"/>
      <c r="D11607" s="24"/>
      <c r="E11607" s="24"/>
      <c r="F11607" s="24"/>
      <c r="G11607" s="24"/>
      <c r="H11607" s="24"/>
      <c r="I11607" s="24"/>
      <c r="J11607" s="24"/>
      <c r="K11607" s="24"/>
    </row>
    <row r="11608" customFormat="false" ht="15" hidden="false" customHeight="false" outlineLevel="0" collapsed="false">
      <c r="A11608" s="5" t="s">
        <v>457</v>
      </c>
      <c r="C11608" s="25" t="n">
        <f aca="false">IF(C11603=0,0,C11588/C11603*MAX(0,MIN(C11603,$C$11561-SUM($C$11578:$C$11581)-C11598)))</f>
        <v>70.56168</v>
      </c>
    </row>
    <row r="11609" customFormat="false" ht="15" hidden="false" customHeight="false" outlineLevel="0" collapsed="false">
      <c r="A11609" s="5" t="s">
        <v>458</v>
      </c>
      <c r="C11609" s="25" t="n">
        <f aca="false">IF(C11604=0,0,C11589/C11604*MAX(0,MIN(C11604,$C$11561-SUM($C$11578:$C$11581)-C11599)))</f>
        <v>0</v>
      </c>
    </row>
    <row r="11610" customFormat="false" ht="15" hidden="false" customHeight="false" outlineLevel="0" collapsed="false">
      <c r="A11610" s="5" t="s">
        <v>459</v>
      </c>
      <c r="C11610" s="25" t="n">
        <f aca="false">IF(C11605=0,0,C11590/C11605*MAX(0,MIN(C11605,$C$11561-SUM($C$11578:$C$11581)-C11600)))</f>
        <v>0</v>
      </c>
    </row>
    <row r="11611" customFormat="false" ht="15" hidden="false" customHeight="false" outlineLevel="0" collapsed="false">
      <c r="A11611" s="5" t="s">
        <v>460</v>
      </c>
      <c r="C11611" s="25" t="n">
        <f aca="false">IF(C11606=0,0,C11591/C11606*MAX(0,MIN(C11606,$C$11561-SUM($C$11578:$C$11581)-C11601)))</f>
        <v>0</v>
      </c>
    </row>
    <row r="11612" customFormat="false" ht="15" hidden="false" customHeight="false" outlineLevel="0" collapsed="false">
      <c r="A11612" s="23" t="s">
        <v>470</v>
      </c>
      <c r="B11612" s="24"/>
      <c r="C11612" s="24"/>
      <c r="D11612" s="24"/>
      <c r="E11612" s="24"/>
      <c r="F11612" s="24"/>
      <c r="G11612" s="24"/>
      <c r="H11612" s="24"/>
      <c r="I11612" s="24"/>
      <c r="J11612" s="24"/>
      <c r="K11612" s="24"/>
    </row>
    <row r="11613" customFormat="false" ht="15" hidden="false" customHeight="false" outlineLevel="0" collapsed="false">
      <c r="A11613" s="2" t="s">
        <v>457</v>
      </c>
      <c r="C11613" s="16" t="n">
        <f aca="false">C11578+C11608</f>
        <v>70.56168</v>
      </c>
    </row>
    <row r="11614" customFormat="false" ht="15" hidden="false" customHeight="false" outlineLevel="0" collapsed="false">
      <c r="A11614" s="2" t="s">
        <v>458</v>
      </c>
      <c r="C11614" s="16" t="n">
        <f aca="false">C11579+C11609</f>
        <v>0</v>
      </c>
    </row>
    <row r="11615" customFormat="false" ht="15" hidden="false" customHeight="false" outlineLevel="0" collapsed="false">
      <c r="A11615" s="2" t="s">
        <v>459</v>
      </c>
      <c r="C11615" s="16" t="n">
        <f aca="false">C11580+C11610</f>
        <v>0</v>
      </c>
    </row>
    <row r="11616" customFormat="false" ht="15" hidden="false" customHeight="false" outlineLevel="0" collapsed="false">
      <c r="A11616" s="2" t="s">
        <v>460</v>
      </c>
      <c r="C11616" s="16" t="n">
        <f aca="false">C11581+C11611</f>
        <v>0</v>
      </c>
    </row>
    <row r="11617" customFormat="false" ht="15" hidden="false" customHeight="false" outlineLevel="0" collapsed="false">
      <c r="A11617" s="23" t="s">
        <v>471</v>
      </c>
      <c r="B11617" s="24"/>
      <c r="C11617" s="24"/>
      <c r="D11617" s="24"/>
      <c r="E11617" s="24"/>
      <c r="F11617" s="24"/>
      <c r="G11617" s="24"/>
      <c r="H11617" s="24"/>
      <c r="I11617" s="24"/>
      <c r="J11617" s="24"/>
      <c r="K11617" s="24"/>
    </row>
    <row r="11618" customFormat="false" ht="15" hidden="false" customHeight="false" outlineLevel="0" collapsed="false">
      <c r="A11618" s="5" t="s">
        <v>457</v>
      </c>
      <c r="C11618" s="21" t="n">
        <f aca="false">IF(C11563=0,1,C11613/C11563)</f>
        <v>0.264683587607581</v>
      </c>
    </row>
    <row r="11619" customFormat="false" ht="15" hidden="false" customHeight="false" outlineLevel="0" collapsed="false">
      <c r="A11619" s="5" t="s">
        <v>458</v>
      </c>
      <c r="C11619" s="21" t="n">
        <f aca="false">IF(C11564=0,1,C11614/C11564)</f>
        <v>0</v>
      </c>
    </row>
    <row r="11620" customFormat="false" ht="15" hidden="false" customHeight="false" outlineLevel="0" collapsed="false">
      <c r="A11620" s="5" t="s">
        <v>459</v>
      </c>
      <c r="C11620" s="21" t="n">
        <f aca="false">IF(C11565=0,1,C11615/C11565)</f>
        <v>0</v>
      </c>
    </row>
    <row r="11621" customFormat="false" ht="15" hidden="false" customHeight="false" outlineLevel="0" collapsed="false">
      <c r="A11621" s="5" t="s">
        <v>460</v>
      </c>
      <c r="C11621" s="21" t="n">
        <f aca="false">IF(C11566=0,1,C11616/C11566)</f>
        <v>0</v>
      </c>
    </row>
    <row r="11622" customFormat="false" ht="15" hidden="false" customHeight="false" outlineLevel="0" collapsed="false">
      <c r="A11622" s="23" t="s">
        <v>472</v>
      </c>
      <c r="B11622" s="24"/>
      <c r="C11622" s="24"/>
      <c r="D11622" s="24"/>
      <c r="E11622" s="24"/>
      <c r="F11622" s="24"/>
      <c r="G11622" s="24"/>
      <c r="H11622" s="24"/>
      <c r="I11622" s="24"/>
      <c r="J11622" s="24"/>
      <c r="K11622" s="24"/>
    </row>
    <row r="11623" customFormat="false" ht="15" hidden="false" customHeight="false" outlineLevel="0" collapsed="false">
      <c r="A11623" s="5" t="s">
        <v>457</v>
      </c>
      <c r="C11623" s="25" t="n">
        <f aca="false">C11563-C11613</f>
        <v>196.02712</v>
      </c>
    </row>
    <row r="11624" customFormat="false" ht="15" hidden="false" customHeight="false" outlineLevel="0" collapsed="false">
      <c r="A11624" s="5" t="s">
        <v>458</v>
      </c>
      <c r="C11624" s="25" t="n">
        <f aca="false">C11564-C11614</f>
        <v>509.6</v>
      </c>
    </row>
    <row r="11625" customFormat="false" ht="15" hidden="false" customHeight="false" outlineLevel="0" collapsed="false">
      <c r="A11625" s="5" t="s">
        <v>459</v>
      </c>
      <c r="C11625" s="25" t="n">
        <f aca="false">C11565-C11615</f>
        <v>250</v>
      </c>
    </row>
    <row r="11626" customFormat="false" ht="15" hidden="false" customHeight="false" outlineLevel="0" collapsed="false">
      <c r="A11626" s="5" t="s">
        <v>460</v>
      </c>
      <c r="C11626" s="25" t="n">
        <f aca="false">C11566-C11616</f>
        <v>300</v>
      </c>
    </row>
    <row r="11627" customFormat="false" ht="15" hidden="false" customHeight="false" outlineLevel="0" collapsed="false">
      <c r="A11627" s="23" t="s">
        <v>473</v>
      </c>
      <c r="B11627" s="24"/>
      <c r="C11627" s="24"/>
      <c r="D11627" s="24"/>
      <c r="E11627" s="24"/>
      <c r="F11627" s="24"/>
      <c r="G11627" s="24"/>
      <c r="H11627" s="24"/>
      <c r="I11627" s="24"/>
      <c r="J11627" s="24"/>
      <c r="K11627" s="24"/>
    </row>
    <row r="11628" customFormat="false" ht="15" hidden="false" customHeight="false" outlineLevel="0" collapsed="false">
      <c r="A11628" s="5" t="s">
        <v>457</v>
      </c>
      <c r="C11628" s="21" t="n">
        <f aca="false">IF(C11563=0,0,C11623/C11563)</f>
        <v>0.735316412392419</v>
      </c>
    </row>
    <row r="11629" customFormat="false" ht="15" hidden="false" customHeight="false" outlineLevel="0" collapsed="false">
      <c r="A11629" s="5" t="s">
        <v>458</v>
      </c>
      <c r="C11629" s="21" t="n">
        <f aca="false">IF(C11564=0,0,C11624/C11564)</f>
        <v>1</v>
      </c>
    </row>
    <row r="11630" customFormat="false" ht="15" hidden="false" customHeight="false" outlineLevel="0" collapsed="false">
      <c r="A11630" s="5" t="s">
        <v>459</v>
      </c>
      <c r="C11630" s="21" t="n">
        <f aca="false">IF(C11565=0,0,C11625/C11565)</f>
        <v>1</v>
      </c>
    </row>
    <row r="11631" customFormat="false" ht="15" hidden="false" customHeight="false" outlineLevel="0" collapsed="false">
      <c r="A11631" s="5" t="s">
        <v>460</v>
      </c>
      <c r="C11631" s="21" t="n">
        <f aca="false">IF(C11566=0,0,C11626/C11566)</f>
        <v>1</v>
      </c>
    </row>
    <row r="11632" customFormat="false" ht="15" hidden="false" customHeight="false" outlineLevel="0" collapsed="false">
      <c r="A11632" s="2" t="s">
        <v>474</v>
      </c>
      <c r="C11632" s="16" t="n">
        <f aca="false">MAX(0,$C$11561-SUM($C$11578:$C$11581)-SUM($C$11588:$C$11591))</f>
        <v>0</v>
      </c>
    </row>
    <row r="11633" customFormat="false" ht="15" hidden="false" customHeight="false" outlineLevel="0" collapsed="false">
      <c r="A11633" s="5" t="s">
        <v>492</v>
      </c>
      <c r="C11633" s="33" t="n">
        <f aca="false">MIN(C11560,100*CHOOSE(C11550,C11618,C11619,C11620,C11621))</f>
        <v>0</v>
      </c>
    </row>
    <row r="11634" customFormat="false" ht="15" hidden="false" customHeight="false" outlineLevel="0" collapsed="false">
      <c r="A11634" s="5" t="s">
        <v>493</v>
      </c>
      <c r="C11634" s="20" t="n">
        <f aca="false">IF(C11466=1,C11555+Assumptions!$C$36,C11554)</f>
        <v>3</v>
      </c>
    </row>
    <row r="11635" customFormat="false" ht="15" hidden="false" customHeight="false" outlineLevel="0" collapsed="false">
      <c r="A11635" s="23" t="s">
        <v>494</v>
      </c>
      <c r="B11635" s="24"/>
      <c r="C11635" s="24"/>
      <c r="D11635" s="24"/>
      <c r="E11635" s="24"/>
      <c r="F11635" s="24"/>
      <c r="G11635" s="24"/>
      <c r="H11635" s="24"/>
      <c r="I11635" s="24"/>
      <c r="J11635" s="24"/>
      <c r="K11635" s="24"/>
    </row>
    <row r="11636" customFormat="false" ht="15" hidden="false" customHeight="false" outlineLevel="0" collapsed="false">
      <c r="A11636" s="5" t="s">
        <v>495</v>
      </c>
      <c r="C11636" s="20" t="n">
        <f aca="false">COLUMN()-COLUMN($C$1)</f>
        <v>0</v>
      </c>
      <c r="D11636" s="20" t="n">
        <f aca="false">COLUMN()-COLUMN($C$1)</f>
        <v>1</v>
      </c>
      <c r="E11636" s="20" t="n">
        <f aca="false">COLUMN()-COLUMN($C$1)</f>
        <v>2</v>
      </c>
      <c r="F11636" s="20" t="n">
        <f aca="false">COLUMN()-COLUMN($C$1)</f>
        <v>3</v>
      </c>
      <c r="G11636" s="20" t="n">
        <f aca="false">COLUMN()-COLUMN($C$1)</f>
        <v>4</v>
      </c>
      <c r="H11636" s="20" t="n">
        <f aca="false">COLUMN()-COLUMN($C$1)</f>
        <v>5</v>
      </c>
      <c r="I11636" s="20" t="n">
        <f aca="false">COLUMN()-COLUMN($C$1)</f>
        <v>6</v>
      </c>
    </row>
    <row r="11637" customFormat="false" ht="15" hidden="false" customHeight="false" outlineLevel="0" collapsed="false">
      <c r="A11637" s="5" t="s">
        <v>496</v>
      </c>
      <c r="D11637" s="30" t="n">
        <f aca="false">CHOOSE($C$11550,G11348,G11361,G11374,G11387)</f>
        <v>0.133</v>
      </c>
      <c r="E11637" s="30" t="n">
        <f aca="false">CHOOSE($C$11550,H11348,H11361,H11374,H11387)</f>
        <v>0.1305</v>
      </c>
      <c r="F11637" s="30" t="n">
        <f aca="false">CHOOSE($C$11550,I11348,I11361,I11374,I11387)</f>
        <v>0.128</v>
      </c>
      <c r="G11637" s="30" t="n">
        <f aca="false">CHOOSE($C$11550,J11348,J11361,J11374,J11387)</f>
        <v>0.128</v>
      </c>
      <c r="H11637" s="30" t="n">
        <f aca="false">CHOOSE($C$11550,K11348,K11361,K11374,K11387)</f>
        <v>0.128</v>
      </c>
    </row>
    <row r="11638" customFormat="false" ht="15" hidden="false" customHeight="false" outlineLevel="0" collapsed="false">
      <c r="A11638" s="5" t="s">
        <v>497</v>
      </c>
      <c r="D11638" s="25" t="n">
        <f aca="false">IF(D11636&lt;=$C$11559,$C$11551*D11637,0)</f>
        <v>13.3</v>
      </c>
      <c r="E11638" s="25" t="n">
        <f aca="false">IF(E11636&lt;=$C$11559,$C$11551*E11637,0)</f>
        <v>13.05</v>
      </c>
      <c r="F11638" s="25" t="n">
        <f aca="false">IF(F11636&lt;=$C$11559,$C$11551*F11637,0)</f>
        <v>0</v>
      </c>
      <c r="G11638" s="25" t="n">
        <f aca="false">IF(G11636&lt;=$C$11559,$C$11551*G11637,0)</f>
        <v>0</v>
      </c>
      <c r="H11638" s="25" t="n">
        <f aca="false">IF(H11636&lt;=$C$11559,$C$11551*H11637,0)</f>
        <v>0</v>
      </c>
    </row>
    <row r="11639" customFormat="false" ht="15" hidden="false" customHeight="false" outlineLevel="0" collapsed="false">
      <c r="A11639" s="5" t="s">
        <v>498</v>
      </c>
      <c r="D11639" s="25" t="n">
        <f aca="false">IF(AND($C$11466=0,D11636=$C$11554),$C$11551*$C$11633/100,0)+IF(AND($C$11466=1,D11636=$C$11634),$C$11557,0)</f>
        <v>0</v>
      </c>
      <c r="E11639" s="25" t="n">
        <f aca="false">IF(AND($C$11466=0,E11636=$C$11554),$C$11551*$C$11633/100,0)+IF(AND($C$11466=1,E11636=$C$11634),$C$11557,0)</f>
        <v>0</v>
      </c>
      <c r="F11639" s="25" t="n">
        <f aca="false">IF(AND($C$11466=0,F11636=$C$11554),$C$11551*$C$11633/100,0)+IF(AND($C$11466=1,F11636=$C$11634),$C$11557,0)</f>
        <v>22.6104283359498</v>
      </c>
      <c r="G11639" s="25" t="n">
        <f aca="false">IF(AND($C$11466=0,G11636=$C$11554),$C$11551*$C$11633/100,0)+IF(AND($C$11466=1,G11636=$C$11634),$C$11557,0)</f>
        <v>0</v>
      </c>
      <c r="H11639" s="25" t="n">
        <f aca="false">IF(AND($C$11466=0,H11636=$C$11554),$C$11551*$C$11633/100,0)+IF(AND($C$11466=1,H11636=$C$11634),$C$11557,0)</f>
        <v>0</v>
      </c>
      <c r="I11639" s="25" t="n">
        <f aca="false">IF(AND($C$11466=0,I11636=$C$11554),$C$11551*$C$11633/100,0)+IF(AND($C$11466=1,I11636=$C$11634),$C$11557,0)</f>
        <v>0</v>
      </c>
    </row>
    <row r="11640" customFormat="false" ht="15" hidden="false" customHeight="false" outlineLevel="0" collapsed="false">
      <c r="A11640" s="2" t="s">
        <v>499</v>
      </c>
      <c r="C11640" s="16" t="n">
        <f aca="false">-$C$11553</f>
        <v>-78.39</v>
      </c>
      <c r="D11640" s="16" t="n">
        <f aca="false">D11638+D11639</f>
        <v>13.3</v>
      </c>
      <c r="E11640" s="16" t="n">
        <f aca="false">E11638+E11639</f>
        <v>13.05</v>
      </c>
      <c r="F11640" s="16" t="n">
        <f aca="false">F11638+F11639</f>
        <v>22.6104283359498</v>
      </c>
      <c r="G11640" s="16" t="n">
        <f aca="false">G11638+G11639</f>
        <v>0</v>
      </c>
      <c r="H11640" s="16" t="n">
        <f aca="false">H11638+H11639</f>
        <v>0</v>
      </c>
      <c r="I11640" s="16" t="n">
        <f aca="false">I11638+I11639</f>
        <v>0</v>
      </c>
    </row>
    <row r="11641" customFormat="false" ht="15" hidden="false" customHeight="false" outlineLevel="0" collapsed="false">
      <c r="A11641" s="5" t="s">
        <v>500</v>
      </c>
      <c r="C11641" s="25" t="n">
        <f aca="false">SUM($C$11638:$I$11638)</f>
        <v>26.35</v>
      </c>
    </row>
    <row r="11642" customFormat="false" ht="15" hidden="false" customHeight="false" outlineLevel="0" collapsed="false">
      <c r="A11642" s="5" t="s">
        <v>501</v>
      </c>
      <c r="C11642" s="25" t="n">
        <f aca="false">SUM($C$11639:$I$11639)</f>
        <v>22.6104283359498</v>
      </c>
    </row>
    <row r="11643" customFormat="false" ht="15" hidden="false" customHeight="false" outlineLevel="0" collapsed="false">
      <c r="A11643" s="5" t="s">
        <v>502</v>
      </c>
      <c r="C11643" s="25" t="n">
        <f aca="false">C11641+C11642</f>
        <v>48.9604283359498</v>
      </c>
    </row>
    <row r="11644" customFormat="false" ht="15" hidden="false" customHeight="false" outlineLevel="0" collapsed="false">
      <c r="A11644" s="5" t="s">
        <v>503</v>
      </c>
      <c r="C11644" s="25" t="n">
        <f aca="false">C11642-C11551*C11552/100</f>
        <v>-55.3895716640502</v>
      </c>
    </row>
    <row r="11645" customFormat="false" ht="15" hidden="false" customHeight="false" outlineLevel="0" collapsed="false">
      <c r="A11645" s="5" t="s">
        <v>504</v>
      </c>
      <c r="C11645" s="25" t="n">
        <f aca="false">C11643-C11553</f>
        <v>-29.4295716640502</v>
      </c>
    </row>
    <row r="11646" customFormat="false" ht="15" hidden="false" customHeight="false" outlineLevel="0" collapsed="false">
      <c r="A11646" s="2" t="s">
        <v>385</v>
      </c>
      <c r="C11646" s="43" t="n">
        <f aca="false">C11643/C11553</f>
        <v>0.624574924556063</v>
      </c>
    </row>
    <row r="11647" customFormat="false" ht="15" hidden="false" customHeight="false" outlineLevel="0" collapsed="false">
      <c r="A11647" s="2" t="s">
        <v>384</v>
      </c>
      <c r="C11647" s="41" t="n">
        <f aca="false">IF(C11643&lt;=0,-1,IFERROR(IRR($C$11640:$I$11640,MAX(-0.9,C11646^(1/C11634)-1)),IRR($C$11640:$I$11640,0.1)))</f>
        <v>-0.187939454200317</v>
      </c>
    </row>
    <row r="11648" customFormat="false" ht="15" hidden="false" customHeight="false" outlineLevel="0" collapsed="false">
      <c r="A11648" s="5" t="s">
        <v>505</v>
      </c>
      <c r="C11648" s="31" t="n">
        <f aca="false">MAX($G$11442:$K$11442)</f>
        <v>80.8528402445853</v>
      </c>
    </row>
    <row r="11649" customFormat="false" ht="15" hidden="false" customHeight="false" outlineLevel="0" collapsed="false">
      <c r="A11649" s="5" t="s">
        <v>506</v>
      </c>
      <c r="C11649" s="31" t="n">
        <f aca="false">MIN($G$11443:$K$11443)</f>
        <v>0.136737557325042</v>
      </c>
    </row>
    <row r="11650" customFormat="false" ht="15" hidden="false" customHeight="false" outlineLevel="0" collapsed="false">
      <c r="A11650" s="5" t="s">
        <v>507</v>
      </c>
      <c r="C11650" s="25" t="n">
        <f aca="false">SUM($G$11332:$K$11332)</f>
        <v>-874.952542275879</v>
      </c>
    </row>
    <row r="11654" customFormat="false" ht="15" hidden="false" customHeight="false" outlineLevel="0" collapsed="false">
      <c r="A11654" s="9" t="s">
        <v>659</v>
      </c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</row>
    <row r="11655" customFormat="false" ht="15" hidden="false" customHeight="false" outlineLevel="0" collapsed="false">
      <c r="A11655" s="5" t="s">
        <v>622</v>
      </c>
      <c r="C11655" s="11" t="n">
        <v>1</v>
      </c>
    </row>
    <row r="11656" customFormat="false" ht="15" hidden="false" customHeight="false" outlineLevel="0" collapsed="false">
      <c r="A11656" s="5" t="s">
        <v>623</v>
      </c>
      <c r="C11656" s="18" t="n">
        <v>0</v>
      </c>
    </row>
    <row r="11657" customFormat="false" ht="15" hidden="false" customHeight="false" outlineLevel="0" collapsed="false">
      <c r="A11657" s="5" t="s">
        <v>624</v>
      </c>
      <c r="C11657" s="18" t="n">
        <v>0</v>
      </c>
    </row>
    <row r="11658" customFormat="false" ht="15" hidden="false" customHeight="false" outlineLevel="0" collapsed="false">
      <c r="A11658" s="5" t="s">
        <v>625</v>
      </c>
      <c r="C11658" s="29" t="n">
        <f aca="false">Sensitivities!$A$50</f>
        <v>-0.01</v>
      </c>
    </row>
    <row r="11659" customFormat="false" ht="15" hidden="false" customHeight="false" outlineLevel="0" collapsed="false">
      <c r="A11659" s="5" t="s">
        <v>626</v>
      </c>
      <c r="C11659" s="15" t="n">
        <v>0</v>
      </c>
    </row>
    <row r="11661" customFormat="false" ht="15" hidden="false" customHeight="false" outlineLevel="0" collapsed="false">
      <c r="A11661" s="23" t="s">
        <v>237</v>
      </c>
      <c r="B11661" s="24"/>
      <c r="C11661" s="24"/>
      <c r="D11661" s="24"/>
      <c r="E11661" s="24"/>
      <c r="F11661" s="24"/>
      <c r="G11661" s="24"/>
      <c r="H11661" s="24"/>
      <c r="I11661" s="24"/>
      <c r="J11661" s="24"/>
      <c r="K11661" s="24"/>
    </row>
    <row r="11662" customFormat="false" ht="15" hidden="false" customHeight="false" outlineLevel="0" collapsed="false">
      <c r="A11662" s="5" t="s">
        <v>238</v>
      </c>
      <c r="F11662" s="26" t="n">
        <f aca="false">Assumptions!$C$6</f>
        <v>2025</v>
      </c>
      <c r="G11662" s="20" t="n">
        <f aca="false">F11662+1</f>
        <v>2026</v>
      </c>
      <c r="H11662" s="20" t="n">
        <f aca="false">G11662+1</f>
        <v>2027</v>
      </c>
      <c r="I11662" s="20" t="n">
        <f aca="false">H11662+1</f>
        <v>2028</v>
      </c>
      <c r="J11662" s="20" t="n">
        <f aca="false">I11662+1</f>
        <v>2029</v>
      </c>
      <c r="K11662" s="20" t="n">
        <f aca="false">J11662+1</f>
        <v>2030</v>
      </c>
    </row>
    <row r="11663" customFormat="false" ht="15" hidden="false" customHeight="false" outlineLevel="0" collapsed="false">
      <c r="A11663" s="5" t="s">
        <v>239</v>
      </c>
      <c r="G11663" s="20" t="n">
        <f aca="false">G11662-Assumptions!$C$6</f>
        <v>1</v>
      </c>
      <c r="H11663" s="20" t="n">
        <f aca="false">H11662-Assumptions!$C$6</f>
        <v>2</v>
      </c>
      <c r="I11663" s="20" t="n">
        <f aca="false">I11662-Assumptions!$C$6</f>
        <v>3</v>
      </c>
      <c r="J11663" s="20" t="n">
        <f aca="false">J11662-Assumptions!$C$6</f>
        <v>4</v>
      </c>
      <c r="K11663" s="20" t="n">
        <f aca="false">K11662-Assumptions!$C$6</f>
        <v>5</v>
      </c>
    </row>
    <row r="11664" customFormat="false" ht="15" hidden="false" customHeight="false" outlineLevel="0" collapsed="false">
      <c r="A11664" s="5" t="s">
        <v>149</v>
      </c>
      <c r="G11664" s="21" t="n">
        <f aca="false">CHOOSE($C$11655,Assumptions!$G$65,Assumptions!$G$84,Assumptions!$G$103)+$C$11656</f>
        <v>-0.01</v>
      </c>
      <c r="H11664" s="21" t="n">
        <f aca="false">CHOOSE($C$11655,Assumptions!$H$65,Assumptions!$H$84,Assumptions!$H$103)+$C$11656</f>
        <v>-0.01</v>
      </c>
      <c r="I11664" s="21" t="n">
        <f aca="false">CHOOSE($C$11655,Assumptions!$I$65,Assumptions!$I$84,Assumptions!$I$103)+$C$11656</f>
        <v>-0.01</v>
      </c>
      <c r="J11664" s="21" t="n">
        <f aca="false">CHOOSE($C$11655,Assumptions!$J$65,Assumptions!$J$84,Assumptions!$J$103)+$C$11656</f>
        <v>-0.01</v>
      </c>
      <c r="K11664" s="21" t="n">
        <f aca="false">CHOOSE($C$11655,Assumptions!$K$65,Assumptions!$K$84,Assumptions!$K$103)+$C$11656</f>
        <v>-0.01</v>
      </c>
    </row>
    <row r="11665" customFormat="false" ht="15" hidden="false" customHeight="false" outlineLevel="0" collapsed="false">
      <c r="A11665" s="5" t="s">
        <v>150</v>
      </c>
      <c r="G11665" s="21" t="n">
        <f aca="false">CHOOSE($C$11655,Assumptions!$G$66,Assumptions!$G$85,Assumptions!$G$104)</f>
        <v>0.36</v>
      </c>
      <c r="H11665" s="21" t="n">
        <f aca="false">CHOOSE($C$11655,Assumptions!$H$66,Assumptions!$H$85,Assumptions!$H$104)</f>
        <v>0.362</v>
      </c>
      <c r="I11665" s="21" t="n">
        <f aca="false">CHOOSE($C$11655,Assumptions!$I$66,Assumptions!$I$85,Assumptions!$I$104)</f>
        <v>0.364</v>
      </c>
      <c r="J11665" s="21" t="n">
        <f aca="false">CHOOSE($C$11655,Assumptions!$J$66,Assumptions!$J$85,Assumptions!$J$104)</f>
        <v>0.366</v>
      </c>
      <c r="K11665" s="21" t="n">
        <f aca="false">CHOOSE($C$11655,Assumptions!$K$66,Assumptions!$K$85,Assumptions!$K$104)</f>
        <v>0.368</v>
      </c>
    </row>
    <row r="11666" customFormat="false" ht="15" hidden="false" customHeight="false" outlineLevel="0" collapsed="false">
      <c r="A11666" s="5" t="s">
        <v>151</v>
      </c>
      <c r="G11666" s="21" t="n">
        <f aca="false">CHOOSE($C$11655,Assumptions!$G$67,Assumptions!$G$86,Assumptions!$G$105)+$C$11657</f>
        <v>0.065</v>
      </c>
      <c r="H11666" s="21" t="n">
        <f aca="false">CHOOSE($C$11655,Assumptions!$H$67,Assumptions!$H$86,Assumptions!$H$105)+$C$11657</f>
        <v>0.067</v>
      </c>
      <c r="I11666" s="21" t="n">
        <f aca="false">CHOOSE($C$11655,Assumptions!$I$67,Assumptions!$I$86,Assumptions!$I$105)+$C$11657</f>
        <v>0.069</v>
      </c>
      <c r="J11666" s="21" t="n">
        <f aca="false">CHOOSE($C$11655,Assumptions!$J$67,Assumptions!$J$86,Assumptions!$J$105)+$C$11657</f>
        <v>0.071</v>
      </c>
      <c r="K11666" s="21" t="n">
        <f aca="false">CHOOSE($C$11655,Assumptions!$K$67,Assumptions!$K$86,Assumptions!$K$105)+$C$11657</f>
        <v>0.073</v>
      </c>
    </row>
    <row r="11667" customFormat="false" ht="15" hidden="false" customHeight="false" outlineLevel="0" collapsed="false">
      <c r="A11667" s="23" t="s">
        <v>240</v>
      </c>
      <c r="B11667" s="24"/>
      <c r="C11667" s="24"/>
      <c r="D11667" s="24"/>
      <c r="E11667" s="24"/>
      <c r="F11667" s="24"/>
      <c r="G11667" s="24"/>
      <c r="H11667" s="24"/>
      <c r="I11667" s="24"/>
      <c r="J11667" s="24"/>
      <c r="K11667" s="24"/>
    </row>
    <row r="11668" customFormat="false" ht="15" hidden="false" customHeight="false" outlineLevel="0" collapsed="false">
      <c r="A11668" s="2" t="s">
        <v>207</v>
      </c>
      <c r="F11668" s="27" t="n">
        <f aca="false">'Historical Financials'!E17</f>
        <v>2400</v>
      </c>
      <c r="G11668" s="16" t="n">
        <f aca="false">F11668*(1+G11664)</f>
        <v>2376</v>
      </c>
      <c r="H11668" s="16" t="n">
        <f aca="false">G11668*(1+H11664)</f>
        <v>2352.24</v>
      </c>
      <c r="I11668" s="16" t="n">
        <f aca="false">H11668*(1+I11664)</f>
        <v>2328.7176</v>
      </c>
      <c r="J11668" s="16" t="n">
        <f aca="false">I11668*(1+J11664)</f>
        <v>2305.430424</v>
      </c>
      <c r="K11668" s="16" t="n">
        <f aca="false">J11668*(1+K11664)</f>
        <v>2282.37611976</v>
      </c>
    </row>
    <row r="11669" customFormat="false" ht="15" hidden="false" customHeight="false" outlineLevel="0" collapsed="false">
      <c r="A11669" s="5" t="s">
        <v>217</v>
      </c>
      <c r="G11669" s="25" t="n">
        <f aca="false">G11668*(1-G11665)</f>
        <v>1520.64</v>
      </c>
      <c r="H11669" s="25" t="n">
        <f aca="false">H11668*(1-H11665)</f>
        <v>1500.72912</v>
      </c>
      <c r="I11669" s="25" t="n">
        <f aca="false">I11668*(1-I11665)</f>
        <v>1481.0643936</v>
      </c>
      <c r="J11669" s="25" t="n">
        <f aca="false">J11668*(1-J11665)</f>
        <v>1461.642888816</v>
      </c>
      <c r="K11669" s="25" t="n">
        <f aca="false">K11668*(1-K11665)</f>
        <v>1442.46170768832</v>
      </c>
    </row>
    <row r="11670" customFormat="false" ht="15" hidden="false" customHeight="false" outlineLevel="0" collapsed="false">
      <c r="A11670" s="2" t="s">
        <v>218</v>
      </c>
      <c r="G11670" s="16" t="n">
        <f aca="false">G11668-G11669</f>
        <v>855.36</v>
      </c>
      <c r="H11670" s="16" t="n">
        <f aca="false">H11668-H11669</f>
        <v>851.51088</v>
      </c>
      <c r="I11670" s="16" t="n">
        <f aca="false">I11668-I11669</f>
        <v>847.6532064</v>
      </c>
      <c r="J11670" s="16" t="n">
        <f aca="false">J11668-J11669</f>
        <v>843.787535184</v>
      </c>
      <c r="K11670" s="16" t="n">
        <f aca="false">K11668-K11669</f>
        <v>839.91441207168</v>
      </c>
    </row>
    <row r="11671" customFormat="false" ht="15" hidden="false" customHeight="false" outlineLevel="0" collapsed="false">
      <c r="A11671" s="5" t="s">
        <v>241</v>
      </c>
      <c r="G11671" s="25" t="n">
        <f aca="false">G11670-G11672</f>
        <v>700.92</v>
      </c>
      <c r="H11671" s="25" t="n">
        <f aca="false">H11670-H11672</f>
        <v>693.9108</v>
      </c>
      <c r="I11671" s="25" t="n">
        <f aca="false">I11670-I11672</f>
        <v>686.971692</v>
      </c>
      <c r="J11671" s="25" t="n">
        <f aca="false">J11670-J11672</f>
        <v>680.10197508</v>
      </c>
      <c r="K11671" s="25" t="n">
        <f aca="false">K11670-K11672</f>
        <v>673.3009553292</v>
      </c>
    </row>
    <row r="11672" customFormat="false" ht="15" hidden="false" customHeight="false" outlineLevel="0" collapsed="false">
      <c r="A11672" s="2" t="s">
        <v>242</v>
      </c>
      <c r="G11672" s="16" t="n">
        <f aca="false">G11668*G11666</f>
        <v>154.44</v>
      </c>
      <c r="H11672" s="16" t="n">
        <f aca="false">H11668*H11666</f>
        <v>157.60008</v>
      </c>
      <c r="I11672" s="16" t="n">
        <f aca="false">I11668*I11666</f>
        <v>160.6815144</v>
      </c>
      <c r="J11672" s="16" t="n">
        <f aca="false">J11668*J11666</f>
        <v>163.685560104</v>
      </c>
      <c r="K11672" s="16" t="n">
        <f aca="false">K11668*K11666</f>
        <v>166.61345674248</v>
      </c>
    </row>
    <row r="11673" customFormat="false" ht="15" hidden="false" customHeight="false" outlineLevel="0" collapsed="false">
      <c r="A11673" s="5" t="s">
        <v>243</v>
      </c>
      <c r="G11673" s="25" t="n">
        <f aca="false">G11668*'Historical Financials'!E22/'Historical Financials'!E17</f>
        <v>52.272</v>
      </c>
      <c r="H11673" s="25" t="n">
        <f aca="false">H11668*'Historical Financials'!E22/'Historical Financials'!E17</f>
        <v>51.74928</v>
      </c>
      <c r="I11673" s="25" t="n">
        <f aca="false">I11668*'Historical Financials'!E22/'Historical Financials'!E17</f>
        <v>51.2317872</v>
      </c>
      <c r="J11673" s="25" t="n">
        <f aca="false">J11668*'Historical Financials'!E22/'Historical Financials'!E17</f>
        <v>50.719469328</v>
      </c>
      <c r="K11673" s="25" t="n">
        <f aca="false">K11668*'Historical Financials'!E22/'Historical Financials'!E17</f>
        <v>50.21227463472</v>
      </c>
    </row>
    <row r="11674" customFormat="false" ht="15" hidden="false" customHeight="false" outlineLevel="0" collapsed="false">
      <c r="A11674" s="5" t="s">
        <v>244</v>
      </c>
      <c r="G11674" s="25" t="n">
        <f aca="false">G11668*'Historical Financials'!E23/'Historical Financials'!E17</f>
        <v>0</v>
      </c>
      <c r="H11674" s="25" t="n">
        <f aca="false">H11668*'Historical Financials'!E23/'Historical Financials'!E17</f>
        <v>0</v>
      </c>
      <c r="I11674" s="25" t="n">
        <f aca="false">I11668*'Historical Financials'!E23/'Historical Financials'!E17</f>
        <v>0</v>
      </c>
      <c r="J11674" s="25" t="n">
        <f aca="false">J11668*'Historical Financials'!E23/'Historical Financials'!E17</f>
        <v>0</v>
      </c>
      <c r="K11674" s="25" t="n">
        <f aca="false">K11668*'Historical Financials'!E23/'Historical Financials'!E17</f>
        <v>0</v>
      </c>
    </row>
    <row r="11675" customFormat="false" ht="15" hidden="false" customHeight="false" outlineLevel="0" collapsed="false">
      <c r="A11675" s="2" t="s">
        <v>245</v>
      </c>
      <c r="G11675" s="16" t="n">
        <f aca="false">G11672-G11673-G11674</f>
        <v>102.168</v>
      </c>
      <c r="H11675" s="16" t="n">
        <f aca="false">H11672-H11673-H11674</f>
        <v>105.8508</v>
      </c>
      <c r="I11675" s="16" t="n">
        <f aca="false">I11672-I11673-I11674</f>
        <v>109.4497272</v>
      </c>
      <c r="J11675" s="16" t="n">
        <f aca="false">J11672-J11673-J11674</f>
        <v>112.966090776</v>
      </c>
      <c r="K11675" s="16" t="n">
        <f aca="false">K11672-K11673-K11674</f>
        <v>116.40118210776</v>
      </c>
    </row>
    <row r="11676" customFormat="false" ht="15" hidden="false" customHeight="false" outlineLevel="0" collapsed="false">
      <c r="A11676" s="5" t="s">
        <v>246</v>
      </c>
      <c r="G11676" s="25" t="n">
        <f aca="false">G11702+G11715+G11728+G11741</f>
        <v>112.04</v>
      </c>
      <c r="H11676" s="25" t="n">
        <f aca="false">H11702+H11715+H11728+H11741</f>
        <v>107.05874</v>
      </c>
      <c r="I11676" s="25" t="n">
        <f aca="false">I11702+I11715+I11728+I11741</f>
        <v>120.8869486</v>
      </c>
      <c r="J11676" s="25" t="n">
        <f aca="false">J11702+J11715+J11728+J11741</f>
        <v>132.533429402</v>
      </c>
      <c r="K11676" s="25" t="n">
        <f aca="false">K11702+K11715+K11728+K11741</f>
        <v>133.87125123438</v>
      </c>
    </row>
    <row r="11677" customFormat="false" ht="15" hidden="false" customHeight="false" outlineLevel="0" collapsed="false">
      <c r="A11677" s="5" t="s">
        <v>247</v>
      </c>
      <c r="G11677" s="25" t="n">
        <f aca="false">G11703+G11716+G11729+G11742</f>
        <v>0</v>
      </c>
      <c r="H11677" s="25" t="n">
        <f aca="false">H11703+H11716+H11729+H11742</f>
        <v>0</v>
      </c>
      <c r="I11677" s="25" t="n">
        <f aca="false">I11703+I11716+I11729+I11742</f>
        <v>0</v>
      </c>
      <c r="J11677" s="25" t="n">
        <f aca="false">J11703+J11716+J11729+J11742</f>
        <v>0</v>
      </c>
      <c r="K11677" s="25" t="n">
        <f aca="false">K11703+K11716+K11729+K11742</f>
        <v>0</v>
      </c>
    </row>
    <row r="11678" customFormat="false" ht="15" hidden="false" customHeight="false" outlineLevel="0" collapsed="false">
      <c r="A11678" s="5" t="s">
        <v>212</v>
      </c>
      <c r="G11678" s="25" t="n">
        <f aca="false">G11676+G11677</f>
        <v>112.04</v>
      </c>
      <c r="H11678" s="25" t="n">
        <f aca="false">H11676+H11677</f>
        <v>107.05874</v>
      </c>
      <c r="I11678" s="25" t="n">
        <f aca="false">I11676+I11677</f>
        <v>120.8869486</v>
      </c>
      <c r="J11678" s="25" t="n">
        <f aca="false">J11676+J11677</f>
        <v>132.533429402</v>
      </c>
      <c r="K11678" s="25" t="n">
        <f aca="false">K11676+K11677</f>
        <v>133.87125123438</v>
      </c>
    </row>
    <row r="11679" customFormat="false" ht="15" hidden="false" customHeight="false" outlineLevel="0" collapsed="false">
      <c r="A11679" s="2" t="s">
        <v>223</v>
      </c>
      <c r="G11679" s="16" t="n">
        <f aca="false">G11675-G11678</f>
        <v>-9.872</v>
      </c>
      <c r="H11679" s="16" t="n">
        <f aca="false">H11675-H11678</f>
        <v>-1.20794000000001</v>
      </c>
      <c r="I11679" s="16" t="n">
        <f aca="false">I11675-I11678</f>
        <v>-11.4372214</v>
      </c>
      <c r="J11679" s="16" t="n">
        <f aca="false">J11675-J11678</f>
        <v>-19.567338626</v>
      </c>
      <c r="K11679" s="16" t="n">
        <f aca="false">K11675-K11678</f>
        <v>-17.47006912662</v>
      </c>
    </row>
    <row r="11680" customFormat="false" ht="15" hidden="false" customHeight="false" outlineLevel="0" collapsed="false">
      <c r="A11680" s="5" t="s">
        <v>213</v>
      </c>
      <c r="G11680" s="25" t="n">
        <f aca="false">MAX(0,G11679)*Assumptions!$C$9</f>
        <v>0</v>
      </c>
      <c r="H11680" s="25" t="n">
        <f aca="false">MAX(0,H11679)*Assumptions!$C$9</f>
        <v>0</v>
      </c>
      <c r="I11680" s="25" t="n">
        <f aca="false">MAX(0,I11679)*Assumptions!$C$9</f>
        <v>0</v>
      </c>
      <c r="J11680" s="25" t="n">
        <f aca="false">MAX(0,J11679)*Assumptions!$C$9</f>
        <v>0</v>
      </c>
      <c r="K11680" s="25" t="n">
        <f aca="false">MAX(0,K11679)*Assumptions!$C$9</f>
        <v>0</v>
      </c>
    </row>
    <row r="11681" customFormat="false" ht="15" hidden="false" customHeight="false" outlineLevel="0" collapsed="false">
      <c r="A11681" s="2" t="s">
        <v>248</v>
      </c>
      <c r="G11681" s="16" t="n">
        <f aca="false">G11679-G11680</f>
        <v>-9.872</v>
      </c>
      <c r="H11681" s="16" t="n">
        <f aca="false">H11679-H11680</f>
        <v>-1.20794000000001</v>
      </c>
      <c r="I11681" s="16" t="n">
        <f aca="false">I11679-I11680</f>
        <v>-11.4372214</v>
      </c>
      <c r="J11681" s="16" t="n">
        <f aca="false">J11679-J11680</f>
        <v>-19.567338626</v>
      </c>
      <c r="K11681" s="16" t="n">
        <f aca="false">K11679-K11680</f>
        <v>-17.47006912662</v>
      </c>
    </row>
    <row r="11682" customFormat="false" ht="15" hidden="false" customHeight="false" outlineLevel="0" collapsed="false">
      <c r="A11682" s="23" t="s">
        <v>249</v>
      </c>
      <c r="B11682" s="24"/>
      <c r="C11682" s="24"/>
      <c r="D11682" s="24"/>
      <c r="E11682" s="24"/>
      <c r="F11682" s="24"/>
      <c r="G11682" s="24"/>
      <c r="H11682" s="24"/>
      <c r="I11682" s="24"/>
      <c r="J11682" s="24"/>
      <c r="K11682" s="24"/>
    </row>
    <row r="11683" customFormat="false" ht="15" hidden="false" customHeight="false" outlineLevel="0" collapsed="false">
      <c r="A11683" s="5" t="s">
        <v>153</v>
      </c>
      <c r="G11683" s="25" t="n">
        <f aca="false">G11668*CHOOSE($C$11655,Assumptions!$C$69,Assumptions!$C$88,Assumptions!$C$107)</f>
        <v>47.52</v>
      </c>
      <c r="H11683" s="25" t="n">
        <f aca="false">H11668*CHOOSE($C$11655,Assumptions!$C$69,Assumptions!$C$88,Assumptions!$C$107)</f>
        <v>47.0448</v>
      </c>
      <c r="I11683" s="25" t="n">
        <f aca="false">I11668*CHOOSE($C$11655,Assumptions!$C$69,Assumptions!$C$88,Assumptions!$C$107)</f>
        <v>46.574352</v>
      </c>
      <c r="J11683" s="25" t="n">
        <f aca="false">J11668*CHOOSE($C$11655,Assumptions!$C$69,Assumptions!$C$88,Assumptions!$C$107)</f>
        <v>46.10860848</v>
      </c>
      <c r="K11683" s="25" t="n">
        <f aca="false">K11668*CHOOSE($C$11655,Assumptions!$C$69,Assumptions!$C$88,Assumptions!$C$107)</f>
        <v>45.6475223952</v>
      </c>
    </row>
    <row r="11684" customFormat="false" ht="15" hidden="false" customHeight="false" outlineLevel="0" collapsed="false">
      <c r="A11684" s="5" t="s">
        <v>250</v>
      </c>
      <c r="G11684" s="25" t="n">
        <f aca="false">CHOOSE($C$11655,Assumptions!$C$70,Assumptions!$C$89,Assumptions!$C$108)*(G11668-F11668)+CHOOSE($C$11655,Assumptions!$C$71,Assumptions!$C$90,Assumptions!$C$109)*G11668</f>
        <v>-2.88</v>
      </c>
      <c r="H11684" s="25" t="n">
        <f aca="false">CHOOSE($C$11655,Assumptions!$C$70,Assumptions!$C$89,Assumptions!$C$108)*(H11668-G11668)+CHOOSE($C$11655,Assumptions!$C$71,Assumptions!$C$90,Assumptions!$C$109)*H11668</f>
        <v>-2.85120000000003</v>
      </c>
      <c r="I11684" s="25" t="n">
        <f aca="false">CHOOSE($C$11655,Assumptions!$C$70,Assumptions!$C$89,Assumptions!$C$108)*(I11668-H11668)+CHOOSE($C$11655,Assumptions!$C$71,Assumptions!$C$90,Assumptions!$C$109)*I11668</f>
        <v>-2.82268799999998</v>
      </c>
      <c r="J11684" s="25" t="n">
        <f aca="false">CHOOSE($C$11655,Assumptions!$C$70,Assumptions!$C$89,Assumptions!$C$108)*(J11668-I11668)+CHOOSE($C$11655,Assumptions!$C$71,Assumptions!$C$90,Assumptions!$C$109)*J11668</f>
        <v>-2.79446111999998</v>
      </c>
      <c r="K11684" s="25" t="n">
        <f aca="false">CHOOSE($C$11655,Assumptions!$C$70,Assumptions!$C$89,Assumptions!$C$108)*(K11668-J11668)+CHOOSE($C$11655,Assumptions!$C$71,Assumptions!$C$90,Assumptions!$C$109)*K11668</f>
        <v>-2.7665165088</v>
      </c>
    </row>
    <row r="11685" customFormat="false" ht="15" hidden="false" customHeight="false" outlineLevel="0" collapsed="false">
      <c r="A11685" s="2" t="s">
        <v>251</v>
      </c>
      <c r="G11685" s="16" t="n">
        <f aca="false">G11681+G11673+G11674+G11677-G11683-G11684</f>
        <v>-2.24</v>
      </c>
      <c r="H11685" s="16" t="n">
        <f aca="false">H11681+H11673+H11674+H11677-H11683-H11684</f>
        <v>6.34774000000002</v>
      </c>
      <c r="I11685" s="16" t="n">
        <f aca="false">I11681+I11673+I11674+I11677-I11683-I11684</f>
        <v>-3.95709820000002</v>
      </c>
      <c r="J11685" s="16" t="n">
        <f aca="false">J11681+J11673+J11674+J11677-J11683-J11684</f>
        <v>-12.162016658</v>
      </c>
      <c r="K11685" s="16" t="n">
        <f aca="false">K11681+K11673+K11674+K11677-K11683-K11684</f>
        <v>-10.1388003783</v>
      </c>
    </row>
    <row r="11687" customFormat="false" ht="15" hidden="false" customHeight="false" outlineLevel="0" collapsed="false">
      <c r="A11687" s="23" t="s">
        <v>253</v>
      </c>
      <c r="B11687" s="24"/>
      <c r="C11687" s="24"/>
      <c r="D11687" s="24"/>
      <c r="E11687" s="24"/>
      <c r="F11687" s="24"/>
      <c r="G11687" s="24"/>
      <c r="H11687" s="24"/>
      <c r="I11687" s="24"/>
      <c r="J11687" s="24"/>
      <c r="K11687" s="24"/>
    </row>
    <row r="11688" customFormat="false" ht="15" hidden="false" customHeight="false" outlineLevel="0" collapsed="false">
      <c r="A11688" s="5" t="s">
        <v>254</v>
      </c>
      <c r="G11688" s="29" t="n">
        <f aca="false">Assumptions!$G$49</f>
        <v>0.0425</v>
      </c>
      <c r="H11688" s="29" t="n">
        <f aca="false">Assumptions!$H$49</f>
        <v>0.04</v>
      </c>
      <c r="I11688" s="29" t="n">
        <f aca="false">Assumptions!$I$49</f>
        <v>0.0375</v>
      </c>
      <c r="J11688" s="29" t="n">
        <f aca="false">Assumptions!$J$49</f>
        <v>0.0375</v>
      </c>
      <c r="K11688" s="29" t="n">
        <f aca="false">Assumptions!$K$49</f>
        <v>0.0375</v>
      </c>
    </row>
    <row r="11689" customFormat="false" ht="15" hidden="false" customHeight="false" outlineLevel="0" collapsed="false">
      <c r="A11689" s="5" t="s">
        <v>255</v>
      </c>
      <c r="C11689" s="30" t="n">
        <f aca="false">CHOOSE($C$11655,Assumptions!$C$72,Assumptions!$C$91,Assumptions!$C$110)+$C$11658</f>
        <v>-0.01</v>
      </c>
    </row>
    <row r="11690" customFormat="false" ht="15" hidden="false" customHeight="false" outlineLevel="0" collapsed="false">
      <c r="A11690" s="5" t="s">
        <v>256</v>
      </c>
      <c r="C11690" s="30" t="n">
        <f aca="false">CHOOSE($C$11655,Assumptions!$C$73,Assumptions!$C$92,Assumptions!$C$111)</f>
        <v>0.11</v>
      </c>
    </row>
    <row r="11691" customFormat="false" ht="15" hidden="false" customHeight="false" outlineLevel="0" collapsed="false">
      <c r="A11691" s="5" t="s">
        <v>257</v>
      </c>
      <c r="C11691" s="31" t="n">
        <f aca="false">CHOOSE($C$11655,Assumptions!$C$74,Assumptions!$C$93,Assumptions!$C$112)</f>
        <v>8.5</v>
      </c>
    </row>
    <row r="11692" customFormat="false" ht="15" hidden="false" customHeight="false" outlineLevel="0" collapsed="false">
      <c r="A11692" s="5" t="s">
        <v>258</v>
      </c>
      <c r="C11692" s="31" t="n">
        <f aca="false">CHOOSE($C$11655,Assumptions!$C$75,Assumptions!$C$94,Assumptions!$C$113)</f>
        <v>1.2</v>
      </c>
    </row>
    <row r="11693" customFormat="false" ht="15" hidden="false" customHeight="false" outlineLevel="0" collapsed="false">
      <c r="A11693" s="5" t="s">
        <v>259</v>
      </c>
      <c r="G11693" s="25" t="n">
        <f aca="false">G11698+G11711+G11724+G11737</f>
        <v>1250</v>
      </c>
      <c r="H11693" s="25" t="n">
        <f aca="false">H11698+H11711+H11724+H11737</f>
        <v>1207.24</v>
      </c>
      <c r="I11693" s="25" t="n">
        <f aca="false">I11698+I11711+I11724+I11737</f>
        <v>1200.89226</v>
      </c>
      <c r="J11693" s="25" t="n">
        <f aca="false">J11698+J11711+J11724+J11737</f>
        <v>1204.8493582</v>
      </c>
      <c r="K11693" s="25" t="n">
        <f aca="false">K11698+K11711+K11724+K11737</f>
        <v>1217.011374858</v>
      </c>
    </row>
    <row r="11694" customFormat="false" ht="15" hidden="false" customHeight="false" outlineLevel="0" collapsed="false">
      <c r="A11694" s="5" t="s">
        <v>260</v>
      </c>
      <c r="G11694" s="25" t="n">
        <f aca="false">F11784</f>
        <v>45</v>
      </c>
      <c r="H11694" s="25" t="n">
        <f aca="false">G11784</f>
        <v>0</v>
      </c>
      <c r="I11694" s="25" t="n">
        <f aca="false">H11784</f>
        <v>0</v>
      </c>
      <c r="J11694" s="25" t="n">
        <f aca="false">I11784</f>
        <v>0</v>
      </c>
      <c r="K11694" s="25" t="n">
        <f aca="false">J11784</f>
        <v>0</v>
      </c>
    </row>
    <row r="11695" customFormat="false" ht="15" hidden="false" customHeight="false" outlineLevel="0" collapsed="false">
      <c r="A11695" s="5" t="s">
        <v>261</v>
      </c>
      <c r="G11695" s="25" t="n">
        <f aca="false">G11698*IF(G11699=1,$C$11690,IF(Assumptions!$I$53=1,MAX(G11688,Assumptions!$G$53)+Assumptions!$F$53+$C$11689,Assumptions!$E$53))+G11711*IF(G11712=1,$C$11690,IF(Assumptions!$I$54=1,MAX(G11688,Assumptions!$G$54)+Assumptions!$F$54+$C$11689,Assumptions!$E$54))+G11724*IF(G11725=1,$C$11690,IF(Assumptions!$I$55=1,MAX(G11688,Assumptions!$G$55)+Assumptions!$F$55+$C$11689,Assumptions!$E$55))+G11737*IF(G11738=1,$C$11690,IF(Assumptions!$I$56=1,MAX(G11688,Assumptions!$G$56)+Assumptions!$F$56+$C$11689,Assumptions!$E$56))</f>
        <v>112.04</v>
      </c>
      <c r="H11695" s="25" t="n">
        <f aca="false">H11698*IF(OR(H11699=1,G11850=1),$C$11690,IF(Assumptions!$I$53=1,MAX(H11688,Assumptions!$G$53)+Assumptions!$F$53+$C$11689,Assumptions!$E$53))+H11711*IF(OR(H11712=1,G11851=1),$C$11690,IF(Assumptions!$I$54=1,MAX(H11688,Assumptions!$G$54)+Assumptions!$F$54+$C$11689,Assumptions!$E$54))+H11724*IF(OR(H11725=1,G11852=1),$C$11690,IF(Assumptions!$I$55=1,MAX(H11688,Assumptions!$G$55)+Assumptions!$F$55+$C$11689,Assumptions!$E$55))+H11737*IF(OR(H11738=1,G11853=1),$C$11690,IF(Assumptions!$I$56=1,MAX(H11688,Assumptions!$G$56)+Assumptions!$F$56+$C$11689,Assumptions!$E$56))</f>
        <v>122.7578</v>
      </c>
      <c r="I11695" s="25" t="n">
        <f aca="false">I11698*IF(OR(I11699=1,H11850=1),$C$11690,IF(Assumptions!$I$53=1,MAX(I11688,Assumptions!$G$53)+Assumptions!$F$53+$C$11689,Assumptions!$E$53))+I11711*IF(OR(I11712=1,H11851=1),$C$11690,IF(Assumptions!$I$54=1,MAX(I11688,Assumptions!$G$54)+Assumptions!$F$54+$C$11689,Assumptions!$E$54))+I11724*IF(OR(I11725=1,H11852=1),$C$11690,IF(Assumptions!$I$55=1,MAX(I11688,Assumptions!$G$55)+Assumptions!$F$55+$C$11689,Assumptions!$E$55))+I11737*IF(OR(I11738=1,H11853=1),$C$11690,IF(Assumptions!$I$56=1,MAX(I11688,Assumptions!$G$56)+Assumptions!$F$56+$C$11689,Assumptions!$E$56))</f>
        <v>132.0981486</v>
      </c>
      <c r="J11695" s="25" t="n">
        <f aca="false">J11698*IF(OR(J11699=1,I11850=1),$C$11690,IF(Assumptions!$I$53=1,MAX(J11688,Assumptions!$G$53)+Assumptions!$F$53+$C$11689,Assumptions!$E$53))+J11711*IF(OR(J11712=1,I11851=1),$C$11690,IF(Assumptions!$I$54=1,MAX(J11688,Assumptions!$G$54)+Assumptions!$F$54+$C$11689,Assumptions!$E$54))+J11724*IF(OR(J11725=1,I11852=1),$C$11690,IF(Assumptions!$I$55=1,MAX(J11688,Assumptions!$G$55)+Assumptions!$F$55+$C$11689,Assumptions!$E$55))+J11737*IF(OR(J11738=1,I11853=1),$C$11690,IF(Assumptions!$I$56=1,MAX(J11688,Assumptions!$G$56)+Assumptions!$F$56+$C$11689,Assumptions!$E$56))</f>
        <v>132.533429402</v>
      </c>
      <c r="K11695" s="25" t="n">
        <f aca="false">K11698*IF(OR(K11699=1,J11850=1),$C$11690,IF(Assumptions!$I$53=1,MAX(K11688,Assumptions!$G$53)+Assumptions!$F$53+$C$11689,Assumptions!$E$53))+K11711*IF(OR(K11712=1,J11851=1),$C$11690,IF(Assumptions!$I$54=1,MAX(K11688,Assumptions!$G$54)+Assumptions!$F$54+$C$11689,Assumptions!$E$54))+K11724*IF(OR(K11725=1,J11852=1),$C$11690,IF(Assumptions!$I$55=1,MAX(K11688,Assumptions!$G$55)+Assumptions!$F$55+$C$11689,Assumptions!$E$55))+K11737*IF(OR(K11738=1,J11853=1),$C$11690,IF(Assumptions!$I$56=1,MAX(K11688,Assumptions!$G$56)+Assumptions!$F$56+$C$11689,Assumptions!$E$56))</f>
        <v>133.87125123438</v>
      </c>
    </row>
    <row r="11696" customFormat="false" ht="15" hidden="false" customHeight="false" outlineLevel="0" collapsed="false">
      <c r="A11696" s="5" t="s">
        <v>262</v>
      </c>
      <c r="G11696" s="20" t="n">
        <f aca="false">IF(G11672&lt;=0,0,IF(AND((G11693-G11694)/G11672&lt;=$C$11691,G11672/G11695&gt;=$C$11692),1,0))</f>
        <v>1</v>
      </c>
      <c r="H11696" s="20" t="n">
        <f aca="false">IF(H11672&lt;=0,0,IF(AND((H11693-H11694)/H11672&lt;=$C$11691,H11672/H11695&gt;=$C$11692),1,0))</f>
        <v>1</v>
      </c>
      <c r="I11696" s="20" t="n">
        <f aca="false">IF(I11672&lt;=0,0,IF(AND((I11693-I11694)/I11672&lt;=$C$11691,I11672/I11695&gt;=$C$11692),1,0))</f>
        <v>1</v>
      </c>
      <c r="J11696" s="20" t="n">
        <f aca="false">IF(J11672&lt;=0,0,IF(AND((J11693-J11694)/J11672&lt;=$C$11691,J11672/J11695&gt;=$C$11692),1,0))</f>
        <v>1</v>
      </c>
      <c r="K11696" s="20" t="n">
        <f aca="false">IF(K11672&lt;=0,0,IF(AND((K11693-K11694)/K11672&lt;=$C$11691,K11672/K11695&gt;=$C$11692),1,0))</f>
        <v>1</v>
      </c>
    </row>
    <row r="11697" customFormat="false" ht="15" hidden="false" customHeight="false" outlineLevel="0" collapsed="false">
      <c r="A11697" s="23" t="s">
        <v>263</v>
      </c>
      <c r="B11697" s="24"/>
      <c r="C11697" s="24"/>
      <c r="D11697" s="24"/>
      <c r="E11697" s="24"/>
      <c r="F11697" s="24"/>
      <c r="G11697" s="24"/>
      <c r="H11697" s="24"/>
      <c r="I11697" s="24"/>
      <c r="J11697" s="24"/>
      <c r="K11697" s="24"/>
    </row>
    <row r="11698" customFormat="false" ht="15" hidden="false" customHeight="false" outlineLevel="0" collapsed="false">
      <c r="A11698" s="5" t="s">
        <v>264</v>
      </c>
      <c r="G11698" s="25" t="n">
        <f aca="false">F11709</f>
        <v>180</v>
      </c>
      <c r="H11698" s="25" t="n">
        <f aca="false">G11709</f>
        <v>142.44</v>
      </c>
      <c r="I11698" s="25" t="n">
        <f aca="false">H11709</f>
        <v>141.29226</v>
      </c>
      <c r="J11698" s="25" t="n">
        <f aca="false">I11709</f>
        <v>150.4493582</v>
      </c>
      <c r="K11698" s="25" t="n">
        <f aca="false">J11709</f>
        <v>167.811374858</v>
      </c>
    </row>
    <row r="11699" customFormat="false" ht="15" hidden="false" customHeight="false" outlineLevel="0" collapsed="false">
      <c r="A11699" s="5" t="s">
        <v>265</v>
      </c>
      <c r="G11699" s="20" t="n">
        <f aca="false">IF(G11662=Assumptions!$K$53,1,0)</f>
        <v>0</v>
      </c>
      <c r="H11699" s="20" t="n">
        <f aca="false">IF(H11662=Assumptions!$K$53,1,0)</f>
        <v>1</v>
      </c>
      <c r="I11699" s="20" t="n">
        <f aca="false">IF(I11662=Assumptions!$K$53,1,0)</f>
        <v>0</v>
      </c>
      <c r="J11699" s="20" t="n">
        <f aca="false">IF(J11662=Assumptions!$K$53,1,0)</f>
        <v>0</v>
      </c>
      <c r="K11699" s="20" t="n">
        <f aca="false">IF(K11662=Assumptions!$K$53,1,0)</f>
        <v>0</v>
      </c>
    </row>
    <row r="11701" customFormat="false" ht="15" hidden="false" customHeight="false" outlineLevel="0" collapsed="false">
      <c r="A11701" s="5" t="s">
        <v>266</v>
      </c>
      <c r="G11701" s="30" t="n">
        <f aca="false">IF(Assumptions!$I$53=1,MAX(G11688,Assumptions!$G$53)+Assumptions!$F$53+$C$11689,Assumptions!$E$53)</f>
        <v>0.076</v>
      </c>
      <c r="H11701" s="30" t="n">
        <f aca="false">IF(G11850=1,$C$11690,IF(Assumptions!$I$53=1,MAX(H11688,Assumptions!$G$53)+Assumptions!$F$53+$C$11689,Assumptions!$E$53))</f>
        <v>0.0735</v>
      </c>
      <c r="I11701" s="30" t="n">
        <f aca="false">IF(H11850=1,$C$11690,IF(Assumptions!$I$53=1,MAX(I11688,Assumptions!$G$53)+Assumptions!$F$53+$C$11689,Assumptions!$E$53))</f>
        <v>0.11</v>
      </c>
      <c r="J11701" s="30" t="n">
        <f aca="false">IF(I11850=1,$C$11690,IF(Assumptions!$I$53=1,MAX(J11688,Assumptions!$G$53)+Assumptions!$F$53+$C$11689,Assumptions!$E$53))</f>
        <v>0.11</v>
      </c>
      <c r="K11701" s="30" t="n">
        <f aca="false">IF(J11850=1,$C$11690,IF(Assumptions!$I$53=1,MAX(K11688,Assumptions!$G$53)+Assumptions!$F$53+$C$11689,Assumptions!$E$53))</f>
        <v>0.11</v>
      </c>
    </row>
    <row r="11702" customFormat="false" ht="15" hidden="false" customHeight="false" outlineLevel="0" collapsed="false">
      <c r="A11702" s="5" t="s">
        <v>267</v>
      </c>
      <c r="G11702" s="25" t="n">
        <f aca="false">G11698*G11701</f>
        <v>13.68</v>
      </c>
      <c r="H11702" s="25" t="n">
        <f aca="false">H11698*H11701</f>
        <v>10.46934</v>
      </c>
      <c r="I11702" s="25" t="n">
        <f aca="false">I11698*I11701</f>
        <v>15.5421486</v>
      </c>
      <c r="J11702" s="25" t="n">
        <f aca="false">J11698*J11701</f>
        <v>16.549429402</v>
      </c>
      <c r="K11702" s="25" t="n">
        <f aca="false">K11698*K11701</f>
        <v>18.45925123438</v>
      </c>
    </row>
    <row r="11703" customFormat="false" ht="15" hidden="false" customHeight="false" outlineLevel="0" collapsed="false">
      <c r="A11703" s="5" t="s">
        <v>268</v>
      </c>
      <c r="G11703" s="25" t="n">
        <f aca="false">G11698*Assumptions!$H$53</f>
        <v>0</v>
      </c>
      <c r="H11703" s="25" t="n">
        <f aca="false">H11698*Assumptions!$H$53</f>
        <v>0</v>
      </c>
      <c r="I11703" s="25" t="n">
        <f aca="false">I11698*Assumptions!$H$53</f>
        <v>0</v>
      </c>
      <c r="J11703" s="25" t="n">
        <f aca="false">J11698*Assumptions!$H$53</f>
        <v>0</v>
      </c>
      <c r="K11703" s="25" t="n">
        <f aca="false">K11698*Assumptions!$H$53</f>
        <v>0</v>
      </c>
    </row>
    <row r="11704" customFormat="false" ht="15" hidden="false" customHeight="false" outlineLevel="0" collapsed="false">
      <c r="A11704" s="5" t="s">
        <v>269</v>
      </c>
      <c r="G11704" s="25" t="n">
        <f aca="false">MIN(G11698,Assumptions!$L$53*Assumptions!$C$53)</f>
        <v>0</v>
      </c>
      <c r="H11704" s="25" t="n">
        <f aca="false">MIN(H11698,Assumptions!$L$53*Assumptions!$C$53)</f>
        <v>0</v>
      </c>
      <c r="I11704" s="25" t="n">
        <f aca="false">MIN(I11698,Assumptions!$L$53*Assumptions!$C$53)</f>
        <v>0</v>
      </c>
      <c r="J11704" s="25" t="n">
        <f aca="false">MIN(J11698,Assumptions!$L$53*Assumptions!$C$53)</f>
        <v>0</v>
      </c>
      <c r="K11704" s="25" t="n">
        <f aca="false">MIN(K11698,Assumptions!$L$53*Assumptions!$C$53)</f>
        <v>0</v>
      </c>
    </row>
    <row r="11705" customFormat="false" ht="15" hidden="false" customHeight="false" outlineLevel="0" collapsed="false">
      <c r="A11705" s="5" t="s">
        <v>270</v>
      </c>
      <c r="G11705" s="25" t="n">
        <f aca="false">IF(AND(Assumptions!$P$53=1,G11662&lt;Assumptions!$K$53),MIN(MAX(0,-G11776),MAX(0,Assumptions!$D$53-G11698)),0)</f>
        <v>0</v>
      </c>
      <c r="H11705" s="25" t="n">
        <f aca="false">IF(AND(Assumptions!$P$53=1,OR(H11662&lt;Assumptions!$K$53,G11850=1)),MIN(MAX(0,-H11776),MAX(0,Assumptions!$D$53-H11698)),0)</f>
        <v>0</v>
      </c>
      <c r="I11705" s="25" t="n">
        <f aca="false">IF(AND(Assumptions!$P$53=1,OR(I11662&lt;Assumptions!$K$53,H11850=1)),MIN(MAX(0,-I11776),MAX(0,Assumptions!$D$53-I11698)),0)</f>
        <v>9.15709820000002</v>
      </c>
      <c r="J11705" s="25" t="n">
        <f aca="false">IF(AND(Assumptions!$P$53=1,OR(J11662&lt;Assumptions!$K$53,I11850=1)),MIN(MAX(0,-J11776),MAX(0,Assumptions!$D$53-J11698)),0)</f>
        <v>17.362016658</v>
      </c>
      <c r="K11705" s="25" t="n">
        <f aca="false">IF(AND(Assumptions!$P$53=1,OR(K11662&lt;Assumptions!$K$53,J11850=1)),MIN(MAX(0,-K11776),MAX(0,Assumptions!$D$53-K11698)),0)</f>
        <v>15.3388003783</v>
      </c>
    </row>
    <row r="11706" customFormat="false" ht="15" hidden="false" customHeight="false" outlineLevel="0" collapsed="false">
      <c r="A11706" s="5" t="s">
        <v>271</v>
      </c>
      <c r="G11706" s="25" t="n">
        <f aca="false">G11699*MIN(G11698-G11704+G11703,MAX(0,G11778-Assumptions!$C$12*G11696))</f>
        <v>0</v>
      </c>
      <c r="H11706" s="25" t="n">
        <f aca="false">H11699*MIN(H11698-H11704+H11703,MAX(0,H11778-Assumptions!$C$12*H11696))</f>
        <v>1.14774000000001</v>
      </c>
      <c r="I11706" s="25" t="n">
        <f aca="false">I11699*MIN(I11698-I11704+I11703,MAX(0,I11778-Assumptions!$C$12*I11696))</f>
        <v>0</v>
      </c>
      <c r="J11706" s="25" t="n">
        <f aca="false">J11699*MIN(J11698-J11704+J11703,MAX(0,J11778-Assumptions!$C$12*J11696))</f>
        <v>0</v>
      </c>
      <c r="K11706" s="25" t="n">
        <f aca="false">K11699*MIN(K11698-K11704+K11703,MAX(0,K11778-Assumptions!$C$12*K11696))</f>
        <v>0</v>
      </c>
    </row>
    <row r="11707" customFormat="false" ht="15" hidden="false" customHeight="false" outlineLevel="0" collapsed="false">
      <c r="A11707" s="5" t="s">
        <v>272</v>
      </c>
      <c r="G11707" s="25" t="n">
        <f aca="false">Assumptions!$N$53*MIN(G11698+G11705+G11703-G11704-G11706,MAX(0,G11782))</f>
        <v>37.56</v>
      </c>
      <c r="H11707" s="25" t="n">
        <f aca="false">Assumptions!$N$53*MIN(H11698+H11705+H11703-H11704-H11706,MAX(0,H11782))</f>
        <v>0</v>
      </c>
      <c r="I11707" s="25" t="n">
        <f aca="false">Assumptions!$N$53*MIN(I11698+I11705+I11703-I11704-I11706,MAX(0,I11782))</f>
        <v>0</v>
      </c>
      <c r="J11707" s="25" t="n">
        <f aca="false">Assumptions!$N$53*MIN(J11698+J11705+J11703-J11704-J11706,MAX(0,J11782))</f>
        <v>0</v>
      </c>
      <c r="K11707" s="25" t="n">
        <f aca="false">Assumptions!$N$53*MIN(K11698+K11705+K11703-K11704-K11706,MAX(0,K11782))</f>
        <v>0</v>
      </c>
    </row>
    <row r="11708" customFormat="false" ht="15" hidden="false" customHeight="false" outlineLevel="0" collapsed="false">
      <c r="A11708" s="5" t="s">
        <v>273</v>
      </c>
      <c r="G11708" s="25" t="n">
        <f aca="false">G11699*(1-G11696)*(G11698-G11704+G11703-G11706)</f>
        <v>0</v>
      </c>
      <c r="H11708" s="25" t="n">
        <f aca="false">H11699*(1-H11696)*(H11698-H11704+H11703-H11706)</f>
        <v>0</v>
      </c>
      <c r="I11708" s="25" t="n">
        <f aca="false">I11699*(1-I11696)*(I11698-I11704+I11703-I11706)</f>
        <v>0</v>
      </c>
      <c r="J11708" s="25" t="n">
        <f aca="false">J11699*(1-J11696)*(J11698-J11704+J11703-J11706)</f>
        <v>0</v>
      </c>
      <c r="K11708" s="25" t="n">
        <f aca="false">K11699*(1-K11696)*(K11698-K11704+K11703-K11706)</f>
        <v>0</v>
      </c>
    </row>
    <row r="11709" customFormat="false" ht="15" hidden="false" customHeight="false" outlineLevel="0" collapsed="false">
      <c r="A11709" s="2" t="s">
        <v>274</v>
      </c>
      <c r="F11709" s="27" t="n">
        <f aca="false">Assumptions!$C$53</f>
        <v>180</v>
      </c>
      <c r="G11709" s="16" t="n">
        <f aca="false">G11698+G11705+G11703-G11704-G11706-G11707</f>
        <v>142.44</v>
      </c>
      <c r="H11709" s="16" t="n">
        <f aca="false">H11698+H11705+H11703-H11704-H11706-H11707</f>
        <v>141.29226</v>
      </c>
      <c r="I11709" s="16" t="n">
        <f aca="false">I11698+I11705+I11703-I11704-I11706-I11707</f>
        <v>150.4493582</v>
      </c>
      <c r="J11709" s="16" t="n">
        <f aca="false">J11698+J11705+J11703-J11704-J11706-J11707</f>
        <v>167.811374858</v>
      </c>
      <c r="K11709" s="16" t="n">
        <f aca="false">K11698+K11705+K11703-K11704-K11706-K11707</f>
        <v>183.1501752363</v>
      </c>
    </row>
    <row r="11710" customFormat="false" ht="15" hidden="false" customHeight="false" outlineLevel="0" collapsed="false">
      <c r="A11710" s="23" t="s">
        <v>275</v>
      </c>
      <c r="B11710" s="24"/>
      <c r="C11710" s="24"/>
      <c r="D11710" s="24"/>
      <c r="E11710" s="24"/>
      <c r="F11710" s="24"/>
      <c r="G11710" s="24"/>
      <c r="H11710" s="24"/>
      <c r="I11710" s="24"/>
      <c r="J11710" s="24"/>
      <c r="K11710" s="24"/>
    </row>
    <row r="11711" customFormat="false" ht="15" hidden="false" customHeight="false" outlineLevel="0" collapsed="false">
      <c r="A11711" s="5" t="s">
        <v>264</v>
      </c>
      <c r="G11711" s="25" t="n">
        <f aca="false">F11722</f>
        <v>520</v>
      </c>
      <c r="H11711" s="25" t="n">
        <f aca="false">G11722</f>
        <v>514.8</v>
      </c>
      <c r="I11711" s="25" t="n">
        <f aca="false">H11722</f>
        <v>509.6</v>
      </c>
      <c r="J11711" s="25" t="n">
        <f aca="false">I11722</f>
        <v>504.4</v>
      </c>
      <c r="K11711" s="25" t="n">
        <f aca="false">J11722</f>
        <v>499.2</v>
      </c>
    </row>
    <row r="11712" customFormat="false" ht="15" hidden="false" customHeight="false" outlineLevel="0" collapsed="false">
      <c r="A11712" s="5" t="s">
        <v>265</v>
      </c>
      <c r="G11712" s="20" t="n">
        <f aca="false">IF(G11662=Assumptions!$K$54,1,0)</f>
        <v>0</v>
      </c>
      <c r="H11712" s="20" t="n">
        <f aca="false">IF(H11662=Assumptions!$K$54,1,0)</f>
        <v>0</v>
      </c>
      <c r="I11712" s="20" t="n">
        <f aca="false">IF(I11662=Assumptions!$K$54,1,0)</f>
        <v>1</v>
      </c>
      <c r="J11712" s="20" t="n">
        <f aca="false">IF(J11662=Assumptions!$K$54,1,0)</f>
        <v>0</v>
      </c>
      <c r="K11712" s="20" t="n">
        <f aca="false">IF(K11662=Assumptions!$K$54,1,0)</f>
        <v>0</v>
      </c>
    </row>
    <row r="11714" customFormat="false" ht="15" hidden="false" customHeight="false" outlineLevel="0" collapsed="false">
      <c r="A11714" s="5" t="s">
        <v>266</v>
      </c>
      <c r="G11714" s="30" t="n">
        <f aca="false">IF(Assumptions!$I$54=1,MAX(G11688,Assumptions!$G$54)+Assumptions!$F$54+$C$11689,Assumptions!$E$54)</f>
        <v>0.093</v>
      </c>
      <c r="H11714" s="30" t="n">
        <f aca="false">IF(G11851=1,$C$11690,IF(Assumptions!$I$54=1,MAX(H11688,Assumptions!$G$54)+Assumptions!$F$54+$C$11689,Assumptions!$E$54))</f>
        <v>0.0905</v>
      </c>
      <c r="I11714" s="30" t="n">
        <f aca="false">IF(H11851=1,$C$11690,IF(Assumptions!$I$54=1,MAX(I11688,Assumptions!$G$54)+Assumptions!$F$54+$C$11689,Assumptions!$E$54))</f>
        <v>0.088</v>
      </c>
      <c r="J11714" s="30" t="n">
        <f aca="false">IF(I11851=1,$C$11690,IF(Assumptions!$I$54=1,MAX(J11688,Assumptions!$G$54)+Assumptions!$F$54+$C$11689,Assumptions!$E$54))</f>
        <v>0.11</v>
      </c>
      <c r="K11714" s="30" t="n">
        <f aca="false">IF(J11851=1,$C$11690,IF(Assumptions!$I$54=1,MAX(K11688,Assumptions!$G$54)+Assumptions!$F$54+$C$11689,Assumptions!$E$54))</f>
        <v>0.11</v>
      </c>
    </row>
    <row r="11715" customFormat="false" ht="15" hidden="false" customHeight="false" outlineLevel="0" collapsed="false">
      <c r="A11715" s="5" t="s">
        <v>267</v>
      </c>
      <c r="G11715" s="25" t="n">
        <f aca="false">G11711*G11714</f>
        <v>48.36</v>
      </c>
      <c r="H11715" s="25" t="n">
        <f aca="false">H11711*H11714</f>
        <v>46.5894</v>
      </c>
      <c r="I11715" s="25" t="n">
        <f aca="false">I11711*I11714</f>
        <v>44.8448</v>
      </c>
      <c r="J11715" s="25" t="n">
        <f aca="false">J11711*J11714</f>
        <v>55.484</v>
      </c>
      <c r="K11715" s="25" t="n">
        <f aca="false">K11711*K11714</f>
        <v>54.912</v>
      </c>
    </row>
    <row r="11716" customFormat="false" ht="15" hidden="false" customHeight="false" outlineLevel="0" collapsed="false">
      <c r="A11716" s="5" t="s">
        <v>268</v>
      </c>
      <c r="G11716" s="25" t="n">
        <f aca="false">G11711*Assumptions!$H$54</f>
        <v>0</v>
      </c>
      <c r="H11716" s="25" t="n">
        <f aca="false">H11711*Assumptions!$H$54</f>
        <v>0</v>
      </c>
      <c r="I11716" s="25" t="n">
        <f aca="false">I11711*Assumptions!$H$54</f>
        <v>0</v>
      </c>
      <c r="J11716" s="25" t="n">
        <f aca="false">J11711*Assumptions!$H$54</f>
        <v>0</v>
      </c>
      <c r="K11716" s="25" t="n">
        <f aca="false">K11711*Assumptions!$H$54</f>
        <v>0</v>
      </c>
    </row>
    <row r="11717" customFormat="false" ht="15" hidden="false" customHeight="false" outlineLevel="0" collapsed="false">
      <c r="A11717" s="5" t="s">
        <v>269</v>
      </c>
      <c r="G11717" s="25" t="n">
        <f aca="false">MIN(G11711,Assumptions!$L$54*Assumptions!$C$54)</f>
        <v>5.2</v>
      </c>
      <c r="H11717" s="25" t="n">
        <f aca="false">MIN(H11711,Assumptions!$L$54*Assumptions!$C$54)</f>
        <v>5.2</v>
      </c>
      <c r="I11717" s="25" t="n">
        <f aca="false">MIN(I11711,Assumptions!$L$54*Assumptions!$C$54)</f>
        <v>5.2</v>
      </c>
      <c r="J11717" s="25" t="n">
        <f aca="false">MIN(J11711,Assumptions!$L$54*Assumptions!$C$54)</f>
        <v>5.2</v>
      </c>
      <c r="K11717" s="25" t="n">
        <f aca="false">MIN(K11711,Assumptions!$L$54*Assumptions!$C$54)</f>
        <v>5.2</v>
      </c>
    </row>
    <row r="11718" customFormat="false" ht="15" hidden="false" customHeight="false" outlineLevel="0" collapsed="false">
      <c r="A11718" s="5" t="s">
        <v>270</v>
      </c>
      <c r="G11718" s="25" t="n">
        <f aca="false">IF(AND(Assumptions!$P$54=1,G11662&lt;Assumptions!$K$54),MIN(MAX(0,-G11776),MAX(0,Assumptions!$D$54-G11711)),0)</f>
        <v>0</v>
      </c>
      <c r="H11718" s="25" t="n">
        <f aca="false">IF(AND(Assumptions!$P$54=1,OR(H11662&lt;Assumptions!$K$54,G11851=1)),MIN(MAX(0,-H11776),MAX(0,Assumptions!$D$54-H11711)),0)</f>
        <v>0</v>
      </c>
      <c r="I11718" s="25" t="n">
        <f aca="false">IF(AND(Assumptions!$P$54=1,OR(I11662&lt;Assumptions!$K$54,H11851=1)),MIN(MAX(0,-I11776),MAX(0,Assumptions!$D$54-I11711)),0)</f>
        <v>0</v>
      </c>
      <c r="J11718" s="25" t="n">
        <f aca="false">IF(AND(Assumptions!$P$54=1,OR(J11662&lt;Assumptions!$K$54,I11851=1)),MIN(MAX(0,-J11776),MAX(0,Assumptions!$D$54-J11711)),0)</f>
        <v>0</v>
      </c>
      <c r="K11718" s="25" t="n">
        <f aca="false">IF(AND(Assumptions!$P$54=1,OR(K11662&lt;Assumptions!$K$54,J11851=1)),MIN(MAX(0,-K11776),MAX(0,Assumptions!$D$54-K11711)),0)</f>
        <v>0</v>
      </c>
    </row>
    <row r="11719" customFormat="false" ht="15" hidden="false" customHeight="false" outlineLevel="0" collapsed="false">
      <c r="A11719" s="5" t="s">
        <v>271</v>
      </c>
      <c r="G11719" s="25" t="n">
        <f aca="false">G11712*MIN(G11711-G11717+G11716,MAX(0,G11778-Assumptions!$C$12*G11696-G11706))</f>
        <v>0</v>
      </c>
      <c r="H11719" s="25" t="n">
        <f aca="false">H11712*MIN(H11711-H11717+H11716,MAX(0,H11778-Assumptions!$C$12*H11696-H11706))</f>
        <v>0</v>
      </c>
      <c r="I11719" s="25" t="n">
        <f aca="false">I11712*MIN(I11711-I11717+I11716,MAX(0,I11778-Assumptions!$C$12*I11696-I11706))</f>
        <v>0</v>
      </c>
      <c r="J11719" s="25" t="n">
        <f aca="false">J11712*MIN(J11711-J11717+J11716,MAX(0,J11778-Assumptions!$C$12*J11696-J11706))</f>
        <v>0</v>
      </c>
      <c r="K11719" s="25" t="n">
        <f aca="false">K11712*MIN(K11711-K11717+K11716,MAX(0,K11778-Assumptions!$C$12*K11696-K11706))</f>
        <v>0</v>
      </c>
    </row>
    <row r="11720" customFormat="false" ht="15" hidden="false" customHeight="false" outlineLevel="0" collapsed="false">
      <c r="A11720" s="5" t="s">
        <v>272</v>
      </c>
      <c r="G11720" s="25" t="n">
        <f aca="false">Assumptions!$N$54*MIN(G11711+G11718+G11716-G11717-G11719,MAX(0,G11782-G11707))</f>
        <v>0</v>
      </c>
      <c r="H11720" s="25" t="n">
        <f aca="false">Assumptions!$N$54*MIN(H11711+H11718+H11716-H11717-H11719,MAX(0,H11782-H11707))</f>
        <v>0</v>
      </c>
      <c r="I11720" s="25" t="n">
        <f aca="false">Assumptions!$N$54*MIN(I11711+I11718+I11716-I11717-I11719,MAX(0,I11782-I11707))</f>
        <v>0</v>
      </c>
      <c r="J11720" s="25" t="n">
        <f aca="false">Assumptions!$N$54*MIN(J11711+J11718+J11716-J11717-J11719,MAX(0,J11782-J11707))</f>
        <v>0</v>
      </c>
      <c r="K11720" s="25" t="n">
        <f aca="false">Assumptions!$N$54*MIN(K11711+K11718+K11716-K11717-K11719,MAX(0,K11782-K11707))</f>
        <v>0</v>
      </c>
    </row>
    <row r="11721" customFormat="false" ht="15" hidden="false" customHeight="false" outlineLevel="0" collapsed="false">
      <c r="A11721" s="5" t="s">
        <v>273</v>
      </c>
      <c r="G11721" s="25" t="n">
        <f aca="false">G11712*(1-G11696)*(G11711-G11717+G11716-G11719)</f>
        <v>0</v>
      </c>
      <c r="H11721" s="25" t="n">
        <f aca="false">H11712*(1-H11696)*(H11711-H11717+H11716-H11719)</f>
        <v>0</v>
      </c>
      <c r="I11721" s="25" t="n">
        <f aca="false">I11712*(1-I11696)*(I11711-I11717+I11716-I11719)</f>
        <v>0</v>
      </c>
      <c r="J11721" s="25" t="n">
        <f aca="false">J11712*(1-J11696)*(J11711-J11717+J11716-J11719)</f>
        <v>0</v>
      </c>
      <c r="K11721" s="25" t="n">
        <f aca="false">K11712*(1-K11696)*(K11711-K11717+K11716-K11719)</f>
        <v>0</v>
      </c>
    </row>
    <row r="11722" customFormat="false" ht="15" hidden="false" customHeight="false" outlineLevel="0" collapsed="false">
      <c r="A11722" s="2" t="s">
        <v>274</v>
      </c>
      <c r="F11722" s="27" t="n">
        <f aca="false">Assumptions!$C$54</f>
        <v>520</v>
      </c>
      <c r="G11722" s="16" t="n">
        <f aca="false">G11711+G11718+G11716-G11717-G11719-G11720</f>
        <v>514.8</v>
      </c>
      <c r="H11722" s="16" t="n">
        <f aca="false">H11711+H11718+H11716-H11717-H11719-H11720</f>
        <v>509.6</v>
      </c>
      <c r="I11722" s="16" t="n">
        <f aca="false">I11711+I11718+I11716-I11717-I11719-I11720</f>
        <v>504.4</v>
      </c>
      <c r="J11722" s="16" t="n">
        <f aca="false">J11711+J11718+J11716-J11717-J11719-J11720</f>
        <v>499.2</v>
      </c>
      <c r="K11722" s="16" t="n">
        <f aca="false">K11711+K11718+K11716-K11717-K11719-K11720</f>
        <v>494</v>
      </c>
    </row>
    <row r="11723" customFormat="false" ht="15" hidden="false" customHeight="false" outlineLevel="0" collapsed="false">
      <c r="A11723" s="23" t="s">
        <v>276</v>
      </c>
      <c r="B11723" s="24"/>
      <c r="C11723" s="24"/>
      <c r="D11723" s="24"/>
      <c r="E11723" s="24"/>
      <c r="F11723" s="24"/>
      <c r="G11723" s="24"/>
      <c r="H11723" s="24"/>
      <c r="I11723" s="24"/>
      <c r="J11723" s="24"/>
      <c r="K11723" s="24"/>
    </row>
    <row r="11724" customFormat="false" ht="15" hidden="false" customHeight="false" outlineLevel="0" collapsed="false">
      <c r="A11724" s="5" t="s">
        <v>264</v>
      </c>
      <c r="G11724" s="25" t="n">
        <f aca="false">F11735</f>
        <v>250</v>
      </c>
      <c r="H11724" s="25" t="n">
        <f aca="false">G11735</f>
        <v>250</v>
      </c>
      <c r="I11724" s="25" t="n">
        <f aca="false">H11735</f>
        <v>250</v>
      </c>
      <c r="J11724" s="25" t="n">
        <f aca="false">I11735</f>
        <v>250</v>
      </c>
      <c r="K11724" s="25" t="n">
        <f aca="false">J11735</f>
        <v>250</v>
      </c>
    </row>
    <row r="11725" customFormat="false" ht="15" hidden="false" customHeight="false" outlineLevel="0" collapsed="false">
      <c r="A11725" s="5" t="s">
        <v>265</v>
      </c>
      <c r="G11725" s="20" t="n">
        <f aca="false">IF(G11662=Assumptions!$K$55,1,0)</f>
        <v>0</v>
      </c>
      <c r="H11725" s="20" t="n">
        <f aca="false">IF(H11662=Assumptions!$K$55,1,0)</f>
        <v>0</v>
      </c>
      <c r="I11725" s="20" t="n">
        <f aca="false">IF(I11662=Assumptions!$K$55,1,0)</f>
        <v>0</v>
      </c>
      <c r="J11725" s="20" t="n">
        <f aca="false">IF(J11662=Assumptions!$K$55,1,0)</f>
        <v>1</v>
      </c>
      <c r="K11725" s="20" t="n">
        <f aca="false">IF(K11662=Assumptions!$K$55,1,0)</f>
        <v>0</v>
      </c>
    </row>
    <row r="11727" customFormat="false" ht="15" hidden="false" customHeight="false" outlineLevel="0" collapsed="false">
      <c r="A11727" s="5" t="s">
        <v>266</v>
      </c>
      <c r="G11727" s="30" t="n">
        <f aca="false">IF(Assumptions!$I$55=1,MAX(G11688,Assumptions!$G$55)+Assumptions!$F$55+$C$11689,Assumptions!$E$55)</f>
        <v>0.11</v>
      </c>
      <c r="H11727" s="30" t="n">
        <f aca="false">IF(G11852=1,$C$11690,IF(Assumptions!$I$55=1,MAX(H11688,Assumptions!$G$55)+Assumptions!$F$55+$C$11689,Assumptions!$E$55))</f>
        <v>0.11</v>
      </c>
      <c r="I11727" s="30" t="n">
        <f aca="false">IF(H11852=1,$C$11690,IF(Assumptions!$I$55=1,MAX(I11688,Assumptions!$G$55)+Assumptions!$F$55+$C$11689,Assumptions!$E$55))</f>
        <v>0.11</v>
      </c>
      <c r="J11727" s="30" t="n">
        <f aca="false">IF(I11852=1,$C$11690,IF(Assumptions!$I$55=1,MAX(J11688,Assumptions!$G$55)+Assumptions!$F$55+$C$11689,Assumptions!$E$55))</f>
        <v>0.11</v>
      </c>
      <c r="K11727" s="30" t="n">
        <f aca="false">IF(J11852=1,$C$11690,IF(Assumptions!$I$55=1,MAX(K11688,Assumptions!$G$55)+Assumptions!$F$55+$C$11689,Assumptions!$E$55))</f>
        <v>0.11</v>
      </c>
    </row>
    <row r="11728" customFormat="false" ht="15" hidden="false" customHeight="false" outlineLevel="0" collapsed="false">
      <c r="A11728" s="5" t="s">
        <v>267</v>
      </c>
      <c r="G11728" s="25" t="n">
        <f aca="false">G11724*G11727</f>
        <v>27.5</v>
      </c>
      <c r="H11728" s="25" t="n">
        <f aca="false">H11724*H11727</f>
        <v>27.5</v>
      </c>
      <c r="I11728" s="25" t="n">
        <f aca="false">I11724*I11727</f>
        <v>27.5</v>
      </c>
      <c r="J11728" s="25" t="n">
        <f aca="false">J11724*J11727</f>
        <v>27.5</v>
      </c>
      <c r="K11728" s="25" t="n">
        <f aca="false">K11724*K11727</f>
        <v>27.5</v>
      </c>
    </row>
    <row r="11729" customFormat="false" ht="15" hidden="false" customHeight="false" outlineLevel="0" collapsed="false">
      <c r="A11729" s="5" t="s">
        <v>268</v>
      </c>
      <c r="G11729" s="25" t="n">
        <f aca="false">G11724*Assumptions!$H$55</f>
        <v>0</v>
      </c>
      <c r="H11729" s="25" t="n">
        <f aca="false">H11724*Assumptions!$H$55</f>
        <v>0</v>
      </c>
      <c r="I11729" s="25" t="n">
        <f aca="false">I11724*Assumptions!$H$55</f>
        <v>0</v>
      </c>
      <c r="J11729" s="25" t="n">
        <f aca="false">J11724*Assumptions!$H$55</f>
        <v>0</v>
      </c>
      <c r="K11729" s="25" t="n">
        <f aca="false">K11724*Assumptions!$H$55</f>
        <v>0</v>
      </c>
    </row>
    <row r="11730" customFormat="false" ht="15" hidden="false" customHeight="false" outlineLevel="0" collapsed="false">
      <c r="A11730" s="5" t="s">
        <v>269</v>
      </c>
      <c r="G11730" s="25" t="n">
        <f aca="false">MIN(G11724,Assumptions!$L$55*Assumptions!$C$55)</f>
        <v>0</v>
      </c>
      <c r="H11730" s="25" t="n">
        <f aca="false">MIN(H11724,Assumptions!$L$55*Assumptions!$C$55)</f>
        <v>0</v>
      </c>
      <c r="I11730" s="25" t="n">
        <f aca="false">MIN(I11724,Assumptions!$L$55*Assumptions!$C$55)</f>
        <v>0</v>
      </c>
      <c r="J11730" s="25" t="n">
        <f aca="false">MIN(J11724,Assumptions!$L$55*Assumptions!$C$55)</f>
        <v>0</v>
      </c>
      <c r="K11730" s="25" t="n">
        <f aca="false">MIN(K11724,Assumptions!$L$55*Assumptions!$C$55)</f>
        <v>0</v>
      </c>
    </row>
    <row r="11731" customFormat="false" ht="15" hidden="false" customHeight="false" outlineLevel="0" collapsed="false">
      <c r="A11731" s="5" t="s">
        <v>270</v>
      </c>
      <c r="G11731" s="25" t="n">
        <f aca="false">IF(AND(Assumptions!$P$55=1,G11662&lt;Assumptions!$K$55),MIN(MAX(0,-G11776),MAX(0,Assumptions!$D$55-G11724)),0)</f>
        <v>0</v>
      </c>
      <c r="H11731" s="25" t="n">
        <f aca="false">IF(AND(Assumptions!$P$55=1,OR(H11662&lt;Assumptions!$K$55,G11852=1)),MIN(MAX(0,-H11776),MAX(0,Assumptions!$D$55-H11724)),0)</f>
        <v>0</v>
      </c>
      <c r="I11731" s="25" t="n">
        <f aca="false">IF(AND(Assumptions!$P$55=1,OR(I11662&lt;Assumptions!$K$55,H11852=1)),MIN(MAX(0,-I11776),MAX(0,Assumptions!$D$55-I11724)),0)</f>
        <v>0</v>
      </c>
      <c r="J11731" s="25" t="n">
        <f aca="false">IF(AND(Assumptions!$P$55=1,OR(J11662&lt;Assumptions!$K$55,I11852=1)),MIN(MAX(0,-J11776),MAX(0,Assumptions!$D$55-J11724)),0)</f>
        <v>0</v>
      </c>
      <c r="K11731" s="25" t="n">
        <f aca="false">IF(AND(Assumptions!$P$55=1,OR(K11662&lt;Assumptions!$K$55,J11852=1)),MIN(MAX(0,-K11776),MAX(0,Assumptions!$D$55-K11724)),0)</f>
        <v>0</v>
      </c>
    </row>
    <row r="11732" customFormat="false" ht="15" hidden="false" customHeight="false" outlineLevel="0" collapsed="false">
      <c r="A11732" s="5" t="s">
        <v>271</v>
      </c>
      <c r="G11732" s="25" t="n">
        <f aca="false">G11725*MIN(G11724-G11730+G11729,MAX(0,G11778-Assumptions!$C$12*G11696-G11706-G11719))</f>
        <v>0</v>
      </c>
      <c r="H11732" s="25" t="n">
        <f aca="false">H11725*MIN(H11724-H11730+H11729,MAX(0,H11778-Assumptions!$C$12*H11696-H11706-H11719))</f>
        <v>0</v>
      </c>
      <c r="I11732" s="25" t="n">
        <f aca="false">I11725*MIN(I11724-I11730+I11729,MAX(0,I11778-Assumptions!$C$12*I11696-I11706-I11719))</f>
        <v>0</v>
      </c>
      <c r="J11732" s="25" t="n">
        <f aca="false">J11725*MIN(J11724-J11730+J11729,MAX(0,J11778-Assumptions!$C$12*J11696-J11706-J11719))</f>
        <v>0</v>
      </c>
      <c r="K11732" s="25" t="n">
        <f aca="false">K11725*MIN(K11724-K11730+K11729,MAX(0,K11778-Assumptions!$C$12*K11696-K11706-K11719))</f>
        <v>0</v>
      </c>
    </row>
    <row r="11733" customFormat="false" ht="15" hidden="false" customHeight="false" outlineLevel="0" collapsed="false">
      <c r="A11733" s="5" t="s">
        <v>272</v>
      </c>
      <c r="G11733" s="25" t="n">
        <f aca="false">Assumptions!$N$55*MIN(G11724+G11731+G11729-G11730-G11732,MAX(0,G11782-G11707-G11720))</f>
        <v>0</v>
      </c>
      <c r="H11733" s="25" t="n">
        <f aca="false">Assumptions!$N$55*MIN(H11724+H11731+H11729-H11730-H11732,MAX(0,H11782-H11707-H11720))</f>
        <v>0</v>
      </c>
      <c r="I11733" s="25" t="n">
        <f aca="false">Assumptions!$N$55*MIN(I11724+I11731+I11729-I11730-I11732,MAX(0,I11782-I11707-I11720))</f>
        <v>0</v>
      </c>
      <c r="J11733" s="25" t="n">
        <f aca="false">Assumptions!$N$55*MIN(J11724+J11731+J11729-J11730-J11732,MAX(0,J11782-J11707-J11720))</f>
        <v>0</v>
      </c>
      <c r="K11733" s="25" t="n">
        <f aca="false">Assumptions!$N$55*MIN(K11724+K11731+K11729-K11730-K11732,MAX(0,K11782-K11707-K11720))</f>
        <v>0</v>
      </c>
    </row>
    <row r="11734" customFormat="false" ht="15" hidden="false" customHeight="false" outlineLevel="0" collapsed="false">
      <c r="A11734" s="5" t="s">
        <v>273</v>
      </c>
      <c r="G11734" s="25" t="n">
        <f aca="false">G11725*(1-G11696)*(G11724-G11730+G11729-G11732)</f>
        <v>0</v>
      </c>
      <c r="H11734" s="25" t="n">
        <f aca="false">H11725*(1-H11696)*(H11724-H11730+H11729-H11732)</f>
        <v>0</v>
      </c>
      <c r="I11734" s="25" t="n">
        <f aca="false">I11725*(1-I11696)*(I11724-I11730+I11729-I11732)</f>
        <v>0</v>
      </c>
      <c r="J11734" s="25" t="n">
        <f aca="false">J11725*(1-J11696)*(J11724-J11730+J11729-J11732)</f>
        <v>0</v>
      </c>
      <c r="K11734" s="25" t="n">
        <f aca="false">K11725*(1-K11696)*(K11724-K11730+K11729-K11732)</f>
        <v>0</v>
      </c>
    </row>
    <row r="11735" customFormat="false" ht="15" hidden="false" customHeight="false" outlineLevel="0" collapsed="false">
      <c r="A11735" s="2" t="s">
        <v>274</v>
      </c>
      <c r="F11735" s="27" t="n">
        <f aca="false">Assumptions!$C$55</f>
        <v>250</v>
      </c>
      <c r="G11735" s="16" t="n">
        <f aca="false">G11724+G11731+G11729-G11730-G11732-G11733</f>
        <v>250</v>
      </c>
      <c r="H11735" s="16" t="n">
        <f aca="false">H11724+H11731+H11729-H11730-H11732-H11733</f>
        <v>250</v>
      </c>
      <c r="I11735" s="16" t="n">
        <f aca="false">I11724+I11731+I11729-I11730-I11732-I11733</f>
        <v>250</v>
      </c>
      <c r="J11735" s="16" t="n">
        <f aca="false">J11724+J11731+J11729-J11730-J11732-J11733</f>
        <v>250</v>
      </c>
      <c r="K11735" s="16" t="n">
        <f aca="false">K11724+K11731+K11729-K11730-K11732-K11733</f>
        <v>250</v>
      </c>
    </row>
    <row r="11736" customFormat="false" ht="15" hidden="false" customHeight="false" outlineLevel="0" collapsed="false">
      <c r="A11736" s="23" t="s">
        <v>277</v>
      </c>
      <c r="B11736" s="24"/>
      <c r="C11736" s="24"/>
      <c r="D11736" s="24"/>
      <c r="E11736" s="24"/>
      <c r="F11736" s="24"/>
      <c r="G11736" s="24"/>
      <c r="H11736" s="24"/>
      <c r="I11736" s="24"/>
      <c r="J11736" s="24"/>
      <c r="K11736" s="24"/>
    </row>
    <row r="11737" customFormat="false" ht="15" hidden="false" customHeight="false" outlineLevel="0" collapsed="false">
      <c r="A11737" s="5" t="s">
        <v>264</v>
      </c>
      <c r="G11737" s="25" t="n">
        <f aca="false">F11748</f>
        <v>300</v>
      </c>
      <c r="H11737" s="25" t="n">
        <f aca="false">G11748</f>
        <v>300</v>
      </c>
      <c r="I11737" s="25" t="n">
        <f aca="false">H11748</f>
        <v>300</v>
      </c>
      <c r="J11737" s="25" t="n">
        <f aca="false">I11748</f>
        <v>300</v>
      </c>
      <c r="K11737" s="25" t="n">
        <f aca="false">J11748</f>
        <v>300</v>
      </c>
    </row>
    <row r="11738" customFormat="false" ht="15" hidden="false" customHeight="false" outlineLevel="0" collapsed="false">
      <c r="A11738" s="5" t="s">
        <v>265</v>
      </c>
      <c r="G11738" s="20" t="n">
        <f aca="false">IF(G11662=Assumptions!$K$56,1,0)</f>
        <v>0</v>
      </c>
      <c r="H11738" s="20" t="n">
        <f aca="false">IF(H11662=Assumptions!$K$56,1,0)</f>
        <v>1</v>
      </c>
      <c r="I11738" s="20" t="n">
        <f aca="false">IF(I11662=Assumptions!$K$56,1,0)</f>
        <v>0</v>
      </c>
      <c r="J11738" s="20" t="n">
        <f aca="false">IF(J11662=Assumptions!$K$56,1,0)</f>
        <v>0</v>
      </c>
      <c r="K11738" s="20" t="n">
        <f aca="false">IF(K11662=Assumptions!$K$56,1,0)</f>
        <v>0</v>
      </c>
    </row>
    <row r="11740" customFormat="false" ht="15" hidden="false" customHeight="false" outlineLevel="0" collapsed="false">
      <c r="A11740" s="5" t="s">
        <v>266</v>
      </c>
      <c r="G11740" s="30" t="n">
        <f aca="false">IF(Assumptions!$I$56=1,MAX(G11688,Assumptions!$G$56)+Assumptions!$F$56+$C$11689,Assumptions!$E$56)</f>
        <v>0.075</v>
      </c>
      <c r="H11740" s="30" t="n">
        <f aca="false">IF(G11853=1,$C$11690,IF(Assumptions!$I$56=1,MAX(H11688,Assumptions!$G$56)+Assumptions!$F$56+$C$11689,Assumptions!$E$56))</f>
        <v>0.075</v>
      </c>
      <c r="I11740" s="30" t="n">
        <f aca="false">IF(H11853=1,$C$11690,IF(Assumptions!$I$56=1,MAX(I11688,Assumptions!$G$56)+Assumptions!$F$56+$C$11689,Assumptions!$E$56))</f>
        <v>0.11</v>
      </c>
      <c r="J11740" s="30" t="n">
        <f aca="false">IF(I11853=1,$C$11690,IF(Assumptions!$I$56=1,MAX(J11688,Assumptions!$G$56)+Assumptions!$F$56+$C$11689,Assumptions!$E$56))</f>
        <v>0.11</v>
      </c>
      <c r="K11740" s="30" t="n">
        <f aca="false">IF(J11853=1,$C$11690,IF(Assumptions!$I$56=1,MAX(K11688,Assumptions!$G$56)+Assumptions!$F$56+$C$11689,Assumptions!$E$56))</f>
        <v>0.11</v>
      </c>
    </row>
    <row r="11741" customFormat="false" ht="15" hidden="false" customHeight="false" outlineLevel="0" collapsed="false">
      <c r="A11741" s="5" t="s">
        <v>267</v>
      </c>
      <c r="G11741" s="25" t="n">
        <f aca="false">G11737*G11740</f>
        <v>22.5</v>
      </c>
      <c r="H11741" s="25" t="n">
        <f aca="false">H11737*H11740</f>
        <v>22.5</v>
      </c>
      <c r="I11741" s="25" t="n">
        <f aca="false">I11737*I11740</f>
        <v>33</v>
      </c>
      <c r="J11741" s="25" t="n">
        <f aca="false">J11737*J11740</f>
        <v>33</v>
      </c>
      <c r="K11741" s="25" t="n">
        <f aca="false">K11737*K11740</f>
        <v>33</v>
      </c>
    </row>
    <row r="11742" customFormat="false" ht="15" hidden="false" customHeight="false" outlineLevel="0" collapsed="false">
      <c r="A11742" s="5" t="s">
        <v>268</v>
      </c>
      <c r="G11742" s="25" t="n">
        <f aca="false">G11737*Assumptions!$H$56</f>
        <v>0</v>
      </c>
      <c r="H11742" s="25" t="n">
        <f aca="false">H11737*Assumptions!$H$56</f>
        <v>0</v>
      </c>
      <c r="I11742" s="25" t="n">
        <f aca="false">I11737*Assumptions!$H$56</f>
        <v>0</v>
      </c>
      <c r="J11742" s="25" t="n">
        <f aca="false">J11737*Assumptions!$H$56</f>
        <v>0</v>
      </c>
      <c r="K11742" s="25" t="n">
        <f aca="false">K11737*Assumptions!$H$56</f>
        <v>0</v>
      </c>
    </row>
    <row r="11743" customFormat="false" ht="15" hidden="false" customHeight="false" outlineLevel="0" collapsed="false">
      <c r="A11743" s="5" t="s">
        <v>269</v>
      </c>
      <c r="G11743" s="25" t="n">
        <f aca="false">MIN(G11737,Assumptions!$L$56*Assumptions!$C$56)</f>
        <v>0</v>
      </c>
      <c r="H11743" s="25" t="n">
        <f aca="false">MIN(H11737,Assumptions!$L$56*Assumptions!$C$56)</f>
        <v>0</v>
      </c>
      <c r="I11743" s="25" t="n">
        <f aca="false">MIN(I11737,Assumptions!$L$56*Assumptions!$C$56)</f>
        <v>0</v>
      </c>
      <c r="J11743" s="25" t="n">
        <f aca="false">MIN(J11737,Assumptions!$L$56*Assumptions!$C$56)</f>
        <v>0</v>
      </c>
      <c r="K11743" s="25" t="n">
        <f aca="false">MIN(K11737,Assumptions!$L$56*Assumptions!$C$56)</f>
        <v>0</v>
      </c>
    </row>
    <row r="11744" customFormat="false" ht="15" hidden="false" customHeight="false" outlineLevel="0" collapsed="false">
      <c r="A11744" s="5" t="s">
        <v>270</v>
      </c>
      <c r="G11744" s="25" t="n">
        <f aca="false">IF(AND(Assumptions!$P$56=1,G11662&lt;Assumptions!$K$56),MIN(MAX(0,-G11776),MAX(0,Assumptions!$D$56-G11737)),0)</f>
        <v>0</v>
      </c>
      <c r="H11744" s="25" t="n">
        <f aca="false">IF(AND(Assumptions!$P$56=1,OR(H11662&lt;Assumptions!$K$56,G11853=1)),MIN(MAX(0,-H11776),MAX(0,Assumptions!$D$56-H11737)),0)</f>
        <v>0</v>
      </c>
      <c r="I11744" s="25" t="n">
        <f aca="false">IF(AND(Assumptions!$P$56=1,OR(I11662&lt;Assumptions!$K$56,H11853=1)),MIN(MAX(0,-I11776),MAX(0,Assumptions!$D$56-I11737)),0)</f>
        <v>0</v>
      </c>
      <c r="J11744" s="25" t="n">
        <f aca="false">IF(AND(Assumptions!$P$56=1,OR(J11662&lt;Assumptions!$K$56,I11853=1)),MIN(MAX(0,-J11776),MAX(0,Assumptions!$D$56-J11737)),0)</f>
        <v>0</v>
      </c>
      <c r="K11744" s="25" t="n">
        <f aca="false">IF(AND(Assumptions!$P$56=1,OR(K11662&lt;Assumptions!$K$56,J11853=1)),MIN(MAX(0,-K11776),MAX(0,Assumptions!$D$56-K11737)),0)</f>
        <v>0</v>
      </c>
    </row>
    <row r="11745" customFormat="false" ht="15" hidden="false" customHeight="false" outlineLevel="0" collapsed="false">
      <c r="A11745" s="5" t="s">
        <v>271</v>
      </c>
      <c r="G11745" s="25" t="n">
        <f aca="false">G11738*MIN(G11737-G11743+G11742,MAX(0,G11778-Assumptions!$C$12*G11696-G11706-G11719-G11732))</f>
        <v>0</v>
      </c>
      <c r="H11745" s="25" t="n">
        <f aca="false">H11738*MIN(H11737-H11743+H11742,MAX(0,H11778-Assumptions!$C$12*H11696-H11706-H11719-H11732))</f>
        <v>0</v>
      </c>
      <c r="I11745" s="25" t="n">
        <f aca="false">I11738*MIN(I11737-I11743+I11742,MAX(0,I11778-Assumptions!$C$12*I11696-I11706-I11719-I11732))</f>
        <v>0</v>
      </c>
      <c r="J11745" s="25" t="n">
        <f aca="false">J11738*MIN(J11737-J11743+J11742,MAX(0,J11778-Assumptions!$C$12*J11696-J11706-J11719-J11732))</f>
        <v>0</v>
      </c>
      <c r="K11745" s="25" t="n">
        <f aca="false">K11738*MIN(K11737-K11743+K11742,MAX(0,K11778-Assumptions!$C$12*K11696-K11706-K11719-K11732))</f>
        <v>0</v>
      </c>
    </row>
    <row r="11746" customFormat="false" ht="15" hidden="false" customHeight="false" outlineLevel="0" collapsed="false">
      <c r="A11746" s="5" t="s">
        <v>272</v>
      </c>
      <c r="G11746" s="25" t="n">
        <f aca="false">Assumptions!$N$56*MIN(G11737+G11744+G11742-G11743-G11745,MAX(0,G11782-G11707-G11720-G11733))</f>
        <v>0</v>
      </c>
      <c r="H11746" s="25" t="n">
        <f aca="false">Assumptions!$N$56*MIN(H11737+H11744+H11742-H11743-H11745,MAX(0,H11782-H11707-H11720-H11733))</f>
        <v>0</v>
      </c>
      <c r="I11746" s="25" t="n">
        <f aca="false">Assumptions!$N$56*MIN(I11737+I11744+I11742-I11743-I11745,MAX(0,I11782-I11707-I11720-I11733))</f>
        <v>0</v>
      </c>
      <c r="J11746" s="25" t="n">
        <f aca="false">Assumptions!$N$56*MIN(J11737+J11744+J11742-J11743-J11745,MAX(0,J11782-J11707-J11720-J11733))</f>
        <v>0</v>
      </c>
      <c r="K11746" s="25" t="n">
        <f aca="false">Assumptions!$N$56*MIN(K11737+K11744+K11742-K11743-K11745,MAX(0,K11782-K11707-K11720-K11733))</f>
        <v>0</v>
      </c>
    </row>
    <row r="11747" customFormat="false" ht="15" hidden="false" customHeight="false" outlineLevel="0" collapsed="false">
      <c r="A11747" s="5" t="s">
        <v>273</v>
      </c>
      <c r="G11747" s="25" t="n">
        <f aca="false">G11738*(1-G11696)*(G11737-G11743+G11742-G11745)</f>
        <v>0</v>
      </c>
      <c r="H11747" s="25" t="n">
        <f aca="false">H11738*(1-H11696)*(H11737-H11743+H11742-H11745)</f>
        <v>0</v>
      </c>
      <c r="I11747" s="25" t="n">
        <f aca="false">I11738*(1-I11696)*(I11737-I11743+I11742-I11745)</f>
        <v>0</v>
      </c>
      <c r="J11747" s="25" t="n">
        <f aca="false">J11738*(1-J11696)*(J11737-J11743+J11742-J11745)</f>
        <v>0</v>
      </c>
      <c r="K11747" s="25" t="n">
        <f aca="false">K11738*(1-K11696)*(K11737-K11743+K11742-K11745)</f>
        <v>0</v>
      </c>
    </row>
    <row r="11748" customFormat="false" ht="15" hidden="false" customHeight="false" outlineLevel="0" collapsed="false">
      <c r="A11748" s="2" t="s">
        <v>274</v>
      </c>
      <c r="F11748" s="27" t="n">
        <f aca="false">Assumptions!$C$56</f>
        <v>300</v>
      </c>
      <c r="G11748" s="16" t="n">
        <f aca="false">G11737+G11744+G11742-G11743-G11745-G11746</f>
        <v>300</v>
      </c>
      <c r="H11748" s="16" t="n">
        <f aca="false">H11737+H11744+H11742-H11743-H11745-H11746</f>
        <v>300</v>
      </c>
      <c r="I11748" s="16" t="n">
        <f aca="false">I11737+I11744+I11742-I11743-I11745-I11746</f>
        <v>300</v>
      </c>
      <c r="J11748" s="16" t="n">
        <f aca="false">J11737+J11744+J11742-J11743-J11745-J11746</f>
        <v>300</v>
      </c>
      <c r="K11748" s="16" t="n">
        <f aca="false">K11737+K11744+K11742-K11743-K11745-K11746</f>
        <v>300</v>
      </c>
    </row>
    <row r="11749" customFormat="false" ht="15" hidden="false" customHeight="false" outlineLevel="0" collapsed="false">
      <c r="A11749" s="23" t="s">
        <v>278</v>
      </c>
      <c r="B11749" s="24"/>
      <c r="C11749" s="24"/>
      <c r="D11749" s="24"/>
      <c r="E11749" s="24"/>
      <c r="F11749" s="24"/>
      <c r="G11749" s="24"/>
      <c r="H11749" s="24"/>
      <c r="I11749" s="24"/>
      <c r="J11749" s="24"/>
      <c r="K11749" s="24"/>
    </row>
    <row r="11750" customFormat="false" ht="15" hidden="false" customHeight="false" outlineLevel="0" collapsed="false">
      <c r="A11750" s="2" t="s">
        <v>279</v>
      </c>
      <c r="F11750" s="16" t="n">
        <f aca="false">F11709+F11722+F11735+F11748</f>
        <v>1250</v>
      </c>
      <c r="G11750" s="16" t="n">
        <f aca="false">G11709+G11722+G11735+G11748</f>
        <v>1207.24</v>
      </c>
      <c r="H11750" s="16" t="n">
        <f aca="false">H11709+H11722+H11735+H11748</f>
        <v>1200.89226</v>
      </c>
      <c r="I11750" s="16" t="n">
        <f aca="false">I11709+I11722+I11735+I11748</f>
        <v>1204.8493582</v>
      </c>
      <c r="J11750" s="16" t="n">
        <f aca="false">J11709+J11722+J11735+J11748</f>
        <v>1217.011374858</v>
      </c>
      <c r="K11750" s="16" t="n">
        <f aca="false">K11709+K11722+K11735+K11748</f>
        <v>1227.1501752363</v>
      </c>
    </row>
    <row r="11751" customFormat="false" ht="15" hidden="false" customHeight="false" outlineLevel="0" collapsed="false">
      <c r="A11751" s="5" t="s">
        <v>280</v>
      </c>
      <c r="G11751" s="25" t="n">
        <f aca="false">G11699*Assumptions!$C$53+G11712*Assumptions!$C$54+G11725*Assumptions!$C$55+G11738*Assumptions!$C$56</f>
        <v>0</v>
      </c>
      <c r="H11751" s="25" t="n">
        <f aca="false">H11699*Assumptions!$C$53+H11712*Assumptions!$C$54+H11725*Assumptions!$C$55+H11738*Assumptions!$C$56</f>
        <v>480</v>
      </c>
      <c r="I11751" s="25" t="n">
        <f aca="false">I11699*Assumptions!$C$53+I11712*Assumptions!$C$54+I11725*Assumptions!$C$55+I11738*Assumptions!$C$56</f>
        <v>520</v>
      </c>
      <c r="J11751" s="25" t="n">
        <f aca="false">J11699*Assumptions!$C$53+J11712*Assumptions!$C$54+J11725*Assumptions!$C$55+J11738*Assumptions!$C$56</f>
        <v>250</v>
      </c>
      <c r="K11751" s="25" t="n">
        <f aca="false">K11699*Assumptions!$C$53+K11712*Assumptions!$C$54+K11725*Assumptions!$C$55+K11738*Assumptions!$C$56</f>
        <v>0</v>
      </c>
    </row>
    <row r="11752" customFormat="false" ht="15" hidden="false" customHeight="false" outlineLevel="0" collapsed="false">
      <c r="A11752" s="23" t="s">
        <v>281</v>
      </c>
      <c r="B11752" s="24"/>
      <c r="C11752" s="24"/>
      <c r="D11752" s="24"/>
      <c r="E11752" s="24"/>
      <c r="F11752" s="24"/>
      <c r="G11752" s="24"/>
      <c r="H11752" s="24"/>
      <c r="I11752" s="24"/>
      <c r="J11752" s="24"/>
      <c r="K11752" s="24"/>
    </row>
    <row r="11753" customFormat="false" ht="15" hidden="false" customHeight="false" outlineLevel="0" collapsed="false">
      <c r="A11753" s="5" t="s">
        <v>282</v>
      </c>
      <c r="C11753" s="25" t="n">
        <f aca="false">SUMPRODUCT($G$11699:$K$11699,$G$11698:$K$11698-$G$11704:$K$11704+$G$11703:$K$11703)</f>
        <v>142.44</v>
      </c>
    </row>
    <row r="11754" customFormat="false" ht="15" hidden="false" customHeight="false" outlineLevel="0" collapsed="false">
      <c r="A11754" s="5" t="s">
        <v>283</v>
      </c>
      <c r="C11754" s="25" t="n">
        <f aca="false">SUMPRODUCT($G$11699:$K$11699,$G$11706:$K$11706)</f>
        <v>1.14774000000001</v>
      </c>
    </row>
    <row r="11755" customFormat="false" ht="15" hidden="false" customHeight="false" outlineLevel="0" collapsed="false">
      <c r="A11755" s="5" t="s">
        <v>284</v>
      </c>
      <c r="C11755" s="5" t="str">
        <f aca="false">IF(SUM($G$11699:$K$11699)=0,"n/a (beyond horizon)",IF(SUMPRODUCT($G$11699:$K$11699,$G$11696:$K$11696)&gt;0,"REFINANCING PASS","REFINANCING FAILURE"))</f>
        <v>REFINANCING PASS</v>
      </c>
    </row>
    <row r="11756" customFormat="false" ht="15" hidden="false" customHeight="false" outlineLevel="0" collapsed="false">
      <c r="A11756" s="5" t="s">
        <v>285</v>
      </c>
      <c r="C11756" s="5" t="str">
        <f aca="false">IF(SUM($G$11699:$K$11699)=0,"n/a",IF(C11754&gt;=C11753-0.001,"Repaid from cash",IF(SUMPRODUCT($G$11699:$K$11699,$G$11696:$K$11696)&gt;0,IF(C11754&gt;0,"Partly repaid; remainder refinanced","Refinanced"),IF(SUM($G$11708:$K$11708)&gt;0.001,IF(C11754&gt;0,"Partial repayment; PAYMENT DEFAULT","PAYMENT DEFAULT"),"Repaid from cash"))))</f>
        <v>Partly repaid; remainder refinanced</v>
      </c>
    </row>
    <row r="11757" customFormat="false" ht="15" hidden="false" customHeight="false" outlineLevel="0" collapsed="false">
      <c r="A11757" s="5" t="s">
        <v>286</v>
      </c>
      <c r="C11757" s="25" t="n">
        <f aca="false">SUMPRODUCT($G$11712:$K$11712,$G$11711:$K$11711-$G$11717:$K$11717+$G$11716:$K$11716)</f>
        <v>504.4</v>
      </c>
    </row>
    <row r="11758" customFormat="false" ht="15" hidden="false" customHeight="false" outlineLevel="0" collapsed="false">
      <c r="A11758" s="5" t="s">
        <v>287</v>
      </c>
      <c r="C11758" s="25" t="n">
        <f aca="false">SUMPRODUCT($G$11712:$K$11712,$G$11719:$K$11719)</f>
        <v>0</v>
      </c>
    </row>
    <row r="11759" customFormat="false" ht="15" hidden="false" customHeight="false" outlineLevel="0" collapsed="false">
      <c r="A11759" s="5" t="s">
        <v>288</v>
      </c>
      <c r="C11759" s="5" t="str">
        <f aca="false">IF(SUM($G$11712:$K$11712)=0,"n/a (beyond horizon)",IF(SUMPRODUCT($G$11712:$K$11712,$G$11696:$K$11696)&gt;0,"REFINANCING PASS","REFINANCING FAILURE"))</f>
        <v>REFINANCING PASS</v>
      </c>
    </row>
    <row r="11760" customFormat="false" ht="15" hidden="false" customHeight="false" outlineLevel="0" collapsed="false">
      <c r="A11760" s="5" t="s">
        <v>289</v>
      </c>
      <c r="C11760" s="5" t="str">
        <f aca="false">IF(SUM($G$11712:$K$11712)=0,"n/a",IF(C11758&gt;=C11757-0.001,"Repaid from cash",IF(SUMPRODUCT($G$11712:$K$11712,$G$11696:$K$11696)&gt;0,IF(C11758&gt;0,"Partly repaid; remainder refinanced","Refinanced"),IF(SUM($G$11721:$K$11721)&gt;0.001,IF(C11758&gt;0,"Partial repayment; PAYMENT DEFAULT","PAYMENT DEFAULT"),"Repaid from cash"))))</f>
        <v>Refinanced</v>
      </c>
    </row>
    <row r="11761" customFormat="false" ht="15" hidden="false" customHeight="false" outlineLevel="0" collapsed="false">
      <c r="A11761" s="5" t="s">
        <v>290</v>
      </c>
      <c r="C11761" s="25" t="n">
        <f aca="false">SUMPRODUCT($G$11725:$K$11725,$G$11724:$K$11724-$G$11730:$K$11730+$G$11729:$K$11729)</f>
        <v>250</v>
      </c>
    </row>
    <row r="11762" customFormat="false" ht="15" hidden="false" customHeight="false" outlineLevel="0" collapsed="false">
      <c r="A11762" s="5" t="s">
        <v>291</v>
      </c>
      <c r="C11762" s="25" t="n">
        <f aca="false">SUMPRODUCT($G$11725:$K$11725,$G$11732:$K$11732)</f>
        <v>0</v>
      </c>
    </row>
    <row r="11763" customFormat="false" ht="15" hidden="false" customHeight="false" outlineLevel="0" collapsed="false">
      <c r="A11763" s="5" t="s">
        <v>292</v>
      </c>
      <c r="C11763" s="5" t="str">
        <f aca="false">IF(SUM($G$11725:$K$11725)=0,"n/a (beyond horizon)",IF(SUMPRODUCT($G$11725:$K$11725,$G$11696:$K$11696)&gt;0,"REFINANCING PASS","REFINANCING FAILURE"))</f>
        <v>REFINANCING PASS</v>
      </c>
    </row>
    <row r="11764" customFormat="false" ht="15" hidden="false" customHeight="false" outlineLevel="0" collapsed="false">
      <c r="A11764" s="5" t="s">
        <v>293</v>
      </c>
      <c r="C11764" s="5" t="str">
        <f aca="false">IF(SUM($G$11725:$K$11725)=0,"n/a",IF(C11762&gt;=C11761-0.001,"Repaid from cash",IF(SUMPRODUCT($G$11725:$K$11725,$G$11696:$K$11696)&gt;0,IF(C11762&gt;0,"Partly repaid; remainder refinanced","Refinanced"),IF(SUM($G$11734:$K$11734)&gt;0.001,IF(C11762&gt;0,"Partial repayment; PAYMENT DEFAULT","PAYMENT DEFAULT"),"Repaid from cash"))))</f>
        <v>Refinanced</v>
      </c>
    </row>
    <row r="11765" customFormat="false" ht="15" hidden="false" customHeight="false" outlineLevel="0" collapsed="false">
      <c r="A11765" s="5" t="s">
        <v>294</v>
      </c>
      <c r="C11765" s="25" t="n">
        <f aca="false">SUMPRODUCT($G$11738:$K$11738,$G$11737:$K$11737-$G$11743:$K$11743+$G$11742:$K$11742)</f>
        <v>300</v>
      </c>
    </row>
    <row r="11766" customFormat="false" ht="15" hidden="false" customHeight="false" outlineLevel="0" collapsed="false">
      <c r="A11766" s="5" t="s">
        <v>295</v>
      </c>
      <c r="C11766" s="25" t="n">
        <f aca="false">SUMPRODUCT($G$11738:$K$11738,$G$11745:$K$11745)</f>
        <v>0</v>
      </c>
    </row>
    <row r="11767" customFormat="false" ht="15" hidden="false" customHeight="false" outlineLevel="0" collapsed="false">
      <c r="A11767" s="5" t="s">
        <v>296</v>
      </c>
      <c r="C11767" s="5" t="str">
        <f aca="false">IF(SUM($G$11738:$K$11738)=0,"n/a (beyond horizon)",IF(SUMPRODUCT($G$11738:$K$11738,$G$11696:$K$11696)&gt;0,"REFINANCING PASS","REFINANCING FAILURE"))</f>
        <v>REFINANCING PASS</v>
      </c>
    </row>
    <row r="11768" customFormat="false" ht="15" hidden="false" customHeight="false" outlineLevel="0" collapsed="false">
      <c r="A11768" s="5" t="s">
        <v>297</v>
      </c>
      <c r="C11768" s="5" t="str">
        <f aca="false">IF(SUM($G$11738:$K$11738)=0,"n/a",IF(C11766&gt;=C11765-0.001,"Repaid from cash",IF(SUMPRODUCT($G$11738:$K$11738,$G$11696:$K$11696)&gt;0,IF(C11766&gt;0,"Partly repaid; remainder refinanced","Refinanced"),IF(SUM($G$11747:$K$11747)&gt;0.001,IF(C11766&gt;0,"Partial repayment; PAYMENT DEFAULT","PAYMENT DEFAULT"),"Repaid from cash"))))</f>
        <v>Refinanced</v>
      </c>
    </row>
    <row r="11769" customFormat="false" ht="15" hidden="false" customHeight="false" outlineLevel="0" collapsed="false">
      <c r="A11769" s="5" t="s">
        <v>298</v>
      </c>
      <c r="C11769" s="20" t="n">
        <f aca="false">IF(C11755="REFINANCING FAILURE",1,0)+IF(C11759="REFINANCING FAILURE",1,0)+IF(C11763="REFINANCING FAILURE",1,0)+IF(C11767="REFINANCING FAILURE",1,0)</f>
        <v>0</v>
      </c>
    </row>
    <row r="11771" customFormat="false" ht="15" hidden="false" customHeight="false" outlineLevel="0" collapsed="false">
      <c r="A11771" s="23" t="s">
        <v>300</v>
      </c>
      <c r="B11771" s="24"/>
      <c r="C11771" s="24"/>
      <c r="D11771" s="24"/>
      <c r="E11771" s="24"/>
      <c r="F11771" s="24"/>
      <c r="G11771" s="24"/>
      <c r="H11771" s="24"/>
      <c r="I11771" s="24"/>
      <c r="J11771" s="24"/>
      <c r="K11771" s="24"/>
    </row>
    <row r="11772" customFormat="false" ht="15" hidden="false" customHeight="false" outlineLevel="0" collapsed="false">
      <c r="A11772" s="5" t="s">
        <v>260</v>
      </c>
      <c r="G11772" s="25" t="n">
        <f aca="false">F11784</f>
        <v>45</v>
      </c>
      <c r="H11772" s="25" t="n">
        <f aca="false">G11784</f>
        <v>0</v>
      </c>
      <c r="I11772" s="25" t="n">
        <f aca="false">H11784</f>
        <v>0</v>
      </c>
      <c r="J11772" s="25" t="n">
        <f aca="false">I11784</f>
        <v>0</v>
      </c>
      <c r="K11772" s="25" t="n">
        <f aca="false">J11784</f>
        <v>0</v>
      </c>
    </row>
    <row r="11773" customFormat="false" ht="15" hidden="false" customHeight="false" outlineLevel="0" collapsed="false">
      <c r="A11773" s="5" t="s">
        <v>301</v>
      </c>
      <c r="G11773" s="25" t="n">
        <f aca="false">G11685</f>
        <v>-2.24</v>
      </c>
      <c r="H11773" s="25" t="n">
        <f aca="false">H11685</f>
        <v>6.34774000000002</v>
      </c>
      <c r="I11773" s="25" t="n">
        <f aca="false">I11685</f>
        <v>-3.95709820000002</v>
      </c>
      <c r="J11773" s="25" t="n">
        <f aca="false">J11685</f>
        <v>-12.162016658</v>
      </c>
      <c r="K11773" s="25" t="n">
        <f aca="false">K11685</f>
        <v>-10.1388003783</v>
      </c>
    </row>
    <row r="11774" customFormat="false" ht="15" hidden="false" customHeight="false" outlineLevel="0" collapsed="false">
      <c r="A11774" s="5" t="s">
        <v>302</v>
      </c>
      <c r="G11774" s="25" t="n">
        <f aca="false">CHOOSE($C$11655,Assumptions!$G$68,Assumptions!$G$87,Assumptions!$G$106)</f>
        <v>0</v>
      </c>
      <c r="H11774" s="25" t="n">
        <f aca="false">CHOOSE($C$11655,Assumptions!$H$68,Assumptions!$H$87,Assumptions!$H$106)</f>
        <v>0</v>
      </c>
      <c r="I11774" s="25" t="n">
        <f aca="false">CHOOSE($C$11655,Assumptions!$I$68,Assumptions!$I$87,Assumptions!$I$106)</f>
        <v>0</v>
      </c>
      <c r="J11774" s="25" t="n">
        <f aca="false">CHOOSE($C$11655,Assumptions!$J$68,Assumptions!$J$87,Assumptions!$J$106)</f>
        <v>0</v>
      </c>
      <c r="K11774" s="25" t="n">
        <f aca="false">CHOOSE($C$11655,Assumptions!$K$68,Assumptions!$K$87,Assumptions!$K$106)</f>
        <v>0</v>
      </c>
    </row>
    <row r="11775" customFormat="false" ht="15" hidden="false" customHeight="false" outlineLevel="0" collapsed="false">
      <c r="A11775" s="5" t="s">
        <v>303</v>
      </c>
      <c r="G11775" s="25" t="n">
        <f aca="false">G11704+G11717+G11730+G11743</f>
        <v>5.2</v>
      </c>
      <c r="H11775" s="25" t="n">
        <f aca="false">H11704+H11717+H11730+H11743</f>
        <v>5.2</v>
      </c>
      <c r="I11775" s="25" t="n">
        <f aca="false">I11704+I11717+I11730+I11743</f>
        <v>5.2</v>
      </c>
      <c r="J11775" s="25" t="n">
        <f aca="false">J11704+J11717+J11730+J11743</f>
        <v>5.2</v>
      </c>
      <c r="K11775" s="25" t="n">
        <f aca="false">K11704+K11717+K11730+K11743</f>
        <v>5.2</v>
      </c>
    </row>
    <row r="11776" customFormat="false" ht="15" hidden="false" customHeight="false" outlineLevel="0" collapsed="false">
      <c r="A11776" s="2" t="s">
        <v>304</v>
      </c>
      <c r="G11776" s="16" t="n">
        <f aca="false">G11772+G11773+G11774-G11775</f>
        <v>37.56</v>
      </c>
      <c r="H11776" s="16" t="n">
        <f aca="false">H11772+H11773+H11774-H11775</f>
        <v>1.14774000000001</v>
      </c>
      <c r="I11776" s="16" t="n">
        <f aca="false">I11772+I11773+I11774-I11775</f>
        <v>-9.15709820000002</v>
      </c>
      <c r="J11776" s="16" t="n">
        <f aca="false">J11772+J11773+J11774-J11775</f>
        <v>-17.362016658</v>
      </c>
      <c r="K11776" s="16" t="n">
        <f aca="false">K11772+K11773+K11774-K11775</f>
        <v>-15.3388003783</v>
      </c>
    </row>
    <row r="11777" customFormat="false" ht="15" hidden="false" customHeight="false" outlineLevel="0" collapsed="false">
      <c r="A11777" s="5" t="s">
        <v>305</v>
      </c>
      <c r="G11777" s="25" t="n">
        <f aca="false">G11705+G11718+G11731+G11744</f>
        <v>0</v>
      </c>
      <c r="H11777" s="25" t="n">
        <f aca="false">H11705+H11718+H11731+H11744</f>
        <v>0</v>
      </c>
      <c r="I11777" s="25" t="n">
        <f aca="false">I11705+I11718+I11731+I11744</f>
        <v>9.15709820000002</v>
      </c>
      <c r="J11777" s="25" t="n">
        <f aca="false">J11705+J11718+J11731+J11744</f>
        <v>17.362016658</v>
      </c>
      <c r="K11777" s="25" t="n">
        <f aca="false">K11705+K11718+K11731+K11744</f>
        <v>15.3388003783</v>
      </c>
    </row>
    <row r="11778" customFormat="false" ht="15" hidden="false" customHeight="false" outlineLevel="0" collapsed="false">
      <c r="A11778" s="2" t="s">
        <v>306</v>
      </c>
      <c r="G11778" s="16" t="n">
        <f aca="false">G11776+G11777</f>
        <v>37.56</v>
      </c>
      <c r="H11778" s="16" t="n">
        <f aca="false">H11776+H11777</f>
        <v>1.14774000000001</v>
      </c>
      <c r="I11778" s="16" t="n">
        <f aca="false">I11776+I11777</f>
        <v>0</v>
      </c>
      <c r="J11778" s="16" t="n">
        <f aca="false">J11776+J11777</f>
        <v>0</v>
      </c>
      <c r="K11778" s="16" t="n">
        <f aca="false">K11776+K11777</f>
        <v>0</v>
      </c>
    </row>
    <row r="11779" customFormat="false" ht="15" hidden="false" customHeight="false" outlineLevel="0" collapsed="false">
      <c r="A11779" s="5" t="s">
        <v>307</v>
      </c>
      <c r="G11779" s="25" t="n">
        <f aca="false">G11706+G11719+G11732+G11745</f>
        <v>0</v>
      </c>
      <c r="H11779" s="25" t="n">
        <f aca="false">H11706+H11719+H11732+H11745</f>
        <v>1.14774000000001</v>
      </c>
      <c r="I11779" s="25" t="n">
        <f aca="false">I11706+I11719+I11732+I11745</f>
        <v>0</v>
      </c>
      <c r="J11779" s="25" t="n">
        <f aca="false">J11706+J11719+J11732+J11745</f>
        <v>0</v>
      </c>
      <c r="K11779" s="25" t="n">
        <f aca="false">K11706+K11719+K11732+K11745</f>
        <v>0</v>
      </c>
    </row>
    <row r="11780" customFormat="false" ht="15" hidden="false" customHeight="false" outlineLevel="0" collapsed="false">
      <c r="A11780" s="2" t="s">
        <v>308</v>
      </c>
      <c r="G11780" s="16" t="n">
        <f aca="false">G11778-G11779</f>
        <v>37.56</v>
      </c>
      <c r="H11780" s="16" t="n">
        <f aca="false">H11778-H11779</f>
        <v>0</v>
      </c>
      <c r="I11780" s="16" t="n">
        <f aca="false">I11778-I11779</f>
        <v>0</v>
      </c>
      <c r="J11780" s="16" t="n">
        <f aca="false">J11778-J11779</f>
        <v>0</v>
      </c>
      <c r="K11780" s="16" t="n">
        <f aca="false">K11778-K11779</f>
        <v>0</v>
      </c>
    </row>
    <row r="11781" customFormat="false" ht="15" hidden="false" customHeight="false" outlineLevel="0" collapsed="false">
      <c r="A11781" s="5" t="s">
        <v>309</v>
      </c>
      <c r="G11781" s="25" t="n">
        <f aca="false">MAX(0,-G11780)</f>
        <v>0</v>
      </c>
      <c r="H11781" s="25" t="n">
        <f aca="false">MAX(0,-H11780)</f>
        <v>-0</v>
      </c>
      <c r="I11781" s="25" t="n">
        <f aca="false">MAX(0,-I11780)</f>
        <v>-0</v>
      </c>
      <c r="J11781" s="25" t="n">
        <f aca="false">MAX(0,-J11780)</f>
        <v>-0</v>
      </c>
      <c r="K11781" s="25" t="n">
        <f aca="false">MAX(0,-K11780)</f>
        <v>-0</v>
      </c>
    </row>
    <row r="11782" customFormat="false" ht="15" hidden="false" customHeight="false" outlineLevel="0" collapsed="false">
      <c r="A11782" s="5" t="s">
        <v>310</v>
      </c>
      <c r="G11782" s="25" t="n">
        <f aca="false">MAX(0,G11780-Assumptions!$C$12)*Assumptions!$C$13</f>
        <v>37.56</v>
      </c>
      <c r="H11782" s="25" t="n">
        <f aca="false">MAX(0,H11780-Assumptions!$C$12)*Assumptions!$C$13</f>
        <v>0</v>
      </c>
      <c r="I11782" s="25" t="n">
        <f aca="false">MAX(0,I11780-Assumptions!$C$12)*Assumptions!$C$13</f>
        <v>0</v>
      </c>
      <c r="J11782" s="25" t="n">
        <f aca="false">MAX(0,J11780-Assumptions!$C$12)*Assumptions!$C$13</f>
        <v>0</v>
      </c>
      <c r="K11782" s="25" t="n">
        <f aca="false">MAX(0,K11780-Assumptions!$C$12)*Assumptions!$C$13</f>
        <v>0</v>
      </c>
    </row>
    <row r="11783" customFormat="false" ht="15" hidden="false" customHeight="false" outlineLevel="0" collapsed="false">
      <c r="A11783" s="5" t="s">
        <v>311</v>
      </c>
      <c r="G11783" s="25" t="n">
        <f aca="false">G11707+G11720+G11733+G11746</f>
        <v>37.56</v>
      </c>
      <c r="H11783" s="25" t="n">
        <f aca="false">H11707+H11720+H11733+H11746</f>
        <v>0</v>
      </c>
      <c r="I11783" s="25" t="n">
        <f aca="false">I11707+I11720+I11733+I11746</f>
        <v>0</v>
      </c>
      <c r="J11783" s="25" t="n">
        <f aca="false">J11707+J11720+J11733+J11746</f>
        <v>0</v>
      </c>
      <c r="K11783" s="25" t="n">
        <f aca="false">K11707+K11720+K11733+K11746</f>
        <v>0</v>
      </c>
    </row>
    <row r="11784" customFormat="false" ht="15" hidden="false" customHeight="false" outlineLevel="0" collapsed="false">
      <c r="A11784" s="2" t="s">
        <v>312</v>
      </c>
      <c r="F11784" s="27" t="n">
        <f aca="false">Assumptions!$C$11</f>
        <v>45</v>
      </c>
      <c r="G11784" s="16" t="n">
        <f aca="false">G11780-G11783</f>
        <v>0</v>
      </c>
      <c r="H11784" s="16" t="n">
        <f aca="false">H11780-H11783</f>
        <v>0</v>
      </c>
      <c r="I11784" s="16" t="n">
        <f aca="false">I11780-I11783</f>
        <v>0</v>
      </c>
      <c r="J11784" s="16" t="n">
        <f aca="false">J11780-J11783</f>
        <v>0</v>
      </c>
      <c r="K11784" s="16" t="n">
        <f aca="false">K11780-K11783</f>
        <v>0</v>
      </c>
    </row>
    <row r="11785" customFormat="false" ht="15" hidden="false" customHeight="false" outlineLevel="0" collapsed="false">
      <c r="A11785" s="5" t="s">
        <v>313</v>
      </c>
      <c r="G11785" s="25" t="n">
        <f aca="false">G11708+G11721+G11734+G11747</f>
        <v>0</v>
      </c>
      <c r="H11785" s="25" t="n">
        <f aca="false">H11708+H11721+H11734+H11747</f>
        <v>0</v>
      </c>
      <c r="I11785" s="25" t="n">
        <f aca="false">I11708+I11721+I11734+I11747</f>
        <v>0</v>
      </c>
      <c r="J11785" s="25" t="n">
        <f aca="false">J11708+J11721+J11734+J11747</f>
        <v>0</v>
      </c>
      <c r="K11785" s="25" t="n">
        <f aca="false">K11708+K11721+K11734+K11747</f>
        <v>0</v>
      </c>
    </row>
    <row r="11786" customFormat="false" ht="15" hidden="false" customHeight="false" outlineLevel="0" collapsed="false">
      <c r="A11786" s="5" t="s">
        <v>314</v>
      </c>
      <c r="G11786" s="20" t="n">
        <f aca="false">IF(OR(G11781&gt;0.001,G11785&gt;0.001),1,0)</f>
        <v>0</v>
      </c>
      <c r="H11786" s="20" t="n">
        <f aca="false">IF(OR(H11781&gt;0.001,H11785&gt;0.001),1,0)</f>
        <v>0</v>
      </c>
      <c r="I11786" s="20" t="n">
        <f aca="false">IF(OR(I11781&gt;0.001,I11785&gt;0.001),1,0)</f>
        <v>0</v>
      </c>
      <c r="J11786" s="20" t="n">
        <f aca="false">IF(OR(J11781&gt;0.001,J11785&gt;0.001),1,0)</f>
        <v>0</v>
      </c>
      <c r="K11786" s="20" t="n">
        <f aca="false">IF(OR(K11781&gt;0.001,K11785&gt;0.001),1,0)</f>
        <v>0</v>
      </c>
    </row>
    <row r="11787" customFormat="false" ht="15" hidden="false" customHeight="false" outlineLevel="0" collapsed="false">
      <c r="A11787" s="5" t="s">
        <v>315</v>
      </c>
      <c r="G11787" s="20" t="n">
        <f aca="false">IF(G11786=1,1,0)</f>
        <v>0</v>
      </c>
      <c r="H11787" s="20" t="n">
        <f aca="false">IF(AND(H11786=1,SUM($G$11786:G11786)=0),1,0)</f>
        <v>0</v>
      </c>
      <c r="I11787" s="20" t="n">
        <f aca="false">IF(AND(I11786=1,SUM($G$11786:H11786)=0),1,0)</f>
        <v>0</v>
      </c>
      <c r="J11787" s="20" t="n">
        <f aca="false">IF(AND(J11786=1,SUM($G$11786:I11786)=0),1,0)</f>
        <v>0</v>
      </c>
      <c r="K11787" s="20" t="n">
        <f aca="false">IF(AND(K11786=1,SUM($G$11786:J11786)=0),1,0)</f>
        <v>0</v>
      </c>
    </row>
    <row r="11788" customFormat="false" ht="15" hidden="false" customHeight="false" outlineLevel="0" collapsed="false">
      <c r="A11788" s="5" t="s">
        <v>316</v>
      </c>
      <c r="G11788" s="25" t="n">
        <f aca="false">(G11750-F11750)-(G11777+G11677-G11775-G11779-G11783)</f>
        <v>0</v>
      </c>
      <c r="H11788" s="25" t="n">
        <f aca="false">(H11750-G11750)-(H11777+H11677-H11775-H11779-H11783)</f>
        <v>8.43769498715119E-014</v>
      </c>
      <c r="I11788" s="25" t="n">
        <f aca="false">(I11750-H11750)-(I11777+I11677-I11775-I11779-I11783)</f>
        <v>0</v>
      </c>
      <c r="J11788" s="25" t="n">
        <f aca="false">(J11750-I11750)-(J11777+J11677-J11775-J11779-J11783)</f>
        <v>-1.45661260830821E-013</v>
      </c>
      <c r="K11788" s="25" t="n">
        <f aca="false">(K11750-J11750)-(K11777+K11677-K11775-K11779-K11783)</f>
        <v>0</v>
      </c>
    </row>
    <row r="11790" customFormat="false" ht="15" hidden="false" customHeight="false" outlineLevel="0" collapsed="false">
      <c r="A11790" s="23" t="s">
        <v>318</v>
      </c>
      <c r="B11790" s="24"/>
      <c r="C11790" s="24"/>
      <c r="D11790" s="24"/>
      <c r="E11790" s="24"/>
      <c r="F11790" s="24"/>
      <c r="G11790" s="24"/>
      <c r="H11790" s="24"/>
      <c r="I11790" s="24"/>
      <c r="J11790" s="24"/>
      <c r="K11790" s="24"/>
    </row>
    <row r="11791" customFormat="false" ht="15" hidden="false" customHeight="false" outlineLevel="0" collapsed="false">
      <c r="A11791" s="5" t="s">
        <v>319</v>
      </c>
      <c r="G11791" s="25" t="n">
        <f aca="false">G11750</f>
        <v>1207.24</v>
      </c>
      <c r="H11791" s="25" t="n">
        <f aca="false">H11750</f>
        <v>1200.89226</v>
      </c>
      <c r="I11791" s="25" t="n">
        <f aca="false">I11750</f>
        <v>1204.8493582</v>
      </c>
      <c r="J11791" s="25" t="n">
        <f aca="false">J11750</f>
        <v>1217.011374858</v>
      </c>
      <c r="K11791" s="25" t="n">
        <f aca="false">K11750</f>
        <v>1227.1501752363</v>
      </c>
    </row>
    <row r="11792" customFormat="false" ht="15" hidden="false" customHeight="false" outlineLevel="0" collapsed="false">
      <c r="A11792" s="5" t="s">
        <v>320</v>
      </c>
      <c r="G11792" s="25" t="n">
        <f aca="false">Assumptions!$O$53*G11709+Assumptions!$O$54*G11722+Assumptions!$O$55*G11735+Assumptions!$O$56*G11748</f>
        <v>907.24</v>
      </c>
      <c r="H11792" s="25" t="n">
        <f aca="false">Assumptions!$O$53*H11709+Assumptions!$O$54*H11722+Assumptions!$O$55*H11735+Assumptions!$O$56*H11748</f>
        <v>900.89226</v>
      </c>
      <c r="I11792" s="25" t="n">
        <f aca="false">Assumptions!$O$53*I11709+Assumptions!$O$54*I11722+Assumptions!$O$55*I11735+Assumptions!$O$56*I11748</f>
        <v>904.8493582</v>
      </c>
      <c r="J11792" s="25" t="n">
        <f aca="false">Assumptions!$O$53*J11709+Assumptions!$O$54*J11722+Assumptions!$O$55*J11735+Assumptions!$O$56*J11748</f>
        <v>917.011374858</v>
      </c>
      <c r="K11792" s="25" t="n">
        <f aca="false">Assumptions!$O$53*K11709+Assumptions!$O$54*K11722+Assumptions!$O$55*K11735+Assumptions!$O$56*K11748</f>
        <v>927.1501752363</v>
      </c>
    </row>
    <row r="11793" customFormat="false" ht="15" hidden="false" customHeight="false" outlineLevel="0" collapsed="false">
      <c r="A11793" s="5" t="s">
        <v>321</v>
      </c>
      <c r="G11793" s="25" t="n">
        <f aca="false">G11791-G11784</f>
        <v>1207.24</v>
      </c>
      <c r="H11793" s="25" t="n">
        <f aca="false">H11791-H11784</f>
        <v>1200.89226</v>
      </c>
      <c r="I11793" s="25" t="n">
        <f aca="false">I11791-I11784</f>
        <v>1204.8493582</v>
      </c>
      <c r="J11793" s="25" t="n">
        <f aca="false">J11791-J11784</f>
        <v>1217.011374858</v>
      </c>
      <c r="K11793" s="25" t="n">
        <f aca="false">K11791-K11784</f>
        <v>1227.1501752363</v>
      </c>
    </row>
    <row r="11794" customFormat="false" ht="15" hidden="false" customHeight="false" outlineLevel="0" collapsed="false">
      <c r="A11794" s="5" t="s">
        <v>322</v>
      </c>
      <c r="G11794" s="31" t="n">
        <f aca="false">IF(G11672&gt;0,G11791/G11672,0)</f>
        <v>7.81688681688682</v>
      </c>
      <c r="H11794" s="31" t="n">
        <f aca="false">IF(H11672&gt;0,H11791/H11672,0)</f>
        <v>7.61987087823813</v>
      </c>
      <c r="I11794" s="31" t="n">
        <f aca="false">IF(I11672&gt;0,I11791/I11672,0)</f>
        <v>7.49836944653541</v>
      </c>
      <c r="J11794" s="31" t="n">
        <f aca="false">IF(J11672&gt;0,J11791/J11672,0)</f>
        <v>7.4350564221105</v>
      </c>
      <c r="K11794" s="31" t="n">
        <f aca="false">IF(K11672&gt;0,K11791/K11672,0)</f>
        <v>7.3652524785738</v>
      </c>
    </row>
    <row r="11795" customFormat="false" ht="15" hidden="false" customHeight="false" outlineLevel="0" collapsed="false">
      <c r="A11795" s="5" t="s">
        <v>323</v>
      </c>
      <c r="G11795" s="31" t="n">
        <f aca="false">IF(G11672&gt;0,G11793/G11672,0)</f>
        <v>7.81688681688682</v>
      </c>
      <c r="H11795" s="31" t="n">
        <f aca="false">IF(H11672&gt;0,H11793/H11672,0)</f>
        <v>7.61987087823813</v>
      </c>
      <c r="I11795" s="31" t="n">
        <f aca="false">IF(I11672&gt;0,I11793/I11672,0)</f>
        <v>7.49836944653541</v>
      </c>
      <c r="J11795" s="31" t="n">
        <f aca="false">IF(J11672&gt;0,J11793/J11672,0)</f>
        <v>7.4350564221105</v>
      </c>
      <c r="K11795" s="31" t="n">
        <f aca="false">IF(K11672&gt;0,K11793/K11672,0)</f>
        <v>7.3652524785738</v>
      </c>
    </row>
    <row r="11796" customFormat="false" ht="15" hidden="false" customHeight="false" outlineLevel="0" collapsed="false">
      <c r="A11796" s="5" t="s">
        <v>324</v>
      </c>
      <c r="G11796" s="31" t="n">
        <f aca="false">IF(G11676&gt;0,G11672/G11676,0)</f>
        <v>1.37843627275973</v>
      </c>
      <c r="H11796" s="31" t="n">
        <f aca="false">IF(H11676&gt;0,H11672/H11676,0)</f>
        <v>1.47208980789425</v>
      </c>
      <c r="I11796" s="31" t="n">
        <f aca="false">IF(I11676&gt;0,I11672/I11676,0)</f>
        <v>1.3291882726867</v>
      </c>
      <c r="J11796" s="31" t="n">
        <f aca="false">IF(J11676&gt;0,J11672/J11676,0)</f>
        <v>1.23505111761282</v>
      </c>
      <c r="K11796" s="31" t="n">
        <f aca="false">IF(K11676&gt;0,K11672/K11676,0)</f>
        <v>1.24457981236595</v>
      </c>
    </row>
    <row r="11797" customFormat="false" ht="15" hidden="false" customHeight="false" outlineLevel="0" collapsed="false">
      <c r="A11797" s="5" t="s">
        <v>325</v>
      </c>
      <c r="G11797" s="31" t="n">
        <f aca="false">IF(G11676&gt;0,G11675/G11676,0)</f>
        <v>0.911888611210282</v>
      </c>
      <c r="H11797" s="31" t="n">
        <f aca="false">IF(H11676&gt;0,H11675/H11676,0)</f>
        <v>0.988717035152852</v>
      </c>
      <c r="I11797" s="31" t="n">
        <f aca="false">IF(I11676&gt;0,I11675/I11676,0)</f>
        <v>0.905389113279347</v>
      </c>
      <c r="J11797" s="31" t="n">
        <f aca="false">IF(J11676&gt;0,J11675/J11676,0)</f>
        <v>0.852359222014482</v>
      </c>
      <c r="K11797" s="31" t="n">
        <f aca="false">IF(K11676&gt;0,K11675/K11676,0)</f>
        <v>0.869500964803611</v>
      </c>
    </row>
    <row r="11798" customFormat="false" ht="15" hidden="false" customHeight="false" outlineLevel="0" collapsed="false">
      <c r="A11798" s="5" t="s">
        <v>182</v>
      </c>
      <c r="G11798" s="21" t="n">
        <f aca="false">IF(G11791&gt;0,G11685/G11791,0)</f>
        <v>-0.00185547198568636</v>
      </c>
      <c r="H11798" s="21" t="n">
        <f aca="false">IF(H11791&gt;0,H11685/H11791,0)</f>
        <v>0.00528585303730746</v>
      </c>
      <c r="I11798" s="21" t="n">
        <f aca="false">IF(I11791&gt;0,I11685/I11791,0)</f>
        <v>-0.00328430950563959</v>
      </c>
      <c r="J11798" s="21" t="n">
        <f aca="false">IF(J11791&gt;0,J11685/J11791,0)</f>
        <v>-0.00999334674207055</v>
      </c>
      <c r="K11798" s="21" t="n">
        <f aca="false">IF(K11791&gt;0,K11685/K11791,0)</f>
        <v>-0.00826206977996614</v>
      </c>
    </row>
    <row r="11799" customFormat="false" ht="15" hidden="false" customHeight="false" outlineLevel="0" collapsed="false">
      <c r="A11799" s="5" t="s">
        <v>326</v>
      </c>
      <c r="G11799" s="31" t="n">
        <f aca="false">IF(G11676+G11775&gt;0,(G11672-G11683-G11680)/(G11676+G11775),0)</f>
        <v>0.911975435005118</v>
      </c>
      <c r="H11799" s="31" t="n">
        <f aca="false">IF(H11676+H11775&gt;0,(H11672-H11683-H11680)/(H11676+H11775),0)</f>
        <v>0.98482559130808</v>
      </c>
      <c r="I11799" s="31" t="n">
        <f aca="false">IF(I11676+I11775&gt;0,(I11672-I11683-I11680)/(I11676+I11775),0)</f>
        <v>0.904987896582343</v>
      </c>
      <c r="J11799" s="31" t="n">
        <f aca="false">IF(J11676+J11775&gt;0,(J11672-J11683-J11680)/(J11676+J11775),0)</f>
        <v>0.85365587812985</v>
      </c>
      <c r="K11799" s="31" t="n">
        <f aca="false">IF(K11676+K11775&gt;0,(K11672-K11683-K11680)/(K11676+K11775),0)</f>
        <v>0.869812655553184</v>
      </c>
    </row>
    <row r="11800" customFormat="false" ht="15" hidden="false" customHeight="false" outlineLevel="0" collapsed="false">
      <c r="A11800" s="5" t="s">
        <v>327</v>
      </c>
      <c r="G11800" s="25" t="n">
        <f aca="false">MAX(0,G11784)+Assumptions!$P$53*MAX(0,Assumptions!$D$53-G11709)+Assumptions!$P$54*MAX(0,Assumptions!$D$54-G11722)+Assumptions!$P$55*MAX(0,Assumptions!$D$55-G11735)+Assumptions!$P$56*MAX(0,Assumptions!$D$56-G11748)</f>
        <v>157.56</v>
      </c>
      <c r="H11800" s="25" t="n">
        <f aca="false">MAX(0,H11784)+Assumptions!$P$53*MAX(0,Assumptions!$D$53-H11709)+Assumptions!$P$54*MAX(0,Assumptions!$D$54-H11722)+Assumptions!$P$55*MAX(0,Assumptions!$D$55-H11735)+Assumptions!$P$56*MAX(0,Assumptions!$D$56-H11748)</f>
        <v>158.70774</v>
      </c>
      <c r="I11800" s="25" t="n">
        <f aca="false">MAX(0,I11784)+Assumptions!$P$53*MAX(0,Assumptions!$D$53-I11709)+Assumptions!$P$54*MAX(0,Assumptions!$D$54-I11722)+Assumptions!$P$55*MAX(0,Assumptions!$D$55-I11735)+Assumptions!$P$56*MAX(0,Assumptions!$D$56-I11748)</f>
        <v>149.5506418</v>
      </c>
      <c r="J11800" s="25" t="n">
        <f aca="false">MAX(0,J11784)+Assumptions!$P$53*MAX(0,Assumptions!$D$53-J11709)+Assumptions!$P$54*MAX(0,Assumptions!$D$54-J11722)+Assumptions!$P$55*MAX(0,Assumptions!$D$55-J11735)+Assumptions!$P$56*MAX(0,Assumptions!$D$56-J11748)</f>
        <v>132.188625142</v>
      </c>
      <c r="K11800" s="25" t="n">
        <f aca="false">MAX(0,K11784)+Assumptions!$P$53*MAX(0,Assumptions!$D$53-K11709)+Assumptions!$P$54*MAX(0,Assumptions!$D$54-K11722)+Assumptions!$P$55*MAX(0,Assumptions!$D$55-K11735)+Assumptions!$P$56*MAX(0,Assumptions!$D$56-K11748)</f>
        <v>116.8498247637</v>
      </c>
    </row>
    <row r="11801" customFormat="false" ht="15" hidden="false" customHeight="false" outlineLevel="0" collapsed="false">
      <c r="A11801" s="5" t="s">
        <v>328</v>
      </c>
      <c r="G11801" s="21" t="n">
        <f aca="false">IF(G11791&gt;0,G11791/(G11791+MAX(0,G11672*CHOOSE($C$11655,Assumptions!$C$76,Assumptions!$C$95,Assumptions!$C$114)-G11793)),0)</f>
        <v>1</v>
      </c>
      <c r="H11801" s="21" t="n">
        <f aca="false">IF(H11791&gt;0,H11791/(H11791+MAX(0,H11672*CHOOSE($C$11655,Assumptions!$C$76,Assumptions!$C$95,Assumptions!$C$114)-H11793)),0)</f>
        <v>1</v>
      </c>
      <c r="I11801" s="21" t="n">
        <f aca="false">IF(I11791&gt;0,I11791/(I11791+MAX(0,I11672*CHOOSE($C$11655,Assumptions!$C$76,Assumptions!$C$95,Assumptions!$C$114)-I11793)),0)</f>
        <v>1</v>
      </c>
      <c r="J11801" s="21" t="n">
        <f aca="false">IF(J11791&gt;0,J11791/(J11791+MAX(0,J11672*CHOOSE($C$11655,Assumptions!$C$76,Assumptions!$C$95,Assumptions!$C$114)-J11793)),0)</f>
        <v>1</v>
      </c>
      <c r="K11801" s="21" t="n">
        <f aca="false">IF(K11791&gt;0,K11791/(K11791+MAX(0,K11672*CHOOSE($C$11655,Assumptions!$C$76,Assumptions!$C$95,Assumptions!$C$114)-K11793)),0)</f>
        <v>1</v>
      </c>
    </row>
    <row r="11802" customFormat="false" ht="15" hidden="false" customHeight="false" outlineLevel="0" collapsed="false">
      <c r="A11802" s="5" t="s">
        <v>329</v>
      </c>
      <c r="G11802" s="21" t="n">
        <f aca="false">IF(G11791&gt;0,MAX(0,G11784)/G11791,0)</f>
        <v>0</v>
      </c>
      <c r="H11802" s="21" t="n">
        <f aca="false">IF(H11791&gt;0,MAX(0,H11784)/H11791,0)</f>
        <v>0</v>
      </c>
      <c r="I11802" s="21" t="n">
        <f aca="false">IF(I11791&gt;0,MAX(0,I11784)/I11791,0)</f>
        <v>0</v>
      </c>
      <c r="J11802" s="21" t="n">
        <f aca="false">IF(J11791&gt;0,MAX(0,J11784)/J11791,0)</f>
        <v>0</v>
      </c>
      <c r="K11802" s="21" t="n">
        <f aca="false">IF(K11791&gt;0,MAX(0,K11784)/K11791,0)</f>
        <v>0</v>
      </c>
    </row>
    <row r="11803" customFormat="false" ht="15" hidden="false" customHeight="false" outlineLevel="0" collapsed="false">
      <c r="A11803" s="5" t="s">
        <v>330</v>
      </c>
      <c r="G11803" s="25" t="n">
        <f aca="false">Assumptions!$C$27*(1-CHOOSE($C$11655,Assumptions!$C$79,Assumptions!$C$98,Assumptions!$C$117))</f>
        <v>1040</v>
      </c>
      <c r="H11803" s="25" t="n">
        <f aca="false">Assumptions!$C$27*(1-CHOOSE($C$11655,Assumptions!$C$79,Assumptions!$C$98,Assumptions!$C$117))</f>
        <v>1040</v>
      </c>
      <c r="I11803" s="25" t="n">
        <f aca="false">Assumptions!$C$27*(1-CHOOSE($C$11655,Assumptions!$C$79,Assumptions!$C$98,Assumptions!$C$117))</f>
        <v>1040</v>
      </c>
      <c r="J11803" s="25" t="n">
        <f aca="false">Assumptions!$C$27*(1-CHOOSE($C$11655,Assumptions!$C$79,Assumptions!$C$98,Assumptions!$C$117))</f>
        <v>1040</v>
      </c>
      <c r="K11803" s="25" t="n">
        <f aca="false">Assumptions!$C$27*(1-CHOOSE($C$11655,Assumptions!$C$79,Assumptions!$C$98,Assumptions!$C$117))</f>
        <v>1040</v>
      </c>
    </row>
    <row r="11804" customFormat="false" ht="15" hidden="false" customHeight="false" outlineLevel="0" collapsed="false">
      <c r="A11804" s="23" t="s">
        <v>331</v>
      </c>
      <c r="B11804" s="24"/>
      <c r="C11804" s="24"/>
      <c r="D11804" s="24"/>
      <c r="E11804" s="24"/>
      <c r="F11804" s="24"/>
      <c r="G11804" s="24"/>
      <c r="H11804" s="24"/>
      <c r="I11804" s="24"/>
      <c r="J11804" s="24"/>
      <c r="K11804" s="24"/>
    </row>
    <row r="11805" customFormat="false" ht="15" hidden="false" customHeight="false" outlineLevel="0" collapsed="false">
      <c r="A11805" s="23" t="s">
        <v>332</v>
      </c>
      <c r="B11805" s="24"/>
      <c r="C11805" s="24"/>
      <c r="D11805" s="24"/>
      <c r="E11805" s="24"/>
      <c r="F11805" s="24"/>
      <c r="G11805" s="24"/>
      <c r="H11805" s="24"/>
      <c r="I11805" s="24"/>
      <c r="J11805" s="24"/>
      <c r="K11805" s="24"/>
    </row>
    <row r="11806" customFormat="false" ht="15" hidden="false" customHeight="false" outlineLevel="0" collapsed="false">
      <c r="A11806" s="5" t="s">
        <v>333</v>
      </c>
      <c r="G11806" s="31" t="n">
        <f aca="false">IF(G11672&gt;0,G11793/G11672,99)</f>
        <v>7.81688681688682</v>
      </c>
      <c r="H11806" s="31" t="n">
        <f aca="false">IF(H11672&gt;0,H11793/H11672,99)</f>
        <v>7.61987087823813</v>
      </c>
      <c r="I11806" s="31" t="n">
        <f aca="false">IF(I11672&gt;0,I11793/I11672,99)</f>
        <v>7.49836944653541</v>
      </c>
      <c r="J11806" s="31" t="n">
        <f aca="false">IF(J11672&gt;0,J11793/J11672,99)</f>
        <v>7.4350564221105</v>
      </c>
      <c r="K11806" s="31" t="n">
        <f aca="false">IF(K11672&gt;0,K11793/K11672,99)</f>
        <v>7.3652524785738</v>
      </c>
    </row>
    <row r="11807" customFormat="false" ht="15" hidden="false" customHeight="false" outlineLevel="0" collapsed="false">
      <c r="A11807" s="5" t="s">
        <v>334</v>
      </c>
      <c r="G11807" s="32" t="n">
        <f aca="false">Assumptions!$G$61</f>
        <v>8.5</v>
      </c>
      <c r="H11807" s="32" t="n">
        <f aca="false">Assumptions!$H$61</f>
        <v>8.5</v>
      </c>
      <c r="I11807" s="32" t="n">
        <f aca="false">Assumptions!$I$61</f>
        <v>8.5</v>
      </c>
      <c r="J11807" s="32" t="n">
        <f aca="false">Assumptions!$J$61</f>
        <v>8.5</v>
      </c>
      <c r="K11807" s="32" t="n">
        <f aca="false">Assumptions!$K$61</f>
        <v>8.5</v>
      </c>
    </row>
    <row r="11808" customFormat="false" ht="15" hidden="false" customHeight="false" outlineLevel="0" collapsed="false">
      <c r="A11808" s="5" t="s">
        <v>335</v>
      </c>
      <c r="G11808" s="31" t="n">
        <f aca="false">G11807-G11806</f>
        <v>0.683113183113183</v>
      </c>
      <c r="H11808" s="31" t="n">
        <f aca="false">H11807-H11806</f>
        <v>0.880129121761867</v>
      </c>
      <c r="I11808" s="31" t="n">
        <f aca="false">I11807-I11806</f>
        <v>1.00163055346459</v>
      </c>
      <c r="J11808" s="31" t="n">
        <f aca="false">J11807-J11806</f>
        <v>1.0649435778895</v>
      </c>
      <c r="K11808" s="31" t="n">
        <f aca="false">K11807-K11806</f>
        <v>1.1347475214262</v>
      </c>
    </row>
    <row r="11809" customFormat="false" ht="15" hidden="false" customHeight="false" outlineLevel="0" collapsed="false">
      <c r="A11809" s="5" t="s">
        <v>336</v>
      </c>
      <c r="G11809" s="21" t="n">
        <f aca="false">IF(G11807=0,0,G11808/ABS(G11807))</f>
        <v>0.0803662568368451</v>
      </c>
      <c r="H11809" s="21" t="n">
        <f aca="false">IF(H11807=0,0,H11808/ABS(H11807))</f>
        <v>0.10354460256022</v>
      </c>
      <c r="I11809" s="21" t="n">
        <f aca="false">IF(I11807=0,0,I11808/ABS(I11807))</f>
        <v>0.117838888642893</v>
      </c>
      <c r="J11809" s="21" t="n">
        <f aca="false">IF(J11807=0,0,J11808/ABS(J11807))</f>
        <v>0.125287479751706</v>
      </c>
      <c r="K11809" s="21" t="n">
        <f aca="false">IF(K11807=0,0,K11808/ABS(K11807))</f>
        <v>0.133499708403082</v>
      </c>
    </row>
    <row r="11810" customFormat="false" ht="15" hidden="false" customHeight="false" outlineLevel="0" collapsed="false">
      <c r="A11810" s="5" t="s">
        <v>337</v>
      </c>
      <c r="G11810" s="20" t="n">
        <f aca="false">IF(G11808&lt;0,1,0)</f>
        <v>0</v>
      </c>
      <c r="H11810" s="20" t="n">
        <f aca="false">IF(H11808&lt;0,1,0)</f>
        <v>0</v>
      </c>
      <c r="I11810" s="20" t="n">
        <f aca="false">IF(I11808&lt;0,1,0)</f>
        <v>0</v>
      </c>
      <c r="J11810" s="20" t="n">
        <f aca="false">IF(J11808&lt;0,1,0)</f>
        <v>0</v>
      </c>
      <c r="K11810" s="20" t="n">
        <f aca="false">IF(K11808&lt;0,1,0)</f>
        <v>0</v>
      </c>
    </row>
    <row r="11811" customFormat="false" ht="15" hidden="false" customHeight="false" outlineLevel="0" collapsed="false">
      <c r="A11811" s="5" t="s">
        <v>338</v>
      </c>
      <c r="C11811" s="20" t="n">
        <f aca="false">IFERROR(INDEX($G$11662:$K$11662,MATCH(1,$G$11810:$K$11810,0)),0)</f>
        <v>0</v>
      </c>
    </row>
    <row r="11812" customFormat="false" ht="15" hidden="false" customHeight="false" outlineLevel="0" collapsed="false">
      <c r="A11812" s="5" t="s">
        <v>339</v>
      </c>
      <c r="C11812" s="21" t="n">
        <f aca="false">MIN($G$11809:$K$11809)</f>
        <v>0.0803662568368451</v>
      </c>
    </row>
    <row r="11813" customFormat="false" ht="15" hidden="false" customHeight="false" outlineLevel="0" collapsed="false">
      <c r="A11813" s="5" t="s">
        <v>340</v>
      </c>
      <c r="G11813" s="20" t="n">
        <f aca="false">G11810</f>
        <v>0</v>
      </c>
      <c r="H11813" s="20" t="n">
        <f aca="false">H11810</f>
        <v>0</v>
      </c>
      <c r="I11813" s="20" t="n">
        <f aca="false">I11810</f>
        <v>0</v>
      </c>
      <c r="J11813" s="20" t="n">
        <f aca="false">J11810</f>
        <v>0</v>
      </c>
      <c r="K11813" s="20" t="n">
        <f aca="false">K11810</f>
        <v>0</v>
      </c>
    </row>
    <row r="11814" customFormat="false" ht="15" hidden="false" customHeight="false" outlineLevel="0" collapsed="false">
      <c r="A11814" s="5" t="s">
        <v>341</v>
      </c>
      <c r="C11814" s="20" t="n">
        <f aca="false">SUM($G$11813:$K$11813)</f>
        <v>0</v>
      </c>
    </row>
    <row r="11815" customFormat="false" ht="15" hidden="false" customHeight="false" outlineLevel="0" collapsed="false">
      <c r="A11815" s="5" t="s">
        <v>342</v>
      </c>
      <c r="C11815" s="21" t="n">
        <f aca="false">MIN(C11812)</f>
        <v>0.0803662568368451</v>
      </c>
    </row>
    <row r="11817" customFormat="false" ht="15" hidden="false" customHeight="false" outlineLevel="0" collapsed="false">
      <c r="A11817" s="23" t="s">
        <v>444</v>
      </c>
      <c r="B11817" s="24"/>
      <c r="C11817" s="24"/>
      <c r="D11817" s="24"/>
      <c r="E11817" s="24"/>
      <c r="F11817" s="24"/>
      <c r="G11817" s="24"/>
      <c r="H11817" s="24"/>
      <c r="I11817" s="24"/>
      <c r="J11817" s="24"/>
      <c r="K11817" s="24"/>
    </row>
    <row r="11818" customFormat="false" ht="15" hidden="false" customHeight="false" outlineLevel="0" collapsed="false">
      <c r="A11818" s="5" t="s">
        <v>445</v>
      </c>
      <c r="G11818" s="20" t="n">
        <f aca="false">IF($C$11819=1,G11787,IF(G11672=MIN($G$11672:$K$11672),1,0))</f>
        <v>1</v>
      </c>
      <c r="H11818" s="20" t="n">
        <f aca="false">IF($C$11819=1,H11787,IF(AND(H11672=MIN($G$11672:$K$11672),SUM($G$11818:G11818)=0),1,0))</f>
        <v>0</v>
      </c>
      <c r="I11818" s="20" t="n">
        <f aca="false">IF($C$11819=1,I11787,IF(AND(I11672=MIN($G$11672:$K$11672),SUM($G$11818:H11818)=0),1,0))</f>
        <v>0</v>
      </c>
      <c r="J11818" s="20" t="n">
        <f aca="false">IF($C$11819=1,J11787,IF(AND(J11672=MIN($G$11672:$K$11672),SUM($G$11818:I11818)=0),1,0))</f>
        <v>0</v>
      </c>
      <c r="K11818" s="20" t="n">
        <f aca="false">IF($C$11819=1,K11787,IF(AND(K11672=MIN($G$11672:$K$11672),SUM($G$11818:J11818)=0),1,0))</f>
        <v>0</v>
      </c>
    </row>
    <row r="11819" customFormat="false" ht="15" hidden="false" customHeight="false" outlineLevel="0" collapsed="false">
      <c r="A11819" s="5" t="s">
        <v>446</v>
      </c>
      <c r="C11819" s="20" t="n">
        <f aca="false">IF(SUM($G$11787:$K$11787)&gt;0,1,0)</f>
        <v>0</v>
      </c>
    </row>
    <row r="11820" customFormat="false" ht="15" hidden="false" customHeight="false" outlineLevel="0" collapsed="false">
      <c r="A11820" s="5" t="s">
        <v>447</v>
      </c>
      <c r="C11820" s="20" t="n">
        <f aca="false">SUMPRODUCT($G$11818:$K$11818,$G$11662:$K$11662)</f>
        <v>2026</v>
      </c>
    </row>
    <row r="11821" customFormat="false" ht="15" hidden="false" customHeight="false" outlineLevel="0" collapsed="false">
      <c r="A11821" s="5" t="s">
        <v>448</v>
      </c>
      <c r="C11821" s="25" t="n">
        <f aca="false">SUMPRODUCT($G$11818:$K$11818,$G$11672:$K$11672)</f>
        <v>154.44</v>
      </c>
    </row>
    <row r="11822" customFormat="false" ht="15" hidden="false" customHeight="false" outlineLevel="0" collapsed="false">
      <c r="A11822" s="5" t="s">
        <v>449</v>
      </c>
      <c r="C11822" s="25" t="n">
        <f aca="false">MAX(0,SUMPRODUCT($G$11818:$K$11818,$G$11784:$K$11784))</f>
        <v>0</v>
      </c>
    </row>
    <row r="11823" customFormat="false" ht="15" hidden="false" customHeight="false" outlineLevel="0" collapsed="false">
      <c r="A11823" s="5" t="s">
        <v>450</v>
      </c>
      <c r="C11823" s="25" t="n">
        <f aca="false">(CHOOSE($C$11655,Assumptions!$C$78,Assumptions!$C$97,Assumptions!$C$116)+$C$11659)*C11821</f>
        <v>617.76</v>
      </c>
    </row>
    <row r="11824" customFormat="false" ht="15" hidden="false" customHeight="false" outlineLevel="0" collapsed="false">
      <c r="A11824" s="5" t="s">
        <v>451</v>
      </c>
      <c r="C11824" s="25" t="n">
        <f aca="false">Assumptions!$C$27*(1-CHOOSE($C$11655,Assumptions!$C$79,Assumptions!$C$98,Assumptions!$C$117))*CHOOSE($C$11655,Assumptions!$C$80,Assumptions!$C$99,Assumptions!$C$118)</f>
        <v>624</v>
      </c>
    </row>
    <row r="11825" customFormat="false" ht="15" hidden="false" customHeight="false" outlineLevel="0" collapsed="false">
      <c r="A11825" s="5" t="s">
        <v>452</v>
      </c>
      <c r="C11825" s="25" t="n">
        <f aca="false">MAX(C11823,C11824)+C11822</f>
        <v>624</v>
      </c>
    </row>
    <row r="11826" customFormat="false" ht="15" hidden="false" customHeight="false" outlineLevel="0" collapsed="false">
      <c r="A11826" s="2" t="s">
        <v>453</v>
      </c>
      <c r="C11826" s="16" t="n">
        <f aca="false">IF(ISNUMBER(Assumptions!$C$14),Assumptions!$C$14,C11825)</f>
        <v>624</v>
      </c>
    </row>
    <row r="11827" customFormat="false" ht="15" hidden="false" customHeight="false" outlineLevel="0" collapsed="false">
      <c r="A11827" s="5" t="s">
        <v>454</v>
      </c>
      <c r="C11827" s="25" t="n">
        <f aca="false">C11826*Assumptions!$C$15</f>
        <v>24.96</v>
      </c>
    </row>
    <row r="11828" customFormat="false" ht="15" hidden="false" customHeight="false" outlineLevel="0" collapsed="false">
      <c r="A11828" s="2" t="s">
        <v>455</v>
      </c>
      <c r="C11828" s="16" t="n">
        <f aca="false">C11826-C11827</f>
        <v>599.04</v>
      </c>
    </row>
    <row r="11829" customFormat="false" ht="15" hidden="false" customHeight="false" outlineLevel="0" collapsed="false">
      <c r="A11829" s="23" t="s">
        <v>456</v>
      </c>
      <c r="B11829" s="24"/>
      <c r="C11829" s="24"/>
      <c r="D11829" s="24"/>
      <c r="E11829" s="24"/>
      <c r="F11829" s="24"/>
      <c r="G11829" s="24"/>
      <c r="H11829" s="24"/>
      <c r="I11829" s="24"/>
      <c r="J11829" s="24"/>
      <c r="K11829" s="24"/>
    </row>
    <row r="11830" customFormat="false" ht="15" hidden="false" customHeight="false" outlineLevel="0" collapsed="false">
      <c r="A11830" s="5" t="s">
        <v>457</v>
      </c>
      <c r="C11830" s="25" t="n">
        <f aca="false">SUMPRODUCT($G$11818:$K$11818,$G$11709:$K$11709)*(1+SUMPRODUCT($G$11818:$K$11818,$G$11701:$K$11701)*Assumptions!$C$16/12)</f>
        <v>145.14636</v>
      </c>
    </row>
    <row r="11831" customFormat="false" ht="15" hidden="false" customHeight="false" outlineLevel="0" collapsed="false">
      <c r="A11831" s="5" t="s">
        <v>458</v>
      </c>
      <c r="C11831" s="25" t="n">
        <f aca="false">SUMPRODUCT($G$11818:$K$11818,$G$11722:$K$11722)*(1+SUMPRODUCT($G$11818:$K$11818,$G$11714:$K$11714)*Assumptions!$C$16/12)</f>
        <v>526.7691</v>
      </c>
    </row>
    <row r="11832" customFormat="false" ht="15" hidden="false" customHeight="false" outlineLevel="0" collapsed="false">
      <c r="A11832" s="5" t="s">
        <v>459</v>
      </c>
      <c r="C11832" s="25" t="n">
        <f aca="false">SUMPRODUCT($G$11818:$K$11818,$G$11735:$K$11735)*(1+SUMPRODUCT($G$11818:$K$11818,$G$11727:$K$11727)*Assumptions!$C$16/12)</f>
        <v>256.875</v>
      </c>
    </row>
    <row r="11833" customFormat="false" ht="15" hidden="false" customHeight="false" outlineLevel="0" collapsed="false">
      <c r="A11833" s="5" t="s">
        <v>460</v>
      </c>
      <c r="C11833" s="25" t="n">
        <f aca="false">SUMPRODUCT($G$11818:$K$11818,$G$11748:$K$11748)*(1+SUMPRODUCT($G$11818:$K$11818,$G$11740:$K$11740)*Assumptions!$C$16/12)</f>
        <v>305.625</v>
      </c>
    </row>
    <row r="11834" customFormat="false" ht="15" hidden="false" customHeight="false" outlineLevel="0" collapsed="false">
      <c r="A11834" s="23" t="s">
        <v>461</v>
      </c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</row>
    <row r="11835" customFormat="false" ht="15" hidden="false" customHeight="false" outlineLevel="0" collapsed="false">
      <c r="A11835" s="5" t="s">
        <v>457</v>
      </c>
      <c r="C11835" s="26" t="n">
        <f aca="false">Assumptions!$M$53</f>
        <v>1</v>
      </c>
    </row>
    <row r="11836" customFormat="false" ht="15" hidden="false" customHeight="false" outlineLevel="0" collapsed="false">
      <c r="A11836" s="5" t="s">
        <v>458</v>
      </c>
      <c r="C11836" s="26" t="n">
        <f aca="false">Assumptions!$M$54</f>
        <v>2</v>
      </c>
    </row>
    <row r="11837" customFormat="false" ht="15" hidden="false" customHeight="false" outlineLevel="0" collapsed="false">
      <c r="A11837" s="5" t="s">
        <v>459</v>
      </c>
      <c r="C11837" s="26" t="n">
        <f aca="false">Assumptions!$M$55</f>
        <v>3</v>
      </c>
    </row>
    <row r="11838" customFormat="false" ht="15" hidden="false" customHeight="false" outlineLevel="0" collapsed="false">
      <c r="A11838" s="5" t="s">
        <v>460</v>
      </c>
      <c r="C11838" s="26" t="n">
        <f aca="false">Assumptions!$M$56</f>
        <v>4</v>
      </c>
    </row>
    <row r="11839" customFormat="false" ht="15" hidden="false" customHeight="false" outlineLevel="0" collapsed="false">
      <c r="A11839" s="23" t="s">
        <v>462</v>
      </c>
      <c r="B11839" s="24"/>
      <c r="C11839" s="24"/>
      <c r="D11839" s="24"/>
      <c r="E11839" s="24"/>
      <c r="F11839" s="24"/>
      <c r="G11839" s="24"/>
      <c r="H11839" s="24"/>
      <c r="I11839" s="24"/>
      <c r="J11839" s="24"/>
      <c r="K11839" s="24"/>
    </row>
    <row r="11840" customFormat="false" ht="15" hidden="false" customHeight="false" outlineLevel="0" collapsed="false">
      <c r="A11840" s="5" t="s">
        <v>457</v>
      </c>
      <c r="C11840" s="34" t="n">
        <f aca="false">Assumptions!$Q$53</f>
        <v>0</v>
      </c>
    </row>
    <row r="11841" customFormat="false" ht="15" hidden="false" customHeight="false" outlineLevel="0" collapsed="false">
      <c r="A11841" s="5" t="s">
        <v>458</v>
      </c>
      <c r="C11841" s="34" t="n">
        <f aca="false">Assumptions!$Q$54</f>
        <v>0</v>
      </c>
    </row>
    <row r="11842" customFormat="false" ht="15" hidden="false" customHeight="false" outlineLevel="0" collapsed="false">
      <c r="A11842" s="5" t="s">
        <v>459</v>
      </c>
      <c r="C11842" s="34" t="n">
        <f aca="false">Assumptions!$Q$55</f>
        <v>0</v>
      </c>
    </row>
    <row r="11843" customFormat="false" ht="15" hidden="false" customHeight="false" outlineLevel="0" collapsed="false">
      <c r="A11843" s="5" t="s">
        <v>460</v>
      </c>
      <c r="C11843" s="34" t="n">
        <f aca="false">Assumptions!$Q$56</f>
        <v>0</v>
      </c>
    </row>
    <row r="11844" customFormat="false" ht="15" hidden="false" customHeight="false" outlineLevel="0" collapsed="false">
      <c r="A11844" s="23" t="s">
        <v>463</v>
      </c>
      <c r="B11844" s="24"/>
      <c r="C11844" s="24"/>
      <c r="D11844" s="24"/>
      <c r="E11844" s="24"/>
      <c r="F11844" s="24"/>
      <c r="G11844" s="24"/>
      <c r="H11844" s="24"/>
      <c r="I11844" s="24"/>
      <c r="J11844" s="24"/>
      <c r="K11844" s="24"/>
    </row>
    <row r="11845" customFormat="false" ht="15" hidden="false" customHeight="false" outlineLevel="0" collapsed="false">
      <c r="A11845" s="5" t="s">
        <v>457</v>
      </c>
      <c r="C11845" s="25" t="n">
        <f aca="false">IF(C11840&gt;0,MIN(C11830,C11840*$C$11828),0)</f>
        <v>0</v>
      </c>
    </row>
    <row r="11846" customFormat="false" ht="15" hidden="false" customHeight="false" outlineLevel="0" collapsed="false">
      <c r="A11846" s="5" t="s">
        <v>458</v>
      </c>
      <c r="C11846" s="25" t="n">
        <f aca="false">IF(C11841&gt;0,MIN(C11831,C11841*$C$11828),0)</f>
        <v>0</v>
      </c>
    </row>
    <row r="11847" customFormat="false" ht="15" hidden="false" customHeight="false" outlineLevel="0" collapsed="false">
      <c r="A11847" s="5" t="s">
        <v>459</v>
      </c>
      <c r="C11847" s="25" t="n">
        <f aca="false">IF(C11842&gt;0,MIN(C11832,C11842*$C$11828),0)</f>
        <v>0</v>
      </c>
    </row>
    <row r="11848" customFormat="false" ht="15" hidden="false" customHeight="false" outlineLevel="0" collapsed="false">
      <c r="A11848" s="5" t="s">
        <v>460</v>
      </c>
      <c r="C11848" s="25" t="n">
        <f aca="false">IF(C11843&gt;0,MIN(C11833,C11843*$C$11828),0)</f>
        <v>0</v>
      </c>
    </row>
    <row r="11849" customFormat="false" ht="15" hidden="false" customHeight="false" outlineLevel="0" collapsed="false">
      <c r="A11849" s="23" t="s">
        <v>464</v>
      </c>
      <c r="B11849" s="24"/>
      <c r="C11849" s="24"/>
      <c r="D11849" s="24"/>
      <c r="E11849" s="24"/>
      <c r="F11849" s="24"/>
      <c r="G11849" s="24"/>
      <c r="H11849" s="24"/>
      <c r="I11849" s="24"/>
      <c r="J11849" s="24"/>
      <c r="K11849" s="24"/>
    </row>
    <row r="11850" customFormat="false" ht="15" hidden="false" customHeight="false" outlineLevel="0" collapsed="false">
      <c r="A11850" s="5" t="s">
        <v>457</v>
      </c>
      <c r="C11850" s="25" t="n">
        <f aca="false">IF(C11840&gt;0,C11830-C11845,0)</f>
        <v>0</v>
      </c>
      <c r="G11850" s="20" t="n">
        <f aca="false">IF(AND(G11699=1,G11696=1),1,0)</f>
        <v>0</v>
      </c>
      <c r="H11850" s="20" t="n">
        <f aca="false">IF(G11850=1,1,IF(AND(H11699=1,H11696=1),1,0))</f>
        <v>1</v>
      </c>
      <c r="I11850" s="20" t="n">
        <f aca="false">IF(H11850=1,1,IF(AND(I11699=1,I11696=1),1,0))</f>
        <v>1</v>
      </c>
      <c r="J11850" s="20" t="n">
        <f aca="false">IF(I11850=1,1,IF(AND(J11699=1,J11696=1),1,0))</f>
        <v>1</v>
      </c>
      <c r="K11850" s="20" t="n">
        <f aca="false">IF(J11850=1,1,IF(AND(K11699=1,K11696=1),1,0))</f>
        <v>1</v>
      </c>
    </row>
    <row r="11851" customFormat="false" ht="15" hidden="false" customHeight="false" outlineLevel="0" collapsed="false">
      <c r="A11851" s="5" t="s">
        <v>458</v>
      </c>
      <c r="C11851" s="25" t="n">
        <f aca="false">IF(C11841&gt;0,C11831-C11846,0)</f>
        <v>0</v>
      </c>
      <c r="G11851" s="20" t="n">
        <f aca="false">IF(AND(G11712=1,G11696=1),1,0)</f>
        <v>0</v>
      </c>
      <c r="H11851" s="20" t="n">
        <f aca="false">IF(G11851=1,1,IF(AND(H11712=1,H11696=1),1,0))</f>
        <v>0</v>
      </c>
      <c r="I11851" s="20" t="n">
        <f aca="false">IF(H11851=1,1,IF(AND(I11712=1,I11696=1),1,0))</f>
        <v>1</v>
      </c>
      <c r="J11851" s="20" t="n">
        <f aca="false">IF(I11851=1,1,IF(AND(J11712=1,J11696=1),1,0))</f>
        <v>1</v>
      </c>
      <c r="K11851" s="20" t="n">
        <f aca="false">IF(J11851=1,1,IF(AND(K11712=1,K11696=1),1,0))</f>
        <v>1</v>
      </c>
    </row>
    <row r="11852" customFormat="false" ht="15" hidden="false" customHeight="false" outlineLevel="0" collapsed="false">
      <c r="A11852" s="5" t="s">
        <v>459</v>
      </c>
      <c r="C11852" s="25" t="n">
        <f aca="false">IF(C11842&gt;0,C11832-C11847,0)</f>
        <v>0</v>
      </c>
      <c r="G11852" s="20" t="n">
        <f aca="false">IF(AND(G11725=1,G11696=1),1,0)</f>
        <v>0</v>
      </c>
      <c r="H11852" s="20" t="n">
        <f aca="false">IF(G11852=1,1,IF(AND(H11725=1,H11696=1),1,0))</f>
        <v>0</v>
      </c>
      <c r="I11852" s="20" t="n">
        <f aca="false">IF(H11852=1,1,IF(AND(I11725=1,I11696=1),1,0))</f>
        <v>0</v>
      </c>
      <c r="J11852" s="20" t="n">
        <f aca="false">IF(I11852=1,1,IF(AND(J11725=1,J11696=1),1,0))</f>
        <v>1</v>
      </c>
      <c r="K11852" s="20" t="n">
        <f aca="false">IF(J11852=1,1,IF(AND(K11725=1,K11696=1),1,0))</f>
        <v>1</v>
      </c>
    </row>
    <row r="11853" customFormat="false" ht="15" hidden="false" customHeight="false" outlineLevel="0" collapsed="false">
      <c r="A11853" s="5" t="s">
        <v>460</v>
      </c>
      <c r="C11853" s="25" t="n">
        <f aca="false">IF(C11843&gt;0,C11833-C11848,0)</f>
        <v>0</v>
      </c>
      <c r="G11853" s="20" t="n">
        <f aca="false">IF(AND(G11738=1,G11696=1),1,0)</f>
        <v>0</v>
      </c>
      <c r="H11853" s="20" t="n">
        <f aca="false">IF(G11853=1,1,IF(AND(H11738=1,H11696=1),1,0))</f>
        <v>1</v>
      </c>
      <c r="I11853" s="20" t="n">
        <f aca="false">IF(H11853=1,1,IF(AND(I11738=1,I11696=1),1,0))</f>
        <v>1</v>
      </c>
      <c r="J11853" s="20" t="n">
        <f aca="false">IF(I11853=1,1,IF(AND(J11738=1,J11696=1),1,0))</f>
        <v>1</v>
      </c>
      <c r="K11853" s="20" t="n">
        <f aca="false">IF(J11853=1,1,IF(AND(K11738=1,K11696=1),1,0))</f>
        <v>1</v>
      </c>
    </row>
    <row r="11854" customFormat="false" ht="15" hidden="false" customHeight="false" outlineLevel="0" collapsed="false">
      <c r="A11854" s="23" t="s">
        <v>465</v>
      </c>
      <c r="B11854" s="24"/>
      <c r="C11854" s="24"/>
      <c r="D11854" s="24"/>
      <c r="E11854" s="24"/>
      <c r="F11854" s="24"/>
      <c r="G11854" s="24"/>
      <c r="H11854" s="24"/>
      <c r="I11854" s="24"/>
      <c r="J11854" s="24"/>
      <c r="K11854" s="24"/>
    </row>
    <row r="11855" customFormat="false" ht="15" hidden="false" customHeight="false" outlineLevel="0" collapsed="false">
      <c r="A11855" s="5" t="s">
        <v>457</v>
      </c>
      <c r="C11855" s="25" t="n">
        <f aca="false">IF(C11840&gt;0,C11850,C11830)</f>
        <v>145.14636</v>
      </c>
    </row>
    <row r="11856" customFormat="false" ht="15" hidden="false" customHeight="false" outlineLevel="0" collapsed="false">
      <c r="A11856" s="5" t="s">
        <v>458</v>
      </c>
      <c r="C11856" s="25" t="n">
        <f aca="false">IF(C11841&gt;0,C11851,C11831)</f>
        <v>526.7691</v>
      </c>
    </row>
    <row r="11857" customFormat="false" ht="15" hidden="false" customHeight="false" outlineLevel="0" collapsed="false">
      <c r="A11857" s="5" t="s">
        <v>459</v>
      </c>
      <c r="C11857" s="25" t="n">
        <f aca="false">IF(C11842&gt;0,C11852,C11832)</f>
        <v>256.875</v>
      </c>
    </row>
    <row r="11858" customFormat="false" ht="15" hidden="false" customHeight="false" outlineLevel="0" collapsed="false">
      <c r="A11858" s="5" t="s">
        <v>460</v>
      </c>
      <c r="C11858" s="25" t="n">
        <f aca="false">IF(C11843&gt;0,C11853,C11833)</f>
        <v>305.625</v>
      </c>
    </row>
    <row r="11859" customFormat="false" ht="15" hidden="false" customHeight="false" outlineLevel="0" collapsed="false">
      <c r="A11859" s="23" t="s">
        <v>466</v>
      </c>
      <c r="B11859" s="24"/>
      <c r="C11859" s="24"/>
      <c r="D11859" s="24"/>
      <c r="E11859" s="24"/>
      <c r="F11859" s="24"/>
      <c r="G11859" s="24"/>
      <c r="H11859" s="24"/>
      <c r="I11859" s="24"/>
      <c r="J11859" s="24"/>
      <c r="K11859" s="24"/>
    </row>
    <row r="11860" customFormat="false" ht="15" hidden="false" customHeight="false" outlineLevel="0" collapsed="false">
      <c r="A11860" s="5" t="s">
        <v>457</v>
      </c>
      <c r="C11860" s="20" t="n">
        <f aca="false">IF(C11840&gt;0,Assumptions!$C$17,C11835)</f>
        <v>1</v>
      </c>
    </row>
    <row r="11861" customFormat="false" ht="15" hidden="false" customHeight="false" outlineLevel="0" collapsed="false">
      <c r="A11861" s="5" t="s">
        <v>458</v>
      </c>
      <c r="C11861" s="20" t="n">
        <f aca="false">IF(C11841&gt;0,Assumptions!$C$17,C11836)</f>
        <v>2</v>
      </c>
    </row>
    <row r="11862" customFormat="false" ht="15" hidden="false" customHeight="false" outlineLevel="0" collapsed="false">
      <c r="A11862" s="5" t="s">
        <v>459</v>
      </c>
      <c r="C11862" s="20" t="n">
        <f aca="false">IF(C11842&gt;0,Assumptions!$C$17,C11837)</f>
        <v>3</v>
      </c>
    </row>
    <row r="11863" customFormat="false" ht="15" hidden="false" customHeight="false" outlineLevel="0" collapsed="false">
      <c r="A11863" s="5" t="s">
        <v>460</v>
      </c>
      <c r="C11863" s="20" t="n">
        <f aca="false">IF(C11843&gt;0,Assumptions!$C$17,C11838)</f>
        <v>4</v>
      </c>
    </row>
    <row r="11864" customFormat="false" ht="15" hidden="false" customHeight="false" outlineLevel="0" collapsed="false">
      <c r="A11864" s="23" t="s">
        <v>467</v>
      </c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</row>
    <row r="11865" customFormat="false" ht="15" hidden="false" customHeight="false" outlineLevel="0" collapsed="false">
      <c r="A11865" s="5" t="s">
        <v>457</v>
      </c>
      <c r="C11865" s="25" t="n">
        <f aca="false">SUMPRODUCT(($C$11860:$C$11863&lt;C11860)*$C$11855:$C$11858)</f>
        <v>0</v>
      </c>
    </row>
    <row r="11866" customFormat="false" ht="15" hidden="false" customHeight="false" outlineLevel="0" collapsed="false">
      <c r="A11866" s="5" t="s">
        <v>458</v>
      </c>
      <c r="C11866" s="25" t="n">
        <f aca="false">SUMPRODUCT(($C$11860:$C$11863&lt;C11861)*$C$11855:$C$11858)</f>
        <v>145.14636</v>
      </c>
    </row>
    <row r="11867" customFormat="false" ht="15" hidden="false" customHeight="false" outlineLevel="0" collapsed="false">
      <c r="A11867" s="5" t="s">
        <v>459</v>
      </c>
      <c r="C11867" s="25" t="n">
        <f aca="false">SUMPRODUCT(($C$11860:$C$11863&lt;C11862)*$C$11855:$C$11858)</f>
        <v>671.91546</v>
      </c>
    </row>
    <row r="11868" customFormat="false" ht="15" hidden="false" customHeight="false" outlineLevel="0" collapsed="false">
      <c r="A11868" s="5" t="s">
        <v>460</v>
      </c>
      <c r="C11868" s="25" t="n">
        <f aca="false">SUMPRODUCT(($C$11860:$C$11863&lt;C11863)*$C$11855:$C$11858)</f>
        <v>928.79046</v>
      </c>
    </row>
    <row r="11869" customFormat="false" ht="15" hidden="false" customHeight="false" outlineLevel="0" collapsed="false">
      <c r="A11869" s="23" t="s">
        <v>468</v>
      </c>
      <c r="B11869" s="24"/>
      <c r="C11869" s="24"/>
      <c r="D11869" s="24"/>
      <c r="E11869" s="24"/>
      <c r="F11869" s="24"/>
      <c r="G11869" s="24"/>
      <c r="H11869" s="24"/>
      <c r="I11869" s="24"/>
      <c r="J11869" s="24"/>
      <c r="K11869" s="24"/>
    </row>
    <row r="11870" customFormat="false" ht="15" hidden="false" customHeight="false" outlineLevel="0" collapsed="false">
      <c r="A11870" s="5" t="s">
        <v>457</v>
      </c>
      <c r="C11870" s="25" t="n">
        <f aca="false">SUMPRODUCT(($C$11860:$C$11863=C11860)*$C$11855:$C$11858)</f>
        <v>145.14636</v>
      </c>
    </row>
    <row r="11871" customFormat="false" ht="15" hidden="false" customHeight="false" outlineLevel="0" collapsed="false">
      <c r="A11871" s="5" t="s">
        <v>458</v>
      </c>
      <c r="C11871" s="25" t="n">
        <f aca="false">SUMPRODUCT(($C$11860:$C$11863=C11861)*$C$11855:$C$11858)</f>
        <v>526.7691</v>
      </c>
    </row>
    <row r="11872" customFormat="false" ht="15" hidden="false" customHeight="false" outlineLevel="0" collapsed="false">
      <c r="A11872" s="5" t="s">
        <v>459</v>
      </c>
      <c r="C11872" s="25" t="n">
        <f aca="false">SUMPRODUCT(($C$11860:$C$11863=C11862)*$C$11855:$C$11858)</f>
        <v>256.875</v>
      </c>
    </row>
    <row r="11873" customFormat="false" ht="15" hidden="false" customHeight="false" outlineLevel="0" collapsed="false">
      <c r="A11873" s="5" t="s">
        <v>460</v>
      </c>
      <c r="C11873" s="25" t="n">
        <f aca="false">SUMPRODUCT(($C$11860:$C$11863=C11863)*$C$11855:$C$11858)</f>
        <v>305.625</v>
      </c>
    </row>
    <row r="11874" customFormat="false" ht="15" hidden="false" customHeight="false" outlineLevel="0" collapsed="false">
      <c r="A11874" s="23" t="s">
        <v>469</v>
      </c>
      <c r="B11874" s="24"/>
      <c r="C11874" s="24"/>
      <c r="D11874" s="24"/>
      <c r="E11874" s="24"/>
      <c r="F11874" s="24"/>
      <c r="G11874" s="24"/>
      <c r="H11874" s="24"/>
      <c r="I11874" s="24"/>
      <c r="J11874" s="24"/>
      <c r="K11874" s="24"/>
    </row>
    <row r="11875" customFormat="false" ht="15" hidden="false" customHeight="false" outlineLevel="0" collapsed="false">
      <c r="A11875" s="5" t="s">
        <v>457</v>
      </c>
      <c r="C11875" s="25" t="n">
        <f aca="false">IF(C11870=0,0,C11855/C11870*MAX(0,MIN(C11870,$C$11828-SUM($C$11845:$C$11848)-C11865)))</f>
        <v>145.14636</v>
      </c>
    </row>
    <row r="11876" customFormat="false" ht="15" hidden="false" customHeight="false" outlineLevel="0" collapsed="false">
      <c r="A11876" s="5" t="s">
        <v>458</v>
      </c>
      <c r="C11876" s="25" t="n">
        <f aca="false">IF(C11871=0,0,C11856/C11871*MAX(0,MIN(C11871,$C$11828-SUM($C$11845:$C$11848)-C11866)))</f>
        <v>453.89364</v>
      </c>
    </row>
    <row r="11877" customFormat="false" ht="15" hidden="false" customHeight="false" outlineLevel="0" collapsed="false">
      <c r="A11877" s="5" t="s">
        <v>459</v>
      </c>
      <c r="C11877" s="25" t="n">
        <f aca="false">IF(C11872=0,0,C11857/C11872*MAX(0,MIN(C11872,$C$11828-SUM($C$11845:$C$11848)-C11867)))</f>
        <v>0</v>
      </c>
    </row>
    <row r="11878" customFormat="false" ht="15" hidden="false" customHeight="false" outlineLevel="0" collapsed="false">
      <c r="A11878" s="5" t="s">
        <v>460</v>
      </c>
      <c r="C11878" s="25" t="n">
        <f aca="false">IF(C11873=0,0,C11858/C11873*MAX(0,MIN(C11873,$C$11828-SUM($C$11845:$C$11848)-C11868)))</f>
        <v>0</v>
      </c>
    </row>
    <row r="11879" customFormat="false" ht="15" hidden="false" customHeight="false" outlineLevel="0" collapsed="false">
      <c r="A11879" s="23" t="s">
        <v>470</v>
      </c>
      <c r="B11879" s="24"/>
      <c r="C11879" s="24"/>
      <c r="D11879" s="24"/>
      <c r="E11879" s="24"/>
      <c r="F11879" s="24"/>
      <c r="G11879" s="24"/>
      <c r="H11879" s="24"/>
      <c r="I11879" s="24"/>
      <c r="J11879" s="24"/>
      <c r="K11879" s="24"/>
    </row>
    <row r="11880" customFormat="false" ht="15" hidden="false" customHeight="false" outlineLevel="0" collapsed="false">
      <c r="A11880" s="2" t="s">
        <v>457</v>
      </c>
      <c r="C11880" s="16" t="n">
        <f aca="false">C11845+C11875</f>
        <v>145.14636</v>
      </c>
    </row>
    <row r="11881" customFormat="false" ht="15" hidden="false" customHeight="false" outlineLevel="0" collapsed="false">
      <c r="A11881" s="2" t="s">
        <v>458</v>
      </c>
      <c r="C11881" s="16" t="n">
        <f aca="false">C11846+C11876</f>
        <v>453.89364</v>
      </c>
    </row>
    <row r="11882" customFormat="false" ht="15" hidden="false" customHeight="false" outlineLevel="0" collapsed="false">
      <c r="A11882" s="2" t="s">
        <v>459</v>
      </c>
      <c r="C11882" s="16" t="n">
        <f aca="false">C11847+C11877</f>
        <v>0</v>
      </c>
    </row>
    <row r="11883" customFormat="false" ht="15" hidden="false" customHeight="false" outlineLevel="0" collapsed="false">
      <c r="A11883" s="2" t="s">
        <v>460</v>
      </c>
      <c r="C11883" s="16" t="n">
        <f aca="false">C11848+C11878</f>
        <v>0</v>
      </c>
    </row>
    <row r="11884" customFormat="false" ht="15" hidden="false" customHeight="false" outlineLevel="0" collapsed="false">
      <c r="A11884" s="23" t="s">
        <v>471</v>
      </c>
      <c r="B11884" s="24"/>
      <c r="C11884" s="24"/>
      <c r="D11884" s="24"/>
      <c r="E11884" s="24"/>
      <c r="F11884" s="24"/>
      <c r="G11884" s="24"/>
      <c r="H11884" s="24"/>
      <c r="I11884" s="24"/>
      <c r="J11884" s="24"/>
      <c r="K11884" s="24"/>
    </row>
    <row r="11885" customFormat="false" ht="15" hidden="false" customHeight="false" outlineLevel="0" collapsed="false">
      <c r="A11885" s="5" t="s">
        <v>457</v>
      </c>
      <c r="C11885" s="21" t="n">
        <f aca="false">IF(C11830=0,1,C11880/C11830)</f>
        <v>1</v>
      </c>
    </row>
    <row r="11886" customFormat="false" ht="15" hidden="false" customHeight="false" outlineLevel="0" collapsed="false">
      <c r="A11886" s="5" t="s">
        <v>458</v>
      </c>
      <c r="C11886" s="21" t="n">
        <f aca="false">IF(C11831=0,1,C11881/C11831)</f>
        <v>0.861655780492819</v>
      </c>
    </row>
    <row r="11887" customFormat="false" ht="15" hidden="false" customHeight="false" outlineLevel="0" collapsed="false">
      <c r="A11887" s="5" t="s">
        <v>459</v>
      </c>
      <c r="C11887" s="21" t="n">
        <f aca="false">IF(C11832=0,1,C11882/C11832)</f>
        <v>0</v>
      </c>
    </row>
    <row r="11888" customFormat="false" ht="15" hidden="false" customHeight="false" outlineLevel="0" collapsed="false">
      <c r="A11888" s="5" t="s">
        <v>460</v>
      </c>
      <c r="C11888" s="21" t="n">
        <f aca="false">IF(C11833=0,1,C11883/C11833)</f>
        <v>0</v>
      </c>
    </row>
    <row r="11889" customFormat="false" ht="15" hidden="false" customHeight="false" outlineLevel="0" collapsed="false">
      <c r="A11889" s="23" t="s">
        <v>472</v>
      </c>
      <c r="B11889" s="24"/>
      <c r="C11889" s="24"/>
      <c r="D11889" s="24"/>
      <c r="E11889" s="24"/>
      <c r="F11889" s="24"/>
      <c r="G11889" s="24"/>
      <c r="H11889" s="24"/>
      <c r="I11889" s="24"/>
      <c r="J11889" s="24"/>
      <c r="K11889" s="24"/>
    </row>
    <row r="11890" customFormat="false" ht="15" hidden="false" customHeight="false" outlineLevel="0" collapsed="false">
      <c r="A11890" s="5" t="s">
        <v>457</v>
      </c>
      <c r="C11890" s="25" t="n">
        <f aca="false">C11830-C11880</f>
        <v>0</v>
      </c>
    </row>
    <row r="11891" customFormat="false" ht="15" hidden="false" customHeight="false" outlineLevel="0" collapsed="false">
      <c r="A11891" s="5" t="s">
        <v>458</v>
      </c>
      <c r="C11891" s="25" t="n">
        <f aca="false">C11831-C11881</f>
        <v>72.87546</v>
      </c>
    </row>
    <row r="11892" customFormat="false" ht="15" hidden="false" customHeight="false" outlineLevel="0" collapsed="false">
      <c r="A11892" s="5" t="s">
        <v>459</v>
      </c>
      <c r="C11892" s="25" t="n">
        <f aca="false">C11832-C11882</f>
        <v>256.875</v>
      </c>
    </row>
    <row r="11893" customFormat="false" ht="15" hidden="false" customHeight="false" outlineLevel="0" collapsed="false">
      <c r="A11893" s="5" t="s">
        <v>460</v>
      </c>
      <c r="C11893" s="25" t="n">
        <f aca="false">C11833-C11883</f>
        <v>305.625</v>
      </c>
    </row>
    <row r="11894" customFormat="false" ht="15" hidden="false" customHeight="false" outlineLevel="0" collapsed="false">
      <c r="A11894" s="23" t="s">
        <v>473</v>
      </c>
      <c r="B11894" s="24"/>
      <c r="C11894" s="24"/>
      <c r="D11894" s="24"/>
      <c r="E11894" s="24"/>
      <c r="F11894" s="24"/>
      <c r="G11894" s="24"/>
      <c r="H11894" s="24"/>
      <c r="I11894" s="24"/>
      <c r="J11894" s="24"/>
      <c r="K11894" s="24"/>
    </row>
    <row r="11895" customFormat="false" ht="15" hidden="false" customHeight="false" outlineLevel="0" collapsed="false">
      <c r="A11895" s="5" t="s">
        <v>457</v>
      </c>
      <c r="C11895" s="21" t="n">
        <f aca="false">IF(C11830=0,0,C11890/C11830)</f>
        <v>0</v>
      </c>
    </row>
    <row r="11896" customFormat="false" ht="15" hidden="false" customHeight="false" outlineLevel="0" collapsed="false">
      <c r="A11896" s="5" t="s">
        <v>458</v>
      </c>
      <c r="C11896" s="21" t="n">
        <f aca="false">IF(C11831=0,0,C11891/C11831)</f>
        <v>0.138344219507181</v>
      </c>
    </row>
    <row r="11897" customFormat="false" ht="15" hidden="false" customHeight="false" outlineLevel="0" collapsed="false">
      <c r="A11897" s="5" t="s">
        <v>459</v>
      </c>
      <c r="C11897" s="21" t="n">
        <f aca="false">IF(C11832=0,0,C11892/C11832)</f>
        <v>1</v>
      </c>
    </row>
    <row r="11898" customFormat="false" ht="15" hidden="false" customHeight="false" outlineLevel="0" collapsed="false">
      <c r="A11898" s="5" t="s">
        <v>460</v>
      </c>
      <c r="C11898" s="21" t="n">
        <f aca="false">IF(C11833=0,0,C11893/C11833)</f>
        <v>1</v>
      </c>
    </row>
    <row r="11899" customFormat="false" ht="15" hidden="false" customHeight="false" outlineLevel="0" collapsed="false">
      <c r="A11899" s="2" t="s">
        <v>474</v>
      </c>
      <c r="C11899" s="16" t="n">
        <f aca="false">MAX(0,$C$11828-SUM($C$11845:$C$11848)-SUM($C$11855:$C$11858))</f>
        <v>0</v>
      </c>
    </row>
    <row r="11900" customFormat="false" ht="15" hidden="false" customHeight="false" outlineLevel="0" collapsed="false">
      <c r="A11900" s="5" t="s">
        <v>475</v>
      </c>
      <c r="C11900" s="25" t="n">
        <f aca="false">SUM($C$11880:$C$11883)+C11899+C11827-C11826</f>
        <v>0</v>
      </c>
    </row>
    <row r="11902" customFormat="false" ht="15" hidden="false" customHeight="false" outlineLevel="0" collapsed="false">
      <c r="A11902" s="23" t="s">
        <v>478</v>
      </c>
      <c r="B11902" s="24"/>
      <c r="C11902" s="24"/>
      <c r="D11902" s="24"/>
      <c r="E11902" s="24"/>
      <c r="F11902" s="24"/>
      <c r="G11902" s="24"/>
      <c r="H11902" s="24"/>
      <c r="I11902" s="24"/>
      <c r="J11902" s="24"/>
      <c r="K11902" s="24"/>
    </row>
    <row r="11903" customFormat="false" ht="15" hidden="false" customHeight="false" outlineLevel="0" collapsed="false">
      <c r="A11903" s="5" t="s">
        <v>479</v>
      </c>
      <c r="C11903" s="26" t="n">
        <f aca="false">Assumptions!$C$30</f>
        <v>2</v>
      </c>
    </row>
    <row r="11904" customFormat="false" ht="15" hidden="false" customHeight="false" outlineLevel="0" collapsed="false">
      <c r="A11904" s="5" t="s">
        <v>480</v>
      </c>
      <c r="C11904" s="28" t="n">
        <f aca="false">Assumptions!$C$31</f>
        <v>100</v>
      </c>
    </row>
    <row r="11905" customFormat="false" ht="15" hidden="false" customHeight="false" outlineLevel="0" collapsed="false">
      <c r="A11905" s="5" t="s">
        <v>481</v>
      </c>
      <c r="C11905" s="39" t="n">
        <f aca="false">Assumptions!$C$32</f>
        <v>78</v>
      </c>
    </row>
    <row r="11906" customFormat="false" ht="15" hidden="false" customHeight="false" outlineLevel="0" collapsed="false">
      <c r="A11906" s="5" t="s">
        <v>482</v>
      </c>
      <c r="C11906" s="25" t="n">
        <f aca="false">C11904*C11905/100*(1+Assumptions!$C$33)</f>
        <v>78.39</v>
      </c>
    </row>
    <row r="11907" customFormat="false" ht="15" hidden="false" customHeight="false" outlineLevel="0" collapsed="false">
      <c r="A11907" s="5" t="s">
        <v>483</v>
      </c>
      <c r="C11907" s="26" t="n">
        <f aca="false">Assumptions!$C$34</f>
        <v>2</v>
      </c>
    </row>
    <row r="11908" customFormat="false" ht="15" hidden="false" customHeight="false" outlineLevel="0" collapsed="false">
      <c r="A11908" s="5" t="s">
        <v>484</v>
      </c>
      <c r="C11908" s="20" t="n">
        <f aca="false">IF(C11819=1,SUMPRODUCT($G$11787:$K$11787,$G$11663:$K$11663),0)</f>
        <v>0</v>
      </c>
    </row>
    <row r="11909" customFormat="false" ht="15" hidden="false" customHeight="false" outlineLevel="0" collapsed="false">
      <c r="A11909" s="5" t="s">
        <v>485</v>
      </c>
      <c r="C11909" s="21" t="n">
        <f aca="false">IFERROR(C11904/CHOOSE(C11903,SUMPRODUCT($G$11818:$K$11818,$G$11709:$K$11709),SUMPRODUCT($G$11818:$K$11818,$G$11722:$K$11722),SUMPRODUCT($G$11818:$K$11818,$G$11735:$K$11735),SUMPRODUCT($G$11818:$K$11818,$G$11748:$K$11748)),0)</f>
        <v>0.194250194250194</v>
      </c>
    </row>
    <row r="11910" customFormat="false" ht="15" hidden="false" customHeight="false" outlineLevel="0" collapsed="false">
      <c r="A11910" s="5" t="s">
        <v>486</v>
      </c>
      <c r="C11910" s="25" t="n">
        <f aca="false">CHOOSE(C11903,C11880,C11881,C11882,C11883)*C11909</f>
        <v>88.1689277389278</v>
      </c>
    </row>
    <row r="11911" customFormat="false" ht="15" hidden="false" customHeight="false" outlineLevel="0" collapsed="false">
      <c r="A11911" s="5" t="s">
        <v>487</v>
      </c>
      <c r="C11911" s="21" t="n">
        <f aca="false">CHOOSE(C11903,C11885,C11886,C11887,C11888)</f>
        <v>0.861655780492819</v>
      </c>
    </row>
    <row r="11912" customFormat="false" ht="15" hidden="false" customHeight="false" outlineLevel="0" collapsed="false">
      <c r="A11912" s="5" t="s">
        <v>488</v>
      </c>
      <c r="C11912" s="20" t="n">
        <f aca="false">IF(C11819=1,C11908,C11907)</f>
        <v>2</v>
      </c>
    </row>
    <row r="11913" customFormat="false" ht="15" hidden="false" customHeight="false" outlineLevel="0" collapsed="false">
      <c r="A11913" s="5" t="s">
        <v>489</v>
      </c>
      <c r="C11913" s="33" t="n">
        <f aca="false">CHOOSE($C$11655,Assumptions!$C$77,Assumptions!$C$96,Assumptions!$C$115)</f>
        <v>100</v>
      </c>
    </row>
    <row r="11914" customFormat="false" ht="15" hidden="false" customHeight="false" outlineLevel="0" collapsed="false">
      <c r="A11914" s="5" t="s">
        <v>490</v>
      </c>
      <c r="C11914" s="25" t="n">
        <f aca="false">INDEX($G$11672:$K$11672,C11907)*CHOOSE($C$11655,Assumptions!$C$76,Assumptions!$C$95,Assumptions!$C$114)+MAX(0,INDEX($G$11784:$K$11784,C11907))</f>
        <v>1024.40052</v>
      </c>
    </row>
    <row r="11915" customFormat="false" ht="15" hidden="false" customHeight="false" outlineLevel="0" collapsed="false">
      <c r="A11915" s="23" t="s">
        <v>491</v>
      </c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</row>
    <row r="11916" customFormat="false" ht="15" hidden="false" customHeight="false" outlineLevel="0" collapsed="false">
      <c r="A11916" s="5" t="s">
        <v>457</v>
      </c>
      <c r="C11916" s="25" t="n">
        <f aca="false">INDEX($G$11709:$K$11709,C11907)</f>
        <v>141.29226</v>
      </c>
    </row>
    <row r="11917" customFormat="false" ht="15" hidden="false" customHeight="false" outlineLevel="0" collapsed="false">
      <c r="A11917" s="5" t="s">
        <v>458</v>
      </c>
      <c r="C11917" s="25" t="n">
        <f aca="false">INDEX($G$11722:$K$11722,C11907)</f>
        <v>509.6</v>
      </c>
    </row>
    <row r="11918" customFormat="false" ht="15" hidden="false" customHeight="false" outlineLevel="0" collapsed="false">
      <c r="A11918" s="5" t="s">
        <v>459</v>
      </c>
      <c r="C11918" s="25" t="n">
        <f aca="false">INDEX($G$11735:$K$11735,C11907)</f>
        <v>250</v>
      </c>
    </row>
    <row r="11919" customFormat="false" ht="15" hidden="false" customHeight="false" outlineLevel="0" collapsed="false">
      <c r="A11919" s="5" t="s">
        <v>460</v>
      </c>
      <c r="C11919" s="25" t="n">
        <f aca="false">INDEX($G$11748:$K$11748,C11907)</f>
        <v>300</v>
      </c>
    </row>
    <row r="11920" customFormat="false" ht="15" hidden="false" customHeight="false" outlineLevel="0" collapsed="false">
      <c r="A11920" s="23" t="s">
        <v>461</v>
      </c>
      <c r="B11920" s="24"/>
      <c r="C11920" s="24"/>
      <c r="D11920" s="24"/>
      <c r="E11920" s="24"/>
      <c r="F11920" s="24"/>
      <c r="G11920" s="24"/>
      <c r="H11920" s="24"/>
      <c r="I11920" s="24"/>
      <c r="J11920" s="24"/>
      <c r="K11920" s="24"/>
    </row>
    <row r="11921" customFormat="false" ht="15" hidden="false" customHeight="false" outlineLevel="0" collapsed="false">
      <c r="A11921" s="5" t="s">
        <v>457</v>
      </c>
      <c r="C11921" s="26" t="n">
        <f aca="false">Assumptions!$M$53</f>
        <v>1</v>
      </c>
    </row>
    <row r="11922" customFormat="false" ht="15" hidden="false" customHeight="false" outlineLevel="0" collapsed="false">
      <c r="A11922" s="5" t="s">
        <v>458</v>
      </c>
      <c r="C11922" s="26" t="n">
        <f aca="false">Assumptions!$M$54</f>
        <v>2</v>
      </c>
    </row>
    <row r="11923" customFormat="false" ht="15" hidden="false" customHeight="false" outlineLevel="0" collapsed="false">
      <c r="A11923" s="5" t="s">
        <v>459</v>
      </c>
      <c r="C11923" s="26" t="n">
        <f aca="false">Assumptions!$M$55</f>
        <v>3</v>
      </c>
    </row>
    <row r="11924" customFormat="false" ht="15" hidden="false" customHeight="false" outlineLevel="0" collapsed="false">
      <c r="A11924" s="5" t="s">
        <v>460</v>
      </c>
      <c r="C11924" s="26" t="n">
        <f aca="false">Assumptions!$M$56</f>
        <v>4</v>
      </c>
    </row>
    <row r="11925" customFormat="false" ht="15" hidden="false" customHeight="false" outlineLevel="0" collapsed="false">
      <c r="A11925" s="23" t="s">
        <v>462</v>
      </c>
      <c r="B11925" s="24"/>
      <c r="C11925" s="24"/>
      <c r="D11925" s="24"/>
      <c r="E11925" s="24"/>
      <c r="F11925" s="24"/>
      <c r="G11925" s="24"/>
      <c r="H11925" s="24"/>
      <c r="I11925" s="24"/>
      <c r="J11925" s="24"/>
      <c r="K11925" s="24"/>
    </row>
    <row r="11926" customFormat="false" ht="15" hidden="false" customHeight="false" outlineLevel="0" collapsed="false">
      <c r="A11926" s="5" t="s">
        <v>457</v>
      </c>
      <c r="C11926" s="34" t="n">
        <f aca="false">Assumptions!$Q$53</f>
        <v>0</v>
      </c>
    </row>
    <row r="11927" customFormat="false" ht="15" hidden="false" customHeight="false" outlineLevel="0" collapsed="false">
      <c r="A11927" s="5" t="s">
        <v>458</v>
      </c>
      <c r="C11927" s="34" t="n">
        <f aca="false">Assumptions!$Q$54</f>
        <v>0</v>
      </c>
    </row>
    <row r="11928" customFormat="false" ht="15" hidden="false" customHeight="false" outlineLevel="0" collapsed="false">
      <c r="A11928" s="5" t="s">
        <v>459</v>
      </c>
      <c r="C11928" s="34" t="n">
        <f aca="false">Assumptions!$Q$55</f>
        <v>0</v>
      </c>
    </row>
    <row r="11929" customFormat="false" ht="15" hidden="false" customHeight="false" outlineLevel="0" collapsed="false">
      <c r="A11929" s="5" t="s">
        <v>460</v>
      </c>
      <c r="C11929" s="34" t="n">
        <f aca="false">Assumptions!$Q$56</f>
        <v>0</v>
      </c>
    </row>
    <row r="11930" customFormat="false" ht="15" hidden="false" customHeight="false" outlineLevel="0" collapsed="false">
      <c r="A11930" s="23" t="s">
        <v>463</v>
      </c>
      <c r="B11930" s="24"/>
      <c r="C11930" s="24"/>
      <c r="D11930" s="24"/>
      <c r="E11930" s="24"/>
      <c r="F11930" s="24"/>
      <c r="G11930" s="24"/>
      <c r="H11930" s="24"/>
      <c r="I11930" s="24"/>
      <c r="J11930" s="24"/>
      <c r="K11930" s="24"/>
    </row>
    <row r="11931" customFormat="false" ht="15" hidden="false" customHeight="false" outlineLevel="0" collapsed="false">
      <c r="A11931" s="5" t="s">
        <v>457</v>
      </c>
      <c r="C11931" s="25" t="n">
        <f aca="false">IF(C11926&gt;0,MIN(C11916,C11926*$C$11914),0)</f>
        <v>0</v>
      </c>
    </row>
    <row r="11932" customFormat="false" ht="15" hidden="false" customHeight="false" outlineLevel="0" collapsed="false">
      <c r="A11932" s="5" t="s">
        <v>458</v>
      </c>
      <c r="C11932" s="25" t="n">
        <f aca="false">IF(C11927&gt;0,MIN(C11917,C11927*$C$11914),0)</f>
        <v>0</v>
      </c>
    </row>
    <row r="11933" customFormat="false" ht="15" hidden="false" customHeight="false" outlineLevel="0" collapsed="false">
      <c r="A11933" s="5" t="s">
        <v>459</v>
      </c>
      <c r="C11933" s="25" t="n">
        <f aca="false">IF(C11928&gt;0,MIN(C11918,C11928*$C$11914),0)</f>
        <v>0</v>
      </c>
    </row>
    <row r="11934" customFormat="false" ht="15" hidden="false" customHeight="false" outlineLevel="0" collapsed="false">
      <c r="A11934" s="5" t="s">
        <v>460</v>
      </c>
      <c r="C11934" s="25" t="n">
        <f aca="false">IF(C11929&gt;0,MIN(C11919,C11929*$C$11914),0)</f>
        <v>0</v>
      </c>
    </row>
    <row r="11935" customFormat="false" ht="15" hidden="false" customHeight="false" outlineLevel="0" collapsed="false">
      <c r="A11935" s="23" t="s">
        <v>464</v>
      </c>
      <c r="B11935" s="24"/>
      <c r="C11935" s="24"/>
      <c r="D11935" s="24"/>
      <c r="E11935" s="24"/>
      <c r="F11935" s="24"/>
      <c r="G11935" s="24"/>
      <c r="H11935" s="24"/>
      <c r="I11935" s="24"/>
      <c r="J11935" s="24"/>
      <c r="K11935" s="24"/>
    </row>
    <row r="11936" customFormat="false" ht="15" hidden="false" customHeight="false" outlineLevel="0" collapsed="false">
      <c r="A11936" s="5" t="s">
        <v>457</v>
      </c>
      <c r="C11936" s="25" t="n">
        <f aca="false">IF(C11926&gt;0,C11916-C11931,0)</f>
        <v>0</v>
      </c>
    </row>
    <row r="11937" customFormat="false" ht="15" hidden="false" customHeight="false" outlineLevel="0" collapsed="false">
      <c r="A11937" s="5" t="s">
        <v>458</v>
      </c>
      <c r="C11937" s="25" t="n">
        <f aca="false">IF(C11927&gt;0,C11917-C11932,0)</f>
        <v>0</v>
      </c>
    </row>
    <row r="11938" customFormat="false" ht="15" hidden="false" customHeight="false" outlineLevel="0" collapsed="false">
      <c r="A11938" s="5" t="s">
        <v>459</v>
      </c>
      <c r="C11938" s="25" t="n">
        <f aca="false">IF(C11928&gt;0,C11918-C11933,0)</f>
        <v>0</v>
      </c>
    </row>
    <row r="11939" customFormat="false" ht="15" hidden="false" customHeight="false" outlineLevel="0" collapsed="false">
      <c r="A11939" s="5" t="s">
        <v>460</v>
      </c>
      <c r="C11939" s="25" t="n">
        <f aca="false">IF(C11929&gt;0,C11919-C11934,0)</f>
        <v>0</v>
      </c>
    </row>
    <row r="11940" customFormat="false" ht="15" hidden="false" customHeight="false" outlineLevel="0" collapsed="false">
      <c r="A11940" s="23" t="s">
        <v>465</v>
      </c>
      <c r="B11940" s="24"/>
      <c r="C11940" s="24"/>
      <c r="D11940" s="24"/>
      <c r="E11940" s="24"/>
      <c r="F11940" s="24"/>
      <c r="G11940" s="24"/>
      <c r="H11940" s="24"/>
      <c r="I11940" s="24"/>
      <c r="J11940" s="24"/>
      <c r="K11940" s="24"/>
    </row>
    <row r="11941" customFormat="false" ht="15" hidden="false" customHeight="false" outlineLevel="0" collapsed="false">
      <c r="A11941" s="5" t="s">
        <v>457</v>
      </c>
      <c r="C11941" s="25" t="n">
        <f aca="false">IF(C11926&gt;0,C11936,C11916)</f>
        <v>141.29226</v>
      </c>
    </row>
    <row r="11942" customFormat="false" ht="15" hidden="false" customHeight="false" outlineLevel="0" collapsed="false">
      <c r="A11942" s="5" t="s">
        <v>458</v>
      </c>
      <c r="C11942" s="25" t="n">
        <f aca="false">IF(C11927&gt;0,C11937,C11917)</f>
        <v>509.6</v>
      </c>
    </row>
    <row r="11943" customFormat="false" ht="15" hidden="false" customHeight="false" outlineLevel="0" collapsed="false">
      <c r="A11943" s="5" t="s">
        <v>459</v>
      </c>
      <c r="C11943" s="25" t="n">
        <f aca="false">IF(C11928&gt;0,C11938,C11918)</f>
        <v>250</v>
      </c>
    </row>
    <row r="11944" customFormat="false" ht="15" hidden="false" customHeight="false" outlineLevel="0" collapsed="false">
      <c r="A11944" s="5" t="s">
        <v>460</v>
      </c>
      <c r="C11944" s="25" t="n">
        <f aca="false">IF(C11929&gt;0,C11939,C11919)</f>
        <v>300</v>
      </c>
    </row>
    <row r="11945" customFormat="false" ht="15" hidden="false" customHeight="false" outlineLevel="0" collapsed="false">
      <c r="A11945" s="23" t="s">
        <v>466</v>
      </c>
      <c r="B11945" s="24"/>
      <c r="C11945" s="24"/>
      <c r="D11945" s="24"/>
      <c r="E11945" s="24"/>
      <c r="F11945" s="24"/>
      <c r="G11945" s="24"/>
      <c r="H11945" s="24"/>
      <c r="I11945" s="24"/>
      <c r="J11945" s="24"/>
      <c r="K11945" s="24"/>
    </row>
    <row r="11946" customFormat="false" ht="15" hidden="false" customHeight="false" outlineLevel="0" collapsed="false">
      <c r="A11946" s="5" t="s">
        <v>457</v>
      </c>
      <c r="C11946" s="20" t="n">
        <f aca="false">IF(C11926&gt;0,Assumptions!$C$17,C11921)</f>
        <v>1</v>
      </c>
    </row>
    <row r="11947" customFormat="false" ht="15" hidden="false" customHeight="false" outlineLevel="0" collapsed="false">
      <c r="A11947" s="5" t="s">
        <v>458</v>
      </c>
      <c r="C11947" s="20" t="n">
        <f aca="false">IF(C11927&gt;0,Assumptions!$C$17,C11922)</f>
        <v>2</v>
      </c>
    </row>
    <row r="11948" customFormat="false" ht="15" hidden="false" customHeight="false" outlineLevel="0" collapsed="false">
      <c r="A11948" s="5" t="s">
        <v>459</v>
      </c>
      <c r="C11948" s="20" t="n">
        <f aca="false">IF(C11928&gt;0,Assumptions!$C$17,C11923)</f>
        <v>3</v>
      </c>
    </row>
    <row r="11949" customFormat="false" ht="15" hidden="false" customHeight="false" outlineLevel="0" collapsed="false">
      <c r="A11949" s="5" t="s">
        <v>460</v>
      </c>
      <c r="C11949" s="20" t="n">
        <f aca="false">IF(C11929&gt;0,Assumptions!$C$17,C11924)</f>
        <v>4</v>
      </c>
    </row>
    <row r="11950" customFormat="false" ht="15" hidden="false" customHeight="false" outlineLevel="0" collapsed="false">
      <c r="A11950" s="23" t="s">
        <v>467</v>
      </c>
      <c r="B11950" s="24"/>
      <c r="C11950" s="24"/>
      <c r="D11950" s="24"/>
      <c r="E11950" s="24"/>
      <c r="F11950" s="24"/>
      <c r="G11950" s="24"/>
      <c r="H11950" s="24"/>
      <c r="I11950" s="24"/>
      <c r="J11950" s="24"/>
      <c r="K11950" s="24"/>
    </row>
    <row r="11951" customFormat="false" ht="15" hidden="false" customHeight="false" outlineLevel="0" collapsed="false">
      <c r="A11951" s="5" t="s">
        <v>457</v>
      </c>
      <c r="C11951" s="25" t="n">
        <f aca="false">SUMPRODUCT(($C$11946:$C$11949&lt;C11946)*$C$11941:$C$11944)</f>
        <v>0</v>
      </c>
    </row>
    <row r="11952" customFormat="false" ht="15" hidden="false" customHeight="false" outlineLevel="0" collapsed="false">
      <c r="A11952" s="5" t="s">
        <v>458</v>
      </c>
      <c r="C11952" s="25" t="n">
        <f aca="false">SUMPRODUCT(($C$11946:$C$11949&lt;C11947)*$C$11941:$C$11944)</f>
        <v>141.29226</v>
      </c>
    </row>
    <row r="11953" customFormat="false" ht="15" hidden="false" customHeight="false" outlineLevel="0" collapsed="false">
      <c r="A11953" s="5" t="s">
        <v>459</v>
      </c>
      <c r="C11953" s="25" t="n">
        <f aca="false">SUMPRODUCT(($C$11946:$C$11949&lt;C11948)*$C$11941:$C$11944)</f>
        <v>650.89226</v>
      </c>
    </row>
    <row r="11954" customFormat="false" ht="15" hidden="false" customHeight="false" outlineLevel="0" collapsed="false">
      <c r="A11954" s="5" t="s">
        <v>460</v>
      </c>
      <c r="C11954" s="25" t="n">
        <f aca="false">SUMPRODUCT(($C$11946:$C$11949&lt;C11949)*$C$11941:$C$11944)</f>
        <v>900.89226</v>
      </c>
    </row>
    <row r="11955" customFormat="false" ht="15" hidden="false" customHeight="false" outlineLevel="0" collapsed="false">
      <c r="A11955" s="23" t="s">
        <v>468</v>
      </c>
      <c r="B11955" s="24"/>
      <c r="C11955" s="24"/>
      <c r="D11955" s="24"/>
      <c r="E11955" s="24"/>
      <c r="F11955" s="24"/>
      <c r="G11955" s="24"/>
      <c r="H11955" s="24"/>
      <c r="I11955" s="24"/>
      <c r="J11955" s="24"/>
      <c r="K11955" s="24"/>
    </row>
    <row r="11956" customFormat="false" ht="15" hidden="false" customHeight="false" outlineLevel="0" collapsed="false">
      <c r="A11956" s="5" t="s">
        <v>457</v>
      </c>
      <c r="C11956" s="25" t="n">
        <f aca="false">SUMPRODUCT(($C$11946:$C$11949=C11946)*$C$11941:$C$11944)</f>
        <v>141.29226</v>
      </c>
    </row>
    <row r="11957" customFormat="false" ht="15" hidden="false" customHeight="false" outlineLevel="0" collapsed="false">
      <c r="A11957" s="5" t="s">
        <v>458</v>
      </c>
      <c r="C11957" s="25" t="n">
        <f aca="false">SUMPRODUCT(($C$11946:$C$11949=C11947)*$C$11941:$C$11944)</f>
        <v>509.6</v>
      </c>
    </row>
    <row r="11958" customFormat="false" ht="15" hidden="false" customHeight="false" outlineLevel="0" collapsed="false">
      <c r="A11958" s="5" t="s">
        <v>459</v>
      </c>
      <c r="C11958" s="25" t="n">
        <f aca="false">SUMPRODUCT(($C$11946:$C$11949=C11948)*$C$11941:$C$11944)</f>
        <v>250</v>
      </c>
    </row>
    <row r="11959" customFormat="false" ht="15" hidden="false" customHeight="false" outlineLevel="0" collapsed="false">
      <c r="A11959" s="5" t="s">
        <v>460</v>
      </c>
      <c r="C11959" s="25" t="n">
        <f aca="false">SUMPRODUCT(($C$11946:$C$11949=C11949)*$C$11941:$C$11944)</f>
        <v>300</v>
      </c>
    </row>
    <row r="11960" customFormat="false" ht="15" hidden="false" customHeight="false" outlineLevel="0" collapsed="false">
      <c r="A11960" s="23" t="s">
        <v>469</v>
      </c>
      <c r="B11960" s="24"/>
      <c r="C11960" s="24"/>
      <c r="D11960" s="24"/>
      <c r="E11960" s="24"/>
      <c r="F11960" s="24"/>
      <c r="G11960" s="24"/>
      <c r="H11960" s="24"/>
      <c r="I11960" s="24"/>
      <c r="J11960" s="24"/>
      <c r="K11960" s="24"/>
    </row>
    <row r="11961" customFormat="false" ht="15" hidden="false" customHeight="false" outlineLevel="0" collapsed="false">
      <c r="A11961" s="5" t="s">
        <v>457</v>
      </c>
      <c r="C11961" s="25" t="n">
        <f aca="false">IF(C11956=0,0,C11941/C11956*MAX(0,MIN(C11956,$C$11914-SUM($C$11931:$C$11934)-C11951)))</f>
        <v>141.29226</v>
      </c>
    </row>
    <row r="11962" customFormat="false" ht="15" hidden="false" customHeight="false" outlineLevel="0" collapsed="false">
      <c r="A11962" s="5" t="s">
        <v>458</v>
      </c>
      <c r="C11962" s="25" t="n">
        <f aca="false">IF(C11957=0,0,C11942/C11957*MAX(0,MIN(C11957,$C$11914-SUM($C$11931:$C$11934)-C11952)))</f>
        <v>509.6</v>
      </c>
    </row>
    <row r="11963" customFormat="false" ht="15" hidden="false" customHeight="false" outlineLevel="0" collapsed="false">
      <c r="A11963" s="5" t="s">
        <v>459</v>
      </c>
      <c r="C11963" s="25" t="n">
        <f aca="false">IF(C11958=0,0,C11943/C11958*MAX(0,MIN(C11958,$C$11914-SUM($C$11931:$C$11934)-C11953)))</f>
        <v>250</v>
      </c>
    </row>
    <row r="11964" customFormat="false" ht="15" hidden="false" customHeight="false" outlineLevel="0" collapsed="false">
      <c r="A11964" s="5" t="s">
        <v>460</v>
      </c>
      <c r="C11964" s="25" t="n">
        <f aca="false">IF(C11959=0,0,C11944/C11959*MAX(0,MIN(C11959,$C$11914-SUM($C$11931:$C$11934)-C11954)))</f>
        <v>123.50826</v>
      </c>
    </row>
    <row r="11965" customFormat="false" ht="15" hidden="false" customHeight="false" outlineLevel="0" collapsed="false">
      <c r="A11965" s="23" t="s">
        <v>470</v>
      </c>
      <c r="B11965" s="24"/>
      <c r="C11965" s="24"/>
      <c r="D11965" s="24"/>
      <c r="E11965" s="24"/>
      <c r="F11965" s="24"/>
      <c r="G11965" s="24"/>
      <c r="H11965" s="24"/>
      <c r="I11965" s="24"/>
      <c r="J11965" s="24"/>
      <c r="K11965" s="24"/>
    </row>
    <row r="11966" customFormat="false" ht="15" hidden="false" customHeight="false" outlineLevel="0" collapsed="false">
      <c r="A11966" s="2" t="s">
        <v>457</v>
      </c>
      <c r="C11966" s="16" t="n">
        <f aca="false">C11931+C11961</f>
        <v>141.29226</v>
      </c>
    </row>
    <row r="11967" customFormat="false" ht="15" hidden="false" customHeight="false" outlineLevel="0" collapsed="false">
      <c r="A11967" s="2" t="s">
        <v>458</v>
      </c>
      <c r="C11967" s="16" t="n">
        <f aca="false">C11932+C11962</f>
        <v>509.6</v>
      </c>
    </row>
    <row r="11968" customFormat="false" ht="15" hidden="false" customHeight="false" outlineLevel="0" collapsed="false">
      <c r="A11968" s="2" t="s">
        <v>459</v>
      </c>
      <c r="C11968" s="16" t="n">
        <f aca="false">C11933+C11963</f>
        <v>250</v>
      </c>
    </row>
    <row r="11969" customFormat="false" ht="15" hidden="false" customHeight="false" outlineLevel="0" collapsed="false">
      <c r="A11969" s="2" t="s">
        <v>460</v>
      </c>
      <c r="C11969" s="16" t="n">
        <f aca="false">C11934+C11964</f>
        <v>123.50826</v>
      </c>
    </row>
    <row r="11970" customFormat="false" ht="15" hidden="false" customHeight="false" outlineLevel="0" collapsed="false">
      <c r="A11970" s="23" t="s">
        <v>471</v>
      </c>
      <c r="B11970" s="24"/>
      <c r="C11970" s="24"/>
      <c r="D11970" s="24"/>
      <c r="E11970" s="24"/>
      <c r="F11970" s="24"/>
      <c r="G11970" s="24"/>
      <c r="H11970" s="24"/>
      <c r="I11970" s="24"/>
      <c r="J11970" s="24"/>
      <c r="K11970" s="24"/>
    </row>
    <row r="11971" customFormat="false" ht="15" hidden="false" customHeight="false" outlineLevel="0" collapsed="false">
      <c r="A11971" s="5" t="s">
        <v>457</v>
      </c>
      <c r="C11971" s="21" t="n">
        <f aca="false">IF(C11916=0,1,C11966/C11916)</f>
        <v>1</v>
      </c>
    </row>
    <row r="11972" customFormat="false" ht="15" hidden="false" customHeight="false" outlineLevel="0" collapsed="false">
      <c r="A11972" s="5" t="s">
        <v>458</v>
      </c>
      <c r="C11972" s="21" t="n">
        <f aca="false">IF(C11917=0,1,C11967/C11917)</f>
        <v>1</v>
      </c>
    </row>
    <row r="11973" customFormat="false" ht="15" hidden="false" customHeight="false" outlineLevel="0" collapsed="false">
      <c r="A11973" s="5" t="s">
        <v>459</v>
      </c>
      <c r="C11973" s="21" t="n">
        <f aca="false">IF(C11918=0,1,C11968/C11918)</f>
        <v>1</v>
      </c>
    </row>
    <row r="11974" customFormat="false" ht="15" hidden="false" customHeight="false" outlineLevel="0" collapsed="false">
      <c r="A11974" s="5" t="s">
        <v>460</v>
      </c>
      <c r="C11974" s="21" t="n">
        <f aca="false">IF(C11919=0,1,C11969/C11919)</f>
        <v>0.4116942</v>
      </c>
    </row>
    <row r="11975" customFormat="false" ht="15" hidden="false" customHeight="false" outlineLevel="0" collapsed="false">
      <c r="A11975" s="23" t="s">
        <v>472</v>
      </c>
      <c r="B11975" s="24"/>
      <c r="C11975" s="24"/>
      <c r="D11975" s="24"/>
      <c r="E11975" s="24"/>
      <c r="F11975" s="24"/>
      <c r="G11975" s="24"/>
      <c r="H11975" s="24"/>
      <c r="I11975" s="24"/>
      <c r="J11975" s="24"/>
      <c r="K11975" s="24"/>
    </row>
    <row r="11976" customFormat="false" ht="15" hidden="false" customHeight="false" outlineLevel="0" collapsed="false">
      <c r="A11976" s="5" t="s">
        <v>457</v>
      </c>
      <c r="C11976" s="25" t="n">
        <f aca="false">C11916-C11966</f>
        <v>0</v>
      </c>
    </row>
    <row r="11977" customFormat="false" ht="15" hidden="false" customHeight="false" outlineLevel="0" collapsed="false">
      <c r="A11977" s="5" t="s">
        <v>458</v>
      </c>
      <c r="C11977" s="25" t="n">
        <f aca="false">C11917-C11967</f>
        <v>0</v>
      </c>
    </row>
    <row r="11978" customFormat="false" ht="15" hidden="false" customHeight="false" outlineLevel="0" collapsed="false">
      <c r="A11978" s="5" t="s">
        <v>459</v>
      </c>
      <c r="C11978" s="25" t="n">
        <f aca="false">C11918-C11968</f>
        <v>0</v>
      </c>
    </row>
    <row r="11979" customFormat="false" ht="15" hidden="false" customHeight="false" outlineLevel="0" collapsed="false">
      <c r="A11979" s="5" t="s">
        <v>460</v>
      </c>
      <c r="C11979" s="25" t="n">
        <f aca="false">C11919-C11969</f>
        <v>176.49174</v>
      </c>
    </row>
    <row r="11980" customFormat="false" ht="15" hidden="false" customHeight="false" outlineLevel="0" collapsed="false">
      <c r="A11980" s="23" t="s">
        <v>473</v>
      </c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</row>
    <row r="11981" customFormat="false" ht="15" hidden="false" customHeight="false" outlineLevel="0" collapsed="false">
      <c r="A11981" s="5" t="s">
        <v>457</v>
      </c>
      <c r="C11981" s="21" t="n">
        <f aca="false">IF(C11916=0,0,C11976/C11916)</f>
        <v>0</v>
      </c>
    </row>
    <row r="11982" customFormat="false" ht="15" hidden="false" customHeight="false" outlineLevel="0" collapsed="false">
      <c r="A11982" s="5" t="s">
        <v>458</v>
      </c>
      <c r="C11982" s="21" t="n">
        <f aca="false">IF(C11917=0,0,C11977/C11917)</f>
        <v>0</v>
      </c>
    </row>
    <row r="11983" customFormat="false" ht="15" hidden="false" customHeight="false" outlineLevel="0" collapsed="false">
      <c r="A11983" s="5" t="s">
        <v>459</v>
      </c>
      <c r="C11983" s="21" t="n">
        <f aca="false">IF(C11918=0,0,C11978/C11918)</f>
        <v>0</v>
      </c>
    </row>
    <row r="11984" customFormat="false" ht="15" hidden="false" customHeight="false" outlineLevel="0" collapsed="false">
      <c r="A11984" s="5" t="s">
        <v>460</v>
      </c>
      <c r="C11984" s="21" t="n">
        <f aca="false">IF(C11919=0,0,C11979/C11919)</f>
        <v>0.5883058</v>
      </c>
    </row>
    <row r="11985" customFormat="false" ht="15" hidden="false" customHeight="false" outlineLevel="0" collapsed="false">
      <c r="A11985" s="2" t="s">
        <v>474</v>
      </c>
      <c r="C11985" s="16" t="n">
        <f aca="false">MAX(0,$C$11914-SUM($C$11931:$C$11934)-SUM($C$11941:$C$11944))</f>
        <v>0</v>
      </c>
    </row>
    <row r="11986" customFormat="false" ht="15" hidden="false" customHeight="false" outlineLevel="0" collapsed="false">
      <c r="A11986" s="5" t="s">
        <v>492</v>
      </c>
      <c r="C11986" s="33" t="n">
        <f aca="false">MIN(C11913,100*CHOOSE(C11903,C11971,C11972,C11973,C11974))</f>
        <v>100</v>
      </c>
    </row>
    <row r="11987" customFormat="false" ht="15" hidden="false" customHeight="false" outlineLevel="0" collapsed="false">
      <c r="A11987" s="5" t="s">
        <v>493</v>
      </c>
      <c r="C11987" s="20" t="n">
        <f aca="false">IF(C11819=1,C11908+Assumptions!$C$36,C11907)</f>
        <v>2</v>
      </c>
    </row>
    <row r="11988" customFormat="false" ht="15" hidden="false" customHeight="false" outlineLevel="0" collapsed="false">
      <c r="A11988" s="23" t="s">
        <v>494</v>
      </c>
      <c r="B11988" s="24"/>
      <c r="C11988" s="24"/>
      <c r="D11988" s="24"/>
      <c r="E11988" s="24"/>
      <c r="F11988" s="24"/>
      <c r="G11988" s="24"/>
      <c r="H11988" s="24"/>
      <c r="I11988" s="24"/>
      <c r="J11988" s="24"/>
      <c r="K11988" s="24"/>
    </row>
    <row r="11989" customFormat="false" ht="15" hidden="false" customHeight="false" outlineLevel="0" collapsed="false">
      <c r="A11989" s="5" t="s">
        <v>495</v>
      </c>
      <c r="C11989" s="20" t="n">
        <f aca="false">COLUMN()-COLUMN($C$1)</f>
        <v>0</v>
      </c>
      <c r="D11989" s="20" t="n">
        <f aca="false">COLUMN()-COLUMN($C$1)</f>
        <v>1</v>
      </c>
      <c r="E11989" s="20" t="n">
        <f aca="false">COLUMN()-COLUMN($C$1)</f>
        <v>2</v>
      </c>
      <c r="F11989" s="20" t="n">
        <f aca="false">COLUMN()-COLUMN($C$1)</f>
        <v>3</v>
      </c>
      <c r="G11989" s="20" t="n">
        <f aca="false">COLUMN()-COLUMN($C$1)</f>
        <v>4</v>
      </c>
      <c r="H11989" s="20" t="n">
        <f aca="false">COLUMN()-COLUMN($C$1)</f>
        <v>5</v>
      </c>
      <c r="I11989" s="20" t="n">
        <f aca="false">COLUMN()-COLUMN($C$1)</f>
        <v>6</v>
      </c>
    </row>
    <row r="11990" customFormat="false" ht="15" hidden="false" customHeight="false" outlineLevel="0" collapsed="false">
      <c r="A11990" s="5" t="s">
        <v>496</v>
      </c>
      <c r="D11990" s="30" t="n">
        <f aca="false">CHOOSE($C$11903,G11701,G11714,G11727,G11740)</f>
        <v>0.093</v>
      </c>
      <c r="E11990" s="30" t="n">
        <f aca="false">CHOOSE($C$11903,H11701,H11714,H11727,H11740)</f>
        <v>0.0905</v>
      </c>
      <c r="F11990" s="30" t="n">
        <f aca="false">CHOOSE($C$11903,I11701,I11714,I11727,I11740)</f>
        <v>0.088</v>
      </c>
      <c r="G11990" s="30" t="n">
        <f aca="false">CHOOSE($C$11903,J11701,J11714,J11727,J11740)</f>
        <v>0.11</v>
      </c>
      <c r="H11990" s="30" t="n">
        <f aca="false">CHOOSE($C$11903,K11701,K11714,K11727,K11740)</f>
        <v>0.11</v>
      </c>
    </row>
    <row r="11991" customFormat="false" ht="15" hidden="false" customHeight="false" outlineLevel="0" collapsed="false">
      <c r="A11991" s="5" t="s">
        <v>497</v>
      </c>
      <c r="D11991" s="25" t="n">
        <f aca="false">IF(D11989&lt;=$C$11912,$C$11904*D11990,0)</f>
        <v>9.3</v>
      </c>
      <c r="E11991" s="25" t="n">
        <f aca="false">IF(E11989&lt;=$C$11912,$C$11904*E11990,0)</f>
        <v>9.05</v>
      </c>
      <c r="F11991" s="25" t="n">
        <f aca="false">IF(F11989&lt;=$C$11912,$C$11904*F11990,0)</f>
        <v>0</v>
      </c>
      <c r="G11991" s="25" t="n">
        <f aca="false">IF(G11989&lt;=$C$11912,$C$11904*G11990,0)</f>
        <v>0</v>
      </c>
      <c r="H11991" s="25" t="n">
        <f aca="false">IF(H11989&lt;=$C$11912,$C$11904*H11990,0)</f>
        <v>0</v>
      </c>
    </row>
    <row r="11992" customFormat="false" ht="15" hidden="false" customHeight="false" outlineLevel="0" collapsed="false">
      <c r="A11992" s="5" t="s">
        <v>498</v>
      </c>
      <c r="D11992" s="25" t="n">
        <f aca="false">IF(AND($C$11819=0,D11989=$C$11907),$C$11904*$C$11986/100,0)+IF(AND($C$11819=1,D11989=$C$11987),$C$11910,0)</f>
        <v>0</v>
      </c>
      <c r="E11992" s="25" t="n">
        <f aca="false">IF(AND($C$11819=0,E11989=$C$11907),$C$11904*$C$11986/100,0)+IF(AND($C$11819=1,E11989=$C$11987),$C$11910,0)</f>
        <v>100</v>
      </c>
      <c r="F11992" s="25" t="n">
        <f aca="false">IF(AND($C$11819=0,F11989=$C$11907),$C$11904*$C$11986/100,0)+IF(AND($C$11819=1,F11989=$C$11987),$C$11910,0)</f>
        <v>0</v>
      </c>
      <c r="G11992" s="25" t="n">
        <f aca="false">IF(AND($C$11819=0,G11989=$C$11907),$C$11904*$C$11986/100,0)+IF(AND($C$11819=1,G11989=$C$11987),$C$11910,0)</f>
        <v>0</v>
      </c>
      <c r="H11992" s="25" t="n">
        <f aca="false">IF(AND($C$11819=0,H11989=$C$11907),$C$11904*$C$11986/100,0)+IF(AND($C$11819=1,H11989=$C$11987),$C$11910,0)</f>
        <v>0</v>
      </c>
      <c r="I11992" s="25" t="n">
        <f aca="false">IF(AND($C$11819=0,I11989=$C$11907),$C$11904*$C$11986/100,0)+IF(AND($C$11819=1,I11989=$C$11987),$C$11910,0)</f>
        <v>0</v>
      </c>
    </row>
    <row r="11993" customFormat="false" ht="15" hidden="false" customHeight="false" outlineLevel="0" collapsed="false">
      <c r="A11993" s="2" t="s">
        <v>499</v>
      </c>
      <c r="C11993" s="16" t="n">
        <f aca="false">-$C$11906</f>
        <v>-78.39</v>
      </c>
      <c r="D11993" s="16" t="n">
        <f aca="false">D11991+D11992</f>
        <v>9.3</v>
      </c>
      <c r="E11993" s="16" t="n">
        <f aca="false">E11991+E11992</f>
        <v>109.05</v>
      </c>
      <c r="F11993" s="16" t="n">
        <f aca="false">F11991+F11992</f>
        <v>0</v>
      </c>
      <c r="G11993" s="16" t="n">
        <f aca="false">G11991+G11992</f>
        <v>0</v>
      </c>
      <c r="H11993" s="16" t="n">
        <f aca="false">H11991+H11992</f>
        <v>0</v>
      </c>
      <c r="I11993" s="16" t="n">
        <f aca="false">I11991+I11992</f>
        <v>0</v>
      </c>
    </row>
    <row r="11994" customFormat="false" ht="15" hidden="false" customHeight="false" outlineLevel="0" collapsed="false">
      <c r="A11994" s="5" t="s">
        <v>500</v>
      </c>
      <c r="C11994" s="25" t="n">
        <f aca="false">SUM($C$11991:$I$11991)</f>
        <v>18.35</v>
      </c>
    </row>
    <row r="11995" customFormat="false" ht="15" hidden="false" customHeight="false" outlineLevel="0" collapsed="false">
      <c r="A11995" s="5" t="s">
        <v>501</v>
      </c>
      <c r="C11995" s="25" t="n">
        <f aca="false">SUM($C$11992:$I$11992)</f>
        <v>100</v>
      </c>
    </row>
    <row r="11996" customFormat="false" ht="15" hidden="false" customHeight="false" outlineLevel="0" collapsed="false">
      <c r="A11996" s="5" t="s">
        <v>502</v>
      </c>
      <c r="C11996" s="25" t="n">
        <f aca="false">C11994+C11995</f>
        <v>118.35</v>
      </c>
    </row>
    <row r="11997" customFormat="false" ht="15" hidden="false" customHeight="false" outlineLevel="0" collapsed="false">
      <c r="A11997" s="5" t="s">
        <v>503</v>
      </c>
      <c r="C11997" s="25" t="n">
        <f aca="false">C11995-C11904*C11905/100</f>
        <v>22</v>
      </c>
    </row>
    <row r="11998" customFormat="false" ht="15" hidden="false" customHeight="false" outlineLevel="0" collapsed="false">
      <c r="A11998" s="5" t="s">
        <v>504</v>
      </c>
      <c r="C11998" s="25" t="n">
        <f aca="false">C11996-C11906</f>
        <v>39.96</v>
      </c>
    </row>
    <row r="11999" customFormat="false" ht="15" hidden="false" customHeight="false" outlineLevel="0" collapsed="false">
      <c r="A11999" s="2" t="s">
        <v>385</v>
      </c>
      <c r="C11999" s="43" t="n">
        <f aca="false">C11996/C11906</f>
        <v>1.5097588978186</v>
      </c>
    </row>
    <row r="12000" customFormat="false" ht="15" hidden="false" customHeight="false" outlineLevel="0" collapsed="false">
      <c r="A12000" s="2" t="s">
        <v>384</v>
      </c>
      <c r="C12000" s="41" t="n">
        <f aca="false">IF(C11996&lt;=0,-1,IFERROR(IRR($C$11993:$I$11993,MAX(-0.9,C11999^(1/C11987)-1)),IRR($C$11993:$I$11993,0.1)))</f>
        <v>0.240267576774351</v>
      </c>
    </row>
    <row r="12001" customFormat="false" ht="15" hidden="false" customHeight="false" outlineLevel="0" collapsed="false">
      <c r="A12001" s="5" t="s">
        <v>505</v>
      </c>
      <c r="C12001" s="31" t="n">
        <f aca="false">MAX($G$11795:$K$11795)</f>
        <v>7.81688681688682</v>
      </c>
    </row>
    <row r="12002" customFormat="false" ht="15" hidden="false" customHeight="false" outlineLevel="0" collapsed="false">
      <c r="A12002" s="5" t="s">
        <v>506</v>
      </c>
      <c r="C12002" s="31" t="n">
        <f aca="false">MIN($G$11796:$K$11796)</f>
        <v>1.23505111761282</v>
      </c>
    </row>
    <row r="12003" customFormat="false" ht="15" hidden="false" customHeight="false" outlineLevel="0" collapsed="false">
      <c r="A12003" s="5" t="s">
        <v>507</v>
      </c>
      <c r="C12003" s="25" t="n">
        <f aca="false">SUM($G$11685:$K$11685)</f>
        <v>-22.1501752363</v>
      </c>
    </row>
    <row r="12007" customFormat="false" ht="15" hidden="false" customHeight="false" outlineLevel="0" collapsed="false">
      <c r="A12007" s="9" t="s">
        <v>660</v>
      </c>
      <c r="B12007" s="10"/>
      <c r="C12007" s="10"/>
      <c r="D12007" s="10"/>
      <c r="E12007" s="10"/>
      <c r="F12007" s="10"/>
      <c r="G12007" s="10"/>
      <c r="H12007" s="10"/>
      <c r="I12007" s="10"/>
      <c r="J12007" s="10"/>
      <c r="K12007" s="10"/>
    </row>
    <row r="12008" customFormat="false" ht="15" hidden="false" customHeight="false" outlineLevel="0" collapsed="false">
      <c r="A12008" s="5" t="s">
        <v>622</v>
      </c>
      <c r="C12008" s="11" t="n">
        <v>1</v>
      </c>
    </row>
    <row r="12009" customFormat="false" ht="15" hidden="false" customHeight="false" outlineLevel="0" collapsed="false">
      <c r="A12009" s="5" t="s">
        <v>623</v>
      </c>
      <c r="C12009" s="18" t="n">
        <v>0</v>
      </c>
    </row>
    <row r="12010" customFormat="false" ht="15" hidden="false" customHeight="false" outlineLevel="0" collapsed="false">
      <c r="A12010" s="5" t="s">
        <v>624</v>
      </c>
      <c r="C12010" s="18" t="n">
        <v>0</v>
      </c>
    </row>
    <row r="12011" customFormat="false" ht="15" hidden="false" customHeight="false" outlineLevel="0" collapsed="false">
      <c r="A12011" s="5" t="s">
        <v>625</v>
      </c>
      <c r="C12011" s="29" t="n">
        <f aca="false">Sensitivities!$A$51</f>
        <v>-0.005</v>
      </c>
    </row>
    <row r="12012" customFormat="false" ht="15" hidden="false" customHeight="false" outlineLevel="0" collapsed="false">
      <c r="A12012" s="5" t="s">
        <v>626</v>
      </c>
      <c r="C12012" s="15" t="n">
        <v>0</v>
      </c>
    </row>
    <row r="12014" customFormat="false" ht="15" hidden="false" customHeight="false" outlineLevel="0" collapsed="false">
      <c r="A12014" s="23" t="s">
        <v>237</v>
      </c>
      <c r="B12014" s="24"/>
      <c r="C12014" s="24"/>
      <c r="D12014" s="24"/>
      <c r="E12014" s="24"/>
      <c r="F12014" s="24"/>
      <c r="G12014" s="24"/>
      <c r="H12014" s="24"/>
      <c r="I12014" s="24"/>
      <c r="J12014" s="24"/>
      <c r="K12014" s="24"/>
    </row>
    <row r="12015" customFormat="false" ht="15" hidden="false" customHeight="false" outlineLevel="0" collapsed="false">
      <c r="A12015" s="5" t="s">
        <v>238</v>
      </c>
      <c r="F12015" s="26" t="n">
        <f aca="false">Assumptions!$C$6</f>
        <v>2025</v>
      </c>
      <c r="G12015" s="20" t="n">
        <f aca="false">F12015+1</f>
        <v>2026</v>
      </c>
      <c r="H12015" s="20" t="n">
        <f aca="false">G12015+1</f>
        <v>2027</v>
      </c>
      <c r="I12015" s="20" t="n">
        <f aca="false">H12015+1</f>
        <v>2028</v>
      </c>
      <c r="J12015" s="20" t="n">
        <f aca="false">I12015+1</f>
        <v>2029</v>
      </c>
      <c r="K12015" s="20" t="n">
        <f aca="false">J12015+1</f>
        <v>2030</v>
      </c>
    </row>
    <row r="12016" customFormat="false" ht="15" hidden="false" customHeight="false" outlineLevel="0" collapsed="false">
      <c r="A12016" s="5" t="s">
        <v>239</v>
      </c>
      <c r="G12016" s="20" t="n">
        <f aca="false">G12015-Assumptions!$C$6</f>
        <v>1</v>
      </c>
      <c r="H12016" s="20" t="n">
        <f aca="false">H12015-Assumptions!$C$6</f>
        <v>2</v>
      </c>
      <c r="I12016" s="20" t="n">
        <f aca="false">I12015-Assumptions!$C$6</f>
        <v>3</v>
      </c>
      <c r="J12016" s="20" t="n">
        <f aca="false">J12015-Assumptions!$C$6</f>
        <v>4</v>
      </c>
      <c r="K12016" s="20" t="n">
        <f aca="false">K12015-Assumptions!$C$6</f>
        <v>5</v>
      </c>
    </row>
    <row r="12017" customFormat="false" ht="15" hidden="false" customHeight="false" outlineLevel="0" collapsed="false">
      <c r="A12017" s="5" t="s">
        <v>149</v>
      </c>
      <c r="G12017" s="21" t="n">
        <f aca="false">CHOOSE($C$12008,Assumptions!$G$65,Assumptions!$G$84,Assumptions!$G$103)+$C$12009</f>
        <v>-0.01</v>
      </c>
      <c r="H12017" s="21" t="n">
        <f aca="false">CHOOSE($C$12008,Assumptions!$H$65,Assumptions!$H$84,Assumptions!$H$103)+$C$12009</f>
        <v>-0.01</v>
      </c>
      <c r="I12017" s="21" t="n">
        <f aca="false">CHOOSE($C$12008,Assumptions!$I$65,Assumptions!$I$84,Assumptions!$I$103)+$C$12009</f>
        <v>-0.01</v>
      </c>
      <c r="J12017" s="21" t="n">
        <f aca="false">CHOOSE($C$12008,Assumptions!$J$65,Assumptions!$J$84,Assumptions!$J$103)+$C$12009</f>
        <v>-0.01</v>
      </c>
      <c r="K12017" s="21" t="n">
        <f aca="false">CHOOSE($C$12008,Assumptions!$K$65,Assumptions!$K$84,Assumptions!$K$103)+$C$12009</f>
        <v>-0.01</v>
      </c>
    </row>
    <row r="12018" customFormat="false" ht="15" hidden="false" customHeight="false" outlineLevel="0" collapsed="false">
      <c r="A12018" s="5" t="s">
        <v>150</v>
      </c>
      <c r="G12018" s="21" t="n">
        <f aca="false">CHOOSE($C$12008,Assumptions!$G$66,Assumptions!$G$85,Assumptions!$G$104)</f>
        <v>0.36</v>
      </c>
      <c r="H12018" s="21" t="n">
        <f aca="false">CHOOSE($C$12008,Assumptions!$H$66,Assumptions!$H$85,Assumptions!$H$104)</f>
        <v>0.362</v>
      </c>
      <c r="I12018" s="21" t="n">
        <f aca="false">CHOOSE($C$12008,Assumptions!$I$66,Assumptions!$I$85,Assumptions!$I$104)</f>
        <v>0.364</v>
      </c>
      <c r="J12018" s="21" t="n">
        <f aca="false">CHOOSE($C$12008,Assumptions!$J$66,Assumptions!$J$85,Assumptions!$J$104)</f>
        <v>0.366</v>
      </c>
      <c r="K12018" s="21" t="n">
        <f aca="false">CHOOSE($C$12008,Assumptions!$K$66,Assumptions!$K$85,Assumptions!$K$104)</f>
        <v>0.368</v>
      </c>
    </row>
    <row r="12019" customFormat="false" ht="15" hidden="false" customHeight="false" outlineLevel="0" collapsed="false">
      <c r="A12019" s="5" t="s">
        <v>151</v>
      </c>
      <c r="G12019" s="21" t="n">
        <f aca="false">CHOOSE($C$12008,Assumptions!$G$67,Assumptions!$G$86,Assumptions!$G$105)+$C$12010</f>
        <v>0.065</v>
      </c>
      <c r="H12019" s="21" t="n">
        <f aca="false">CHOOSE($C$12008,Assumptions!$H$67,Assumptions!$H$86,Assumptions!$H$105)+$C$12010</f>
        <v>0.067</v>
      </c>
      <c r="I12019" s="21" t="n">
        <f aca="false">CHOOSE($C$12008,Assumptions!$I$67,Assumptions!$I$86,Assumptions!$I$105)+$C$12010</f>
        <v>0.069</v>
      </c>
      <c r="J12019" s="21" t="n">
        <f aca="false">CHOOSE($C$12008,Assumptions!$J$67,Assumptions!$J$86,Assumptions!$J$105)+$C$12010</f>
        <v>0.071</v>
      </c>
      <c r="K12019" s="21" t="n">
        <f aca="false">CHOOSE($C$12008,Assumptions!$K$67,Assumptions!$K$86,Assumptions!$K$105)+$C$12010</f>
        <v>0.073</v>
      </c>
    </row>
    <row r="12020" customFormat="false" ht="15" hidden="false" customHeight="false" outlineLevel="0" collapsed="false">
      <c r="A12020" s="23" t="s">
        <v>240</v>
      </c>
      <c r="B12020" s="24"/>
      <c r="C12020" s="24"/>
      <c r="D12020" s="24"/>
      <c r="E12020" s="24"/>
      <c r="F12020" s="24"/>
      <c r="G12020" s="24"/>
      <c r="H12020" s="24"/>
      <c r="I12020" s="24"/>
      <c r="J12020" s="24"/>
      <c r="K12020" s="24"/>
    </row>
    <row r="12021" customFormat="false" ht="15" hidden="false" customHeight="false" outlineLevel="0" collapsed="false">
      <c r="A12021" s="2" t="s">
        <v>207</v>
      </c>
      <c r="F12021" s="27" t="n">
        <f aca="false">'Historical Financials'!E17</f>
        <v>2400</v>
      </c>
      <c r="G12021" s="16" t="n">
        <f aca="false">F12021*(1+G12017)</f>
        <v>2376</v>
      </c>
      <c r="H12021" s="16" t="n">
        <f aca="false">G12021*(1+H12017)</f>
        <v>2352.24</v>
      </c>
      <c r="I12021" s="16" t="n">
        <f aca="false">H12021*(1+I12017)</f>
        <v>2328.7176</v>
      </c>
      <c r="J12021" s="16" t="n">
        <f aca="false">I12021*(1+J12017)</f>
        <v>2305.430424</v>
      </c>
      <c r="K12021" s="16" t="n">
        <f aca="false">J12021*(1+K12017)</f>
        <v>2282.37611976</v>
      </c>
    </row>
    <row r="12022" customFormat="false" ht="15" hidden="false" customHeight="false" outlineLevel="0" collapsed="false">
      <c r="A12022" s="5" t="s">
        <v>217</v>
      </c>
      <c r="G12022" s="25" t="n">
        <f aca="false">G12021*(1-G12018)</f>
        <v>1520.64</v>
      </c>
      <c r="H12022" s="25" t="n">
        <f aca="false">H12021*(1-H12018)</f>
        <v>1500.72912</v>
      </c>
      <c r="I12022" s="25" t="n">
        <f aca="false">I12021*(1-I12018)</f>
        <v>1481.0643936</v>
      </c>
      <c r="J12022" s="25" t="n">
        <f aca="false">J12021*(1-J12018)</f>
        <v>1461.642888816</v>
      </c>
      <c r="K12022" s="25" t="n">
        <f aca="false">K12021*(1-K12018)</f>
        <v>1442.46170768832</v>
      </c>
    </row>
    <row r="12023" customFormat="false" ht="15" hidden="false" customHeight="false" outlineLevel="0" collapsed="false">
      <c r="A12023" s="2" t="s">
        <v>218</v>
      </c>
      <c r="G12023" s="16" t="n">
        <f aca="false">G12021-G12022</f>
        <v>855.36</v>
      </c>
      <c r="H12023" s="16" t="n">
        <f aca="false">H12021-H12022</f>
        <v>851.51088</v>
      </c>
      <c r="I12023" s="16" t="n">
        <f aca="false">I12021-I12022</f>
        <v>847.6532064</v>
      </c>
      <c r="J12023" s="16" t="n">
        <f aca="false">J12021-J12022</f>
        <v>843.787535184</v>
      </c>
      <c r="K12023" s="16" t="n">
        <f aca="false">K12021-K12022</f>
        <v>839.91441207168</v>
      </c>
    </row>
    <row r="12024" customFormat="false" ht="15" hidden="false" customHeight="false" outlineLevel="0" collapsed="false">
      <c r="A12024" s="5" t="s">
        <v>241</v>
      </c>
      <c r="G12024" s="25" t="n">
        <f aca="false">G12023-G12025</f>
        <v>700.92</v>
      </c>
      <c r="H12024" s="25" t="n">
        <f aca="false">H12023-H12025</f>
        <v>693.9108</v>
      </c>
      <c r="I12024" s="25" t="n">
        <f aca="false">I12023-I12025</f>
        <v>686.971692</v>
      </c>
      <c r="J12024" s="25" t="n">
        <f aca="false">J12023-J12025</f>
        <v>680.10197508</v>
      </c>
      <c r="K12024" s="25" t="n">
        <f aca="false">K12023-K12025</f>
        <v>673.3009553292</v>
      </c>
    </row>
    <row r="12025" customFormat="false" ht="15" hidden="false" customHeight="false" outlineLevel="0" collapsed="false">
      <c r="A12025" s="2" t="s">
        <v>242</v>
      </c>
      <c r="G12025" s="16" t="n">
        <f aca="false">G12021*G12019</f>
        <v>154.44</v>
      </c>
      <c r="H12025" s="16" t="n">
        <f aca="false">H12021*H12019</f>
        <v>157.60008</v>
      </c>
      <c r="I12025" s="16" t="n">
        <f aca="false">I12021*I12019</f>
        <v>160.6815144</v>
      </c>
      <c r="J12025" s="16" t="n">
        <f aca="false">J12021*J12019</f>
        <v>163.685560104</v>
      </c>
      <c r="K12025" s="16" t="n">
        <f aca="false">K12021*K12019</f>
        <v>166.61345674248</v>
      </c>
    </row>
    <row r="12026" customFormat="false" ht="15" hidden="false" customHeight="false" outlineLevel="0" collapsed="false">
      <c r="A12026" s="5" t="s">
        <v>243</v>
      </c>
      <c r="G12026" s="25" t="n">
        <f aca="false">G12021*'Historical Financials'!E22/'Historical Financials'!E17</f>
        <v>52.272</v>
      </c>
      <c r="H12026" s="25" t="n">
        <f aca="false">H12021*'Historical Financials'!E22/'Historical Financials'!E17</f>
        <v>51.74928</v>
      </c>
      <c r="I12026" s="25" t="n">
        <f aca="false">I12021*'Historical Financials'!E22/'Historical Financials'!E17</f>
        <v>51.2317872</v>
      </c>
      <c r="J12026" s="25" t="n">
        <f aca="false">J12021*'Historical Financials'!E22/'Historical Financials'!E17</f>
        <v>50.719469328</v>
      </c>
      <c r="K12026" s="25" t="n">
        <f aca="false">K12021*'Historical Financials'!E22/'Historical Financials'!E17</f>
        <v>50.21227463472</v>
      </c>
    </row>
    <row r="12027" customFormat="false" ht="15" hidden="false" customHeight="false" outlineLevel="0" collapsed="false">
      <c r="A12027" s="5" t="s">
        <v>244</v>
      </c>
      <c r="G12027" s="25" t="n">
        <f aca="false">G12021*'Historical Financials'!E23/'Historical Financials'!E17</f>
        <v>0</v>
      </c>
      <c r="H12027" s="25" t="n">
        <f aca="false">H12021*'Historical Financials'!E23/'Historical Financials'!E17</f>
        <v>0</v>
      </c>
      <c r="I12027" s="25" t="n">
        <f aca="false">I12021*'Historical Financials'!E23/'Historical Financials'!E17</f>
        <v>0</v>
      </c>
      <c r="J12027" s="25" t="n">
        <f aca="false">J12021*'Historical Financials'!E23/'Historical Financials'!E17</f>
        <v>0</v>
      </c>
      <c r="K12027" s="25" t="n">
        <f aca="false">K12021*'Historical Financials'!E23/'Historical Financials'!E17</f>
        <v>0</v>
      </c>
    </row>
    <row r="12028" customFormat="false" ht="15" hidden="false" customHeight="false" outlineLevel="0" collapsed="false">
      <c r="A12028" s="2" t="s">
        <v>245</v>
      </c>
      <c r="G12028" s="16" t="n">
        <f aca="false">G12025-G12026-G12027</f>
        <v>102.168</v>
      </c>
      <c r="H12028" s="16" t="n">
        <f aca="false">H12025-H12026-H12027</f>
        <v>105.8508</v>
      </c>
      <c r="I12028" s="16" t="n">
        <f aca="false">I12025-I12026-I12027</f>
        <v>109.4497272</v>
      </c>
      <c r="J12028" s="16" t="n">
        <f aca="false">J12025-J12026-J12027</f>
        <v>112.966090776</v>
      </c>
      <c r="K12028" s="16" t="n">
        <f aca="false">K12025-K12026-K12027</f>
        <v>116.40118210776</v>
      </c>
    </row>
    <row r="12029" customFormat="false" ht="15" hidden="false" customHeight="false" outlineLevel="0" collapsed="false">
      <c r="A12029" s="5" t="s">
        <v>246</v>
      </c>
      <c r="G12029" s="25" t="n">
        <f aca="false">G12055+G12068+G12081+G12094</f>
        <v>115.54</v>
      </c>
      <c r="H12029" s="25" t="n">
        <f aca="false">H12055+H12068+H12081+H12094</f>
        <v>110.61969</v>
      </c>
      <c r="I12029" s="25" t="n">
        <f aca="false">I12055+I12068+I12081+I12094</f>
        <v>123.9462</v>
      </c>
      <c r="J12029" s="25" t="n">
        <f aca="false">J12055+J12068+J12081+J12094</f>
        <v>133.646651556</v>
      </c>
      <c r="K12029" s="25" t="n">
        <f aca="false">K12055+K12068+K12081+K12094</f>
        <v>135.10692782532</v>
      </c>
    </row>
    <row r="12030" customFormat="false" ht="15" hidden="false" customHeight="false" outlineLevel="0" collapsed="false">
      <c r="A12030" s="5" t="s">
        <v>247</v>
      </c>
      <c r="G12030" s="25" t="n">
        <f aca="false">G12056+G12069+G12082+G12095</f>
        <v>0</v>
      </c>
      <c r="H12030" s="25" t="n">
        <f aca="false">H12056+H12069+H12082+H12095</f>
        <v>0</v>
      </c>
      <c r="I12030" s="25" t="n">
        <f aca="false">I12056+I12069+I12082+I12095</f>
        <v>0</v>
      </c>
      <c r="J12030" s="25" t="n">
        <f aca="false">J12056+J12069+J12082+J12095</f>
        <v>0</v>
      </c>
      <c r="K12030" s="25" t="n">
        <f aca="false">K12056+K12069+K12082+K12095</f>
        <v>0</v>
      </c>
    </row>
    <row r="12031" customFormat="false" ht="15" hidden="false" customHeight="false" outlineLevel="0" collapsed="false">
      <c r="A12031" s="5" t="s">
        <v>212</v>
      </c>
      <c r="G12031" s="25" t="n">
        <f aca="false">G12029+G12030</f>
        <v>115.54</v>
      </c>
      <c r="H12031" s="25" t="n">
        <f aca="false">H12029+H12030</f>
        <v>110.61969</v>
      </c>
      <c r="I12031" s="25" t="n">
        <f aca="false">I12029+I12030</f>
        <v>123.9462</v>
      </c>
      <c r="J12031" s="25" t="n">
        <f aca="false">J12029+J12030</f>
        <v>133.646651556</v>
      </c>
      <c r="K12031" s="25" t="n">
        <f aca="false">K12029+K12030</f>
        <v>135.10692782532</v>
      </c>
    </row>
    <row r="12032" customFormat="false" ht="15" hidden="false" customHeight="false" outlineLevel="0" collapsed="false">
      <c r="A12032" s="2" t="s">
        <v>223</v>
      </c>
      <c r="G12032" s="16" t="n">
        <f aca="false">G12028-G12031</f>
        <v>-13.372</v>
      </c>
      <c r="H12032" s="16" t="n">
        <f aca="false">H12028-H12031</f>
        <v>-4.76889</v>
      </c>
      <c r="I12032" s="16" t="n">
        <f aca="false">I12028-I12031</f>
        <v>-14.4964728</v>
      </c>
      <c r="J12032" s="16" t="n">
        <f aca="false">J12028-J12031</f>
        <v>-20.68056078</v>
      </c>
      <c r="K12032" s="16" t="n">
        <f aca="false">K12028-K12031</f>
        <v>-18.70574571756</v>
      </c>
    </row>
    <row r="12033" customFormat="false" ht="15" hidden="false" customHeight="false" outlineLevel="0" collapsed="false">
      <c r="A12033" s="5" t="s">
        <v>213</v>
      </c>
      <c r="G12033" s="25" t="n">
        <f aca="false">MAX(0,G12032)*Assumptions!$C$9</f>
        <v>0</v>
      </c>
      <c r="H12033" s="25" t="n">
        <f aca="false">MAX(0,H12032)*Assumptions!$C$9</f>
        <v>0</v>
      </c>
      <c r="I12033" s="25" t="n">
        <f aca="false">MAX(0,I12032)*Assumptions!$C$9</f>
        <v>0</v>
      </c>
      <c r="J12033" s="25" t="n">
        <f aca="false">MAX(0,J12032)*Assumptions!$C$9</f>
        <v>0</v>
      </c>
      <c r="K12033" s="25" t="n">
        <f aca="false">MAX(0,K12032)*Assumptions!$C$9</f>
        <v>0</v>
      </c>
    </row>
    <row r="12034" customFormat="false" ht="15" hidden="false" customHeight="false" outlineLevel="0" collapsed="false">
      <c r="A12034" s="2" t="s">
        <v>248</v>
      </c>
      <c r="G12034" s="16" t="n">
        <f aca="false">G12032-G12033</f>
        <v>-13.372</v>
      </c>
      <c r="H12034" s="16" t="n">
        <f aca="false">H12032-H12033</f>
        <v>-4.76889</v>
      </c>
      <c r="I12034" s="16" t="n">
        <f aca="false">I12032-I12033</f>
        <v>-14.4964728</v>
      </c>
      <c r="J12034" s="16" t="n">
        <f aca="false">J12032-J12033</f>
        <v>-20.68056078</v>
      </c>
      <c r="K12034" s="16" t="n">
        <f aca="false">K12032-K12033</f>
        <v>-18.70574571756</v>
      </c>
    </row>
    <row r="12035" customFormat="false" ht="15" hidden="false" customHeight="false" outlineLevel="0" collapsed="false">
      <c r="A12035" s="23" t="s">
        <v>249</v>
      </c>
      <c r="B12035" s="24"/>
      <c r="C12035" s="24"/>
      <c r="D12035" s="24"/>
      <c r="E12035" s="24"/>
      <c r="F12035" s="24"/>
      <c r="G12035" s="24"/>
      <c r="H12035" s="24"/>
      <c r="I12035" s="24"/>
      <c r="J12035" s="24"/>
      <c r="K12035" s="24"/>
    </row>
    <row r="12036" customFormat="false" ht="15" hidden="false" customHeight="false" outlineLevel="0" collapsed="false">
      <c r="A12036" s="5" t="s">
        <v>153</v>
      </c>
      <c r="G12036" s="25" t="n">
        <f aca="false">G12021*CHOOSE($C$12008,Assumptions!$C$69,Assumptions!$C$88,Assumptions!$C$107)</f>
        <v>47.52</v>
      </c>
      <c r="H12036" s="25" t="n">
        <f aca="false">H12021*CHOOSE($C$12008,Assumptions!$C$69,Assumptions!$C$88,Assumptions!$C$107)</f>
        <v>47.0448</v>
      </c>
      <c r="I12036" s="25" t="n">
        <f aca="false">I12021*CHOOSE($C$12008,Assumptions!$C$69,Assumptions!$C$88,Assumptions!$C$107)</f>
        <v>46.574352</v>
      </c>
      <c r="J12036" s="25" t="n">
        <f aca="false">J12021*CHOOSE($C$12008,Assumptions!$C$69,Assumptions!$C$88,Assumptions!$C$107)</f>
        <v>46.10860848</v>
      </c>
      <c r="K12036" s="25" t="n">
        <f aca="false">K12021*CHOOSE($C$12008,Assumptions!$C$69,Assumptions!$C$88,Assumptions!$C$107)</f>
        <v>45.6475223952</v>
      </c>
    </row>
    <row r="12037" customFormat="false" ht="15" hidden="false" customHeight="false" outlineLevel="0" collapsed="false">
      <c r="A12037" s="5" t="s">
        <v>250</v>
      </c>
      <c r="G12037" s="25" t="n">
        <f aca="false">CHOOSE($C$12008,Assumptions!$C$70,Assumptions!$C$89,Assumptions!$C$108)*(G12021-F12021)+CHOOSE($C$12008,Assumptions!$C$71,Assumptions!$C$90,Assumptions!$C$109)*G12021</f>
        <v>-2.88</v>
      </c>
      <c r="H12037" s="25" t="n">
        <f aca="false">CHOOSE($C$12008,Assumptions!$C$70,Assumptions!$C$89,Assumptions!$C$108)*(H12021-G12021)+CHOOSE($C$12008,Assumptions!$C$71,Assumptions!$C$90,Assumptions!$C$109)*H12021</f>
        <v>-2.85120000000003</v>
      </c>
      <c r="I12037" s="25" t="n">
        <f aca="false">CHOOSE($C$12008,Assumptions!$C$70,Assumptions!$C$89,Assumptions!$C$108)*(I12021-H12021)+CHOOSE($C$12008,Assumptions!$C$71,Assumptions!$C$90,Assumptions!$C$109)*I12021</f>
        <v>-2.82268799999998</v>
      </c>
      <c r="J12037" s="25" t="n">
        <f aca="false">CHOOSE($C$12008,Assumptions!$C$70,Assumptions!$C$89,Assumptions!$C$108)*(J12021-I12021)+CHOOSE($C$12008,Assumptions!$C$71,Assumptions!$C$90,Assumptions!$C$109)*J12021</f>
        <v>-2.79446111999998</v>
      </c>
      <c r="K12037" s="25" t="n">
        <f aca="false">CHOOSE($C$12008,Assumptions!$C$70,Assumptions!$C$89,Assumptions!$C$108)*(K12021-J12021)+CHOOSE($C$12008,Assumptions!$C$71,Assumptions!$C$90,Assumptions!$C$109)*K12021</f>
        <v>-2.7665165088</v>
      </c>
    </row>
    <row r="12038" customFormat="false" ht="15" hidden="false" customHeight="false" outlineLevel="0" collapsed="false">
      <c r="A12038" s="2" t="s">
        <v>251</v>
      </c>
      <c r="G12038" s="16" t="n">
        <f aca="false">G12034+G12026+G12027+G12030-G12036-G12037</f>
        <v>-5.73999999999999</v>
      </c>
      <c r="H12038" s="16" t="n">
        <f aca="false">H12034+H12026+H12027+H12030-H12036-H12037</f>
        <v>2.78679000000002</v>
      </c>
      <c r="I12038" s="16" t="n">
        <f aca="false">I12034+I12026+I12027+I12030-I12036-I12037</f>
        <v>-7.01634960000001</v>
      </c>
      <c r="J12038" s="16" t="n">
        <f aca="false">J12034+J12026+J12027+J12030-J12036-J12037</f>
        <v>-13.275238812</v>
      </c>
      <c r="K12038" s="16" t="n">
        <f aca="false">K12034+K12026+K12027+K12030-K12036-K12037</f>
        <v>-11.37447696924</v>
      </c>
    </row>
    <row r="12040" customFormat="false" ht="15" hidden="false" customHeight="false" outlineLevel="0" collapsed="false">
      <c r="A12040" s="23" t="s">
        <v>253</v>
      </c>
      <c r="B12040" s="24"/>
      <c r="C12040" s="24"/>
      <c r="D12040" s="24"/>
      <c r="E12040" s="24"/>
      <c r="F12040" s="24"/>
      <c r="G12040" s="24"/>
      <c r="H12040" s="24"/>
      <c r="I12040" s="24"/>
      <c r="J12040" s="24"/>
      <c r="K12040" s="24"/>
    </row>
    <row r="12041" customFormat="false" ht="15" hidden="false" customHeight="false" outlineLevel="0" collapsed="false">
      <c r="A12041" s="5" t="s">
        <v>254</v>
      </c>
      <c r="G12041" s="29" t="n">
        <f aca="false">Assumptions!$G$49</f>
        <v>0.0425</v>
      </c>
      <c r="H12041" s="29" t="n">
        <f aca="false">Assumptions!$H$49</f>
        <v>0.04</v>
      </c>
      <c r="I12041" s="29" t="n">
        <f aca="false">Assumptions!$I$49</f>
        <v>0.0375</v>
      </c>
      <c r="J12041" s="29" t="n">
        <f aca="false">Assumptions!$J$49</f>
        <v>0.0375</v>
      </c>
      <c r="K12041" s="29" t="n">
        <f aca="false">Assumptions!$K$49</f>
        <v>0.0375</v>
      </c>
    </row>
    <row r="12042" customFormat="false" ht="15" hidden="false" customHeight="false" outlineLevel="0" collapsed="false">
      <c r="A12042" s="5" t="s">
        <v>255</v>
      </c>
      <c r="C12042" s="30" t="n">
        <f aca="false">CHOOSE($C$12008,Assumptions!$C$72,Assumptions!$C$91,Assumptions!$C$110)+$C$12011</f>
        <v>-0.005</v>
      </c>
    </row>
    <row r="12043" customFormat="false" ht="15" hidden="false" customHeight="false" outlineLevel="0" collapsed="false">
      <c r="A12043" s="5" t="s">
        <v>256</v>
      </c>
      <c r="C12043" s="30" t="n">
        <f aca="false">CHOOSE($C$12008,Assumptions!$C$73,Assumptions!$C$92,Assumptions!$C$111)</f>
        <v>0.11</v>
      </c>
    </row>
    <row r="12044" customFormat="false" ht="15" hidden="false" customHeight="false" outlineLevel="0" collapsed="false">
      <c r="A12044" s="5" t="s">
        <v>257</v>
      </c>
      <c r="C12044" s="31" t="n">
        <f aca="false">CHOOSE($C$12008,Assumptions!$C$74,Assumptions!$C$93,Assumptions!$C$112)</f>
        <v>8.5</v>
      </c>
    </row>
    <row r="12045" customFormat="false" ht="15" hidden="false" customHeight="false" outlineLevel="0" collapsed="false">
      <c r="A12045" s="5" t="s">
        <v>258</v>
      </c>
      <c r="C12045" s="31" t="n">
        <f aca="false">CHOOSE($C$12008,Assumptions!$C$75,Assumptions!$C$94,Assumptions!$C$113)</f>
        <v>1.2</v>
      </c>
    </row>
    <row r="12046" customFormat="false" ht="15" hidden="false" customHeight="false" outlineLevel="0" collapsed="false">
      <c r="A12046" s="5" t="s">
        <v>259</v>
      </c>
      <c r="G12046" s="25" t="n">
        <f aca="false">G12051+G12064+G12077+G12090</f>
        <v>1250</v>
      </c>
      <c r="H12046" s="25" t="n">
        <f aca="false">H12051+H12064+H12077+H12090</f>
        <v>1210.74</v>
      </c>
      <c r="I12046" s="25" t="n">
        <f aca="false">I12051+I12064+I12077+I12090</f>
        <v>1205.54</v>
      </c>
      <c r="J12046" s="25" t="n">
        <f aca="false">J12051+J12064+J12077+J12090</f>
        <v>1214.9695596</v>
      </c>
      <c r="K12046" s="25" t="n">
        <f aca="false">K12051+K12064+K12077+K12090</f>
        <v>1228.244798412</v>
      </c>
    </row>
    <row r="12047" customFormat="false" ht="15" hidden="false" customHeight="false" outlineLevel="0" collapsed="false">
      <c r="A12047" s="5" t="s">
        <v>260</v>
      </c>
      <c r="G12047" s="25" t="n">
        <f aca="false">F12137</f>
        <v>45</v>
      </c>
      <c r="H12047" s="25" t="n">
        <f aca="false">G12137</f>
        <v>0</v>
      </c>
      <c r="I12047" s="25" t="n">
        <f aca="false">H12137</f>
        <v>-2.41320999999998</v>
      </c>
      <c r="J12047" s="25" t="n">
        <f aca="false">I12137</f>
        <v>0</v>
      </c>
      <c r="K12047" s="25" t="n">
        <f aca="false">J12137</f>
        <v>0</v>
      </c>
    </row>
    <row r="12048" customFormat="false" ht="15" hidden="false" customHeight="false" outlineLevel="0" collapsed="false">
      <c r="A12048" s="5" t="s">
        <v>261</v>
      </c>
      <c r="G12048" s="25" t="n">
        <f aca="false">G12051*IF(G12052=1,$C$12043,IF(Assumptions!$I$53=1,MAX(G12041,Assumptions!$G$53)+Assumptions!$F$53+$C$12042,Assumptions!$E$53))+G12064*IF(G12065=1,$C$12043,IF(Assumptions!$I$54=1,MAX(G12041,Assumptions!$G$54)+Assumptions!$F$54+$C$12042,Assumptions!$E$54))+G12077*IF(G12078=1,$C$12043,IF(Assumptions!$I$55=1,MAX(G12041,Assumptions!$G$55)+Assumptions!$F$55+$C$12042,Assumptions!$E$55))+G12090*IF(G12091=1,$C$12043,IF(Assumptions!$I$56=1,MAX(G12041,Assumptions!$G$56)+Assumptions!$F$56+$C$12042,Assumptions!$E$56))</f>
        <v>115.54</v>
      </c>
      <c r="H12048" s="25" t="n">
        <f aca="false">H12051*IF(OR(H12052=1,G12203=1),$C$12043,IF(Assumptions!$I$53=1,MAX(H12041,Assumptions!$G$53)+Assumptions!$F$53+$C$12042,Assumptions!$E$53))+H12064*IF(OR(H12065=1,G12204=1),$C$12043,IF(Assumptions!$I$54=1,MAX(H12041,Assumptions!$G$54)+Assumptions!$F$54+$C$12042,Assumptions!$E$54))+H12077*IF(OR(H12078=1,G12205=1),$C$12043,IF(Assumptions!$I$55=1,MAX(H12041,Assumptions!$G$55)+Assumptions!$F$55+$C$12042,Assumptions!$E$55))+H12090*IF(OR(H12091=1,G12206=1),$C$12043,IF(Assumptions!$I$56=1,MAX(H12041,Assumptions!$G$56)+Assumptions!$F$56+$C$12042,Assumptions!$E$56))</f>
        <v>125.7168</v>
      </c>
      <c r="I12048" s="25" t="n">
        <f aca="false">I12051*IF(OR(I12052=1,H12203=1),$C$12043,IF(Assumptions!$I$53=1,MAX(I12041,Assumptions!$G$53)+Assumptions!$F$53+$C$12042,Assumptions!$E$53))+I12064*IF(OR(I12065=1,H12204=1),$C$12043,IF(Assumptions!$I$54=1,MAX(I12041,Assumptions!$G$54)+Assumptions!$F$54+$C$12042,Assumptions!$E$54))+I12077*IF(OR(I12078=1,H12205=1),$C$12043,IF(Assumptions!$I$55=1,MAX(I12041,Assumptions!$G$55)+Assumptions!$F$55+$C$12042,Assumptions!$E$55))+I12090*IF(OR(I12091=1,H12206=1),$C$12043,IF(Assumptions!$I$56=1,MAX(I12041,Assumptions!$G$56)+Assumptions!$F$56+$C$12042,Assumptions!$E$56))</f>
        <v>132.6094</v>
      </c>
      <c r="J12048" s="25" t="n">
        <f aca="false">J12051*IF(OR(J12052=1,I12203=1),$C$12043,IF(Assumptions!$I$53=1,MAX(J12041,Assumptions!$G$53)+Assumptions!$F$53+$C$12042,Assumptions!$E$53))+J12064*IF(OR(J12065=1,I12204=1),$C$12043,IF(Assumptions!$I$54=1,MAX(J12041,Assumptions!$G$54)+Assumptions!$F$54+$C$12042,Assumptions!$E$54))+J12077*IF(OR(J12078=1,I12205=1),$C$12043,IF(Assumptions!$I$55=1,MAX(J12041,Assumptions!$G$55)+Assumptions!$F$55+$C$12042,Assumptions!$E$55))+J12090*IF(OR(J12091=1,I12206=1),$C$12043,IF(Assumptions!$I$56=1,MAX(J12041,Assumptions!$G$56)+Assumptions!$F$56+$C$12042,Assumptions!$E$56))</f>
        <v>133.646651556</v>
      </c>
      <c r="K12048" s="25" t="n">
        <f aca="false">K12051*IF(OR(K12052=1,J12203=1),$C$12043,IF(Assumptions!$I$53=1,MAX(K12041,Assumptions!$G$53)+Assumptions!$F$53+$C$12042,Assumptions!$E$53))+K12064*IF(OR(K12065=1,J12204=1),$C$12043,IF(Assumptions!$I$54=1,MAX(K12041,Assumptions!$G$54)+Assumptions!$F$54+$C$12042,Assumptions!$E$54))+K12077*IF(OR(K12078=1,J12205=1),$C$12043,IF(Assumptions!$I$55=1,MAX(K12041,Assumptions!$G$55)+Assumptions!$F$55+$C$12042,Assumptions!$E$55))+K12090*IF(OR(K12091=1,J12206=1),$C$12043,IF(Assumptions!$I$56=1,MAX(K12041,Assumptions!$G$56)+Assumptions!$F$56+$C$12042,Assumptions!$E$56))</f>
        <v>135.10692782532</v>
      </c>
    </row>
    <row r="12049" customFormat="false" ht="15" hidden="false" customHeight="false" outlineLevel="0" collapsed="false">
      <c r="A12049" s="5" t="s">
        <v>262</v>
      </c>
      <c r="G12049" s="20" t="n">
        <f aca="false">IF(G12025&lt;=0,0,IF(AND((G12046-G12047)/G12025&lt;=$C$12044,G12025/G12048&gt;=$C$12045),1,0))</f>
        <v>1</v>
      </c>
      <c r="H12049" s="20" t="n">
        <f aca="false">IF(H12025&lt;=0,0,IF(AND((H12046-H12047)/H12025&lt;=$C$12044,H12025/H12048&gt;=$C$12045),1,0))</f>
        <v>1</v>
      </c>
      <c r="I12049" s="20" t="n">
        <f aca="false">IF(I12025&lt;=0,0,IF(AND((I12046-I12047)/I12025&lt;=$C$12044,I12025/I12048&gt;=$C$12045),1,0))</f>
        <v>1</v>
      </c>
      <c r="J12049" s="20" t="n">
        <f aca="false">IF(J12025&lt;=0,0,IF(AND((J12046-J12047)/J12025&lt;=$C$12044,J12025/J12048&gt;=$C$12045),1,0))</f>
        <v>1</v>
      </c>
      <c r="K12049" s="20" t="n">
        <f aca="false">IF(K12025&lt;=0,0,IF(AND((K12046-K12047)/K12025&lt;=$C$12044,K12025/K12048&gt;=$C$12045),1,0))</f>
        <v>1</v>
      </c>
    </row>
    <row r="12050" customFormat="false" ht="15" hidden="false" customHeight="false" outlineLevel="0" collapsed="false">
      <c r="A12050" s="23" t="s">
        <v>263</v>
      </c>
      <c r="B12050" s="24"/>
      <c r="C12050" s="24"/>
      <c r="D12050" s="24"/>
      <c r="E12050" s="24"/>
      <c r="F12050" s="24"/>
      <c r="G12050" s="24"/>
      <c r="H12050" s="24"/>
      <c r="I12050" s="24"/>
      <c r="J12050" s="24"/>
      <c r="K12050" s="24"/>
    </row>
    <row r="12051" customFormat="false" ht="15" hidden="false" customHeight="false" outlineLevel="0" collapsed="false">
      <c r="A12051" s="5" t="s">
        <v>264</v>
      </c>
      <c r="G12051" s="25" t="n">
        <f aca="false">F12062</f>
        <v>180</v>
      </c>
      <c r="H12051" s="25" t="n">
        <f aca="false">G12062</f>
        <v>145.94</v>
      </c>
      <c r="I12051" s="25" t="n">
        <f aca="false">H12062</f>
        <v>145.94</v>
      </c>
      <c r="J12051" s="25" t="n">
        <f aca="false">I12062</f>
        <v>160.5695596</v>
      </c>
      <c r="K12051" s="25" t="n">
        <f aca="false">J12062</f>
        <v>179.044798412</v>
      </c>
    </row>
    <row r="12052" customFormat="false" ht="15" hidden="false" customHeight="false" outlineLevel="0" collapsed="false">
      <c r="A12052" s="5" t="s">
        <v>265</v>
      </c>
      <c r="G12052" s="20" t="n">
        <f aca="false">IF(G12015=Assumptions!$K$53,1,0)</f>
        <v>0</v>
      </c>
      <c r="H12052" s="20" t="n">
        <f aca="false">IF(H12015=Assumptions!$K$53,1,0)</f>
        <v>1</v>
      </c>
      <c r="I12052" s="20" t="n">
        <f aca="false">IF(I12015=Assumptions!$K$53,1,0)</f>
        <v>0</v>
      </c>
      <c r="J12052" s="20" t="n">
        <f aca="false">IF(J12015=Assumptions!$K$53,1,0)</f>
        <v>0</v>
      </c>
      <c r="K12052" s="20" t="n">
        <f aca="false">IF(K12015=Assumptions!$K$53,1,0)</f>
        <v>0</v>
      </c>
    </row>
    <row r="12054" customFormat="false" ht="15" hidden="false" customHeight="false" outlineLevel="0" collapsed="false">
      <c r="A12054" s="5" t="s">
        <v>266</v>
      </c>
      <c r="G12054" s="30" t="n">
        <f aca="false">IF(Assumptions!$I$53=1,MAX(G12041,Assumptions!$G$53)+Assumptions!$F$53+$C$12042,Assumptions!$E$53)</f>
        <v>0.081</v>
      </c>
      <c r="H12054" s="30" t="n">
        <f aca="false">IF(G12203=1,$C$12043,IF(Assumptions!$I$53=1,MAX(H12041,Assumptions!$G$53)+Assumptions!$F$53+$C$12042,Assumptions!$E$53))</f>
        <v>0.0785</v>
      </c>
      <c r="I12054" s="30" t="n">
        <f aca="false">IF(H12203=1,$C$12043,IF(Assumptions!$I$53=1,MAX(I12041,Assumptions!$G$53)+Assumptions!$F$53+$C$12042,Assumptions!$E$53))</f>
        <v>0.11</v>
      </c>
      <c r="J12054" s="30" t="n">
        <f aca="false">IF(I12203=1,$C$12043,IF(Assumptions!$I$53=1,MAX(J12041,Assumptions!$G$53)+Assumptions!$F$53+$C$12042,Assumptions!$E$53))</f>
        <v>0.11</v>
      </c>
      <c r="K12054" s="30" t="n">
        <f aca="false">IF(J12203=1,$C$12043,IF(Assumptions!$I$53=1,MAX(K12041,Assumptions!$G$53)+Assumptions!$F$53+$C$12042,Assumptions!$E$53))</f>
        <v>0.11</v>
      </c>
    </row>
    <row r="12055" customFormat="false" ht="15" hidden="false" customHeight="false" outlineLevel="0" collapsed="false">
      <c r="A12055" s="5" t="s">
        <v>267</v>
      </c>
      <c r="G12055" s="25" t="n">
        <f aca="false">G12051*G12054</f>
        <v>14.58</v>
      </c>
      <c r="H12055" s="25" t="n">
        <f aca="false">H12051*H12054</f>
        <v>11.45629</v>
      </c>
      <c r="I12055" s="25" t="n">
        <f aca="false">I12051*I12054</f>
        <v>16.0534</v>
      </c>
      <c r="J12055" s="25" t="n">
        <f aca="false">J12051*J12054</f>
        <v>17.662651556</v>
      </c>
      <c r="K12055" s="25" t="n">
        <f aca="false">K12051*K12054</f>
        <v>19.69492782532</v>
      </c>
    </row>
    <row r="12056" customFormat="false" ht="15" hidden="false" customHeight="false" outlineLevel="0" collapsed="false">
      <c r="A12056" s="5" t="s">
        <v>268</v>
      </c>
      <c r="G12056" s="25" t="n">
        <f aca="false">G12051*Assumptions!$H$53</f>
        <v>0</v>
      </c>
      <c r="H12056" s="25" t="n">
        <f aca="false">H12051*Assumptions!$H$53</f>
        <v>0</v>
      </c>
      <c r="I12056" s="25" t="n">
        <f aca="false">I12051*Assumptions!$H$53</f>
        <v>0</v>
      </c>
      <c r="J12056" s="25" t="n">
        <f aca="false">J12051*Assumptions!$H$53</f>
        <v>0</v>
      </c>
      <c r="K12056" s="25" t="n">
        <f aca="false">K12051*Assumptions!$H$53</f>
        <v>0</v>
      </c>
    </row>
    <row r="12057" customFormat="false" ht="15" hidden="false" customHeight="false" outlineLevel="0" collapsed="false">
      <c r="A12057" s="5" t="s">
        <v>269</v>
      </c>
      <c r="G12057" s="25" t="n">
        <f aca="false">MIN(G12051,Assumptions!$L$53*Assumptions!$C$53)</f>
        <v>0</v>
      </c>
      <c r="H12057" s="25" t="n">
        <f aca="false">MIN(H12051,Assumptions!$L$53*Assumptions!$C$53)</f>
        <v>0</v>
      </c>
      <c r="I12057" s="25" t="n">
        <f aca="false">MIN(I12051,Assumptions!$L$53*Assumptions!$C$53)</f>
        <v>0</v>
      </c>
      <c r="J12057" s="25" t="n">
        <f aca="false">MIN(J12051,Assumptions!$L$53*Assumptions!$C$53)</f>
        <v>0</v>
      </c>
      <c r="K12057" s="25" t="n">
        <f aca="false">MIN(K12051,Assumptions!$L$53*Assumptions!$C$53)</f>
        <v>0</v>
      </c>
    </row>
    <row r="12058" customFormat="false" ht="15" hidden="false" customHeight="false" outlineLevel="0" collapsed="false">
      <c r="A12058" s="5" t="s">
        <v>270</v>
      </c>
      <c r="G12058" s="25" t="n">
        <f aca="false">IF(AND(Assumptions!$P$53=1,G12015&lt;Assumptions!$K$53),MIN(MAX(0,-G12129),MAX(0,Assumptions!$D$53-G12051)),0)</f>
        <v>0</v>
      </c>
      <c r="H12058" s="25" t="n">
        <f aca="false">IF(AND(Assumptions!$P$53=1,OR(H12015&lt;Assumptions!$K$53,G12203=1)),MIN(MAX(0,-H12129),MAX(0,Assumptions!$D$53-H12051)),0)</f>
        <v>0</v>
      </c>
      <c r="I12058" s="25" t="n">
        <f aca="false">IF(AND(Assumptions!$P$53=1,OR(I12015&lt;Assumptions!$K$53,H12203=1)),MIN(MAX(0,-I12129),MAX(0,Assumptions!$D$53-I12051)),0)</f>
        <v>14.6295596</v>
      </c>
      <c r="J12058" s="25" t="n">
        <f aca="false">IF(AND(Assumptions!$P$53=1,OR(J12015&lt;Assumptions!$K$53,I12203=1)),MIN(MAX(0,-J12129),MAX(0,Assumptions!$D$53-J12051)),0)</f>
        <v>18.475238812</v>
      </c>
      <c r="K12058" s="25" t="n">
        <f aca="false">IF(AND(Assumptions!$P$53=1,OR(K12015&lt;Assumptions!$K$53,J12203=1)),MIN(MAX(0,-K12129),MAX(0,Assumptions!$D$53-K12051)),0)</f>
        <v>16.57447696924</v>
      </c>
    </row>
    <row r="12059" customFormat="false" ht="15" hidden="false" customHeight="false" outlineLevel="0" collapsed="false">
      <c r="A12059" s="5" t="s">
        <v>271</v>
      </c>
      <c r="G12059" s="25" t="n">
        <f aca="false">G12052*MIN(G12051-G12057+G12056,MAX(0,G12131-Assumptions!$C$12*G12049))</f>
        <v>0</v>
      </c>
      <c r="H12059" s="25" t="n">
        <f aca="false">H12052*MIN(H12051-H12057+H12056,MAX(0,H12131-Assumptions!$C$12*H12049))</f>
        <v>0</v>
      </c>
      <c r="I12059" s="25" t="n">
        <f aca="false">I12052*MIN(I12051-I12057+I12056,MAX(0,I12131-Assumptions!$C$12*I12049))</f>
        <v>0</v>
      </c>
      <c r="J12059" s="25" t="n">
        <f aca="false">J12052*MIN(J12051-J12057+J12056,MAX(0,J12131-Assumptions!$C$12*J12049))</f>
        <v>0</v>
      </c>
      <c r="K12059" s="25" t="n">
        <f aca="false">K12052*MIN(K12051-K12057+K12056,MAX(0,K12131-Assumptions!$C$12*K12049))</f>
        <v>0</v>
      </c>
    </row>
    <row r="12060" customFormat="false" ht="15" hidden="false" customHeight="false" outlineLevel="0" collapsed="false">
      <c r="A12060" s="5" t="s">
        <v>272</v>
      </c>
      <c r="G12060" s="25" t="n">
        <f aca="false">Assumptions!$N$53*MIN(G12051+G12058+G12056-G12057-G12059,MAX(0,G12135))</f>
        <v>34.06</v>
      </c>
      <c r="H12060" s="25" t="n">
        <f aca="false">Assumptions!$N$53*MIN(H12051+H12058+H12056-H12057-H12059,MAX(0,H12135))</f>
        <v>0</v>
      </c>
      <c r="I12060" s="25" t="n">
        <f aca="false">Assumptions!$N$53*MIN(I12051+I12058+I12056-I12057-I12059,MAX(0,I12135))</f>
        <v>0</v>
      </c>
      <c r="J12060" s="25" t="n">
        <f aca="false">Assumptions!$N$53*MIN(J12051+J12058+J12056-J12057-J12059,MAX(0,J12135))</f>
        <v>0</v>
      </c>
      <c r="K12060" s="25" t="n">
        <f aca="false">Assumptions!$N$53*MIN(K12051+K12058+K12056-K12057-K12059,MAX(0,K12135))</f>
        <v>0</v>
      </c>
    </row>
    <row r="12061" customFormat="false" ht="15" hidden="false" customHeight="false" outlineLevel="0" collapsed="false">
      <c r="A12061" s="5" t="s">
        <v>273</v>
      </c>
      <c r="G12061" s="25" t="n">
        <f aca="false">G12052*(1-G12049)*(G12051-G12057+G12056-G12059)</f>
        <v>0</v>
      </c>
      <c r="H12061" s="25" t="n">
        <f aca="false">H12052*(1-H12049)*(H12051-H12057+H12056-H12059)</f>
        <v>0</v>
      </c>
      <c r="I12061" s="25" t="n">
        <f aca="false">I12052*(1-I12049)*(I12051-I12057+I12056-I12059)</f>
        <v>0</v>
      </c>
      <c r="J12061" s="25" t="n">
        <f aca="false">J12052*(1-J12049)*(J12051-J12057+J12056-J12059)</f>
        <v>0</v>
      </c>
      <c r="K12061" s="25" t="n">
        <f aca="false">K12052*(1-K12049)*(K12051-K12057+K12056-K12059)</f>
        <v>0</v>
      </c>
    </row>
    <row r="12062" customFormat="false" ht="15" hidden="false" customHeight="false" outlineLevel="0" collapsed="false">
      <c r="A12062" s="2" t="s">
        <v>274</v>
      </c>
      <c r="F12062" s="27" t="n">
        <f aca="false">Assumptions!$C$53</f>
        <v>180</v>
      </c>
      <c r="G12062" s="16" t="n">
        <f aca="false">G12051+G12058+G12056-G12057-G12059-G12060</f>
        <v>145.94</v>
      </c>
      <c r="H12062" s="16" t="n">
        <f aca="false">H12051+H12058+H12056-H12057-H12059-H12060</f>
        <v>145.94</v>
      </c>
      <c r="I12062" s="16" t="n">
        <f aca="false">I12051+I12058+I12056-I12057-I12059-I12060</f>
        <v>160.5695596</v>
      </c>
      <c r="J12062" s="16" t="n">
        <f aca="false">J12051+J12058+J12056-J12057-J12059-J12060</f>
        <v>179.044798412</v>
      </c>
      <c r="K12062" s="16" t="n">
        <f aca="false">K12051+K12058+K12056-K12057-K12059-K12060</f>
        <v>195.61927538124</v>
      </c>
    </row>
    <row r="12063" customFormat="false" ht="15" hidden="false" customHeight="false" outlineLevel="0" collapsed="false">
      <c r="A12063" s="23" t="s">
        <v>275</v>
      </c>
      <c r="B12063" s="24"/>
      <c r="C12063" s="24"/>
      <c r="D12063" s="24"/>
      <c r="E12063" s="24"/>
      <c r="F12063" s="24"/>
      <c r="G12063" s="24"/>
      <c r="H12063" s="24"/>
      <c r="I12063" s="24"/>
      <c r="J12063" s="24"/>
      <c r="K12063" s="24"/>
    </row>
    <row r="12064" customFormat="false" ht="15" hidden="false" customHeight="false" outlineLevel="0" collapsed="false">
      <c r="A12064" s="5" t="s">
        <v>264</v>
      </c>
      <c r="G12064" s="25" t="n">
        <f aca="false">F12075</f>
        <v>520</v>
      </c>
      <c r="H12064" s="25" t="n">
        <f aca="false">G12075</f>
        <v>514.8</v>
      </c>
      <c r="I12064" s="25" t="n">
        <f aca="false">H12075</f>
        <v>509.6</v>
      </c>
      <c r="J12064" s="25" t="n">
        <f aca="false">I12075</f>
        <v>504.4</v>
      </c>
      <c r="K12064" s="25" t="n">
        <f aca="false">J12075</f>
        <v>499.2</v>
      </c>
    </row>
    <row r="12065" customFormat="false" ht="15" hidden="false" customHeight="false" outlineLevel="0" collapsed="false">
      <c r="A12065" s="5" t="s">
        <v>265</v>
      </c>
      <c r="G12065" s="20" t="n">
        <f aca="false">IF(G12015=Assumptions!$K$54,1,0)</f>
        <v>0</v>
      </c>
      <c r="H12065" s="20" t="n">
        <f aca="false">IF(H12015=Assumptions!$K$54,1,0)</f>
        <v>0</v>
      </c>
      <c r="I12065" s="20" t="n">
        <f aca="false">IF(I12015=Assumptions!$K$54,1,0)</f>
        <v>1</v>
      </c>
      <c r="J12065" s="20" t="n">
        <f aca="false">IF(J12015=Assumptions!$K$54,1,0)</f>
        <v>0</v>
      </c>
      <c r="K12065" s="20" t="n">
        <f aca="false">IF(K12015=Assumptions!$K$54,1,0)</f>
        <v>0</v>
      </c>
    </row>
    <row r="12067" customFormat="false" ht="15" hidden="false" customHeight="false" outlineLevel="0" collapsed="false">
      <c r="A12067" s="5" t="s">
        <v>266</v>
      </c>
      <c r="G12067" s="30" t="n">
        <f aca="false">IF(Assumptions!$I$54=1,MAX(G12041,Assumptions!$G$54)+Assumptions!$F$54+$C$12042,Assumptions!$E$54)</f>
        <v>0.098</v>
      </c>
      <c r="H12067" s="30" t="n">
        <f aca="false">IF(G12204=1,$C$12043,IF(Assumptions!$I$54=1,MAX(H12041,Assumptions!$G$54)+Assumptions!$F$54+$C$12042,Assumptions!$E$54))</f>
        <v>0.0955</v>
      </c>
      <c r="I12067" s="30" t="n">
        <f aca="false">IF(H12204=1,$C$12043,IF(Assumptions!$I$54=1,MAX(I12041,Assumptions!$G$54)+Assumptions!$F$54+$C$12042,Assumptions!$E$54))</f>
        <v>0.093</v>
      </c>
      <c r="J12067" s="30" t="n">
        <f aca="false">IF(I12204=1,$C$12043,IF(Assumptions!$I$54=1,MAX(J12041,Assumptions!$G$54)+Assumptions!$F$54+$C$12042,Assumptions!$E$54))</f>
        <v>0.11</v>
      </c>
      <c r="K12067" s="30" t="n">
        <f aca="false">IF(J12204=1,$C$12043,IF(Assumptions!$I$54=1,MAX(K12041,Assumptions!$G$54)+Assumptions!$F$54+$C$12042,Assumptions!$E$54))</f>
        <v>0.11</v>
      </c>
    </row>
    <row r="12068" customFormat="false" ht="15" hidden="false" customHeight="false" outlineLevel="0" collapsed="false">
      <c r="A12068" s="5" t="s">
        <v>267</v>
      </c>
      <c r="G12068" s="25" t="n">
        <f aca="false">G12064*G12067</f>
        <v>50.96</v>
      </c>
      <c r="H12068" s="25" t="n">
        <f aca="false">H12064*H12067</f>
        <v>49.1634</v>
      </c>
      <c r="I12068" s="25" t="n">
        <f aca="false">I12064*I12067</f>
        <v>47.3928</v>
      </c>
      <c r="J12068" s="25" t="n">
        <f aca="false">J12064*J12067</f>
        <v>55.484</v>
      </c>
      <c r="K12068" s="25" t="n">
        <f aca="false">K12064*K12067</f>
        <v>54.912</v>
      </c>
    </row>
    <row r="12069" customFormat="false" ht="15" hidden="false" customHeight="false" outlineLevel="0" collapsed="false">
      <c r="A12069" s="5" t="s">
        <v>268</v>
      </c>
      <c r="G12069" s="25" t="n">
        <f aca="false">G12064*Assumptions!$H$54</f>
        <v>0</v>
      </c>
      <c r="H12069" s="25" t="n">
        <f aca="false">H12064*Assumptions!$H$54</f>
        <v>0</v>
      </c>
      <c r="I12069" s="25" t="n">
        <f aca="false">I12064*Assumptions!$H$54</f>
        <v>0</v>
      </c>
      <c r="J12069" s="25" t="n">
        <f aca="false">J12064*Assumptions!$H$54</f>
        <v>0</v>
      </c>
      <c r="K12069" s="25" t="n">
        <f aca="false">K12064*Assumptions!$H$54</f>
        <v>0</v>
      </c>
    </row>
    <row r="12070" customFormat="false" ht="15" hidden="false" customHeight="false" outlineLevel="0" collapsed="false">
      <c r="A12070" s="5" t="s">
        <v>269</v>
      </c>
      <c r="G12070" s="25" t="n">
        <f aca="false">MIN(G12064,Assumptions!$L$54*Assumptions!$C$54)</f>
        <v>5.2</v>
      </c>
      <c r="H12070" s="25" t="n">
        <f aca="false">MIN(H12064,Assumptions!$L$54*Assumptions!$C$54)</f>
        <v>5.2</v>
      </c>
      <c r="I12070" s="25" t="n">
        <f aca="false">MIN(I12064,Assumptions!$L$54*Assumptions!$C$54)</f>
        <v>5.2</v>
      </c>
      <c r="J12070" s="25" t="n">
        <f aca="false">MIN(J12064,Assumptions!$L$54*Assumptions!$C$54)</f>
        <v>5.2</v>
      </c>
      <c r="K12070" s="25" t="n">
        <f aca="false">MIN(K12064,Assumptions!$L$54*Assumptions!$C$54)</f>
        <v>5.2</v>
      </c>
    </row>
    <row r="12071" customFormat="false" ht="15" hidden="false" customHeight="false" outlineLevel="0" collapsed="false">
      <c r="A12071" s="5" t="s">
        <v>270</v>
      </c>
      <c r="G12071" s="25" t="n">
        <f aca="false">IF(AND(Assumptions!$P$54=1,G12015&lt;Assumptions!$K$54),MIN(MAX(0,-G12129),MAX(0,Assumptions!$D$54-G12064)),0)</f>
        <v>0</v>
      </c>
      <c r="H12071" s="25" t="n">
        <f aca="false">IF(AND(Assumptions!$P$54=1,OR(H12015&lt;Assumptions!$K$54,G12204=1)),MIN(MAX(0,-H12129),MAX(0,Assumptions!$D$54-H12064)),0)</f>
        <v>0</v>
      </c>
      <c r="I12071" s="25" t="n">
        <f aca="false">IF(AND(Assumptions!$P$54=1,OR(I12015&lt;Assumptions!$K$54,H12204=1)),MIN(MAX(0,-I12129),MAX(0,Assumptions!$D$54-I12064)),0)</f>
        <v>0</v>
      </c>
      <c r="J12071" s="25" t="n">
        <f aca="false">IF(AND(Assumptions!$P$54=1,OR(J12015&lt;Assumptions!$K$54,I12204=1)),MIN(MAX(0,-J12129),MAX(0,Assumptions!$D$54-J12064)),0)</f>
        <v>0</v>
      </c>
      <c r="K12071" s="25" t="n">
        <f aca="false">IF(AND(Assumptions!$P$54=1,OR(K12015&lt;Assumptions!$K$54,J12204=1)),MIN(MAX(0,-K12129),MAX(0,Assumptions!$D$54-K12064)),0)</f>
        <v>0</v>
      </c>
    </row>
    <row r="12072" customFormat="false" ht="15" hidden="false" customHeight="false" outlineLevel="0" collapsed="false">
      <c r="A12072" s="5" t="s">
        <v>271</v>
      </c>
      <c r="G12072" s="25" t="n">
        <f aca="false">G12065*MIN(G12064-G12070+G12069,MAX(0,G12131-Assumptions!$C$12*G12049-G12059))</f>
        <v>0</v>
      </c>
      <c r="H12072" s="25" t="n">
        <f aca="false">H12065*MIN(H12064-H12070+H12069,MAX(0,H12131-Assumptions!$C$12*H12049-H12059))</f>
        <v>0</v>
      </c>
      <c r="I12072" s="25" t="n">
        <f aca="false">I12065*MIN(I12064-I12070+I12069,MAX(0,I12131-Assumptions!$C$12*I12049-I12059))</f>
        <v>0</v>
      </c>
      <c r="J12072" s="25" t="n">
        <f aca="false">J12065*MIN(J12064-J12070+J12069,MAX(0,J12131-Assumptions!$C$12*J12049-J12059))</f>
        <v>0</v>
      </c>
      <c r="K12072" s="25" t="n">
        <f aca="false">K12065*MIN(K12064-K12070+K12069,MAX(0,K12131-Assumptions!$C$12*K12049-K12059))</f>
        <v>0</v>
      </c>
    </row>
    <row r="12073" customFormat="false" ht="15" hidden="false" customHeight="false" outlineLevel="0" collapsed="false">
      <c r="A12073" s="5" t="s">
        <v>272</v>
      </c>
      <c r="G12073" s="25" t="n">
        <f aca="false">Assumptions!$N$54*MIN(G12064+G12071+G12069-G12070-G12072,MAX(0,G12135-G12060))</f>
        <v>0</v>
      </c>
      <c r="H12073" s="25" t="n">
        <f aca="false">Assumptions!$N$54*MIN(H12064+H12071+H12069-H12070-H12072,MAX(0,H12135-H12060))</f>
        <v>0</v>
      </c>
      <c r="I12073" s="25" t="n">
        <f aca="false">Assumptions!$N$54*MIN(I12064+I12071+I12069-I12070-I12072,MAX(0,I12135-I12060))</f>
        <v>0</v>
      </c>
      <c r="J12073" s="25" t="n">
        <f aca="false">Assumptions!$N$54*MIN(J12064+J12071+J12069-J12070-J12072,MAX(0,J12135-J12060))</f>
        <v>0</v>
      </c>
      <c r="K12073" s="25" t="n">
        <f aca="false">Assumptions!$N$54*MIN(K12064+K12071+K12069-K12070-K12072,MAX(0,K12135-K12060))</f>
        <v>0</v>
      </c>
    </row>
    <row r="12074" customFormat="false" ht="15" hidden="false" customHeight="false" outlineLevel="0" collapsed="false">
      <c r="A12074" s="5" t="s">
        <v>273</v>
      </c>
      <c r="G12074" s="25" t="n">
        <f aca="false">G12065*(1-G12049)*(G12064-G12070+G12069-G12072)</f>
        <v>0</v>
      </c>
      <c r="H12074" s="25" t="n">
        <f aca="false">H12065*(1-H12049)*(H12064-H12070+H12069-H12072)</f>
        <v>0</v>
      </c>
      <c r="I12074" s="25" t="n">
        <f aca="false">I12065*(1-I12049)*(I12064-I12070+I12069-I12072)</f>
        <v>0</v>
      </c>
      <c r="J12074" s="25" t="n">
        <f aca="false">J12065*(1-J12049)*(J12064-J12070+J12069-J12072)</f>
        <v>0</v>
      </c>
      <c r="K12074" s="25" t="n">
        <f aca="false">K12065*(1-K12049)*(K12064-K12070+K12069-K12072)</f>
        <v>0</v>
      </c>
    </row>
    <row r="12075" customFormat="false" ht="15" hidden="false" customHeight="false" outlineLevel="0" collapsed="false">
      <c r="A12075" s="2" t="s">
        <v>274</v>
      </c>
      <c r="F12075" s="27" t="n">
        <f aca="false">Assumptions!$C$54</f>
        <v>520</v>
      </c>
      <c r="G12075" s="16" t="n">
        <f aca="false">G12064+G12071+G12069-G12070-G12072-G12073</f>
        <v>514.8</v>
      </c>
      <c r="H12075" s="16" t="n">
        <f aca="false">H12064+H12071+H12069-H12070-H12072-H12073</f>
        <v>509.6</v>
      </c>
      <c r="I12075" s="16" t="n">
        <f aca="false">I12064+I12071+I12069-I12070-I12072-I12073</f>
        <v>504.4</v>
      </c>
      <c r="J12075" s="16" t="n">
        <f aca="false">J12064+J12071+J12069-J12070-J12072-J12073</f>
        <v>499.2</v>
      </c>
      <c r="K12075" s="16" t="n">
        <f aca="false">K12064+K12071+K12069-K12070-K12072-K12073</f>
        <v>494</v>
      </c>
    </row>
    <row r="12076" customFormat="false" ht="15" hidden="false" customHeight="false" outlineLevel="0" collapsed="false">
      <c r="A12076" s="23" t="s">
        <v>276</v>
      </c>
      <c r="B12076" s="24"/>
      <c r="C12076" s="24"/>
      <c r="D12076" s="24"/>
      <c r="E12076" s="24"/>
      <c r="F12076" s="24"/>
      <c r="G12076" s="24"/>
      <c r="H12076" s="24"/>
      <c r="I12076" s="24"/>
      <c r="J12076" s="24"/>
      <c r="K12076" s="24"/>
    </row>
    <row r="12077" customFormat="false" ht="15" hidden="false" customHeight="false" outlineLevel="0" collapsed="false">
      <c r="A12077" s="5" t="s">
        <v>264</v>
      </c>
      <c r="G12077" s="25" t="n">
        <f aca="false">F12088</f>
        <v>250</v>
      </c>
      <c r="H12077" s="25" t="n">
        <f aca="false">G12088</f>
        <v>250</v>
      </c>
      <c r="I12077" s="25" t="n">
        <f aca="false">H12088</f>
        <v>250</v>
      </c>
      <c r="J12077" s="25" t="n">
        <f aca="false">I12088</f>
        <v>250</v>
      </c>
      <c r="K12077" s="25" t="n">
        <f aca="false">J12088</f>
        <v>250</v>
      </c>
    </row>
    <row r="12078" customFormat="false" ht="15" hidden="false" customHeight="false" outlineLevel="0" collapsed="false">
      <c r="A12078" s="5" t="s">
        <v>265</v>
      </c>
      <c r="G12078" s="20" t="n">
        <f aca="false">IF(G12015=Assumptions!$K$55,1,0)</f>
        <v>0</v>
      </c>
      <c r="H12078" s="20" t="n">
        <f aca="false">IF(H12015=Assumptions!$K$55,1,0)</f>
        <v>0</v>
      </c>
      <c r="I12078" s="20" t="n">
        <f aca="false">IF(I12015=Assumptions!$K$55,1,0)</f>
        <v>0</v>
      </c>
      <c r="J12078" s="20" t="n">
        <f aca="false">IF(J12015=Assumptions!$K$55,1,0)</f>
        <v>1</v>
      </c>
      <c r="K12078" s="20" t="n">
        <f aca="false">IF(K12015=Assumptions!$K$55,1,0)</f>
        <v>0</v>
      </c>
    </row>
    <row r="12080" customFormat="false" ht="15" hidden="false" customHeight="false" outlineLevel="0" collapsed="false">
      <c r="A12080" s="5" t="s">
        <v>266</v>
      </c>
      <c r="G12080" s="30" t="n">
        <f aca="false">IF(Assumptions!$I$55=1,MAX(G12041,Assumptions!$G$55)+Assumptions!$F$55+$C$12042,Assumptions!$E$55)</f>
        <v>0.11</v>
      </c>
      <c r="H12080" s="30" t="n">
        <f aca="false">IF(G12205=1,$C$12043,IF(Assumptions!$I$55=1,MAX(H12041,Assumptions!$G$55)+Assumptions!$F$55+$C$12042,Assumptions!$E$55))</f>
        <v>0.11</v>
      </c>
      <c r="I12080" s="30" t="n">
        <f aca="false">IF(H12205=1,$C$12043,IF(Assumptions!$I$55=1,MAX(I12041,Assumptions!$G$55)+Assumptions!$F$55+$C$12042,Assumptions!$E$55))</f>
        <v>0.11</v>
      </c>
      <c r="J12080" s="30" t="n">
        <f aca="false">IF(I12205=1,$C$12043,IF(Assumptions!$I$55=1,MAX(J12041,Assumptions!$G$55)+Assumptions!$F$55+$C$12042,Assumptions!$E$55))</f>
        <v>0.11</v>
      </c>
      <c r="K12080" s="30" t="n">
        <f aca="false">IF(J12205=1,$C$12043,IF(Assumptions!$I$55=1,MAX(K12041,Assumptions!$G$55)+Assumptions!$F$55+$C$12042,Assumptions!$E$55))</f>
        <v>0.11</v>
      </c>
    </row>
    <row r="12081" customFormat="false" ht="15" hidden="false" customHeight="false" outlineLevel="0" collapsed="false">
      <c r="A12081" s="5" t="s">
        <v>267</v>
      </c>
      <c r="G12081" s="25" t="n">
        <f aca="false">G12077*G12080</f>
        <v>27.5</v>
      </c>
      <c r="H12081" s="25" t="n">
        <f aca="false">H12077*H12080</f>
        <v>27.5</v>
      </c>
      <c r="I12081" s="25" t="n">
        <f aca="false">I12077*I12080</f>
        <v>27.5</v>
      </c>
      <c r="J12081" s="25" t="n">
        <f aca="false">J12077*J12080</f>
        <v>27.5</v>
      </c>
      <c r="K12081" s="25" t="n">
        <f aca="false">K12077*K12080</f>
        <v>27.5</v>
      </c>
    </row>
    <row r="12082" customFormat="false" ht="15" hidden="false" customHeight="false" outlineLevel="0" collapsed="false">
      <c r="A12082" s="5" t="s">
        <v>268</v>
      </c>
      <c r="G12082" s="25" t="n">
        <f aca="false">G12077*Assumptions!$H$55</f>
        <v>0</v>
      </c>
      <c r="H12082" s="25" t="n">
        <f aca="false">H12077*Assumptions!$H$55</f>
        <v>0</v>
      </c>
      <c r="I12082" s="25" t="n">
        <f aca="false">I12077*Assumptions!$H$55</f>
        <v>0</v>
      </c>
      <c r="J12082" s="25" t="n">
        <f aca="false">J12077*Assumptions!$H$55</f>
        <v>0</v>
      </c>
      <c r="K12082" s="25" t="n">
        <f aca="false">K12077*Assumptions!$H$55</f>
        <v>0</v>
      </c>
    </row>
    <row r="12083" customFormat="false" ht="15" hidden="false" customHeight="false" outlineLevel="0" collapsed="false">
      <c r="A12083" s="5" t="s">
        <v>269</v>
      </c>
      <c r="G12083" s="25" t="n">
        <f aca="false">MIN(G12077,Assumptions!$L$55*Assumptions!$C$55)</f>
        <v>0</v>
      </c>
      <c r="H12083" s="25" t="n">
        <f aca="false">MIN(H12077,Assumptions!$L$55*Assumptions!$C$55)</f>
        <v>0</v>
      </c>
      <c r="I12083" s="25" t="n">
        <f aca="false">MIN(I12077,Assumptions!$L$55*Assumptions!$C$55)</f>
        <v>0</v>
      </c>
      <c r="J12083" s="25" t="n">
        <f aca="false">MIN(J12077,Assumptions!$L$55*Assumptions!$C$55)</f>
        <v>0</v>
      </c>
      <c r="K12083" s="25" t="n">
        <f aca="false">MIN(K12077,Assumptions!$L$55*Assumptions!$C$55)</f>
        <v>0</v>
      </c>
    </row>
    <row r="12084" customFormat="false" ht="15" hidden="false" customHeight="false" outlineLevel="0" collapsed="false">
      <c r="A12084" s="5" t="s">
        <v>270</v>
      </c>
      <c r="G12084" s="25" t="n">
        <f aca="false">IF(AND(Assumptions!$P$55=1,G12015&lt;Assumptions!$K$55),MIN(MAX(0,-G12129),MAX(0,Assumptions!$D$55-G12077)),0)</f>
        <v>0</v>
      </c>
      <c r="H12084" s="25" t="n">
        <f aca="false">IF(AND(Assumptions!$P$55=1,OR(H12015&lt;Assumptions!$K$55,G12205=1)),MIN(MAX(0,-H12129),MAX(0,Assumptions!$D$55-H12077)),0)</f>
        <v>0</v>
      </c>
      <c r="I12084" s="25" t="n">
        <f aca="false">IF(AND(Assumptions!$P$55=1,OR(I12015&lt;Assumptions!$K$55,H12205=1)),MIN(MAX(0,-I12129),MAX(0,Assumptions!$D$55-I12077)),0)</f>
        <v>0</v>
      </c>
      <c r="J12084" s="25" t="n">
        <f aca="false">IF(AND(Assumptions!$P$55=1,OR(J12015&lt;Assumptions!$K$55,I12205=1)),MIN(MAX(0,-J12129),MAX(0,Assumptions!$D$55-J12077)),0)</f>
        <v>0</v>
      </c>
      <c r="K12084" s="25" t="n">
        <f aca="false">IF(AND(Assumptions!$P$55=1,OR(K12015&lt;Assumptions!$K$55,J12205=1)),MIN(MAX(0,-K12129),MAX(0,Assumptions!$D$55-K12077)),0)</f>
        <v>0</v>
      </c>
    </row>
    <row r="12085" customFormat="false" ht="15" hidden="false" customHeight="false" outlineLevel="0" collapsed="false">
      <c r="A12085" s="5" t="s">
        <v>271</v>
      </c>
      <c r="G12085" s="25" t="n">
        <f aca="false">G12078*MIN(G12077-G12083+G12082,MAX(0,G12131-Assumptions!$C$12*G12049-G12059-G12072))</f>
        <v>0</v>
      </c>
      <c r="H12085" s="25" t="n">
        <f aca="false">H12078*MIN(H12077-H12083+H12082,MAX(0,H12131-Assumptions!$C$12*H12049-H12059-H12072))</f>
        <v>0</v>
      </c>
      <c r="I12085" s="25" t="n">
        <f aca="false">I12078*MIN(I12077-I12083+I12082,MAX(0,I12131-Assumptions!$C$12*I12049-I12059-I12072))</f>
        <v>0</v>
      </c>
      <c r="J12085" s="25" t="n">
        <f aca="false">J12078*MIN(J12077-J12083+J12082,MAX(0,J12131-Assumptions!$C$12*J12049-J12059-J12072))</f>
        <v>0</v>
      </c>
      <c r="K12085" s="25" t="n">
        <f aca="false">K12078*MIN(K12077-K12083+K12082,MAX(0,K12131-Assumptions!$C$12*K12049-K12059-K12072))</f>
        <v>0</v>
      </c>
    </row>
    <row r="12086" customFormat="false" ht="15" hidden="false" customHeight="false" outlineLevel="0" collapsed="false">
      <c r="A12086" s="5" t="s">
        <v>272</v>
      </c>
      <c r="G12086" s="25" t="n">
        <f aca="false">Assumptions!$N$55*MIN(G12077+G12084+G12082-G12083-G12085,MAX(0,G12135-G12060-G12073))</f>
        <v>0</v>
      </c>
      <c r="H12086" s="25" t="n">
        <f aca="false">Assumptions!$N$55*MIN(H12077+H12084+H12082-H12083-H12085,MAX(0,H12135-H12060-H12073))</f>
        <v>0</v>
      </c>
      <c r="I12086" s="25" t="n">
        <f aca="false">Assumptions!$N$55*MIN(I12077+I12084+I12082-I12083-I12085,MAX(0,I12135-I12060-I12073))</f>
        <v>0</v>
      </c>
      <c r="J12086" s="25" t="n">
        <f aca="false">Assumptions!$N$55*MIN(J12077+J12084+J12082-J12083-J12085,MAX(0,J12135-J12060-J12073))</f>
        <v>0</v>
      </c>
      <c r="K12086" s="25" t="n">
        <f aca="false">Assumptions!$N$55*MIN(K12077+K12084+K12082-K12083-K12085,MAX(0,K12135-K12060-K12073))</f>
        <v>0</v>
      </c>
    </row>
    <row r="12087" customFormat="false" ht="15" hidden="false" customHeight="false" outlineLevel="0" collapsed="false">
      <c r="A12087" s="5" t="s">
        <v>273</v>
      </c>
      <c r="G12087" s="25" t="n">
        <f aca="false">G12078*(1-G12049)*(G12077-G12083+G12082-G12085)</f>
        <v>0</v>
      </c>
      <c r="H12087" s="25" t="n">
        <f aca="false">H12078*(1-H12049)*(H12077-H12083+H12082-H12085)</f>
        <v>0</v>
      </c>
      <c r="I12087" s="25" t="n">
        <f aca="false">I12078*(1-I12049)*(I12077-I12083+I12082-I12085)</f>
        <v>0</v>
      </c>
      <c r="J12087" s="25" t="n">
        <f aca="false">J12078*(1-J12049)*(J12077-J12083+J12082-J12085)</f>
        <v>0</v>
      </c>
      <c r="K12087" s="25" t="n">
        <f aca="false">K12078*(1-K12049)*(K12077-K12083+K12082-K12085)</f>
        <v>0</v>
      </c>
    </row>
    <row r="12088" customFormat="false" ht="15" hidden="false" customHeight="false" outlineLevel="0" collapsed="false">
      <c r="A12088" s="2" t="s">
        <v>274</v>
      </c>
      <c r="F12088" s="27" t="n">
        <f aca="false">Assumptions!$C$55</f>
        <v>250</v>
      </c>
      <c r="G12088" s="16" t="n">
        <f aca="false">G12077+G12084+G12082-G12083-G12085-G12086</f>
        <v>250</v>
      </c>
      <c r="H12088" s="16" t="n">
        <f aca="false">H12077+H12084+H12082-H12083-H12085-H12086</f>
        <v>250</v>
      </c>
      <c r="I12088" s="16" t="n">
        <f aca="false">I12077+I12084+I12082-I12083-I12085-I12086</f>
        <v>250</v>
      </c>
      <c r="J12088" s="16" t="n">
        <f aca="false">J12077+J12084+J12082-J12083-J12085-J12086</f>
        <v>250</v>
      </c>
      <c r="K12088" s="16" t="n">
        <f aca="false">K12077+K12084+K12082-K12083-K12085-K12086</f>
        <v>250</v>
      </c>
    </row>
    <row r="12089" customFormat="false" ht="15" hidden="false" customHeight="false" outlineLevel="0" collapsed="false">
      <c r="A12089" s="23" t="s">
        <v>277</v>
      </c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</row>
    <row r="12090" customFormat="false" ht="15" hidden="false" customHeight="false" outlineLevel="0" collapsed="false">
      <c r="A12090" s="5" t="s">
        <v>264</v>
      </c>
      <c r="G12090" s="25" t="n">
        <f aca="false">F12101</f>
        <v>300</v>
      </c>
      <c r="H12090" s="25" t="n">
        <f aca="false">G12101</f>
        <v>300</v>
      </c>
      <c r="I12090" s="25" t="n">
        <f aca="false">H12101</f>
        <v>300</v>
      </c>
      <c r="J12090" s="25" t="n">
        <f aca="false">I12101</f>
        <v>300</v>
      </c>
      <c r="K12090" s="25" t="n">
        <f aca="false">J12101</f>
        <v>300</v>
      </c>
    </row>
    <row r="12091" customFormat="false" ht="15" hidden="false" customHeight="false" outlineLevel="0" collapsed="false">
      <c r="A12091" s="5" t="s">
        <v>265</v>
      </c>
      <c r="G12091" s="20" t="n">
        <f aca="false">IF(G12015=Assumptions!$K$56,1,0)</f>
        <v>0</v>
      </c>
      <c r="H12091" s="20" t="n">
        <f aca="false">IF(H12015=Assumptions!$K$56,1,0)</f>
        <v>1</v>
      </c>
      <c r="I12091" s="20" t="n">
        <f aca="false">IF(I12015=Assumptions!$K$56,1,0)</f>
        <v>0</v>
      </c>
      <c r="J12091" s="20" t="n">
        <f aca="false">IF(J12015=Assumptions!$K$56,1,0)</f>
        <v>0</v>
      </c>
      <c r="K12091" s="20" t="n">
        <f aca="false">IF(K12015=Assumptions!$K$56,1,0)</f>
        <v>0</v>
      </c>
    </row>
    <row r="12093" customFormat="false" ht="15" hidden="false" customHeight="false" outlineLevel="0" collapsed="false">
      <c r="A12093" s="5" t="s">
        <v>266</v>
      </c>
      <c r="G12093" s="30" t="n">
        <f aca="false">IF(Assumptions!$I$56=1,MAX(G12041,Assumptions!$G$56)+Assumptions!$F$56+$C$12042,Assumptions!$E$56)</f>
        <v>0.075</v>
      </c>
      <c r="H12093" s="30" t="n">
        <f aca="false">IF(G12206=1,$C$12043,IF(Assumptions!$I$56=1,MAX(H12041,Assumptions!$G$56)+Assumptions!$F$56+$C$12042,Assumptions!$E$56))</f>
        <v>0.075</v>
      </c>
      <c r="I12093" s="30" t="n">
        <f aca="false">IF(H12206=1,$C$12043,IF(Assumptions!$I$56=1,MAX(I12041,Assumptions!$G$56)+Assumptions!$F$56+$C$12042,Assumptions!$E$56))</f>
        <v>0.11</v>
      </c>
      <c r="J12093" s="30" t="n">
        <f aca="false">IF(I12206=1,$C$12043,IF(Assumptions!$I$56=1,MAX(J12041,Assumptions!$G$56)+Assumptions!$F$56+$C$12042,Assumptions!$E$56))</f>
        <v>0.11</v>
      </c>
      <c r="K12093" s="30" t="n">
        <f aca="false">IF(J12206=1,$C$12043,IF(Assumptions!$I$56=1,MAX(K12041,Assumptions!$G$56)+Assumptions!$F$56+$C$12042,Assumptions!$E$56))</f>
        <v>0.11</v>
      </c>
    </row>
    <row r="12094" customFormat="false" ht="15" hidden="false" customHeight="false" outlineLevel="0" collapsed="false">
      <c r="A12094" s="5" t="s">
        <v>267</v>
      </c>
      <c r="G12094" s="25" t="n">
        <f aca="false">G12090*G12093</f>
        <v>22.5</v>
      </c>
      <c r="H12094" s="25" t="n">
        <f aca="false">H12090*H12093</f>
        <v>22.5</v>
      </c>
      <c r="I12094" s="25" t="n">
        <f aca="false">I12090*I12093</f>
        <v>33</v>
      </c>
      <c r="J12094" s="25" t="n">
        <f aca="false">J12090*J12093</f>
        <v>33</v>
      </c>
      <c r="K12094" s="25" t="n">
        <f aca="false">K12090*K12093</f>
        <v>33</v>
      </c>
    </row>
    <row r="12095" customFormat="false" ht="15" hidden="false" customHeight="false" outlineLevel="0" collapsed="false">
      <c r="A12095" s="5" t="s">
        <v>268</v>
      </c>
      <c r="G12095" s="25" t="n">
        <f aca="false">G12090*Assumptions!$H$56</f>
        <v>0</v>
      </c>
      <c r="H12095" s="25" t="n">
        <f aca="false">H12090*Assumptions!$H$56</f>
        <v>0</v>
      </c>
      <c r="I12095" s="25" t="n">
        <f aca="false">I12090*Assumptions!$H$56</f>
        <v>0</v>
      </c>
      <c r="J12095" s="25" t="n">
        <f aca="false">J12090*Assumptions!$H$56</f>
        <v>0</v>
      </c>
      <c r="K12095" s="25" t="n">
        <f aca="false">K12090*Assumptions!$H$56</f>
        <v>0</v>
      </c>
    </row>
    <row r="12096" customFormat="false" ht="15" hidden="false" customHeight="false" outlineLevel="0" collapsed="false">
      <c r="A12096" s="5" t="s">
        <v>269</v>
      </c>
      <c r="G12096" s="25" t="n">
        <f aca="false">MIN(G12090,Assumptions!$L$56*Assumptions!$C$56)</f>
        <v>0</v>
      </c>
      <c r="H12096" s="25" t="n">
        <f aca="false">MIN(H12090,Assumptions!$L$56*Assumptions!$C$56)</f>
        <v>0</v>
      </c>
      <c r="I12096" s="25" t="n">
        <f aca="false">MIN(I12090,Assumptions!$L$56*Assumptions!$C$56)</f>
        <v>0</v>
      </c>
      <c r="J12096" s="25" t="n">
        <f aca="false">MIN(J12090,Assumptions!$L$56*Assumptions!$C$56)</f>
        <v>0</v>
      </c>
      <c r="K12096" s="25" t="n">
        <f aca="false">MIN(K12090,Assumptions!$L$56*Assumptions!$C$56)</f>
        <v>0</v>
      </c>
    </row>
    <row r="12097" customFormat="false" ht="15" hidden="false" customHeight="false" outlineLevel="0" collapsed="false">
      <c r="A12097" s="5" t="s">
        <v>270</v>
      </c>
      <c r="G12097" s="25" t="n">
        <f aca="false">IF(AND(Assumptions!$P$56=1,G12015&lt;Assumptions!$K$56),MIN(MAX(0,-G12129),MAX(0,Assumptions!$D$56-G12090)),0)</f>
        <v>0</v>
      </c>
      <c r="H12097" s="25" t="n">
        <f aca="false">IF(AND(Assumptions!$P$56=1,OR(H12015&lt;Assumptions!$K$56,G12206=1)),MIN(MAX(0,-H12129),MAX(0,Assumptions!$D$56-H12090)),0)</f>
        <v>0</v>
      </c>
      <c r="I12097" s="25" t="n">
        <f aca="false">IF(AND(Assumptions!$P$56=1,OR(I12015&lt;Assumptions!$K$56,H12206=1)),MIN(MAX(0,-I12129),MAX(0,Assumptions!$D$56-I12090)),0)</f>
        <v>0</v>
      </c>
      <c r="J12097" s="25" t="n">
        <f aca="false">IF(AND(Assumptions!$P$56=1,OR(J12015&lt;Assumptions!$K$56,I12206=1)),MIN(MAX(0,-J12129),MAX(0,Assumptions!$D$56-J12090)),0)</f>
        <v>0</v>
      </c>
      <c r="K12097" s="25" t="n">
        <f aca="false">IF(AND(Assumptions!$P$56=1,OR(K12015&lt;Assumptions!$K$56,J12206=1)),MIN(MAX(0,-K12129),MAX(0,Assumptions!$D$56-K12090)),0)</f>
        <v>0</v>
      </c>
    </row>
    <row r="12098" customFormat="false" ht="15" hidden="false" customHeight="false" outlineLevel="0" collapsed="false">
      <c r="A12098" s="5" t="s">
        <v>271</v>
      </c>
      <c r="G12098" s="25" t="n">
        <f aca="false">G12091*MIN(G12090-G12096+G12095,MAX(0,G12131-Assumptions!$C$12*G12049-G12059-G12072-G12085))</f>
        <v>0</v>
      </c>
      <c r="H12098" s="25" t="n">
        <f aca="false">H12091*MIN(H12090-H12096+H12095,MAX(0,H12131-Assumptions!$C$12*H12049-H12059-H12072-H12085))</f>
        <v>0</v>
      </c>
      <c r="I12098" s="25" t="n">
        <f aca="false">I12091*MIN(I12090-I12096+I12095,MAX(0,I12131-Assumptions!$C$12*I12049-I12059-I12072-I12085))</f>
        <v>0</v>
      </c>
      <c r="J12098" s="25" t="n">
        <f aca="false">J12091*MIN(J12090-J12096+J12095,MAX(0,J12131-Assumptions!$C$12*J12049-J12059-J12072-J12085))</f>
        <v>0</v>
      </c>
      <c r="K12098" s="25" t="n">
        <f aca="false">K12091*MIN(K12090-K12096+K12095,MAX(0,K12131-Assumptions!$C$12*K12049-K12059-K12072-K12085))</f>
        <v>0</v>
      </c>
    </row>
    <row r="12099" customFormat="false" ht="15" hidden="false" customHeight="false" outlineLevel="0" collapsed="false">
      <c r="A12099" s="5" t="s">
        <v>272</v>
      </c>
      <c r="G12099" s="25" t="n">
        <f aca="false">Assumptions!$N$56*MIN(G12090+G12097+G12095-G12096-G12098,MAX(0,G12135-G12060-G12073-G12086))</f>
        <v>0</v>
      </c>
      <c r="H12099" s="25" t="n">
        <f aca="false">Assumptions!$N$56*MIN(H12090+H12097+H12095-H12096-H12098,MAX(0,H12135-H12060-H12073-H12086))</f>
        <v>0</v>
      </c>
      <c r="I12099" s="25" t="n">
        <f aca="false">Assumptions!$N$56*MIN(I12090+I12097+I12095-I12096-I12098,MAX(0,I12135-I12060-I12073-I12086))</f>
        <v>0</v>
      </c>
      <c r="J12099" s="25" t="n">
        <f aca="false">Assumptions!$N$56*MIN(J12090+J12097+J12095-J12096-J12098,MAX(0,J12135-J12060-J12073-J12086))</f>
        <v>0</v>
      </c>
      <c r="K12099" s="25" t="n">
        <f aca="false">Assumptions!$N$56*MIN(K12090+K12097+K12095-K12096-K12098,MAX(0,K12135-K12060-K12073-K12086))</f>
        <v>0</v>
      </c>
    </row>
    <row r="12100" customFormat="false" ht="15" hidden="false" customHeight="false" outlineLevel="0" collapsed="false">
      <c r="A12100" s="5" t="s">
        <v>273</v>
      </c>
      <c r="G12100" s="25" t="n">
        <f aca="false">G12091*(1-G12049)*(G12090-G12096+G12095-G12098)</f>
        <v>0</v>
      </c>
      <c r="H12100" s="25" t="n">
        <f aca="false">H12091*(1-H12049)*(H12090-H12096+H12095-H12098)</f>
        <v>0</v>
      </c>
      <c r="I12100" s="25" t="n">
        <f aca="false">I12091*(1-I12049)*(I12090-I12096+I12095-I12098)</f>
        <v>0</v>
      </c>
      <c r="J12100" s="25" t="n">
        <f aca="false">J12091*(1-J12049)*(J12090-J12096+J12095-J12098)</f>
        <v>0</v>
      </c>
      <c r="K12100" s="25" t="n">
        <f aca="false">K12091*(1-K12049)*(K12090-K12096+K12095-K12098)</f>
        <v>0</v>
      </c>
    </row>
    <row r="12101" customFormat="false" ht="15" hidden="false" customHeight="false" outlineLevel="0" collapsed="false">
      <c r="A12101" s="2" t="s">
        <v>274</v>
      </c>
      <c r="F12101" s="27" t="n">
        <f aca="false">Assumptions!$C$56</f>
        <v>300</v>
      </c>
      <c r="G12101" s="16" t="n">
        <f aca="false">G12090+G12097+G12095-G12096-G12098-G12099</f>
        <v>300</v>
      </c>
      <c r="H12101" s="16" t="n">
        <f aca="false">H12090+H12097+H12095-H12096-H12098-H12099</f>
        <v>300</v>
      </c>
      <c r="I12101" s="16" t="n">
        <f aca="false">I12090+I12097+I12095-I12096-I12098-I12099</f>
        <v>300</v>
      </c>
      <c r="J12101" s="16" t="n">
        <f aca="false">J12090+J12097+J12095-J12096-J12098-J12099</f>
        <v>300</v>
      </c>
      <c r="K12101" s="16" t="n">
        <f aca="false">K12090+K12097+K12095-K12096-K12098-K12099</f>
        <v>300</v>
      </c>
    </row>
    <row r="12102" customFormat="false" ht="15" hidden="false" customHeight="false" outlineLevel="0" collapsed="false">
      <c r="A12102" s="23" t="s">
        <v>278</v>
      </c>
      <c r="B12102" s="24"/>
      <c r="C12102" s="24"/>
      <c r="D12102" s="24"/>
      <c r="E12102" s="24"/>
      <c r="F12102" s="24"/>
      <c r="G12102" s="24"/>
      <c r="H12102" s="24"/>
      <c r="I12102" s="24"/>
      <c r="J12102" s="24"/>
      <c r="K12102" s="24"/>
    </row>
    <row r="12103" customFormat="false" ht="15" hidden="false" customHeight="false" outlineLevel="0" collapsed="false">
      <c r="A12103" s="2" t="s">
        <v>279</v>
      </c>
      <c r="F12103" s="16" t="n">
        <f aca="false">F12062+F12075+F12088+F12101</f>
        <v>1250</v>
      </c>
      <c r="G12103" s="16" t="n">
        <f aca="false">G12062+G12075+G12088+G12101</f>
        <v>1210.74</v>
      </c>
      <c r="H12103" s="16" t="n">
        <f aca="false">H12062+H12075+H12088+H12101</f>
        <v>1205.54</v>
      </c>
      <c r="I12103" s="16" t="n">
        <f aca="false">I12062+I12075+I12088+I12101</f>
        <v>1214.9695596</v>
      </c>
      <c r="J12103" s="16" t="n">
        <f aca="false">J12062+J12075+J12088+J12101</f>
        <v>1228.244798412</v>
      </c>
      <c r="K12103" s="16" t="n">
        <f aca="false">K12062+K12075+K12088+K12101</f>
        <v>1239.61927538124</v>
      </c>
    </row>
    <row r="12104" customFormat="false" ht="15" hidden="false" customHeight="false" outlineLevel="0" collapsed="false">
      <c r="A12104" s="5" t="s">
        <v>280</v>
      </c>
      <c r="G12104" s="25" t="n">
        <f aca="false">G12052*Assumptions!$C$53+G12065*Assumptions!$C$54+G12078*Assumptions!$C$55+G12091*Assumptions!$C$56</f>
        <v>0</v>
      </c>
      <c r="H12104" s="25" t="n">
        <f aca="false">H12052*Assumptions!$C$53+H12065*Assumptions!$C$54+H12078*Assumptions!$C$55+H12091*Assumptions!$C$56</f>
        <v>480</v>
      </c>
      <c r="I12104" s="25" t="n">
        <f aca="false">I12052*Assumptions!$C$53+I12065*Assumptions!$C$54+I12078*Assumptions!$C$55+I12091*Assumptions!$C$56</f>
        <v>520</v>
      </c>
      <c r="J12104" s="25" t="n">
        <f aca="false">J12052*Assumptions!$C$53+J12065*Assumptions!$C$54+J12078*Assumptions!$C$55+J12091*Assumptions!$C$56</f>
        <v>250</v>
      </c>
      <c r="K12104" s="25" t="n">
        <f aca="false">K12052*Assumptions!$C$53+K12065*Assumptions!$C$54+K12078*Assumptions!$C$55+K12091*Assumptions!$C$56</f>
        <v>0</v>
      </c>
    </row>
    <row r="12105" customFormat="false" ht="15" hidden="false" customHeight="false" outlineLevel="0" collapsed="false">
      <c r="A12105" s="23" t="s">
        <v>281</v>
      </c>
      <c r="B12105" s="24"/>
      <c r="C12105" s="24"/>
      <c r="D12105" s="24"/>
      <c r="E12105" s="24"/>
      <c r="F12105" s="24"/>
      <c r="G12105" s="24"/>
      <c r="H12105" s="24"/>
      <c r="I12105" s="24"/>
      <c r="J12105" s="24"/>
      <c r="K12105" s="24"/>
    </row>
    <row r="12106" customFormat="false" ht="15" hidden="false" customHeight="false" outlineLevel="0" collapsed="false">
      <c r="A12106" s="5" t="s">
        <v>282</v>
      </c>
      <c r="C12106" s="25" t="n">
        <f aca="false">SUMPRODUCT($G$12052:$K$12052,$G$12051:$K$12051-$G$12057:$K$12057+$G$12056:$K$12056)</f>
        <v>145.94</v>
      </c>
    </row>
    <row r="12107" customFormat="false" ht="15" hidden="false" customHeight="false" outlineLevel="0" collapsed="false">
      <c r="A12107" s="5" t="s">
        <v>283</v>
      </c>
      <c r="C12107" s="25" t="n">
        <f aca="false">SUMPRODUCT($G$12052:$K$12052,$G$12059:$K$12059)</f>
        <v>0</v>
      </c>
    </row>
    <row r="12108" customFormat="false" ht="15" hidden="false" customHeight="false" outlineLevel="0" collapsed="false">
      <c r="A12108" s="5" t="s">
        <v>284</v>
      </c>
      <c r="C12108" s="5" t="str">
        <f aca="false">IF(SUM($G$12052:$K$12052)=0,"n/a (beyond horizon)",IF(SUMPRODUCT($G$12052:$K$12052,$G$12049:$K$12049)&gt;0,"REFINANCING PASS","REFINANCING FAILURE"))</f>
        <v>REFINANCING PASS</v>
      </c>
    </row>
    <row r="12109" customFormat="false" ht="15" hidden="false" customHeight="false" outlineLevel="0" collapsed="false">
      <c r="A12109" s="5" t="s">
        <v>285</v>
      </c>
      <c r="C12109" s="5" t="str">
        <f aca="false">IF(SUM($G$12052:$K$12052)=0,"n/a",IF(C12107&gt;=C12106-0.001,"Repaid from cash",IF(SUMPRODUCT($G$12052:$K$12052,$G$12049:$K$12049)&gt;0,IF(C12107&gt;0,"Partly repaid; remainder refinanced","Refinanced"),IF(SUM($G$12061:$K$12061)&gt;0.001,IF(C12107&gt;0,"Partial repayment; PAYMENT DEFAULT","PAYMENT DEFAULT"),"Repaid from cash"))))</f>
        <v>Refinanced</v>
      </c>
    </row>
    <row r="12110" customFormat="false" ht="15" hidden="false" customHeight="false" outlineLevel="0" collapsed="false">
      <c r="A12110" s="5" t="s">
        <v>286</v>
      </c>
      <c r="C12110" s="25" t="n">
        <f aca="false">SUMPRODUCT($G$12065:$K$12065,$G$12064:$K$12064-$G$12070:$K$12070+$G$12069:$K$12069)</f>
        <v>504.4</v>
      </c>
    </row>
    <row r="12111" customFormat="false" ht="15" hidden="false" customHeight="false" outlineLevel="0" collapsed="false">
      <c r="A12111" s="5" t="s">
        <v>287</v>
      </c>
      <c r="C12111" s="25" t="n">
        <f aca="false">SUMPRODUCT($G$12065:$K$12065,$G$12072:$K$12072)</f>
        <v>0</v>
      </c>
    </row>
    <row r="12112" customFormat="false" ht="15" hidden="false" customHeight="false" outlineLevel="0" collapsed="false">
      <c r="A12112" s="5" t="s">
        <v>288</v>
      </c>
      <c r="C12112" s="5" t="str">
        <f aca="false">IF(SUM($G$12065:$K$12065)=0,"n/a (beyond horizon)",IF(SUMPRODUCT($G$12065:$K$12065,$G$12049:$K$12049)&gt;0,"REFINANCING PASS","REFINANCING FAILURE"))</f>
        <v>REFINANCING PASS</v>
      </c>
    </row>
    <row r="12113" customFormat="false" ht="15" hidden="false" customHeight="false" outlineLevel="0" collapsed="false">
      <c r="A12113" s="5" t="s">
        <v>289</v>
      </c>
      <c r="C12113" s="5" t="str">
        <f aca="false">IF(SUM($G$12065:$K$12065)=0,"n/a",IF(C12111&gt;=C12110-0.001,"Repaid from cash",IF(SUMPRODUCT($G$12065:$K$12065,$G$12049:$K$12049)&gt;0,IF(C12111&gt;0,"Partly repaid; remainder refinanced","Refinanced"),IF(SUM($G$12074:$K$12074)&gt;0.001,IF(C12111&gt;0,"Partial repayment; PAYMENT DEFAULT","PAYMENT DEFAULT"),"Repaid from cash"))))</f>
        <v>Refinanced</v>
      </c>
    </row>
    <row r="12114" customFormat="false" ht="15" hidden="false" customHeight="false" outlineLevel="0" collapsed="false">
      <c r="A12114" s="5" t="s">
        <v>290</v>
      </c>
      <c r="C12114" s="25" t="n">
        <f aca="false">SUMPRODUCT($G$12078:$K$12078,$G$12077:$K$12077-$G$12083:$K$12083+$G$12082:$K$12082)</f>
        <v>250</v>
      </c>
    </row>
    <row r="12115" customFormat="false" ht="15" hidden="false" customHeight="false" outlineLevel="0" collapsed="false">
      <c r="A12115" s="5" t="s">
        <v>291</v>
      </c>
      <c r="C12115" s="25" t="n">
        <f aca="false">SUMPRODUCT($G$12078:$K$12078,$G$12085:$K$12085)</f>
        <v>0</v>
      </c>
    </row>
    <row r="12116" customFormat="false" ht="15" hidden="false" customHeight="false" outlineLevel="0" collapsed="false">
      <c r="A12116" s="5" t="s">
        <v>292</v>
      </c>
      <c r="C12116" s="5" t="str">
        <f aca="false">IF(SUM($G$12078:$K$12078)=0,"n/a (beyond horizon)",IF(SUMPRODUCT($G$12078:$K$12078,$G$12049:$K$12049)&gt;0,"REFINANCING PASS","REFINANCING FAILURE"))</f>
        <v>REFINANCING PASS</v>
      </c>
    </row>
    <row r="12117" customFormat="false" ht="15" hidden="false" customHeight="false" outlineLevel="0" collapsed="false">
      <c r="A12117" s="5" t="s">
        <v>293</v>
      </c>
      <c r="C12117" s="5" t="str">
        <f aca="false">IF(SUM($G$12078:$K$12078)=0,"n/a",IF(C12115&gt;=C12114-0.001,"Repaid from cash",IF(SUMPRODUCT($G$12078:$K$12078,$G$12049:$K$12049)&gt;0,IF(C12115&gt;0,"Partly repaid; remainder refinanced","Refinanced"),IF(SUM($G$12087:$K$12087)&gt;0.001,IF(C12115&gt;0,"Partial repayment; PAYMENT DEFAULT","PAYMENT DEFAULT"),"Repaid from cash"))))</f>
        <v>Refinanced</v>
      </c>
    </row>
    <row r="12118" customFormat="false" ht="15" hidden="false" customHeight="false" outlineLevel="0" collapsed="false">
      <c r="A12118" s="5" t="s">
        <v>294</v>
      </c>
      <c r="C12118" s="25" t="n">
        <f aca="false">SUMPRODUCT($G$12091:$K$12091,$G$12090:$K$12090-$G$12096:$K$12096+$G$12095:$K$12095)</f>
        <v>300</v>
      </c>
    </row>
    <row r="12119" customFormat="false" ht="15" hidden="false" customHeight="false" outlineLevel="0" collapsed="false">
      <c r="A12119" s="5" t="s">
        <v>295</v>
      </c>
      <c r="C12119" s="25" t="n">
        <f aca="false">SUMPRODUCT($G$12091:$K$12091,$G$12098:$K$12098)</f>
        <v>0</v>
      </c>
    </row>
    <row r="12120" customFormat="false" ht="15" hidden="false" customHeight="false" outlineLevel="0" collapsed="false">
      <c r="A12120" s="5" t="s">
        <v>296</v>
      </c>
      <c r="C12120" s="5" t="str">
        <f aca="false">IF(SUM($G$12091:$K$12091)=0,"n/a (beyond horizon)",IF(SUMPRODUCT($G$12091:$K$12091,$G$12049:$K$12049)&gt;0,"REFINANCING PASS","REFINANCING FAILURE"))</f>
        <v>REFINANCING PASS</v>
      </c>
    </row>
    <row r="12121" customFormat="false" ht="15" hidden="false" customHeight="false" outlineLevel="0" collapsed="false">
      <c r="A12121" s="5" t="s">
        <v>297</v>
      </c>
      <c r="C12121" s="5" t="str">
        <f aca="false">IF(SUM($G$12091:$K$12091)=0,"n/a",IF(C12119&gt;=C12118-0.001,"Repaid from cash",IF(SUMPRODUCT($G$12091:$K$12091,$G$12049:$K$12049)&gt;0,IF(C12119&gt;0,"Partly repaid; remainder refinanced","Refinanced"),IF(SUM($G$12100:$K$12100)&gt;0.001,IF(C12119&gt;0,"Partial repayment; PAYMENT DEFAULT","PAYMENT DEFAULT"),"Repaid from cash"))))</f>
        <v>Refinanced</v>
      </c>
    </row>
    <row r="12122" customFormat="false" ht="15" hidden="false" customHeight="false" outlineLevel="0" collapsed="false">
      <c r="A12122" s="5" t="s">
        <v>298</v>
      </c>
      <c r="C12122" s="20" t="n">
        <f aca="false">IF(C12108="REFINANCING FAILURE",1,0)+IF(C12112="REFINANCING FAILURE",1,0)+IF(C12116="REFINANCING FAILURE",1,0)+IF(C12120="REFINANCING FAILURE",1,0)</f>
        <v>0</v>
      </c>
    </row>
    <row r="12124" customFormat="false" ht="15" hidden="false" customHeight="false" outlineLevel="0" collapsed="false">
      <c r="A12124" s="23" t="s">
        <v>300</v>
      </c>
      <c r="B12124" s="24"/>
      <c r="C12124" s="24"/>
      <c r="D12124" s="24"/>
      <c r="E12124" s="24"/>
      <c r="F12124" s="24"/>
      <c r="G12124" s="24"/>
      <c r="H12124" s="24"/>
      <c r="I12124" s="24"/>
      <c r="J12124" s="24"/>
      <c r="K12124" s="24"/>
    </row>
    <row r="12125" customFormat="false" ht="15" hidden="false" customHeight="false" outlineLevel="0" collapsed="false">
      <c r="A12125" s="5" t="s">
        <v>260</v>
      </c>
      <c r="G12125" s="25" t="n">
        <f aca="false">F12137</f>
        <v>45</v>
      </c>
      <c r="H12125" s="25" t="n">
        <f aca="false">G12137</f>
        <v>0</v>
      </c>
      <c r="I12125" s="25" t="n">
        <f aca="false">H12137</f>
        <v>-2.41320999999998</v>
      </c>
      <c r="J12125" s="25" t="n">
        <f aca="false">I12137</f>
        <v>0</v>
      </c>
      <c r="K12125" s="25" t="n">
        <f aca="false">J12137</f>
        <v>0</v>
      </c>
    </row>
    <row r="12126" customFormat="false" ht="15" hidden="false" customHeight="false" outlineLevel="0" collapsed="false">
      <c r="A12126" s="5" t="s">
        <v>301</v>
      </c>
      <c r="G12126" s="25" t="n">
        <f aca="false">G12038</f>
        <v>-5.73999999999999</v>
      </c>
      <c r="H12126" s="25" t="n">
        <f aca="false">H12038</f>
        <v>2.78679000000002</v>
      </c>
      <c r="I12126" s="25" t="n">
        <f aca="false">I12038</f>
        <v>-7.01634960000001</v>
      </c>
      <c r="J12126" s="25" t="n">
        <f aca="false">J12038</f>
        <v>-13.275238812</v>
      </c>
      <c r="K12126" s="25" t="n">
        <f aca="false">K12038</f>
        <v>-11.37447696924</v>
      </c>
    </row>
    <row r="12127" customFormat="false" ht="15" hidden="false" customHeight="false" outlineLevel="0" collapsed="false">
      <c r="A12127" s="5" t="s">
        <v>302</v>
      </c>
      <c r="G12127" s="25" t="n">
        <f aca="false">CHOOSE($C$12008,Assumptions!$G$68,Assumptions!$G$87,Assumptions!$G$106)</f>
        <v>0</v>
      </c>
      <c r="H12127" s="25" t="n">
        <f aca="false">CHOOSE($C$12008,Assumptions!$H$68,Assumptions!$H$87,Assumptions!$H$106)</f>
        <v>0</v>
      </c>
      <c r="I12127" s="25" t="n">
        <f aca="false">CHOOSE($C$12008,Assumptions!$I$68,Assumptions!$I$87,Assumptions!$I$106)</f>
        <v>0</v>
      </c>
      <c r="J12127" s="25" t="n">
        <f aca="false">CHOOSE($C$12008,Assumptions!$J$68,Assumptions!$J$87,Assumptions!$J$106)</f>
        <v>0</v>
      </c>
      <c r="K12127" s="25" t="n">
        <f aca="false">CHOOSE($C$12008,Assumptions!$K$68,Assumptions!$K$87,Assumptions!$K$106)</f>
        <v>0</v>
      </c>
    </row>
    <row r="12128" customFormat="false" ht="15" hidden="false" customHeight="false" outlineLevel="0" collapsed="false">
      <c r="A12128" s="5" t="s">
        <v>303</v>
      </c>
      <c r="G12128" s="25" t="n">
        <f aca="false">G12057+G12070+G12083+G12096</f>
        <v>5.2</v>
      </c>
      <c r="H12128" s="25" t="n">
        <f aca="false">H12057+H12070+H12083+H12096</f>
        <v>5.2</v>
      </c>
      <c r="I12128" s="25" t="n">
        <f aca="false">I12057+I12070+I12083+I12096</f>
        <v>5.2</v>
      </c>
      <c r="J12128" s="25" t="n">
        <f aca="false">J12057+J12070+J12083+J12096</f>
        <v>5.2</v>
      </c>
      <c r="K12128" s="25" t="n">
        <f aca="false">K12057+K12070+K12083+K12096</f>
        <v>5.2</v>
      </c>
    </row>
    <row r="12129" customFormat="false" ht="15" hidden="false" customHeight="false" outlineLevel="0" collapsed="false">
      <c r="A12129" s="2" t="s">
        <v>304</v>
      </c>
      <c r="G12129" s="16" t="n">
        <f aca="false">G12125+G12126+G12127-G12128</f>
        <v>34.06</v>
      </c>
      <c r="H12129" s="16" t="n">
        <f aca="false">H12125+H12126+H12127-H12128</f>
        <v>-2.41320999999998</v>
      </c>
      <c r="I12129" s="16" t="n">
        <f aca="false">I12125+I12126+I12127-I12128</f>
        <v>-14.6295596</v>
      </c>
      <c r="J12129" s="16" t="n">
        <f aca="false">J12125+J12126+J12127-J12128</f>
        <v>-18.475238812</v>
      </c>
      <c r="K12129" s="16" t="n">
        <f aca="false">K12125+K12126+K12127-K12128</f>
        <v>-16.57447696924</v>
      </c>
    </row>
    <row r="12130" customFormat="false" ht="15" hidden="false" customHeight="false" outlineLevel="0" collapsed="false">
      <c r="A12130" s="5" t="s">
        <v>305</v>
      </c>
      <c r="G12130" s="25" t="n">
        <f aca="false">G12058+G12071+G12084+G12097</f>
        <v>0</v>
      </c>
      <c r="H12130" s="25" t="n">
        <f aca="false">H12058+H12071+H12084+H12097</f>
        <v>0</v>
      </c>
      <c r="I12130" s="25" t="n">
        <f aca="false">I12058+I12071+I12084+I12097</f>
        <v>14.6295596</v>
      </c>
      <c r="J12130" s="25" t="n">
        <f aca="false">J12058+J12071+J12084+J12097</f>
        <v>18.475238812</v>
      </c>
      <c r="K12130" s="25" t="n">
        <f aca="false">K12058+K12071+K12084+K12097</f>
        <v>16.57447696924</v>
      </c>
    </row>
    <row r="12131" customFormat="false" ht="15" hidden="false" customHeight="false" outlineLevel="0" collapsed="false">
      <c r="A12131" s="2" t="s">
        <v>306</v>
      </c>
      <c r="G12131" s="16" t="n">
        <f aca="false">G12129+G12130</f>
        <v>34.06</v>
      </c>
      <c r="H12131" s="16" t="n">
        <f aca="false">H12129+H12130</f>
        <v>-2.41320999999998</v>
      </c>
      <c r="I12131" s="16" t="n">
        <f aca="false">I12129+I12130</f>
        <v>0</v>
      </c>
      <c r="J12131" s="16" t="n">
        <f aca="false">J12129+J12130</f>
        <v>0</v>
      </c>
      <c r="K12131" s="16" t="n">
        <f aca="false">K12129+K12130</f>
        <v>0</v>
      </c>
    </row>
    <row r="12132" customFormat="false" ht="15" hidden="false" customHeight="false" outlineLevel="0" collapsed="false">
      <c r="A12132" s="5" t="s">
        <v>307</v>
      </c>
      <c r="G12132" s="25" t="n">
        <f aca="false">G12059+G12072+G12085+G12098</f>
        <v>0</v>
      </c>
      <c r="H12132" s="25" t="n">
        <f aca="false">H12059+H12072+H12085+H12098</f>
        <v>0</v>
      </c>
      <c r="I12132" s="25" t="n">
        <f aca="false">I12059+I12072+I12085+I12098</f>
        <v>0</v>
      </c>
      <c r="J12132" s="25" t="n">
        <f aca="false">J12059+J12072+J12085+J12098</f>
        <v>0</v>
      </c>
      <c r="K12132" s="25" t="n">
        <f aca="false">K12059+K12072+K12085+K12098</f>
        <v>0</v>
      </c>
    </row>
    <row r="12133" customFormat="false" ht="15" hidden="false" customHeight="false" outlineLevel="0" collapsed="false">
      <c r="A12133" s="2" t="s">
        <v>308</v>
      </c>
      <c r="G12133" s="16" t="n">
        <f aca="false">G12131-G12132</f>
        <v>34.06</v>
      </c>
      <c r="H12133" s="16" t="n">
        <f aca="false">H12131-H12132</f>
        <v>-2.41320999999998</v>
      </c>
      <c r="I12133" s="16" t="n">
        <f aca="false">I12131-I12132</f>
        <v>0</v>
      </c>
      <c r="J12133" s="16" t="n">
        <f aca="false">J12131-J12132</f>
        <v>0</v>
      </c>
      <c r="K12133" s="16" t="n">
        <f aca="false">K12131-K12132</f>
        <v>0</v>
      </c>
    </row>
    <row r="12134" customFormat="false" ht="15" hidden="false" customHeight="false" outlineLevel="0" collapsed="false">
      <c r="A12134" s="5" t="s">
        <v>309</v>
      </c>
      <c r="G12134" s="25" t="n">
        <f aca="false">MAX(0,-G12133)</f>
        <v>0</v>
      </c>
      <c r="H12134" s="25" t="n">
        <f aca="false">MAX(0,-H12133)</f>
        <v>2.41320999999998</v>
      </c>
      <c r="I12134" s="25" t="n">
        <f aca="false">MAX(0,-I12133)</f>
        <v>-0</v>
      </c>
      <c r="J12134" s="25" t="n">
        <f aca="false">MAX(0,-J12133)</f>
        <v>-0</v>
      </c>
      <c r="K12134" s="25" t="n">
        <f aca="false">MAX(0,-K12133)</f>
        <v>-0</v>
      </c>
    </row>
    <row r="12135" customFormat="false" ht="15" hidden="false" customHeight="false" outlineLevel="0" collapsed="false">
      <c r="A12135" s="5" t="s">
        <v>310</v>
      </c>
      <c r="G12135" s="25" t="n">
        <f aca="false">MAX(0,G12133-Assumptions!$C$12)*Assumptions!$C$13</f>
        <v>34.06</v>
      </c>
      <c r="H12135" s="25" t="n">
        <f aca="false">MAX(0,H12133-Assumptions!$C$12)*Assumptions!$C$13</f>
        <v>0</v>
      </c>
      <c r="I12135" s="25" t="n">
        <f aca="false">MAX(0,I12133-Assumptions!$C$12)*Assumptions!$C$13</f>
        <v>0</v>
      </c>
      <c r="J12135" s="25" t="n">
        <f aca="false">MAX(0,J12133-Assumptions!$C$12)*Assumptions!$C$13</f>
        <v>0</v>
      </c>
      <c r="K12135" s="25" t="n">
        <f aca="false">MAX(0,K12133-Assumptions!$C$12)*Assumptions!$C$13</f>
        <v>0</v>
      </c>
    </row>
    <row r="12136" customFormat="false" ht="15" hidden="false" customHeight="false" outlineLevel="0" collapsed="false">
      <c r="A12136" s="5" t="s">
        <v>311</v>
      </c>
      <c r="G12136" s="25" t="n">
        <f aca="false">G12060+G12073+G12086+G12099</f>
        <v>34.06</v>
      </c>
      <c r="H12136" s="25" t="n">
        <f aca="false">H12060+H12073+H12086+H12099</f>
        <v>0</v>
      </c>
      <c r="I12136" s="25" t="n">
        <f aca="false">I12060+I12073+I12086+I12099</f>
        <v>0</v>
      </c>
      <c r="J12136" s="25" t="n">
        <f aca="false">J12060+J12073+J12086+J12099</f>
        <v>0</v>
      </c>
      <c r="K12136" s="25" t="n">
        <f aca="false">K12060+K12073+K12086+K12099</f>
        <v>0</v>
      </c>
    </row>
    <row r="12137" customFormat="false" ht="15" hidden="false" customHeight="false" outlineLevel="0" collapsed="false">
      <c r="A12137" s="2" t="s">
        <v>312</v>
      </c>
      <c r="F12137" s="27" t="n">
        <f aca="false">Assumptions!$C$11</f>
        <v>45</v>
      </c>
      <c r="G12137" s="16" t="n">
        <f aca="false">G12133-G12136</f>
        <v>0</v>
      </c>
      <c r="H12137" s="16" t="n">
        <f aca="false">H12133-H12136</f>
        <v>-2.41320999999998</v>
      </c>
      <c r="I12137" s="16" t="n">
        <f aca="false">I12133-I12136</f>
        <v>0</v>
      </c>
      <c r="J12137" s="16" t="n">
        <f aca="false">J12133-J12136</f>
        <v>0</v>
      </c>
      <c r="K12137" s="16" t="n">
        <f aca="false">K12133-K12136</f>
        <v>0</v>
      </c>
    </row>
    <row r="12138" customFormat="false" ht="15" hidden="false" customHeight="false" outlineLevel="0" collapsed="false">
      <c r="A12138" s="5" t="s">
        <v>313</v>
      </c>
      <c r="G12138" s="25" t="n">
        <f aca="false">G12061+G12074+G12087+G12100</f>
        <v>0</v>
      </c>
      <c r="H12138" s="25" t="n">
        <f aca="false">H12061+H12074+H12087+H12100</f>
        <v>0</v>
      </c>
      <c r="I12138" s="25" t="n">
        <f aca="false">I12061+I12074+I12087+I12100</f>
        <v>0</v>
      </c>
      <c r="J12138" s="25" t="n">
        <f aca="false">J12061+J12074+J12087+J12100</f>
        <v>0</v>
      </c>
      <c r="K12138" s="25" t="n">
        <f aca="false">K12061+K12074+K12087+K12100</f>
        <v>0</v>
      </c>
    </row>
    <row r="12139" customFormat="false" ht="15" hidden="false" customHeight="false" outlineLevel="0" collapsed="false">
      <c r="A12139" s="5" t="s">
        <v>314</v>
      </c>
      <c r="G12139" s="20" t="n">
        <f aca="false">IF(OR(G12134&gt;0.001,G12138&gt;0.001),1,0)</f>
        <v>0</v>
      </c>
      <c r="H12139" s="20" t="n">
        <f aca="false">IF(OR(H12134&gt;0.001,H12138&gt;0.001),1,0)</f>
        <v>1</v>
      </c>
      <c r="I12139" s="20" t="n">
        <f aca="false">IF(OR(I12134&gt;0.001,I12138&gt;0.001),1,0)</f>
        <v>0</v>
      </c>
      <c r="J12139" s="20" t="n">
        <f aca="false">IF(OR(J12134&gt;0.001,J12138&gt;0.001),1,0)</f>
        <v>0</v>
      </c>
      <c r="K12139" s="20" t="n">
        <f aca="false">IF(OR(K12134&gt;0.001,K12138&gt;0.001),1,0)</f>
        <v>0</v>
      </c>
    </row>
    <row r="12140" customFormat="false" ht="15" hidden="false" customHeight="false" outlineLevel="0" collapsed="false">
      <c r="A12140" s="5" t="s">
        <v>315</v>
      </c>
      <c r="G12140" s="20" t="n">
        <f aca="false">IF(G12139=1,1,0)</f>
        <v>0</v>
      </c>
      <c r="H12140" s="20" t="n">
        <f aca="false">IF(AND(H12139=1,SUM($G$12139:G12139)=0),1,0)</f>
        <v>1</v>
      </c>
      <c r="I12140" s="20" t="n">
        <f aca="false">IF(AND(I12139=1,SUM($G$12139:H12139)=0),1,0)</f>
        <v>0</v>
      </c>
      <c r="J12140" s="20" t="n">
        <f aca="false">IF(AND(J12139=1,SUM($G$12139:I12139)=0),1,0)</f>
        <v>0</v>
      </c>
      <c r="K12140" s="20" t="n">
        <f aca="false">IF(AND(K12139=1,SUM($G$12139:J12139)=0),1,0)</f>
        <v>0</v>
      </c>
    </row>
    <row r="12141" customFormat="false" ht="15" hidden="false" customHeight="false" outlineLevel="0" collapsed="false">
      <c r="A12141" s="5" t="s">
        <v>316</v>
      </c>
      <c r="G12141" s="25" t="n">
        <f aca="false">(G12103-F12103)-(G12130+G12030-G12128-G12132-G12136)</f>
        <v>0</v>
      </c>
      <c r="H12141" s="25" t="n">
        <f aca="false">(H12103-G12103)-(H12130+H12030-H12128-H12132-H12136)</f>
        <v>-4.52970994047064E-014</v>
      </c>
      <c r="I12141" s="25" t="n">
        <f aca="false">(I12103-H12103)-(I12130+I12030-I12128-I12132-I12136)</f>
        <v>-3.90798504668055E-014</v>
      </c>
      <c r="J12141" s="25" t="n">
        <f aca="false">(J12103-I12103)-(J12130+J12030-J12128-J12132-J12136)</f>
        <v>0</v>
      </c>
      <c r="K12141" s="25" t="n">
        <f aca="false">(K12103-J12103)-(K12130+K12030-K12128-K12132-K12136)</f>
        <v>7.8159700933611E-014</v>
      </c>
    </row>
    <row r="12143" customFormat="false" ht="15" hidden="false" customHeight="false" outlineLevel="0" collapsed="false">
      <c r="A12143" s="23" t="s">
        <v>318</v>
      </c>
      <c r="B12143" s="24"/>
      <c r="C12143" s="24"/>
      <c r="D12143" s="24"/>
      <c r="E12143" s="24"/>
      <c r="F12143" s="24"/>
      <c r="G12143" s="24"/>
      <c r="H12143" s="24"/>
      <c r="I12143" s="24"/>
      <c r="J12143" s="24"/>
      <c r="K12143" s="24"/>
    </row>
    <row r="12144" customFormat="false" ht="15" hidden="false" customHeight="false" outlineLevel="0" collapsed="false">
      <c r="A12144" s="5" t="s">
        <v>319</v>
      </c>
      <c r="G12144" s="25" t="n">
        <f aca="false">G12103</f>
        <v>1210.74</v>
      </c>
      <c r="H12144" s="25" t="n">
        <f aca="false">H12103</f>
        <v>1205.54</v>
      </c>
      <c r="I12144" s="25" t="n">
        <f aca="false">I12103</f>
        <v>1214.9695596</v>
      </c>
      <c r="J12144" s="25" t="n">
        <f aca="false">J12103</f>
        <v>1228.244798412</v>
      </c>
      <c r="K12144" s="25" t="n">
        <f aca="false">K12103</f>
        <v>1239.61927538124</v>
      </c>
    </row>
    <row r="12145" customFormat="false" ht="15" hidden="false" customHeight="false" outlineLevel="0" collapsed="false">
      <c r="A12145" s="5" t="s">
        <v>320</v>
      </c>
      <c r="G12145" s="25" t="n">
        <f aca="false">Assumptions!$O$53*G12062+Assumptions!$O$54*G12075+Assumptions!$O$55*G12088+Assumptions!$O$56*G12101</f>
        <v>910.74</v>
      </c>
      <c r="H12145" s="25" t="n">
        <f aca="false">Assumptions!$O$53*H12062+Assumptions!$O$54*H12075+Assumptions!$O$55*H12088+Assumptions!$O$56*H12101</f>
        <v>905.54</v>
      </c>
      <c r="I12145" s="25" t="n">
        <f aca="false">Assumptions!$O$53*I12062+Assumptions!$O$54*I12075+Assumptions!$O$55*I12088+Assumptions!$O$56*I12101</f>
        <v>914.9695596</v>
      </c>
      <c r="J12145" s="25" t="n">
        <f aca="false">Assumptions!$O$53*J12062+Assumptions!$O$54*J12075+Assumptions!$O$55*J12088+Assumptions!$O$56*J12101</f>
        <v>928.244798412</v>
      </c>
      <c r="K12145" s="25" t="n">
        <f aca="false">Assumptions!$O$53*K12062+Assumptions!$O$54*K12075+Assumptions!$O$55*K12088+Assumptions!$O$56*K12101</f>
        <v>939.61927538124</v>
      </c>
    </row>
    <row r="12146" customFormat="false" ht="15" hidden="false" customHeight="false" outlineLevel="0" collapsed="false">
      <c r="A12146" s="5" t="s">
        <v>321</v>
      </c>
      <c r="G12146" s="25" t="n">
        <f aca="false">G12144-G12137</f>
        <v>1210.74</v>
      </c>
      <c r="H12146" s="25" t="n">
        <f aca="false">H12144-H12137</f>
        <v>1207.95321</v>
      </c>
      <c r="I12146" s="25" t="n">
        <f aca="false">I12144-I12137</f>
        <v>1214.9695596</v>
      </c>
      <c r="J12146" s="25" t="n">
        <f aca="false">J12144-J12137</f>
        <v>1228.244798412</v>
      </c>
      <c r="K12146" s="25" t="n">
        <f aca="false">K12144-K12137</f>
        <v>1239.61927538124</v>
      </c>
    </row>
    <row r="12147" customFormat="false" ht="15" hidden="false" customHeight="false" outlineLevel="0" collapsed="false">
      <c r="A12147" s="5" t="s">
        <v>322</v>
      </c>
      <c r="G12147" s="31" t="n">
        <f aca="false">IF(G12025&gt;0,G12144/G12025,0)</f>
        <v>7.83954933954934</v>
      </c>
      <c r="H12147" s="31" t="n">
        <f aca="false">IF(H12025&gt;0,H12144/H12025,0)</f>
        <v>7.64936159930883</v>
      </c>
      <c r="I12147" s="31" t="n">
        <f aca="false">IF(I12025&gt;0,I12144/I12025,0)</f>
        <v>7.56135243146551</v>
      </c>
      <c r="J12147" s="31" t="n">
        <f aca="false">IF(J12025&gt;0,J12144/J12025,0)</f>
        <v>7.50368448891653</v>
      </c>
      <c r="K12147" s="31" t="n">
        <f aca="false">IF(K12025&gt;0,K12144/K12025,0)</f>
        <v>7.44009097234692</v>
      </c>
    </row>
    <row r="12148" customFormat="false" ht="15" hidden="false" customHeight="false" outlineLevel="0" collapsed="false">
      <c r="A12148" s="5" t="s">
        <v>323</v>
      </c>
      <c r="G12148" s="31" t="n">
        <f aca="false">IF(G12025&gt;0,G12146/G12025,0)</f>
        <v>7.83954933954934</v>
      </c>
      <c r="H12148" s="31" t="n">
        <f aca="false">IF(H12025&gt;0,H12146/H12025,0)</f>
        <v>7.66467383772902</v>
      </c>
      <c r="I12148" s="31" t="n">
        <f aca="false">IF(I12025&gt;0,I12146/I12025,0)</f>
        <v>7.56135243146551</v>
      </c>
      <c r="J12148" s="31" t="n">
        <f aca="false">IF(J12025&gt;0,J12146/J12025,0)</f>
        <v>7.50368448891653</v>
      </c>
      <c r="K12148" s="31" t="n">
        <f aca="false">IF(K12025&gt;0,K12146/K12025,0)</f>
        <v>7.44009097234692</v>
      </c>
    </row>
    <row r="12149" customFormat="false" ht="15" hidden="false" customHeight="false" outlineLevel="0" collapsed="false">
      <c r="A12149" s="5" t="s">
        <v>324</v>
      </c>
      <c r="G12149" s="31" t="n">
        <f aca="false">IF(G12029&gt;0,G12025/G12029,0)</f>
        <v>1.33667993768392</v>
      </c>
      <c r="H12149" s="31" t="n">
        <f aca="false">IF(H12029&gt;0,H12025/H12029,0)</f>
        <v>1.42470187721553</v>
      </c>
      <c r="I12149" s="31" t="n">
        <f aca="false">IF(I12029&gt;0,I12025/I12029,0)</f>
        <v>1.29638112665011</v>
      </c>
      <c r="J12149" s="31" t="n">
        <f aca="false">IF(J12029&gt;0,J12025/J12029,0)</f>
        <v>1.22476364501667</v>
      </c>
      <c r="K12149" s="31" t="n">
        <f aca="false">IF(K12029&gt;0,K12025/K12029,0)</f>
        <v>1.23319699014913</v>
      </c>
    </row>
    <row r="12150" customFormat="false" ht="15" hidden="false" customHeight="false" outlineLevel="0" collapsed="false">
      <c r="A12150" s="5" t="s">
        <v>325</v>
      </c>
      <c r="G12150" s="31" t="n">
        <f aca="false">IF(G12029&gt;0,G12028/G12029,0)</f>
        <v>0.884265189544747</v>
      </c>
      <c r="H12150" s="31" t="n">
        <f aca="false">IF(H12029&gt;0,H12028/H12029,0)</f>
        <v>0.956889320517893</v>
      </c>
      <c r="I12150" s="31" t="n">
        <f aca="false">IF(I12029&gt;0,I12028/I12029,0)</f>
        <v>0.883042216703699</v>
      </c>
      <c r="J12150" s="31" t="n">
        <f aca="false">IF(J12029&gt;0,J12028/J12029,0)</f>
        <v>0.845259416983339</v>
      </c>
      <c r="K12150" s="31" t="n">
        <f aca="false">IF(K12029&gt;0,K12028/K12029,0)</f>
        <v>0.86154858215898</v>
      </c>
    </row>
    <row r="12151" customFormat="false" ht="15" hidden="false" customHeight="false" outlineLevel="0" collapsed="false">
      <c r="A12151" s="5" t="s">
        <v>182</v>
      </c>
      <c r="G12151" s="21" t="n">
        <f aca="false">IF(G12144&gt;0,G12038/G12144,0)</f>
        <v>-0.00474090225812312</v>
      </c>
      <c r="H12151" s="21" t="n">
        <f aca="false">IF(H12144&gt;0,H12038/H12144,0)</f>
        <v>0.00231165286925363</v>
      </c>
      <c r="I12151" s="21" t="n">
        <f aca="false">IF(I12144&gt;0,I12038/I12144,0)</f>
        <v>-0.00577491801713121</v>
      </c>
      <c r="J12151" s="21" t="n">
        <f aca="false">IF(J12144&gt;0,J12038/J12144,0)</f>
        <v>-0.0108083004537561</v>
      </c>
      <c r="K12151" s="21" t="n">
        <f aca="false">IF(K12144&gt;0,K12038/K12144,0)</f>
        <v>-0.00917578259320129</v>
      </c>
    </row>
    <row r="12152" customFormat="false" ht="15" hidden="false" customHeight="false" outlineLevel="0" collapsed="false">
      <c r="A12152" s="5" t="s">
        <v>326</v>
      </c>
      <c r="G12152" s="31" t="n">
        <f aca="false">IF(G12029+G12128&gt;0,(G12025-G12036-G12033)/(G12029+G12128),0)</f>
        <v>0.885539175086964</v>
      </c>
      <c r="H12152" s="31" t="n">
        <f aca="false">IF(H12029+H12128&gt;0,(H12025-H12036-H12033)/(H12029+H12128),0)</f>
        <v>0.9545465024125</v>
      </c>
      <c r="I12152" s="31" t="n">
        <f aca="false">IF(I12029+I12128&gt;0,(I12025-I12036-I12033)/(I12029+I12128),0)</f>
        <v>0.883550289516842</v>
      </c>
      <c r="J12152" s="31" t="n">
        <f aca="false">IF(J12029+J12128&gt;0,(J12025-J12036-J12033)/(J12029+J12128),0)</f>
        <v>0.84681157454185</v>
      </c>
      <c r="K12152" s="31" t="n">
        <f aca="false">IF(K12029+K12128&gt;0,(K12025-K12036-K12033)/(K12029+K12128),0)</f>
        <v>0.862152255930518</v>
      </c>
    </row>
    <row r="12153" customFormat="false" ht="15" hidden="false" customHeight="false" outlineLevel="0" collapsed="false">
      <c r="A12153" s="5" t="s">
        <v>327</v>
      </c>
      <c r="G12153" s="25" t="n">
        <f aca="false">MAX(0,G12137)+Assumptions!$P$53*MAX(0,Assumptions!$D$53-G12062)+Assumptions!$P$54*MAX(0,Assumptions!$D$54-G12075)+Assumptions!$P$55*MAX(0,Assumptions!$D$55-G12088)+Assumptions!$P$56*MAX(0,Assumptions!$D$56-G12101)</f>
        <v>154.06</v>
      </c>
      <c r="H12153" s="25" t="n">
        <f aca="false">MAX(0,H12137)+Assumptions!$P$53*MAX(0,Assumptions!$D$53-H12062)+Assumptions!$P$54*MAX(0,Assumptions!$D$54-H12075)+Assumptions!$P$55*MAX(0,Assumptions!$D$55-H12088)+Assumptions!$P$56*MAX(0,Assumptions!$D$56-H12101)</f>
        <v>154.06</v>
      </c>
      <c r="I12153" s="25" t="n">
        <f aca="false">MAX(0,I12137)+Assumptions!$P$53*MAX(0,Assumptions!$D$53-I12062)+Assumptions!$P$54*MAX(0,Assumptions!$D$54-I12075)+Assumptions!$P$55*MAX(0,Assumptions!$D$55-I12088)+Assumptions!$P$56*MAX(0,Assumptions!$D$56-I12101)</f>
        <v>139.4304404</v>
      </c>
      <c r="J12153" s="25" t="n">
        <f aca="false">MAX(0,J12137)+Assumptions!$P$53*MAX(0,Assumptions!$D$53-J12062)+Assumptions!$P$54*MAX(0,Assumptions!$D$54-J12075)+Assumptions!$P$55*MAX(0,Assumptions!$D$55-J12088)+Assumptions!$P$56*MAX(0,Assumptions!$D$56-J12101)</f>
        <v>120.955201588</v>
      </c>
      <c r="K12153" s="25" t="n">
        <f aca="false">MAX(0,K12137)+Assumptions!$P$53*MAX(0,Assumptions!$D$53-K12062)+Assumptions!$P$54*MAX(0,Assumptions!$D$54-K12075)+Assumptions!$P$55*MAX(0,Assumptions!$D$55-K12088)+Assumptions!$P$56*MAX(0,Assumptions!$D$56-K12101)</f>
        <v>104.38072461876</v>
      </c>
    </row>
    <row r="12154" customFormat="false" ht="15" hidden="false" customHeight="false" outlineLevel="0" collapsed="false">
      <c r="A12154" s="5" t="s">
        <v>328</v>
      </c>
      <c r="G12154" s="21" t="n">
        <f aca="false">IF(G12144&gt;0,G12144/(G12144+MAX(0,G12025*CHOOSE($C$12008,Assumptions!$C$76,Assumptions!$C$95,Assumptions!$C$114)-G12146)),0)</f>
        <v>1</v>
      </c>
      <c r="H12154" s="21" t="n">
        <f aca="false">IF(H12144&gt;0,H12144/(H12144+MAX(0,H12025*CHOOSE($C$12008,Assumptions!$C$76,Assumptions!$C$95,Assumptions!$C$114)-H12146)),0)</f>
        <v>1</v>
      </c>
      <c r="I12154" s="21" t="n">
        <f aca="false">IF(I12144&gt;0,I12144/(I12144+MAX(0,I12025*CHOOSE($C$12008,Assumptions!$C$76,Assumptions!$C$95,Assumptions!$C$114)-I12146)),0)</f>
        <v>1</v>
      </c>
      <c r="J12154" s="21" t="n">
        <f aca="false">IF(J12144&gt;0,J12144/(J12144+MAX(0,J12025*CHOOSE($C$12008,Assumptions!$C$76,Assumptions!$C$95,Assumptions!$C$114)-J12146)),0)</f>
        <v>1</v>
      </c>
      <c r="K12154" s="21" t="n">
        <f aca="false">IF(K12144&gt;0,K12144/(K12144+MAX(0,K12025*CHOOSE($C$12008,Assumptions!$C$76,Assumptions!$C$95,Assumptions!$C$114)-K12146)),0)</f>
        <v>1</v>
      </c>
    </row>
    <row r="12155" customFormat="false" ht="15" hidden="false" customHeight="false" outlineLevel="0" collapsed="false">
      <c r="A12155" s="5" t="s">
        <v>329</v>
      </c>
      <c r="G12155" s="21" t="n">
        <f aca="false">IF(G12144&gt;0,MAX(0,G12137)/G12144,0)</f>
        <v>0</v>
      </c>
      <c r="H12155" s="21" t="n">
        <f aca="false">IF(H12144&gt;0,MAX(0,H12137)/H12144,0)</f>
        <v>0</v>
      </c>
      <c r="I12155" s="21" t="n">
        <f aca="false">IF(I12144&gt;0,MAX(0,I12137)/I12144,0)</f>
        <v>0</v>
      </c>
      <c r="J12155" s="21" t="n">
        <f aca="false">IF(J12144&gt;0,MAX(0,J12137)/J12144,0)</f>
        <v>0</v>
      </c>
      <c r="K12155" s="21" t="n">
        <f aca="false">IF(K12144&gt;0,MAX(0,K12137)/K12144,0)</f>
        <v>0</v>
      </c>
    </row>
    <row r="12156" customFormat="false" ht="15" hidden="false" customHeight="false" outlineLevel="0" collapsed="false">
      <c r="A12156" s="5" t="s">
        <v>330</v>
      </c>
      <c r="G12156" s="25" t="n">
        <f aca="false">Assumptions!$C$27*(1-CHOOSE($C$12008,Assumptions!$C$79,Assumptions!$C$98,Assumptions!$C$117))</f>
        <v>1040</v>
      </c>
      <c r="H12156" s="25" t="n">
        <f aca="false">Assumptions!$C$27*(1-CHOOSE($C$12008,Assumptions!$C$79,Assumptions!$C$98,Assumptions!$C$117))</f>
        <v>1040</v>
      </c>
      <c r="I12156" s="25" t="n">
        <f aca="false">Assumptions!$C$27*(1-CHOOSE($C$12008,Assumptions!$C$79,Assumptions!$C$98,Assumptions!$C$117))</f>
        <v>1040</v>
      </c>
      <c r="J12156" s="25" t="n">
        <f aca="false">Assumptions!$C$27*(1-CHOOSE($C$12008,Assumptions!$C$79,Assumptions!$C$98,Assumptions!$C$117))</f>
        <v>1040</v>
      </c>
      <c r="K12156" s="25" t="n">
        <f aca="false">Assumptions!$C$27*(1-CHOOSE($C$12008,Assumptions!$C$79,Assumptions!$C$98,Assumptions!$C$117))</f>
        <v>1040</v>
      </c>
    </row>
    <row r="12157" customFormat="false" ht="15" hidden="false" customHeight="false" outlineLevel="0" collapsed="false">
      <c r="A12157" s="23" t="s">
        <v>331</v>
      </c>
      <c r="B12157" s="24"/>
      <c r="C12157" s="24"/>
      <c r="D12157" s="24"/>
      <c r="E12157" s="24"/>
      <c r="F12157" s="24"/>
      <c r="G12157" s="24"/>
      <c r="H12157" s="24"/>
      <c r="I12157" s="24"/>
      <c r="J12157" s="24"/>
      <c r="K12157" s="24"/>
    </row>
    <row r="12158" customFormat="false" ht="15" hidden="false" customHeight="false" outlineLevel="0" collapsed="false">
      <c r="A12158" s="23" t="s">
        <v>332</v>
      </c>
      <c r="B12158" s="24"/>
      <c r="C12158" s="24"/>
      <c r="D12158" s="24"/>
      <c r="E12158" s="24"/>
      <c r="F12158" s="24"/>
      <c r="G12158" s="24"/>
      <c r="H12158" s="24"/>
      <c r="I12158" s="24"/>
      <c r="J12158" s="24"/>
      <c r="K12158" s="24"/>
    </row>
    <row r="12159" customFormat="false" ht="15" hidden="false" customHeight="false" outlineLevel="0" collapsed="false">
      <c r="A12159" s="5" t="s">
        <v>333</v>
      </c>
      <c r="G12159" s="31" t="n">
        <f aca="false">IF(G12025&gt;0,G12146/G12025,99)</f>
        <v>7.83954933954934</v>
      </c>
      <c r="H12159" s="31" t="n">
        <f aca="false">IF(H12025&gt;0,H12146/H12025,99)</f>
        <v>7.66467383772902</v>
      </c>
      <c r="I12159" s="31" t="n">
        <f aca="false">IF(I12025&gt;0,I12146/I12025,99)</f>
        <v>7.56135243146551</v>
      </c>
      <c r="J12159" s="31" t="n">
        <f aca="false">IF(J12025&gt;0,J12146/J12025,99)</f>
        <v>7.50368448891653</v>
      </c>
      <c r="K12159" s="31" t="n">
        <f aca="false">IF(K12025&gt;0,K12146/K12025,99)</f>
        <v>7.44009097234692</v>
      </c>
    </row>
    <row r="12160" customFormat="false" ht="15" hidden="false" customHeight="false" outlineLevel="0" collapsed="false">
      <c r="A12160" s="5" t="s">
        <v>334</v>
      </c>
      <c r="G12160" s="32" t="n">
        <f aca="false">Assumptions!$G$61</f>
        <v>8.5</v>
      </c>
      <c r="H12160" s="32" t="n">
        <f aca="false">Assumptions!$H$61</f>
        <v>8.5</v>
      </c>
      <c r="I12160" s="32" t="n">
        <f aca="false">Assumptions!$I$61</f>
        <v>8.5</v>
      </c>
      <c r="J12160" s="32" t="n">
        <f aca="false">Assumptions!$J$61</f>
        <v>8.5</v>
      </c>
      <c r="K12160" s="32" t="n">
        <f aca="false">Assumptions!$K$61</f>
        <v>8.5</v>
      </c>
    </row>
    <row r="12161" customFormat="false" ht="15" hidden="false" customHeight="false" outlineLevel="0" collapsed="false">
      <c r="A12161" s="5" t="s">
        <v>335</v>
      </c>
      <c r="G12161" s="31" t="n">
        <f aca="false">G12160-G12159</f>
        <v>0.66045066045066</v>
      </c>
      <c r="H12161" s="31" t="n">
        <f aca="false">H12160-H12159</f>
        <v>0.835326162270984</v>
      </c>
      <c r="I12161" s="31" t="n">
        <f aca="false">I12160-I12159</f>
        <v>0.938647568534493</v>
      </c>
      <c r="J12161" s="31" t="n">
        <f aca="false">J12160-J12159</f>
        <v>0.996315511083466</v>
      </c>
      <c r="K12161" s="31" t="n">
        <f aca="false">K12160-K12159</f>
        <v>1.05990902765308</v>
      </c>
    </row>
    <row r="12162" customFormat="false" ht="15" hidden="false" customHeight="false" outlineLevel="0" collapsed="false">
      <c r="A12162" s="5" t="s">
        <v>336</v>
      </c>
      <c r="G12162" s="21" t="n">
        <f aca="false">IF(G12160=0,0,G12161/ABS(G12160))</f>
        <v>0.0777000777000777</v>
      </c>
      <c r="H12162" s="21" t="n">
        <f aca="false">IF(H12160=0,0,H12161/ABS(H12160))</f>
        <v>0.0982736661495275</v>
      </c>
      <c r="I12162" s="21" t="n">
        <f aca="false">IF(I12160=0,0,I12161/ABS(I12160))</f>
        <v>0.11042912570994</v>
      </c>
      <c r="J12162" s="21" t="n">
        <f aca="false">IF(J12160=0,0,J12161/ABS(J12160))</f>
        <v>0.117213589539231</v>
      </c>
      <c r="K12162" s="21" t="n">
        <f aca="false">IF(K12160=0,0,K12161/ABS(K12160))</f>
        <v>0.124695179723892</v>
      </c>
    </row>
    <row r="12163" customFormat="false" ht="15" hidden="false" customHeight="false" outlineLevel="0" collapsed="false">
      <c r="A12163" s="5" t="s">
        <v>337</v>
      </c>
      <c r="G12163" s="20" t="n">
        <f aca="false">IF(G12161&lt;0,1,0)</f>
        <v>0</v>
      </c>
      <c r="H12163" s="20" t="n">
        <f aca="false">IF(H12161&lt;0,1,0)</f>
        <v>0</v>
      </c>
      <c r="I12163" s="20" t="n">
        <f aca="false">IF(I12161&lt;0,1,0)</f>
        <v>0</v>
      </c>
      <c r="J12163" s="20" t="n">
        <f aca="false">IF(J12161&lt;0,1,0)</f>
        <v>0</v>
      </c>
      <c r="K12163" s="20" t="n">
        <f aca="false">IF(K12161&lt;0,1,0)</f>
        <v>0</v>
      </c>
    </row>
    <row r="12164" customFormat="false" ht="15" hidden="false" customHeight="false" outlineLevel="0" collapsed="false">
      <c r="A12164" s="5" t="s">
        <v>338</v>
      </c>
      <c r="C12164" s="20" t="n">
        <f aca="false">IFERROR(INDEX($G$12015:$K$12015,MATCH(1,$G$12163:$K$12163,0)),0)</f>
        <v>0</v>
      </c>
    </row>
    <row r="12165" customFormat="false" ht="15" hidden="false" customHeight="false" outlineLevel="0" collapsed="false">
      <c r="A12165" s="5" t="s">
        <v>339</v>
      </c>
      <c r="C12165" s="21" t="n">
        <f aca="false">MIN($G$12162:$K$12162)</f>
        <v>0.0777000777000777</v>
      </c>
    </row>
    <row r="12166" customFormat="false" ht="15" hidden="false" customHeight="false" outlineLevel="0" collapsed="false">
      <c r="A12166" s="5" t="s">
        <v>340</v>
      </c>
      <c r="G12166" s="20" t="n">
        <f aca="false">G12163</f>
        <v>0</v>
      </c>
      <c r="H12166" s="20" t="n">
        <f aca="false">H12163</f>
        <v>0</v>
      </c>
      <c r="I12166" s="20" t="n">
        <f aca="false">I12163</f>
        <v>0</v>
      </c>
      <c r="J12166" s="20" t="n">
        <f aca="false">J12163</f>
        <v>0</v>
      </c>
      <c r="K12166" s="20" t="n">
        <f aca="false">K12163</f>
        <v>0</v>
      </c>
    </row>
    <row r="12167" customFormat="false" ht="15" hidden="false" customHeight="false" outlineLevel="0" collapsed="false">
      <c r="A12167" s="5" t="s">
        <v>341</v>
      </c>
      <c r="C12167" s="20" t="n">
        <f aca="false">SUM($G$12166:$K$12166)</f>
        <v>0</v>
      </c>
    </row>
    <row r="12168" customFormat="false" ht="15" hidden="false" customHeight="false" outlineLevel="0" collapsed="false">
      <c r="A12168" s="5" t="s">
        <v>342</v>
      </c>
      <c r="C12168" s="21" t="n">
        <f aca="false">MIN(C12165)</f>
        <v>0.0777000777000777</v>
      </c>
    </row>
    <row r="12170" customFormat="false" ht="15" hidden="false" customHeight="false" outlineLevel="0" collapsed="false">
      <c r="A12170" s="23" t="s">
        <v>444</v>
      </c>
      <c r="B12170" s="24"/>
      <c r="C12170" s="24"/>
      <c r="D12170" s="24"/>
      <c r="E12170" s="24"/>
      <c r="F12170" s="24"/>
      <c r="G12170" s="24"/>
      <c r="H12170" s="24"/>
      <c r="I12170" s="24"/>
      <c r="J12170" s="24"/>
      <c r="K12170" s="24"/>
    </row>
    <row r="12171" customFormat="false" ht="15" hidden="false" customHeight="false" outlineLevel="0" collapsed="false">
      <c r="A12171" s="5" t="s">
        <v>445</v>
      </c>
      <c r="G12171" s="20" t="n">
        <f aca="false">IF($C$12172=1,G12140,IF(G12025=MIN($G$12025:$K$12025),1,0))</f>
        <v>0</v>
      </c>
      <c r="H12171" s="20" t="n">
        <f aca="false">IF($C$12172=1,H12140,IF(AND(H12025=MIN($G$12025:$K$12025),SUM($G$12171:G12171)=0),1,0))</f>
        <v>1</v>
      </c>
      <c r="I12171" s="20" t="n">
        <f aca="false">IF($C$12172=1,I12140,IF(AND(I12025=MIN($G$12025:$K$12025),SUM($G$12171:H12171)=0),1,0))</f>
        <v>0</v>
      </c>
      <c r="J12171" s="20" t="n">
        <f aca="false">IF($C$12172=1,J12140,IF(AND(J12025=MIN($G$12025:$K$12025),SUM($G$12171:I12171)=0),1,0))</f>
        <v>0</v>
      </c>
      <c r="K12171" s="20" t="n">
        <f aca="false">IF($C$12172=1,K12140,IF(AND(K12025=MIN($G$12025:$K$12025),SUM($G$12171:J12171)=0),1,0))</f>
        <v>0</v>
      </c>
    </row>
    <row r="12172" customFormat="false" ht="15" hidden="false" customHeight="false" outlineLevel="0" collapsed="false">
      <c r="A12172" s="5" t="s">
        <v>446</v>
      </c>
      <c r="C12172" s="20" t="n">
        <f aca="false">IF(SUM($G$12140:$K$12140)&gt;0,1,0)</f>
        <v>1</v>
      </c>
    </row>
    <row r="12173" customFormat="false" ht="15" hidden="false" customHeight="false" outlineLevel="0" collapsed="false">
      <c r="A12173" s="5" t="s">
        <v>447</v>
      </c>
      <c r="C12173" s="20" t="n">
        <f aca="false">SUMPRODUCT($G$12171:$K$12171,$G$12015:$K$12015)</f>
        <v>2027</v>
      </c>
    </row>
    <row r="12174" customFormat="false" ht="15" hidden="false" customHeight="false" outlineLevel="0" collapsed="false">
      <c r="A12174" s="5" t="s">
        <v>448</v>
      </c>
      <c r="C12174" s="25" t="n">
        <f aca="false">SUMPRODUCT($G$12171:$K$12171,$G$12025:$K$12025)</f>
        <v>157.60008</v>
      </c>
    </row>
    <row r="12175" customFormat="false" ht="15" hidden="false" customHeight="false" outlineLevel="0" collapsed="false">
      <c r="A12175" s="5" t="s">
        <v>449</v>
      </c>
      <c r="C12175" s="25" t="n">
        <f aca="false">MAX(0,SUMPRODUCT($G$12171:$K$12171,$G$12137:$K$12137))</f>
        <v>0</v>
      </c>
    </row>
    <row r="12176" customFormat="false" ht="15" hidden="false" customHeight="false" outlineLevel="0" collapsed="false">
      <c r="A12176" s="5" t="s">
        <v>450</v>
      </c>
      <c r="C12176" s="25" t="n">
        <f aca="false">(CHOOSE($C$12008,Assumptions!$C$78,Assumptions!$C$97,Assumptions!$C$116)+$C$12012)*C12174</f>
        <v>630.40032</v>
      </c>
    </row>
    <row r="12177" customFormat="false" ht="15" hidden="false" customHeight="false" outlineLevel="0" collapsed="false">
      <c r="A12177" s="5" t="s">
        <v>451</v>
      </c>
      <c r="C12177" s="25" t="n">
        <f aca="false">Assumptions!$C$27*(1-CHOOSE($C$12008,Assumptions!$C$79,Assumptions!$C$98,Assumptions!$C$117))*CHOOSE($C$12008,Assumptions!$C$80,Assumptions!$C$99,Assumptions!$C$118)</f>
        <v>624</v>
      </c>
    </row>
    <row r="12178" customFormat="false" ht="15" hidden="false" customHeight="false" outlineLevel="0" collapsed="false">
      <c r="A12178" s="5" t="s">
        <v>452</v>
      </c>
      <c r="C12178" s="25" t="n">
        <f aca="false">MAX(C12176,C12177)+C12175</f>
        <v>630.40032</v>
      </c>
    </row>
    <row r="12179" customFormat="false" ht="15" hidden="false" customHeight="false" outlineLevel="0" collapsed="false">
      <c r="A12179" s="2" t="s">
        <v>453</v>
      </c>
      <c r="C12179" s="16" t="n">
        <f aca="false">IF(ISNUMBER(Assumptions!$C$14),Assumptions!$C$14,C12178)</f>
        <v>630.40032</v>
      </c>
    </row>
    <row r="12180" customFormat="false" ht="15" hidden="false" customHeight="false" outlineLevel="0" collapsed="false">
      <c r="A12180" s="5" t="s">
        <v>454</v>
      </c>
      <c r="C12180" s="25" t="n">
        <f aca="false">C12179*Assumptions!$C$15</f>
        <v>25.2160128</v>
      </c>
    </row>
    <row r="12181" customFormat="false" ht="15" hidden="false" customHeight="false" outlineLevel="0" collapsed="false">
      <c r="A12181" s="2" t="s">
        <v>455</v>
      </c>
      <c r="C12181" s="16" t="n">
        <f aca="false">C12179-C12180</f>
        <v>605.1843072</v>
      </c>
    </row>
    <row r="12182" customFormat="false" ht="15" hidden="false" customHeight="false" outlineLevel="0" collapsed="false">
      <c r="A12182" s="23" t="s">
        <v>456</v>
      </c>
      <c r="B12182" s="24"/>
      <c r="C12182" s="24"/>
      <c r="D12182" s="24"/>
      <c r="E12182" s="24"/>
      <c r="F12182" s="24"/>
      <c r="G12182" s="24"/>
      <c r="H12182" s="24"/>
      <c r="I12182" s="24"/>
      <c r="J12182" s="24"/>
      <c r="K12182" s="24"/>
    </row>
    <row r="12183" customFormat="false" ht="15" hidden="false" customHeight="false" outlineLevel="0" collapsed="false">
      <c r="A12183" s="5" t="s">
        <v>457</v>
      </c>
      <c r="C12183" s="25" t="n">
        <f aca="false">SUMPRODUCT($G$12171:$K$12171,$G$12062:$K$12062)*(1+SUMPRODUCT($G$12171:$K$12171,$G$12054:$K$12054)*Assumptions!$C$16/12)</f>
        <v>148.8040725</v>
      </c>
    </row>
    <row r="12184" customFormat="false" ht="15" hidden="false" customHeight="false" outlineLevel="0" collapsed="false">
      <c r="A12184" s="5" t="s">
        <v>458</v>
      </c>
      <c r="C12184" s="25" t="n">
        <f aca="false">SUMPRODUCT($G$12171:$K$12171,$G$12075:$K$12075)*(1+SUMPRODUCT($G$12171:$K$12171,$G$12067:$K$12067)*Assumptions!$C$16/12)</f>
        <v>521.7667</v>
      </c>
    </row>
    <row r="12185" customFormat="false" ht="15" hidden="false" customHeight="false" outlineLevel="0" collapsed="false">
      <c r="A12185" s="5" t="s">
        <v>459</v>
      </c>
      <c r="C12185" s="25" t="n">
        <f aca="false">SUMPRODUCT($G$12171:$K$12171,$G$12088:$K$12088)*(1+SUMPRODUCT($G$12171:$K$12171,$G$12080:$K$12080)*Assumptions!$C$16/12)</f>
        <v>256.875</v>
      </c>
    </row>
    <row r="12186" customFormat="false" ht="15" hidden="false" customHeight="false" outlineLevel="0" collapsed="false">
      <c r="A12186" s="5" t="s">
        <v>460</v>
      </c>
      <c r="C12186" s="25" t="n">
        <f aca="false">SUMPRODUCT($G$12171:$K$12171,$G$12101:$K$12101)*(1+SUMPRODUCT($G$12171:$K$12171,$G$12093:$K$12093)*Assumptions!$C$16/12)</f>
        <v>305.625</v>
      </c>
    </row>
    <row r="12187" customFormat="false" ht="15" hidden="false" customHeight="false" outlineLevel="0" collapsed="false">
      <c r="A12187" s="23" t="s">
        <v>461</v>
      </c>
      <c r="B12187" s="24"/>
      <c r="C12187" s="24"/>
      <c r="D12187" s="24"/>
      <c r="E12187" s="24"/>
      <c r="F12187" s="24"/>
      <c r="G12187" s="24"/>
      <c r="H12187" s="24"/>
      <c r="I12187" s="24"/>
      <c r="J12187" s="24"/>
      <c r="K12187" s="24"/>
    </row>
    <row r="12188" customFormat="false" ht="15" hidden="false" customHeight="false" outlineLevel="0" collapsed="false">
      <c r="A12188" s="5" t="s">
        <v>457</v>
      </c>
      <c r="C12188" s="26" t="n">
        <f aca="false">Assumptions!$M$53</f>
        <v>1</v>
      </c>
    </row>
    <row r="12189" customFormat="false" ht="15" hidden="false" customHeight="false" outlineLevel="0" collapsed="false">
      <c r="A12189" s="5" t="s">
        <v>458</v>
      </c>
      <c r="C12189" s="26" t="n">
        <f aca="false">Assumptions!$M$54</f>
        <v>2</v>
      </c>
    </row>
    <row r="12190" customFormat="false" ht="15" hidden="false" customHeight="false" outlineLevel="0" collapsed="false">
      <c r="A12190" s="5" t="s">
        <v>459</v>
      </c>
      <c r="C12190" s="26" t="n">
        <f aca="false">Assumptions!$M$55</f>
        <v>3</v>
      </c>
    </row>
    <row r="12191" customFormat="false" ht="15" hidden="false" customHeight="false" outlineLevel="0" collapsed="false">
      <c r="A12191" s="5" t="s">
        <v>460</v>
      </c>
      <c r="C12191" s="26" t="n">
        <f aca="false">Assumptions!$M$56</f>
        <v>4</v>
      </c>
    </row>
    <row r="12192" customFormat="false" ht="15" hidden="false" customHeight="false" outlineLevel="0" collapsed="false">
      <c r="A12192" s="23" t="s">
        <v>462</v>
      </c>
      <c r="B12192" s="24"/>
      <c r="C12192" s="24"/>
      <c r="D12192" s="24"/>
      <c r="E12192" s="24"/>
      <c r="F12192" s="24"/>
      <c r="G12192" s="24"/>
      <c r="H12192" s="24"/>
      <c r="I12192" s="24"/>
      <c r="J12192" s="24"/>
      <c r="K12192" s="24"/>
    </row>
    <row r="12193" customFormat="false" ht="15" hidden="false" customHeight="false" outlineLevel="0" collapsed="false">
      <c r="A12193" s="5" t="s">
        <v>457</v>
      </c>
      <c r="C12193" s="34" t="n">
        <f aca="false">Assumptions!$Q$53</f>
        <v>0</v>
      </c>
    </row>
    <row r="12194" customFormat="false" ht="15" hidden="false" customHeight="false" outlineLevel="0" collapsed="false">
      <c r="A12194" s="5" t="s">
        <v>458</v>
      </c>
      <c r="C12194" s="34" t="n">
        <f aca="false">Assumptions!$Q$54</f>
        <v>0</v>
      </c>
    </row>
    <row r="12195" customFormat="false" ht="15" hidden="false" customHeight="false" outlineLevel="0" collapsed="false">
      <c r="A12195" s="5" t="s">
        <v>459</v>
      </c>
      <c r="C12195" s="34" t="n">
        <f aca="false">Assumptions!$Q$55</f>
        <v>0</v>
      </c>
    </row>
    <row r="12196" customFormat="false" ht="15" hidden="false" customHeight="false" outlineLevel="0" collapsed="false">
      <c r="A12196" s="5" t="s">
        <v>460</v>
      </c>
      <c r="C12196" s="34" t="n">
        <f aca="false">Assumptions!$Q$56</f>
        <v>0</v>
      </c>
    </row>
    <row r="12197" customFormat="false" ht="15" hidden="false" customHeight="false" outlineLevel="0" collapsed="false">
      <c r="A12197" s="23" t="s">
        <v>463</v>
      </c>
      <c r="B12197" s="24"/>
      <c r="C12197" s="24"/>
      <c r="D12197" s="24"/>
      <c r="E12197" s="24"/>
      <c r="F12197" s="24"/>
      <c r="G12197" s="24"/>
      <c r="H12197" s="24"/>
      <c r="I12197" s="24"/>
      <c r="J12197" s="24"/>
      <c r="K12197" s="24"/>
    </row>
    <row r="12198" customFormat="false" ht="15" hidden="false" customHeight="false" outlineLevel="0" collapsed="false">
      <c r="A12198" s="5" t="s">
        <v>457</v>
      </c>
      <c r="C12198" s="25" t="n">
        <f aca="false">IF(C12193&gt;0,MIN(C12183,C12193*$C$12181),0)</f>
        <v>0</v>
      </c>
    </row>
    <row r="12199" customFormat="false" ht="15" hidden="false" customHeight="false" outlineLevel="0" collapsed="false">
      <c r="A12199" s="5" t="s">
        <v>458</v>
      </c>
      <c r="C12199" s="25" t="n">
        <f aca="false">IF(C12194&gt;0,MIN(C12184,C12194*$C$12181),0)</f>
        <v>0</v>
      </c>
    </row>
    <row r="12200" customFormat="false" ht="15" hidden="false" customHeight="false" outlineLevel="0" collapsed="false">
      <c r="A12200" s="5" t="s">
        <v>459</v>
      </c>
      <c r="C12200" s="25" t="n">
        <f aca="false">IF(C12195&gt;0,MIN(C12185,C12195*$C$12181),0)</f>
        <v>0</v>
      </c>
    </row>
    <row r="12201" customFormat="false" ht="15" hidden="false" customHeight="false" outlineLevel="0" collapsed="false">
      <c r="A12201" s="5" t="s">
        <v>460</v>
      </c>
      <c r="C12201" s="25" t="n">
        <f aca="false">IF(C12196&gt;0,MIN(C12186,C12196*$C$12181),0)</f>
        <v>0</v>
      </c>
    </row>
    <row r="12202" customFormat="false" ht="15" hidden="false" customHeight="false" outlineLevel="0" collapsed="false">
      <c r="A12202" s="23" t="s">
        <v>464</v>
      </c>
      <c r="B12202" s="24"/>
      <c r="C12202" s="24"/>
      <c r="D12202" s="24"/>
      <c r="E12202" s="24"/>
      <c r="F12202" s="24"/>
      <c r="G12202" s="24"/>
      <c r="H12202" s="24"/>
      <c r="I12202" s="24"/>
      <c r="J12202" s="24"/>
      <c r="K12202" s="24"/>
    </row>
    <row r="12203" customFormat="false" ht="15" hidden="false" customHeight="false" outlineLevel="0" collapsed="false">
      <c r="A12203" s="5" t="s">
        <v>457</v>
      </c>
      <c r="C12203" s="25" t="n">
        <f aca="false">IF(C12193&gt;0,C12183-C12198,0)</f>
        <v>0</v>
      </c>
      <c r="G12203" s="20" t="n">
        <f aca="false">IF(AND(G12052=1,G12049=1),1,0)</f>
        <v>0</v>
      </c>
      <c r="H12203" s="20" t="n">
        <f aca="false">IF(G12203=1,1,IF(AND(H12052=1,H12049=1),1,0))</f>
        <v>1</v>
      </c>
      <c r="I12203" s="20" t="n">
        <f aca="false">IF(H12203=1,1,IF(AND(I12052=1,I12049=1),1,0))</f>
        <v>1</v>
      </c>
      <c r="J12203" s="20" t="n">
        <f aca="false">IF(I12203=1,1,IF(AND(J12052=1,J12049=1),1,0))</f>
        <v>1</v>
      </c>
      <c r="K12203" s="20" t="n">
        <f aca="false">IF(J12203=1,1,IF(AND(K12052=1,K12049=1),1,0))</f>
        <v>1</v>
      </c>
    </row>
    <row r="12204" customFormat="false" ht="15" hidden="false" customHeight="false" outlineLevel="0" collapsed="false">
      <c r="A12204" s="5" t="s">
        <v>458</v>
      </c>
      <c r="C12204" s="25" t="n">
        <f aca="false">IF(C12194&gt;0,C12184-C12199,0)</f>
        <v>0</v>
      </c>
      <c r="G12204" s="20" t="n">
        <f aca="false">IF(AND(G12065=1,G12049=1),1,0)</f>
        <v>0</v>
      </c>
      <c r="H12204" s="20" t="n">
        <f aca="false">IF(G12204=1,1,IF(AND(H12065=1,H12049=1),1,0))</f>
        <v>0</v>
      </c>
      <c r="I12204" s="20" t="n">
        <f aca="false">IF(H12204=1,1,IF(AND(I12065=1,I12049=1),1,0))</f>
        <v>1</v>
      </c>
      <c r="J12204" s="20" t="n">
        <f aca="false">IF(I12204=1,1,IF(AND(J12065=1,J12049=1),1,0))</f>
        <v>1</v>
      </c>
      <c r="K12204" s="20" t="n">
        <f aca="false">IF(J12204=1,1,IF(AND(K12065=1,K12049=1),1,0))</f>
        <v>1</v>
      </c>
    </row>
    <row r="12205" customFormat="false" ht="15" hidden="false" customHeight="false" outlineLevel="0" collapsed="false">
      <c r="A12205" s="5" t="s">
        <v>459</v>
      </c>
      <c r="C12205" s="25" t="n">
        <f aca="false">IF(C12195&gt;0,C12185-C12200,0)</f>
        <v>0</v>
      </c>
      <c r="G12205" s="20" t="n">
        <f aca="false">IF(AND(G12078=1,G12049=1),1,0)</f>
        <v>0</v>
      </c>
      <c r="H12205" s="20" t="n">
        <f aca="false">IF(G12205=1,1,IF(AND(H12078=1,H12049=1),1,0))</f>
        <v>0</v>
      </c>
      <c r="I12205" s="20" t="n">
        <f aca="false">IF(H12205=1,1,IF(AND(I12078=1,I12049=1),1,0))</f>
        <v>0</v>
      </c>
      <c r="J12205" s="20" t="n">
        <f aca="false">IF(I12205=1,1,IF(AND(J12078=1,J12049=1),1,0))</f>
        <v>1</v>
      </c>
      <c r="K12205" s="20" t="n">
        <f aca="false">IF(J12205=1,1,IF(AND(K12078=1,K12049=1),1,0))</f>
        <v>1</v>
      </c>
    </row>
    <row r="12206" customFormat="false" ht="15" hidden="false" customHeight="false" outlineLevel="0" collapsed="false">
      <c r="A12206" s="5" t="s">
        <v>460</v>
      </c>
      <c r="C12206" s="25" t="n">
        <f aca="false">IF(C12196&gt;0,C12186-C12201,0)</f>
        <v>0</v>
      </c>
      <c r="G12206" s="20" t="n">
        <f aca="false">IF(AND(G12091=1,G12049=1),1,0)</f>
        <v>0</v>
      </c>
      <c r="H12206" s="20" t="n">
        <f aca="false">IF(G12206=1,1,IF(AND(H12091=1,H12049=1),1,0))</f>
        <v>1</v>
      </c>
      <c r="I12206" s="20" t="n">
        <f aca="false">IF(H12206=1,1,IF(AND(I12091=1,I12049=1),1,0))</f>
        <v>1</v>
      </c>
      <c r="J12206" s="20" t="n">
        <f aca="false">IF(I12206=1,1,IF(AND(J12091=1,J12049=1),1,0))</f>
        <v>1</v>
      </c>
      <c r="K12206" s="20" t="n">
        <f aca="false">IF(J12206=1,1,IF(AND(K12091=1,K12049=1),1,0))</f>
        <v>1</v>
      </c>
    </row>
    <row r="12207" customFormat="false" ht="15" hidden="false" customHeight="false" outlineLevel="0" collapsed="false">
      <c r="A12207" s="23" t="s">
        <v>465</v>
      </c>
      <c r="B12207" s="24"/>
      <c r="C12207" s="24"/>
      <c r="D12207" s="24"/>
      <c r="E12207" s="24"/>
      <c r="F12207" s="24"/>
      <c r="G12207" s="24"/>
      <c r="H12207" s="24"/>
      <c r="I12207" s="24"/>
      <c r="J12207" s="24"/>
      <c r="K12207" s="24"/>
    </row>
    <row r="12208" customFormat="false" ht="15" hidden="false" customHeight="false" outlineLevel="0" collapsed="false">
      <c r="A12208" s="5" t="s">
        <v>457</v>
      </c>
      <c r="C12208" s="25" t="n">
        <f aca="false">IF(C12193&gt;0,C12203,C12183)</f>
        <v>148.8040725</v>
      </c>
    </row>
    <row r="12209" customFormat="false" ht="15" hidden="false" customHeight="false" outlineLevel="0" collapsed="false">
      <c r="A12209" s="5" t="s">
        <v>458</v>
      </c>
      <c r="C12209" s="25" t="n">
        <f aca="false">IF(C12194&gt;0,C12204,C12184)</f>
        <v>521.7667</v>
      </c>
    </row>
    <row r="12210" customFormat="false" ht="15" hidden="false" customHeight="false" outlineLevel="0" collapsed="false">
      <c r="A12210" s="5" t="s">
        <v>459</v>
      </c>
      <c r="C12210" s="25" t="n">
        <f aca="false">IF(C12195&gt;0,C12205,C12185)</f>
        <v>256.875</v>
      </c>
    </row>
    <row r="12211" customFormat="false" ht="15" hidden="false" customHeight="false" outlineLevel="0" collapsed="false">
      <c r="A12211" s="5" t="s">
        <v>460</v>
      </c>
      <c r="C12211" s="25" t="n">
        <f aca="false">IF(C12196&gt;0,C12206,C12186)</f>
        <v>305.625</v>
      </c>
    </row>
    <row r="12212" customFormat="false" ht="15" hidden="false" customHeight="false" outlineLevel="0" collapsed="false">
      <c r="A12212" s="23" t="s">
        <v>466</v>
      </c>
      <c r="B12212" s="24"/>
      <c r="C12212" s="24"/>
      <c r="D12212" s="24"/>
      <c r="E12212" s="24"/>
      <c r="F12212" s="24"/>
      <c r="G12212" s="24"/>
      <c r="H12212" s="24"/>
      <c r="I12212" s="24"/>
      <c r="J12212" s="24"/>
      <c r="K12212" s="24"/>
    </row>
    <row r="12213" customFormat="false" ht="15" hidden="false" customHeight="false" outlineLevel="0" collapsed="false">
      <c r="A12213" s="5" t="s">
        <v>457</v>
      </c>
      <c r="C12213" s="20" t="n">
        <f aca="false">IF(C12193&gt;0,Assumptions!$C$17,C12188)</f>
        <v>1</v>
      </c>
    </row>
    <row r="12214" customFormat="false" ht="15" hidden="false" customHeight="false" outlineLevel="0" collapsed="false">
      <c r="A12214" s="5" t="s">
        <v>458</v>
      </c>
      <c r="C12214" s="20" t="n">
        <f aca="false">IF(C12194&gt;0,Assumptions!$C$17,C12189)</f>
        <v>2</v>
      </c>
    </row>
    <row r="12215" customFormat="false" ht="15" hidden="false" customHeight="false" outlineLevel="0" collapsed="false">
      <c r="A12215" s="5" t="s">
        <v>459</v>
      </c>
      <c r="C12215" s="20" t="n">
        <f aca="false">IF(C12195&gt;0,Assumptions!$C$17,C12190)</f>
        <v>3</v>
      </c>
    </row>
    <row r="12216" customFormat="false" ht="15" hidden="false" customHeight="false" outlineLevel="0" collapsed="false">
      <c r="A12216" s="5" t="s">
        <v>460</v>
      </c>
      <c r="C12216" s="20" t="n">
        <f aca="false">IF(C12196&gt;0,Assumptions!$C$17,C12191)</f>
        <v>4</v>
      </c>
    </row>
    <row r="12217" customFormat="false" ht="15" hidden="false" customHeight="false" outlineLevel="0" collapsed="false">
      <c r="A12217" s="23" t="s">
        <v>467</v>
      </c>
      <c r="B12217" s="24"/>
      <c r="C12217" s="24"/>
      <c r="D12217" s="24"/>
      <c r="E12217" s="24"/>
      <c r="F12217" s="24"/>
      <c r="G12217" s="24"/>
      <c r="H12217" s="24"/>
      <c r="I12217" s="24"/>
      <c r="J12217" s="24"/>
      <c r="K12217" s="24"/>
    </row>
    <row r="12218" customFormat="false" ht="15" hidden="false" customHeight="false" outlineLevel="0" collapsed="false">
      <c r="A12218" s="5" t="s">
        <v>457</v>
      </c>
      <c r="C12218" s="25" t="n">
        <f aca="false">SUMPRODUCT(($C$12213:$C$12216&lt;C12213)*$C$12208:$C$12211)</f>
        <v>0</v>
      </c>
    </row>
    <row r="12219" customFormat="false" ht="15" hidden="false" customHeight="false" outlineLevel="0" collapsed="false">
      <c r="A12219" s="5" t="s">
        <v>458</v>
      </c>
      <c r="C12219" s="25" t="n">
        <f aca="false">SUMPRODUCT(($C$12213:$C$12216&lt;C12214)*$C$12208:$C$12211)</f>
        <v>148.8040725</v>
      </c>
    </row>
    <row r="12220" customFormat="false" ht="15" hidden="false" customHeight="false" outlineLevel="0" collapsed="false">
      <c r="A12220" s="5" t="s">
        <v>459</v>
      </c>
      <c r="C12220" s="25" t="n">
        <f aca="false">SUMPRODUCT(($C$12213:$C$12216&lt;C12215)*$C$12208:$C$12211)</f>
        <v>670.5707725</v>
      </c>
    </row>
    <row r="12221" customFormat="false" ht="15" hidden="false" customHeight="false" outlineLevel="0" collapsed="false">
      <c r="A12221" s="5" t="s">
        <v>460</v>
      </c>
      <c r="C12221" s="25" t="n">
        <f aca="false">SUMPRODUCT(($C$12213:$C$12216&lt;C12216)*$C$12208:$C$12211)</f>
        <v>927.4457725</v>
      </c>
    </row>
    <row r="12222" customFormat="false" ht="15" hidden="false" customHeight="false" outlineLevel="0" collapsed="false">
      <c r="A12222" s="23" t="s">
        <v>468</v>
      </c>
      <c r="B12222" s="24"/>
      <c r="C12222" s="24"/>
      <c r="D12222" s="24"/>
      <c r="E12222" s="24"/>
      <c r="F12222" s="24"/>
      <c r="G12222" s="24"/>
      <c r="H12222" s="24"/>
      <c r="I12222" s="24"/>
      <c r="J12222" s="24"/>
      <c r="K12222" s="24"/>
    </row>
    <row r="12223" customFormat="false" ht="15" hidden="false" customHeight="false" outlineLevel="0" collapsed="false">
      <c r="A12223" s="5" t="s">
        <v>457</v>
      </c>
      <c r="C12223" s="25" t="n">
        <f aca="false">SUMPRODUCT(($C$12213:$C$12216=C12213)*$C$12208:$C$12211)</f>
        <v>148.8040725</v>
      </c>
    </row>
    <row r="12224" customFormat="false" ht="15" hidden="false" customHeight="false" outlineLevel="0" collapsed="false">
      <c r="A12224" s="5" t="s">
        <v>458</v>
      </c>
      <c r="C12224" s="25" t="n">
        <f aca="false">SUMPRODUCT(($C$12213:$C$12216=C12214)*$C$12208:$C$12211)</f>
        <v>521.7667</v>
      </c>
    </row>
    <row r="12225" customFormat="false" ht="15" hidden="false" customHeight="false" outlineLevel="0" collapsed="false">
      <c r="A12225" s="5" t="s">
        <v>459</v>
      </c>
      <c r="C12225" s="25" t="n">
        <f aca="false">SUMPRODUCT(($C$12213:$C$12216=C12215)*$C$12208:$C$12211)</f>
        <v>256.875</v>
      </c>
    </row>
    <row r="12226" customFormat="false" ht="15" hidden="false" customHeight="false" outlineLevel="0" collapsed="false">
      <c r="A12226" s="5" t="s">
        <v>460</v>
      </c>
      <c r="C12226" s="25" t="n">
        <f aca="false">SUMPRODUCT(($C$12213:$C$12216=C12216)*$C$12208:$C$12211)</f>
        <v>305.625</v>
      </c>
    </row>
    <row r="12227" customFormat="false" ht="15" hidden="false" customHeight="false" outlineLevel="0" collapsed="false">
      <c r="A12227" s="23" t="s">
        <v>469</v>
      </c>
      <c r="B12227" s="24"/>
      <c r="C12227" s="24"/>
      <c r="D12227" s="24"/>
      <c r="E12227" s="24"/>
      <c r="F12227" s="24"/>
      <c r="G12227" s="24"/>
      <c r="H12227" s="24"/>
      <c r="I12227" s="24"/>
      <c r="J12227" s="24"/>
      <c r="K12227" s="24"/>
    </row>
    <row r="12228" customFormat="false" ht="15" hidden="false" customHeight="false" outlineLevel="0" collapsed="false">
      <c r="A12228" s="5" t="s">
        <v>457</v>
      </c>
      <c r="C12228" s="25" t="n">
        <f aca="false">IF(C12223=0,0,C12208/C12223*MAX(0,MIN(C12223,$C$12181-SUM($C$12198:$C$12201)-C12218)))</f>
        <v>148.8040725</v>
      </c>
    </row>
    <row r="12229" customFormat="false" ht="15" hidden="false" customHeight="false" outlineLevel="0" collapsed="false">
      <c r="A12229" s="5" t="s">
        <v>458</v>
      </c>
      <c r="C12229" s="25" t="n">
        <f aca="false">IF(C12224=0,0,C12209/C12224*MAX(0,MIN(C12224,$C$12181-SUM($C$12198:$C$12201)-C12219)))</f>
        <v>456.3802347</v>
      </c>
    </row>
    <row r="12230" customFormat="false" ht="15" hidden="false" customHeight="false" outlineLevel="0" collapsed="false">
      <c r="A12230" s="5" t="s">
        <v>459</v>
      </c>
      <c r="C12230" s="25" t="n">
        <f aca="false">IF(C12225=0,0,C12210/C12225*MAX(0,MIN(C12225,$C$12181-SUM($C$12198:$C$12201)-C12220)))</f>
        <v>0</v>
      </c>
    </row>
    <row r="12231" customFormat="false" ht="15" hidden="false" customHeight="false" outlineLevel="0" collapsed="false">
      <c r="A12231" s="5" t="s">
        <v>460</v>
      </c>
      <c r="C12231" s="25" t="n">
        <f aca="false">IF(C12226=0,0,C12211/C12226*MAX(0,MIN(C12226,$C$12181-SUM($C$12198:$C$12201)-C12221)))</f>
        <v>0</v>
      </c>
    </row>
    <row r="12232" customFormat="false" ht="15" hidden="false" customHeight="false" outlineLevel="0" collapsed="false">
      <c r="A12232" s="23" t="s">
        <v>470</v>
      </c>
      <c r="B12232" s="24"/>
      <c r="C12232" s="24"/>
      <c r="D12232" s="24"/>
      <c r="E12232" s="24"/>
      <c r="F12232" s="24"/>
      <c r="G12232" s="24"/>
      <c r="H12232" s="24"/>
      <c r="I12232" s="24"/>
      <c r="J12232" s="24"/>
      <c r="K12232" s="24"/>
    </row>
    <row r="12233" customFormat="false" ht="15" hidden="false" customHeight="false" outlineLevel="0" collapsed="false">
      <c r="A12233" s="2" t="s">
        <v>457</v>
      </c>
      <c r="C12233" s="16" t="n">
        <f aca="false">C12198+C12228</f>
        <v>148.8040725</v>
      </c>
    </row>
    <row r="12234" customFormat="false" ht="15" hidden="false" customHeight="false" outlineLevel="0" collapsed="false">
      <c r="A12234" s="2" t="s">
        <v>458</v>
      </c>
      <c r="C12234" s="16" t="n">
        <f aca="false">C12199+C12229</f>
        <v>456.3802347</v>
      </c>
    </row>
    <row r="12235" customFormat="false" ht="15" hidden="false" customHeight="false" outlineLevel="0" collapsed="false">
      <c r="A12235" s="2" t="s">
        <v>459</v>
      </c>
      <c r="C12235" s="16" t="n">
        <f aca="false">C12200+C12230</f>
        <v>0</v>
      </c>
    </row>
    <row r="12236" customFormat="false" ht="15" hidden="false" customHeight="false" outlineLevel="0" collapsed="false">
      <c r="A12236" s="2" t="s">
        <v>460</v>
      </c>
      <c r="C12236" s="16" t="n">
        <f aca="false">C12201+C12231</f>
        <v>0</v>
      </c>
    </row>
    <row r="12237" customFormat="false" ht="15" hidden="false" customHeight="false" outlineLevel="0" collapsed="false">
      <c r="A12237" s="23" t="s">
        <v>471</v>
      </c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</row>
    <row r="12238" customFormat="false" ht="15" hidden="false" customHeight="false" outlineLevel="0" collapsed="false">
      <c r="A12238" s="5" t="s">
        <v>457</v>
      </c>
      <c r="C12238" s="21" t="n">
        <f aca="false">IF(C12183=0,1,C12233/C12183)</f>
        <v>1</v>
      </c>
    </row>
    <row r="12239" customFormat="false" ht="15" hidden="false" customHeight="false" outlineLevel="0" collapsed="false">
      <c r="A12239" s="5" t="s">
        <v>458</v>
      </c>
      <c r="C12239" s="21" t="n">
        <f aca="false">IF(C12184=0,1,C12234/C12184)</f>
        <v>0.874682563490541</v>
      </c>
    </row>
    <row r="12240" customFormat="false" ht="15" hidden="false" customHeight="false" outlineLevel="0" collapsed="false">
      <c r="A12240" s="5" t="s">
        <v>459</v>
      </c>
      <c r="C12240" s="21" t="n">
        <f aca="false">IF(C12185=0,1,C12235/C12185)</f>
        <v>0</v>
      </c>
    </row>
    <row r="12241" customFormat="false" ht="15" hidden="false" customHeight="false" outlineLevel="0" collapsed="false">
      <c r="A12241" s="5" t="s">
        <v>460</v>
      </c>
      <c r="C12241" s="21" t="n">
        <f aca="false">IF(C12186=0,1,C12236/C12186)</f>
        <v>0</v>
      </c>
    </row>
    <row r="12242" customFormat="false" ht="15" hidden="false" customHeight="false" outlineLevel="0" collapsed="false">
      <c r="A12242" s="23" t="s">
        <v>472</v>
      </c>
      <c r="B12242" s="24"/>
      <c r="C12242" s="24"/>
      <c r="D12242" s="24"/>
      <c r="E12242" s="24"/>
      <c r="F12242" s="24"/>
      <c r="G12242" s="24"/>
      <c r="H12242" s="24"/>
      <c r="I12242" s="24"/>
      <c r="J12242" s="24"/>
      <c r="K12242" s="24"/>
    </row>
    <row r="12243" customFormat="false" ht="15" hidden="false" customHeight="false" outlineLevel="0" collapsed="false">
      <c r="A12243" s="5" t="s">
        <v>457</v>
      </c>
      <c r="C12243" s="25" t="n">
        <f aca="false">C12183-C12233</f>
        <v>0</v>
      </c>
    </row>
    <row r="12244" customFormat="false" ht="15" hidden="false" customHeight="false" outlineLevel="0" collapsed="false">
      <c r="A12244" s="5" t="s">
        <v>458</v>
      </c>
      <c r="C12244" s="25" t="n">
        <f aca="false">C12184-C12234</f>
        <v>65.3864653000001</v>
      </c>
    </row>
    <row r="12245" customFormat="false" ht="15" hidden="false" customHeight="false" outlineLevel="0" collapsed="false">
      <c r="A12245" s="5" t="s">
        <v>459</v>
      </c>
      <c r="C12245" s="25" t="n">
        <f aca="false">C12185-C12235</f>
        <v>256.875</v>
      </c>
    </row>
    <row r="12246" customFormat="false" ht="15" hidden="false" customHeight="false" outlineLevel="0" collapsed="false">
      <c r="A12246" s="5" t="s">
        <v>460</v>
      </c>
      <c r="C12246" s="25" t="n">
        <f aca="false">C12186-C12236</f>
        <v>305.625</v>
      </c>
    </row>
    <row r="12247" customFormat="false" ht="15" hidden="false" customHeight="false" outlineLevel="0" collapsed="false">
      <c r="A12247" s="23" t="s">
        <v>473</v>
      </c>
      <c r="B12247" s="24"/>
      <c r="C12247" s="24"/>
      <c r="D12247" s="24"/>
      <c r="E12247" s="24"/>
      <c r="F12247" s="24"/>
      <c r="G12247" s="24"/>
      <c r="H12247" s="24"/>
      <c r="I12247" s="24"/>
      <c r="J12247" s="24"/>
      <c r="K12247" s="24"/>
    </row>
    <row r="12248" customFormat="false" ht="15" hidden="false" customHeight="false" outlineLevel="0" collapsed="false">
      <c r="A12248" s="5" t="s">
        <v>457</v>
      </c>
      <c r="C12248" s="21" t="n">
        <f aca="false">IF(C12183=0,0,C12243/C12183)</f>
        <v>0</v>
      </c>
    </row>
    <row r="12249" customFormat="false" ht="15" hidden="false" customHeight="false" outlineLevel="0" collapsed="false">
      <c r="A12249" s="5" t="s">
        <v>458</v>
      </c>
      <c r="C12249" s="21" t="n">
        <f aca="false">IF(C12184=0,0,C12244/C12184)</f>
        <v>0.125317436509459</v>
      </c>
    </row>
    <row r="12250" customFormat="false" ht="15" hidden="false" customHeight="false" outlineLevel="0" collapsed="false">
      <c r="A12250" s="5" t="s">
        <v>459</v>
      </c>
      <c r="C12250" s="21" t="n">
        <f aca="false">IF(C12185=0,0,C12245/C12185)</f>
        <v>1</v>
      </c>
    </row>
    <row r="12251" customFormat="false" ht="15" hidden="false" customHeight="false" outlineLevel="0" collapsed="false">
      <c r="A12251" s="5" t="s">
        <v>460</v>
      </c>
      <c r="C12251" s="21" t="n">
        <f aca="false">IF(C12186=0,0,C12246/C12186)</f>
        <v>1</v>
      </c>
    </row>
    <row r="12252" customFormat="false" ht="15" hidden="false" customHeight="false" outlineLevel="0" collapsed="false">
      <c r="A12252" s="2" t="s">
        <v>474</v>
      </c>
      <c r="C12252" s="16" t="n">
        <f aca="false">MAX(0,$C$12181-SUM($C$12198:$C$12201)-SUM($C$12208:$C$12211))</f>
        <v>0</v>
      </c>
    </row>
    <row r="12253" customFormat="false" ht="15" hidden="false" customHeight="false" outlineLevel="0" collapsed="false">
      <c r="A12253" s="5" t="s">
        <v>475</v>
      </c>
      <c r="C12253" s="25" t="n">
        <f aca="false">SUM($C$12233:$C$12236)+C12252+C12180-C12179</f>
        <v>0</v>
      </c>
    </row>
    <row r="12255" customFormat="false" ht="15" hidden="false" customHeight="false" outlineLevel="0" collapsed="false">
      <c r="A12255" s="23" t="s">
        <v>478</v>
      </c>
      <c r="B12255" s="24"/>
      <c r="C12255" s="24"/>
      <c r="D12255" s="24"/>
      <c r="E12255" s="24"/>
      <c r="F12255" s="24"/>
      <c r="G12255" s="24"/>
      <c r="H12255" s="24"/>
      <c r="I12255" s="24"/>
      <c r="J12255" s="24"/>
      <c r="K12255" s="24"/>
    </row>
    <row r="12256" customFormat="false" ht="15" hidden="false" customHeight="false" outlineLevel="0" collapsed="false">
      <c r="A12256" s="5" t="s">
        <v>479</v>
      </c>
      <c r="C12256" s="26" t="n">
        <f aca="false">Assumptions!$C$30</f>
        <v>2</v>
      </c>
    </row>
    <row r="12257" customFormat="false" ht="15" hidden="false" customHeight="false" outlineLevel="0" collapsed="false">
      <c r="A12257" s="5" t="s">
        <v>480</v>
      </c>
      <c r="C12257" s="28" t="n">
        <f aca="false">Assumptions!$C$31</f>
        <v>100</v>
      </c>
    </row>
    <row r="12258" customFormat="false" ht="15" hidden="false" customHeight="false" outlineLevel="0" collapsed="false">
      <c r="A12258" s="5" t="s">
        <v>481</v>
      </c>
      <c r="C12258" s="39" t="n">
        <f aca="false">Assumptions!$C$32</f>
        <v>78</v>
      </c>
    </row>
    <row r="12259" customFormat="false" ht="15" hidden="false" customHeight="false" outlineLevel="0" collapsed="false">
      <c r="A12259" s="5" t="s">
        <v>482</v>
      </c>
      <c r="C12259" s="25" t="n">
        <f aca="false">C12257*C12258/100*(1+Assumptions!$C$33)</f>
        <v>78.39</v>
      </c>
    </row>
    <row r="12260" customFormat="false" ht="15" hidden="false" customHeight="false" outlineLevel="0" collapsed="false">
      <c r="A12260" s="5" t="s">
        <v>483</v>
      </c>
      <c r="C12260" s="26" t="n">
        <f aca="false">Assumptions!$C$34</f>
        <v>2</v>
      </c>
    </row>
    <row r="12261" customFormat="false" ht="15" hidden="false" customHeight="false" outlineLevel="0" collapsed="false">
      <c r="A12261" s="5" t="s">
        <v>484</v>
      </c>
      <c r="C12261" s="20" t="n">
        <f aca="false">IF(C12172=1,SUMPRODUCT($G$12140:$K$12140,$G$12016:$K$12016),0)</f>
        <v>2</v>
      </c>
    </row>
    <row r="12262" customFormat="false" ht="15" hidden="false" customHeight="false" outlineLevel="0" collapsed="false">
      <c r="A12262" s="5" t="s">
        <v>485</v>
      </c>
      <c r="C12262" s="21" t="n">
        <f aca="false">IFERROR(C12257/CHOOSE(C12256,SUMPRODUCT($G$12171:$K$12171,$G$12062:$K$12062),SUMPRODUCT($G$12171:$K$12171,$G$12075:$K$12075),SUMPRODUCT($G$12171:$K$12171,$G$12088:$K$12088),SUMPRODUCT($G$12171:$K$12171,$G$12101:$K$12101)),0)</f>
        <v>0.196232339089482</v>
      </c>
    </row>
    <row r="12263" customFormat="false" ht="15" hidden="false" customHeight="false" outlineLevel="0" collapsed="false">
      <c r="A12263" s="5" t="s">
        <v>486</v>
      </c>
      <c r="C12263" s="25" t="n">
        <f aca="false">CHOOSE(C12256,C12233,C12234,C12235,C12236)*C12262</f>
        <v>89.5565609693878</v>
      </c>
    </row>
    <row r="12264" customFormat="false" ht="15" hidden="false" customHeight="false" outlineLevel="0" collapsed="false">
      <c r="A12264" s="5" t="s">
        <v>487</v>
      </c>
      <c r="C12264" s="21" t="n">
        <f aca="false">CHOOSE(C12256,C12238,C12239,C12240,C12241)</f>
        <v>0.874682563490541</v>
      </c>
    </row>
    <row r="12265" customFormat="false" ht="15" hidden="false" customHeight="false" outlineLevel="0" collapsed="false">
      <c r="A12265" s="5" t="s">
        <v>488</v>
      </c>
      <c r="C12265" s="20" t="n">
        <f aca="false">IF(C12172=1,C12261,C12260)</f>
        <v>2</v>
      </c>
    </row>
    <row r="12266" customFormat="false" ht="15" hidden="false" customHeight="false" outlineLevel="0" collapsed="false">
      <c r="A12266" s="5" t="s">
        <v>489</v>
      </c>
      <c r="C12266" s="33" t="n">
        <f aca="false">CHOOSE($C$12008,Assumptions!$C$77,Assumptions!$C$96,Assumptions!$C$115)</f>
        <v>100</v>
      </c>
    </row>
    <row r="12267" customFormat="false" ht="15" hidden="false" customHeight="false" outlineLevel="0" collapsed="false">
      <c r="A12267" s="5" t="s">
        <v>490</v>
      </c>
      <c r="C12267" s="25" t="n">
        <f aca="false">INDEX($G$12025:$K$12025,C12260)*CHOOSE($C$12008,Assumptions!$C$76,Assumptions!$C$95,Assumptions!$C$114)+MAX(0,INDEX($G$12137:$K$12137,C12260))</f>
        <v>1024.40052</v>
      </c>
    </row>
    <row r="12268" customFormat="false" ht="15" hidden="false" customHeight="false" outlineLevel="0" collapsed="false">
      <c r="A12268" s="23" t="s">
        <v>491</v>
      </c>
      <c r="B12268" s="24"/>
      <c r="C12268" s="24"/>
      <c r="D12268" s="24"/>
      <c r="E12268" s="24"/>
      <c r="F12268" s="24"/>
      <c r="G12268" s="24"/>
      <c r="H12268" s="24"/>
      <c r="I12268" s="24"/>
      <c r="J12268" s="24"/>
      <c r="K12268" s="24"/>
    </row>
    <row r="12269" customFormat="false" ht="15" hidden="false" customHeight="false" outlineLevel="0" collapsed="false">
      <c r="A12269" s="5" t="s">
        <v>457</v>
      </c>
      <c r="C12269" s="25" t="n">
        <f aca="false">INDEX($G$12062:$K$12062,C12260)</f>
        <v>145.94</v>
      </c>
    </row>
    <row r="12270" customFormat="false" ht="15" hidden="false" customHeight="false" outlineLevel="0" collapsed="false">
      <c r="A12270" s="5" t="s">
        <v>458</v>
      </c>
      <c r="C12270" s="25" t="n">
        <f aca="false">INDEX($G$12075:$K$12075,C12260)</f>
        <v>509.6</v>
      </c>
    </row>
    <row r="12271" customFormat="false" ht="15" hidden="false" customHeight="false" outlineLevel="0" collapsed="false">
      <c r="A12271" s="5" t="s">
        <v>459</v>
      </c>
      <c r="C12271" s="25" t="n">
        <f aca="false">INDEX($G$12088:$K$12088,C12260)</f>
        <v>250</v>
      </c>
    </row>
    <row r="12272" customFormat="false" ht="15" hidden="false" customHeight="false" outlineLevel="0" collapsed="false">
      <c r="A12272" s="5" t="s">
        <v>460</v>
      </c>
      <c r="C12272" s="25" t="n">
        <f aca="false">INDEX($G$12101:$K$12101,C12260)</f>
        <v>300</v>
      </c>
    </row>
    <row r="12273" customFormat="false" ht="15" hidden="false" customHeight="false" outlineLevel="0" collapsed="false">
      <c r="A12273" s="23" t="s">
        <v>461</v>
      </c>
      <c r="B12273" s="24"/>
      <c r="C12273" s="24"/>
      <c r="D12273" s="24"/>
      <c r="E12273" s="24"/>
      <c r="F12273" s="24"/>
      <c r="G12273" s="24"/>
      <c r="H12273" s="24"/>
      <c r="I12273" s="24"/>
      <c r="J12273" s="24"/>
      <c r="K12273" s="24"/>
    </row>
    <row r="12274" customFormat="false" ht="15" hidden="false" customHeight="false" outlineLevel="0" collapsed="false">
      <c r="A12274" s="5" t="s">
        <v>457</v>
      </c>
      <c r="C12274" s="26" t="n">
        <f aca="false">Assumptions!$M$53</f>
        <v>1</v>
      </c>
    </row>
    <row r="12275" customFormat="false" ht="15" hidden="false" customHeight="false" outlineLevel="0" collapsed="false">
      <c r="A12275" s="5" t="s">
        <v>458</v>
      </c>
      <c r="C12275" s="26" t="n">
        <f aca="false">Assumptions!$M$54</f>
        <v>2</v>
      </c>
    </row>
    <row r="12276" customFormat="false" ht="15" hidden="false" customHeight="false" outlineLevel="0" collapsed="false">
      <c r="A12276" s="5" t="s">
        <v>459</v>
      </c>
      <c r="C12276" s="26" t="n">
        <f aca="false">Assumptions!$M$55</f>
        <v>3</v>
      </c>
    </row>
    <row r="12277" customFormat="false" ht="15" hidden="false" customHeight="false" outlineLevel="0" collapsed="false">
      <c r="A12277" s="5" t="s">
        <v>460</v>
      </c>
      <c r="C12277" s="26" t="n">
        <f aca="false">Assumptions!$M$56</f>
        <v>4</v>
      </c>
    </row>
    <row r="12278" customFormat="false" ht="15" hidden="false" customHeight="false" outlineLevel="0" collapsed="false">
      <c r="A12278" s="23" t="s">
        <v>462</v>
      </c>
      <c r="B12278" s="24"/>
      <c r="C12278" s="24"/>
      <c r="D12278" s="24"/>
      <c r="E12278" s="24"/>
      <c r="F12278" s="24"/>
      <c r="G12278" s="24"/>
      <c r="H12278" s="24"/>
      <c r="I12278" s="24"/>
      <c r="J12278" s="24"/>
      <c r="K12278" s="24"/>
    </row>
    <row r="12279" customFormat="false" ht="15" hidden="false" customHeight="false" outlineLevel="0" collapsed="false">
      <c r="A12279" s="5" t="s">
        <v>457</v>
      </c>
      <c r="C12279" s="34" t="n">
        <f aca="false">Assumptions!$Q$53</f>
        <v>0</v>
      </c>
    </row>
    <row r="12280" customFormat="false" ht="15" hidden="false" customHeight="false" outlineLevel="0" collapsed="false">
      <c r="A12280" s="5" t="s">
        <v>458</v>
      </c>
      <c r="C12280" s="34" t="n">
        <f aca="false">Assumptions!$Q$54</f>
        <v>0</v>
      </c>
    </row>
    <row r="12281" customFormat="false" ht="15" hidden="false" customHeight="false" outlineLevel="0" collapsed="false">
      <c r="A12281" s="5" t="s">
        <v>459</v>
      </c>
      <c r="C12281" s="34" t="n">
        <f aca="false">Assumptions!$Q$55</f>
        <v>0</v>
      </c>
    </row>
    <row r="12282" customFormat="false" ht="15" hidden="false" customHeight="false" outlineLevel="0" collapsed="false">
      <c r="A12282" s="5" t="s">
        <v>460</v>
      </c>
      <c r="C12282" s="34" t="n">
        <f aca="false">Assumptions!$Q$56</f>
        <v>0</v>
      </c>
    </row>
    <row r="12283" customFormat="false" ht="15" hidden="false" customHeight="false" outlineLevel="0" collapsed="false">
      <c r="A12283" s="23" t="s">
        <v>463</v>
      </c>
      <c r="B12283" s="24"/>
      <c r="C12283" s="24"/>
      <c r="D12283" s="24"/>
      <c r="E12283" s="24"/>
      <c r="F12283" s="24"/>
      <c r="G12283" s="24"/>
      <c r="H12283" s="24"/>
      <c r="I12283" s="24"/>
      <c r="J12283" s="24"/>
      <c r="K12283" s="24"/>
    </row>
    <row r="12284" customFormat="false" ht="15" hidden="false" customHeight="false" outlineLevel="0" collapsed="false">
      <c r="A12284" s="5" t="s">
        <v>457</v>
      </c>
      <c r="C12284" s="25" t="n">
        <f aca="false">IF(C12279&gt;0,MIN(C12269,C12279*$C$12267),0)</f>
        <v>0</v>
      </c>
    </row>
    <row r="12285" customFormat="false" ht="15" hidden="false" customHeight="false" outlineLevel="0" collapsed="false">
      <c r="A12285" s="5" t="s">
        <v>458</v>
      </c>
      <c r="C12285" s="25" t="n">
        <f aca="false">IF(C12280&gt;0,MIN(C12270,C12280*$C$12267),0)</f>
        <v>0</v>
      </c>
    </row>
    <row r="12286" customFormat="false" ht="15" hidden="false" customHeight="false" outlineLevel="0" collapsed="false">
      <c r="A12286" s="5" t="s">
        <v>459</v>
      </c>
      <c r="C12286" s="25" t="n">
        <f aca="false">IF(C12281&gt;0,MIN(C12271,C12281*$C$12267),0)</f>
        <v>0</v>
      </c>
    </row>
    <row r="12287" customFormat="false" ht="15" hidden="false" customHeight="false" outlineLevel="0" collapsed="false">
      <c r="A12287" s="5" t="s">
        <v>460</v>
      </c>
      <c r="C12287" s="25" t="n">
        <f aca="false">IF(C12282&gt;0,MIN(C12272,C12282*$C$12267),0)</f>
        <v>0</v>
      </c>
    </row>
    <row r="12288" customFormat="false" ht="15" hidden="false" customHeight="false" outlineLevel="0" collapsed="false">
      <c r="A12288" s="23" t="s">
        <v>464</v>
      </c>
      <c r="B12288" s="24"/>
      <c r="C12288" s="24"/>
      <c r="D12288" s="24"/>
      <c r="E12288" s="24"/>
      <c r="F12288" s="24"/>
      <c r="G12288" s="24"/>
      <c r="H12288" s="24"/>
      <c r="I12288" s="24"/>
      <c r="J12288" s="24"/>
      <c r="K12288" s="24"/>
    </row>
    <row r="12289" customFormat="false" ht="15" hidden="false" customHeight="false" outlineLevel="0" collapsed="false">
      <c r="A12289" s="5" t="s">
        <v>457</v>
      </c>
      <c r="C12289" s="25" t="n">
        <f aca="false">IF(C12279&gt;0,C12269-C12284,0)</f>
        <v>0</v>
      </c>
    </row>
    <row r="12290" customFormat="false" ht="15" hidden="false" customHeight="false" outlineLevel="0" collapsed="false">
      <c r="A12290" s="5" t="s">
        <v>458</v>
      </c>
      <c r="C12290" s="25" t="n">
        <f aca="false">IF(C12280&gt;0,C12270-C12285,0)</f>
        <v>0</v>
      </c>
    </row>
    <row r="12291" customFormat="false" ht="15" hidden="false" customHeight="false" outlineLevel="0" collapsed="false">
      <c r="A12291" s="5" t="s">
        <v>459</v>
      </c>
      <c r="C12291" s="25" t="n">
        <f aca="false">IF(C12281&gt;0,C12271-C12286,0)</f>
        <v>0</v>
      </c>
    </row>
    <row r="12292" customFormat="false" ht="15" hidden="false" customHeight="false" outlineLevel="0" collapsed="false">
      <c r="A12292" s="5" t="s">
        <v>460</v>
      </c>
      <c r="C12292" s="25" t="n">
        <f aca="false">IF(C12282&gt;0,C12272-C12287,0)</f>
        <v>0</v>
      </c>
    </row>
    <row r="12293" customFormat="false" ht="15" hidden="false" customHeight="false" outlineLevel="0" collapsed="false">
      <c r="A12293" s="23" t="s">
        <v>465</v>
      </c>
      <c r="B12293" s="24"/>
      <c r="C12293" s="24"/>
      <c r="D12293" s="24"/>
      <c r="E12293" s="24"/>
      <c r="F12293" s="24"/>
      <c r="G12293" s="24"/>
      <c r="H12293" s="24"/>
      <c r="I12293" s="24"/>
      <c r="J12293" s="24"/>
      <c r="K12293" s="24"/>
    </row>
    <row r="12294" customFormat="false" ht="15" hidden="false" customHeight="false" outlineLevel="0" collapsed="false">
      <c r="A12294" s="5" t="s">
        <v>457</v>
      </c>
      <c r="C12294" s="25" t="n">
        <f aca="false">IF(C12279&gt;0,C12289,C12269)</f>
        <v>145.94</v>
      </c>
    </row>
    <row r="12295" customFormat="false" ht="15" hidden="false" customHeight="false" outlineLevel="0" collapsed="false">
      <c r="A12295" s="5" t="s">
        <v>458</v>
      </c>
      <c r="C12295" s="25" t="n">
        <f aca="false">IF(C12280&gt;0,C12290,C12270)</f>
        <v>509.6</v>
      </c>
    </row>
    <row r="12296" customFormat="false" ht="15" hidden="false" customHeight="false" outlineLevel="0" collapsed="false">
      <c r="A12296" s="5" t="s">
        <v>459</v>
      </c>
      <c r="C12296" s="25" t="n">
        <f aca="false">IF(C12281&gt;0,C12291,C12271)</f>
        <v>250</v>
      </c>
    </row>
    <row r="12297" customFormat="false" ht="15" hidden="false" customHeight="false" outlineLevel="0" collapsed="false">
      <c r="A12297" s="5" t="s">
        <v>460</v>
      </c>
      <c r="C12297" s="25" t="n">
        <f aca="false">IF(C12282&gt;0,C12292,C12272)</f>
        <v>300</v>
      </c>
    </row>
    <row r="12298" customFormat="false" ht="15" hidden="false" customHeight="false" outlineLevel="0" collapsed="false">
      <c r="A12298" s="23" t="s">
        <v>466</v>
      </c>
      <c r="B12298" s="24"/>
      <c r="C12298" s="24"/>
      <c r="D12298" s="24"/>
      <c r="E12298" s="24"/>
      <c r="F12298" s="24"/>
      <c r="G12298" s="24"/>
      <c r="H12298" s="24"/>
      <c r="I12298" s="24"/>
      <c r="J12298" s="24"/>
      <c r="K12298" s="24"/>
    </row>
    <row r="12299" customFormat="false" ht="15" hidden="false" customHeight="false" outlineLevel="0" collapsed="false">
      <c r="A12299" s="5" t="s">
        <v>457</v>
      </c>
      <c r="C12299" s="20" t="n">
        <f aca="false">IF(C12279&gt;0,Assumptions!$C$17,C12274)</f>
        <v>1</v>
      </c>
    </row>
    <row r="12300" customFormat="false" ht="15" hidden="false" customHeight="false" outlineLevel="0" collapsed="false">
      <c r="A12300" s="5" t="s">
        <v>458</v>
      </c>
      <c r="C12300" s="20" t="n">
        <f aca="false">IF(C12280&gt;0,Assumptions!$C$17,C12275)</f>
        <v>2</v>
      </c>
    </row>
    <row r="12301" customFormat="false" ht="15" hidden="false" customHeight="false" outlineLevel="0" collapsed="false">
      <c r="A12301" s="5" t="s">
        <v>459</v>
      </c>
      <c r="C12301" s="20" t="n">
        <f aca="false">IF(C12281&gt;0,Assumptions!$C$17,C12276)</f>
        <v>3</v>
      </c>
    </row>
    <row r="12302" customFormat="false" ht="15" hidden="false" customHeight="false" outlineLevel="0" collapsed="false">
      <c r="A12302" s="5" t="s">
        <v>460</v>
      </c>
      <c r="C12302" s="20" t="n">
        <f aca="false">IF(C12282&gt;0,Assumptions!$C$17,C12277)</f>
        <v>4</v>
      </c>
    </row>
    <row r="12303" customFormat="false" ht="15" hidden="false" customHeight="false" outlineLevel="0" collapsed="false">
      <c r="A12303" s="23" t="s">
        <v>467</v>
      </c>
      <c r="B12303" s="24"/>
      <c r="C12303" s="24"/>
      <c r="D12303" s="24"/>
      <c r="E12303" s="24"/>
      <c r="F12303" s="24"/>
      <c r="G12303" s="24"/>
      <c r="H12303" s="24"/>
      <c r="I12303" s="24"/>
      <c r="J12303" s="24"/>
      <c r="K12303" s="24"/>
    </row>
    <row r="12304" customFormat="false" ht="15" hidden="false" customHeight="false" outlineLevel="0" collapsed="false">
      <c r="A12304" s="5" t="s">
        <v>457</v>
      </c>
      <c r="C12304" s="25" t="n">
        <f aca="false">SUMPRODUCT(($C$12299:$C$12302&lt;C12299)*$C$12294:$C$12297)</f>
        <v>0</v>
      </c>
    </row>
    <row r="12305" customFormat="false" ht="15" hidden="false" customHeight="false" outlineLevel="0" collapsed="false">
      <c r="A12305" s="5" t="s">
        <v>458</v>
      </c>
      <c r="C12305" s="25" t="n">
        <f aca="false">SUMPRODUCT(($C$12299:$C$12302&lt;C12300)*$C$12294:$C$12297)</f>
        <v>145.94</v>
      </c>
    </row>
    <row r="12306" customFormat="false" ht="15" hidden="false" customHeight="false" outlineLevel="0" collapsed="false">
      <c r="A12306" s="5" t="s">
        <v>459</v>
      </c>
      <c r="C12306" s="25" t="n">
        <f aca="false">SUMPRODUCT(($C$12299:$C$12302&lt;C12301)*$C$12294:$C$12297)</f>
        <v>655.54</v>
      </c>
    </row>
    <row r="12307" customFormat="false" ht="15" hidden="false" customHeight="false" outlineLevel="0" collapsed="false">
      <c r="A12307" s="5" t="s">
        <v>460</v>
      </c>
      <c r="C12307" s="25" t="n">
        <f aca="false">SUMPRODUCT(($C$12299:$C$12302&lt;C12302)*$C$12294:$C$12297)</f>
        <v>905.54</v>
      </c>
    </row>
    <row r="12308" customFormat="false" ht="15" hidden="false" customHeight="false" outlineLevel="0" collapsed="false">
      <c r="A12308" s="23" t="s">
        <v>468</v>
      </c>
      <c r="B12308" s="24"/>
      <c r="C12308" s="24"/>
      <c r="D12308" s="24"/>
      <c r="E12308" s="24"/>
      <c r="F12308" s="24"/>
      <c r="G12308" s="24"/>
      <c r="H12308" s="24"/>
      <c r="I12308" s="24"/>
      <c r="J12308" s="24"/>
      <c r="K12308" s="24"/>
    </row>
    <row r="12309" customFormat="false" ht="15" hidden="false" customHeight="false" outlineLevel="0" collapsed="false">
      <c r="A12309" s="5" t="s">
        <v>457</v>
      </c>
      <c r="C12309" s="25" t="n">
        <f aca="false">SUMPRODUCT(($C$12299:$C$12302=C12299)*$C$12294:$C$12297)</f>
        <v>145.94</v>
      </c>
    </row>
    <row r="12310" customFormat="false" ht="15" hidden="false" customHeight="false" outlineLevel="0" collapsed="false">
      <c r="A12310" s="5" t="s">
        <v>458</v>
      </c>
      <c r="C12310" s="25" t="n">
        <f aca="false">SUMPRODUCT(($C$12299:$C$12302=C12300)*$C$12294:$C$12297)</f>
        <v>509.6</v>
      </c>
    </row>
    <row r="12311" customFormat="false" ht="15" hidden="false" customHeight="false" outlineLevel="0" collapsed="false">
      <c r="A12311" s="5" t="s">
        <v>459</v>
      </c>
      <c r="C12311" s="25" t="n">
        <f aca="false">SUMPRODUCT(($C$12299:$C$12302=C12301)*$C$12294:$C$12297)</f>
        <v>250</v>
      </c>
    </row>
    <row r="12312" customFormat="false" ht="15" hidden="false" customHeight="false" outlineLevel="0" collapsed="false">
      <c r="A12312" s="5" t="s">
        <v>460</v>
      </c>
      <c r="C12312" s="25" t="n">
        <f aca="false">SUMPRODUCT(($C$12299:$C$12302=C12302)*$C$12294:$C$12297)</f>
        <v>300</v>
      </c>
    </row>
    <row r="12313" customFormat="false" ht="15" hidden="false" customHeight="false" outlineLevel="0" collapsed="false">
      <c r="A12313" s="23" t="s">
        <v>469</v>
      </c>
      <c r="B12313" s="24"/>
      <c r="C12313" s="24"/>
      <c r="D12313" s="24"/>
      <c r="E12313" s="24"/>
      <c r="F12313" s="24"/>
      <c r="G12313" s="24"/>
      <c r="H12313" s="24"/>
      <c r="I12313" s="24"/>
      <c r="J12313" s="24"/>
      <c r="K12313" s="24"/>
    </row>
    <row r="12314" customFormat="false" ht="15" hidden="false" customHeight="false" outlineLevel="0" collapsed="false">
      <c r="A12314" s="5" t="s">
        <v>457</v>
      </c>
      <c r="C12314" s="25" t="n">
        <f aca="false">IF(C12309=0,0,C12294/C12309*MAX(0,MIN(C12309,$C$12267-SUM($C$12284:$C$12287)-C12304)))</f>
        <v>145.94</v>
      </c>
    </row>
    <row r="12315" customFormat="false" ht="15" hidden="false" customHeight="false" outlineLevel="0" collapsed="false">
      <c r="A12315" s="5" t="s">
        <v>458</v>
      </c>
      <c r="C12315" s="25" t="n">
        <f aca="false">IF(C12310=0,0,C12295/C12310*MAX(0,MIN(C12310,$C$12267-SUM($C$12284:$C$12287)-C12305)))</f>
        <v>509.6</v>
      </c>
    </row>
    <row r="12316" customFormat="false" ht="15" hidden="false" customHeight="false" outlineLevel="0" collapsed="false">
      <c r="A12316" s="5" t="s">
        <v>459</v>
      </c>
      <c r="C12316" s="25" t="n">
        <f aca="false">IF(C12311=0,0,C12296/C12311*MAX(0,MIN(C12311,$C$12267-SUM($C$12284:$C$12287)-C12306)))</f>
        <v>250</v>
      </c>
    </row>
    <row r="12317" customFormat="false" ht="15" hidden="false" customHeight="false" outlineLevel="0" collapsed="false">
      <c r="A12317" s="5" t="s">
        <v>460</v>
      </c>
      <c r="C12317" s="25" t="n">
        <f aca="false">IF(C12312=0,0,C12297/C12312*MAX(0,MIN(C12312,$C$12267-SUM($C$12284:$C$12287)-C12307)))</f>
        <v>118.86052</v>
      </c>
    </row>
    <row r="12318" customFormat="false" ht="15" hidden="false" customHeight="false" outlineLevel="0" collapsed="false">
      <c r="A12318" s="23" t="s">
        <v>470</v>
      </c>
      <c r="B12318" s="24"/>
      <c r="C12318" s="24"/>
      <c r="D12318" s="24"/>
      <c r="E12318" s="24"/>
      <c r="F12318" s="24"/>
      <c r="G12318" s="24"/>
      <c r="H12318" s="24"/>
      <c r="I12318" s="24"/>
      <c r="J12318" s="24"/>
      <c r="K12318" s="24"/>
    </row>
    <row r="12319" customFormat="false" ht="15" hidden="false" customHeight="false" outlineLevel="0" collapsed="false">
      <c r="A12319" s="2" t="s">
        <v>457</v>
      </c>
      <c r="C12319" s="16" t="n">
        <f aca="false">C12284+C12314</f>
        <v>145.94</v>
      </c>
    </row>
    <row r="12320" customFormat="false" ht="15" hidden="false" customHeight="false" outlineLevel="0" collapsed="false">
      <c r="A12320" s="2" t="s">
        <v>458</v>
      </c>
      <c r="C12320" s="16" t="n">
        <f aca="false">C12285+C12315</f>
        <v>509.6</v>
      </c>
    </row>
    <row r="12321" customFormat="false" ht="15" hidden="false" customHeight="false" outlineLevel="0" collapsed="false">
      <c r="A12321" s="2" t="s">
        <v>459</v>
      </c>
      <c r="C12321" s="16" t="n">
        <f aca="false">C12286+C12316</f>
        <v>250</v>
      </c>
    </row>
    <row r="12322" customFormat="false" ht="15" hidden="false" customHeight="false" outlineLevel="0" collapsed="false">
      <c r="A12322" s="2" t="s">
        <v>460</v>
      </c>
      <c r="C12322" s="16" t="n">
        <f aca="false">C12287+C12317</f>
        <v>118.86052</v>
      </c>
    </row>
    <row r="12323" customFormat="false" ht="15" hidden="false" customHeight="false" outlineLevel="0" collapsed="false">
      <c r="A12323" s="23" t="s">
        <v>471</v>
      </c>
      <c r="B12323" s="24"/>
      <c r="C12323" s="24"/>
      <c r="D12323" s="24"/>
      <c r="E12323" s="24"/>
      <c r="F12323" s="24"/>
      <c r="G12323" s="24"/>
      <c r="H12323" s="24"/>
      <c r="I12323" s="24"/>
      <c r="J12323" s="24"/>
      <c r="K12323" s="24"/>
    </row>
    <row r="12324" customFormat="false" ht="15" hidden="false" customHeight="false" outlineLevel="0" collapsed="false">
      <c r="A12324" s="5" t="s">
        <v>457</v>
      </c>
      <c r="C12324" s="21" t="n">
        <f aca="false">IF(C12269=0,1,C12319/C12269)</f>
        <v>1</v>
      </c>
    </row>
    <row r="12325" customFormat="false" ht="15" hidden="false" customHeight="false" outlineLevel="0" collapsed="false">
      <c r="A12325" s="5" t="s">
        <v>458</v>
      </c>
      <c r="C12325" s="21" t="n">
        <f aca="false">IF(C12270=0,1,C12320/C12270)</f>
        <v>1</v>
      </c>
    </row>
    <row r="12326" customFormat="false" ht="15" hidden="false" customHeight="false" outlineLevel="0" collapsed="false">
      <c r="A12326" s="5" t="s">
        <v>459</v>
      </c>
      <c r="C12326" s="21" t="n">
        <f aca="false">IF(C12271=0,1,C12321/C12271)</f>
        <v>1</v>
      </c>
    </row>
    <row r="12327" customFormat="false" ht="15" hidden="false" customHeight="false" outlineLevel="0" collapsed="false">
      <c r="A12327" s="5" t="s">
        <v>460</v>
      </c>
      <c r="C12327" s="21" t="n">
        <f aca="false">IF(C12272=0,1,C12322/C12272)</f>
        <v>0.396201733333333</v>
      </c>
    </row>
    <row r="12328" customFormat="false" ht="15" hidden="false" customHeight="false" outlineLevel="0" collapsed="false">
      <c r="A12328" s="23" t="s">
        <v>472</v>
      </c>
      <c r="B12328" s="24"/>
      <c r="C12328" s="24"/>
      <c r="D12328" s="24"/>
      <c r="E12328" s="24"/>
      <c r="F12328" s="24"/>
      <c r="G12328" s="24"/>
      <c r="H12328" s="24"/>
      <c r="I12328" s="24"/>
      <c r="J12328" s="24"/>
      <c r="K12328" s="24"/>
    </row>
    <row r="12329" customFormat="false" ht="15" hidden="false" customHeight="false" outlineLevel="0" collapsed="false">
      <c r="A12329" s="5" t="s">
        <v>457</v>
      </c>
      <c r="C12329" s="25" t="n">
        <f aca="false">C12269-C12319</f>
        <v>0</v>
      </c>
    </row>
    <row r="12330" customFormat="false" ht="15" hidden="false" customHeight="false" outlineLevel="0" collapsed="false">
      <c r="A12330" s="5" t="s">
        <v>458</v>
      </c>
      <c r="C12330" s="25" t="n">
        <f aca="false">C12270-C12320</f>
        <v>0</v>
      </c>
    </row>
    <row r="12331" customFormat="false" ht="15" hidden="false" customHeight="false" outlineLevel="0" collapsed="false">
      <c r="A12331" s="5" t="s">
        <v>459</v>
      </c>
      <c r="C12331" s="25" t="n">
        <f aca="false">C12271-C12321</f>
        <v>0</v>
      </c>
    </row>
    <row r="12332" customFormat="false" ht="15" hidden="false" customHeight="false" outlineLevel="0" collapsed="false">
      <c r="A12332" s="5" t="s">
        <v>460</v>
      </c>
      <c r="C12332" s="25" t="n">
        <f aca="false">C12272-C12322</f>
        <v>181.13948</v>
      </c>
    </row>
    <row r="12333" customFormat="false" ht="15" hidden="false" customHeight="false" outlineLevel="0" collapsed="false">
      <c r="A12333" s="23" t="s">
        <v>473</v>
      </c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</row>
    <row r="12334" customFormat="false" ht="15" hidden="false" customHeight="false" outlineLevel="0" collapsed="false">
      <c r="A12334" s="5" t="s">
        <v>457</v>
      </c>
      <c r="C12334" s="21" t="n">
        <f aca="false">IF(C12269=0,0,C12329/C12269)</f>
        <v>0</v>
      </c>
    </row>
    <row r="12335" customFormat="false" ht="15" hidden="false" customHeight="false" outlineLevel="0" collapsed="false">
      <c r="A12335" s="5" t="s">
        <v>458</v>
      </c>
      <c r="C12335" s="21" t="n">
        <f aca="false">IF(C12270=0,0,C12330/C12270)</f>
        <v>0</v>
      </c>
    </row>
    <row r="12336" customFormat="false" ht="15" hidden="false" customHeight="false" outlineLevel="0" collapsed="false">
      <c r="A12336" s="5" t="s">
        <v>459</v>
      </c>
      <c r="C12336" s="21" t="n">
        <f aca="false">IF(C12271=0,0,C12331/C12271)</f>
        <v>0</v>
      </c>
    </row>
    <row r="12337" customFormat="false" ht="15" hidden="false" customHeight="false" outlineLevel="0" collapsed="false">
      <c r="A12337" s="5" t="s">
        <v>460</v>
      </c>
      <c r="C12337" s="21" t="n">
        <f aca="false">IF(C12272=0,0,C12332/C12272)</f>
        <v>0.603798266666667</v>
      </c>
    </row>
    <row r="12338" customFormat="false" ht="15" hidden="false" customHeight="false" outlineLevel="0" collapsed="false">
      <c r="A12338" s="2" t="s">
        <v>474</v>
      </c>
      <c r="C12338" s="16" t="n">
        <f aca="false">MAX(0,$C$12267-SUM($C$12284:$C$12287)-SUM($C$12294:$C$12297))</f>
        <v>0</v>
      </c>
    </row>
    <row r="12339" customFormat="false" ht="15" hidden="false" customHeight="false" outlineLevel="0" collapsed="false">
      <c r="A12339" s="5" t="s">
        <v>492</v>
      </c>
      <c r="C12339" s="33" t="n">
        <f aca="false">MIN(C12266,100*CHOOSE(C12256,C12324,C12325,C12326,C12327))</f>
        <v>100</v>
      </c>
    </row>
    <row r="12340" customFormat="false" ht="15" hidden="false" customHeight="false" outlineLevel="0" collapsed="false">
      <c r="A12340" s="5" t="s">
        <v>493</v>
      </c>
      <c r="C12340" s="20" t="n">
        <f aca="false">IF(C12172=1,C12261+Assumptions!$C$36,C12260)</f>
        <v>3</v>
      </c>
    </row>
    <row r="12341" customFormat="false" ht="15" hidden="false" customHeight="false" outlineLevel="0" collapsed="false">
      <c r="A12341" s="23" t="s">
        <v>494</v>
      </c>
      <c r="B12341" s="24"/>
      <c r="C12341" s="24"/>
      <c r="D12341" s="24"/>
      <c r="E12341" s="24"/>
      <c r="F12341" s="24"/>
      <c r="G12341" s="24"/>
      <c r="H12341" s="24"/>
      <c r="I12341" s="24"/>
      <c r="J12341" s="24"/>
      <c r="K12341" s="24"/>
    </row>
    <row r="12342" customFormat="false" ht="15" hidden="false" customHeight="false" outlineLevel="0" collapsed="false">
      <c r="A12342" s="5" t="s">
        <v>495</v>
      </c>
      <c r="C12342" s="20" t="n">
        <f aca="false">COLUMN()-COLUMN($C$1)</f>
        <v>0</v>
      </c>
      <c r="D12342" s="20" t="n">
        <f aca="false">COLUMN()-COLUMN($C$1)</f>
        <v>1</v>
      </c>
      <c r="E12342" s="20" t="n">
        <f aca="false">COLUMN()-COLUMN($C$1)</f>
        <v>2</v>
      </c>
      <c r="F12342" s="20" t="n">
        <f aca="false">COLUMN()-COLUMN($C$1)</f>
        <v>3</v>
      </c>
      <c r="G12342" s="20" t="n">
        <f aca="false">COLUMN()-COLUMN($C$1)</f>
        <v>4</v>
      </c>
      <c r="H12342" s="20" t="n">
        <f aca="false">COLUMN()-COLUMN($C$1)</f>
        <v>5</v>
      </c>
      <c r="I12342" s="20" t="n">
        <f aca="false">COLUMN()-COLUMN($C$1)</f>
        <v>6</v>
      </c>
    </row>
    <row r="12343" customFormat="false" ht="15" hidden="false" customHeight="false" outlineLevel="0" collapsed="false">
      <c r="A12343" s="5" t="s">
        <v>496</v>
      </c>
      <c r="D12343" s="30" t="n">
        <f aca="false">CHOOSE($C$12256,G12054,G12067,G12080,G12093)</f>
        <v>0.098</v>
      </c>
      <c r="E12343" s="30" t="n">
        <f aca="false">CHOOSE($C$12256,H12054,H12067,H12080,H12093)</f>
        <v>0.0955</v>
      </c>
      <c r="F12343" s="30" t="n">
        <f aca="false">CHOOSE($C$12256,I12054,I12067,I12080,I12093)</f>
        <v>0.093</v>
      </c>
      <c r="G12343" s="30" t="n">
        <f aca="false">CHOOSE($C$12256,J12054,J12067,J12080,J12093)</f>
        <v>0.11</v>
      </c>
      <c r="H12343" s="30" t="n">
        <f aca="false">CHOOSE($C$12256,K12054,K12067,K12080,K12093)</f>
        <v>0.11</v>
      </c>
    </row>
    <row r="12344" customFormat="false" ht="15" hidden="false" customHeight="false" outlineLevel="0" collapsed="false">
      <c r="A12344" s="5" t="s">
        <v>497</v>
      </c>
      <c r="D12344" s="25" t="n">
        <f aca="false">IF(D12342&lt;=$C$12265,$C$12257*D12343,0)</f>
        <v>9.8</v>
      </c>
      <c r="E12344" s="25" t="n">
        <f aca="false">IF(E12342&lt;=$C$12265,$C$12257*E12343,0)</f>
        <v>9.55</v>
      </c>
      <c r="F12344" s="25" t="n">
        <f aca="false">IF(F12342&lt;=$C$12265,$C$12257*F12343,0)</f>
        <v>0</v>
      </c>
      <c r="G12344" s="25" t="n">
        <f aca="false">IF(G12342&lt;=$C$12265,$C$12257*G12343,0)</f>
        <v>0</v>
      </c>
      <c r="H12344" s="25" t="n">
        <f aca="false">IF(H12342&lt;=$C$12265,$C$12257*H12343,0)</f>
        <v>0</v>
      </c>
    </row>
    <row r="12345" customFormat="false" ht="15" hidden="false" customHeight="false" outlineLevel="0" collapsed="false">
      <c r="A12345" s="5" t="s">
        <v>498</v>
      </c>
      <c r="D12345" s="25" t="n">
        <f aca="false">IF(AND($C$12172=0,D12342=$C$12260),$C$12257*$C$12339/100,0)+IF(AND($C$12172=1,D12342=$C$12340),$C$12263,0)</f>
        <v>0</v>
      </c>
      <c r="E12345" s="25" t="n">
        <f aca="false">IF(AND($C$12172=0,E12342=$C$12260),$C$12257*$C$12339/100,0)+IF(AND($C$12172=1,E12342=$C$12340),$C$12263,0)</f>
        <v>0</v>
      </c>
      <c r="F12345" s="25" t="n">
        <f aca="false">IF(AND($C$12172=0,F12342=$C$12260),$C$12257*$C$12339/100,0)+IF(AND($C$12172=1,F12342=$C$12340),$C$12263,0)</f>
        <v>89.5565609693878</v>
      </c>
      <c r="G12345" s="25" t="n">
        <f aca="false">IF(AND($C$12172=0,G12342=$C$12260),$C$12257*$C$12339/100,0)+IF(AND($C$12172=1,G12342=$C$12340),$C$12263,0)</f>
        <v>0</v>
      </c>
      <c r="H12345" s="25" t="n">
        <f aca="false">IF(AND($C$12172=0,H12342=$C$12260),$C$12257*$C$12339/100,0)+IF(AND($C$12172=1,H12342=$C$12340),$C$12263,0)</f>
        <v>0</v>
      </c>
      <c r="I12345" s="25" t="n">
        <f aca="false">IF(AND($C$12172=0,I12342=$C$12260),$C$12257*$C$12339/100,0)+IF(AND($C$12172=1,I12342=$C$12340),$C$12263,0)</f>
        <v>0</v>
      </c>
    </row>
    <row r="12346" customFormat="false" ht="15" hidden="false" customHeight="false" outlineLevel="0" collapsed="false">
      <c r="A12346" s="2" t="s">
        <v>499</v>
      </c>
      <c r="C12346" s="16" t="n">
        <f aca="false">-$C$12259</f>
        <v>-78.39</v>
      </c>
      <c r="D12346" s="16" t="n">
        <f aca="false">D12344+D12345</f>
        <v>9.8</v>
      </c>
      <c r="E12346" s="16" t="n">
        <f aca="false">E12344+E12345</f>
        <v>9.55</v>
      </c>
      <c r="F12346" s="16" t="n">
        <f aca="false">F12344+F12345</f>
        <v>89.5565609693878</v>
      </c>
      <c r="G12346" s="16" t="n">
        <f aca="false">G12344+G12345</f>
        <v>0</v>
      </c>
      <c r="H12346" s="16" t="n">
        <f aca="false">H12344+H12345</f>
        <v>0</v>
      </c>
      <c r="I12346" s="16" t="n">
        <f aca="false">I12344+I12345</f>
        <v>0</v>
      </c>
    </row>
    <row r="12347" customFormat="false" ht="15" hidden="false" customHeight="false" outlineLevel="0" collapsed="false">
      <c r="A12347" s="5" t="s">
        <v>500</v>
      </c>
      <c r="C12347" s="25" t="n">
        <f aca="false">SUM($C$12344:$I$12344)</f>
        <v>19.35</v>
      </c>
    </row>
    <row r="12348" customFormat="false" ht="15" hidden="false" customHeight="false" outlineLevel="0" collapsed="false">
      <c r="A12348" s="5" t="s">
        <v>501</v>
      </c>
      <c r="C12348" s="25" t="n">
        <f aca="false">SUM($C$12345:$I$12345)</f>
        <v>89.5565609693878</v>
      </c>
    </row>
    <row r="12349" customFormat="false" ht="15" hidden="false" customHeight="false" outlineLevel="0" collapsed="false">
      <c r="A12349" s="5" t="s">
        <v>502</v>
      </c>
      <c r="C12349" s="25" t="n">
        <f aca="false">C12347+C12348</f>
        <v>108.906560969388</v>
      </c>
    </row>
    <row r="12350" customFormat="false" ht="15" hidden="false" customHeight="false" outlineLevel="0" collapsed="false">
      <c r="A12350" s="5" t="s">
        <v>503</v>
      </c>
      <c r="C12350" s="25" t="n">
        <f aca="false">C12348-C12257*C12258/100</f>
        <v>11.5565609693877</v>
      </c>
    </row>
    <row r="12351" customFormat="false" ht="15" hidden="false" customHeight="false" outlineLevel="0" collapsed="false">
      <c r="A12351" s="5" t="s">
        <v>504</v>
      </c>
      <c r="C12351" s="25" t="n">
        <f aca="false">C12349-C12259</f>
        <v>30.5165609693878</v>
      </c>
    </row>
    <row r="12352" customFormat="false" ht="15" hidden="false" customHeight="false" outlineLevel="0" collapsed="false">
      <c r="A12352" s="2" t="s">
        <v>385</v>
      </c>
      <c r="C12352" s="43" t="n">
        <f aca="false">C12349/C12259</f>
        <v>1.38929150362786</v>
      </c>
    </row>
    <row r="12353" customFormat="false" ht="15" hidden="false" customHeight="false" outlineLevel="0" collapsed="false">
      <c r="A12353" s="2" t="s">
        <v>384</v>
      </c>
      <c r="C12353" s="41" t="n">
        <f aca="false">IF(C12349&lt;=0,-1,IFERROR(IRR($C$12346:$I$12346,MAX(-0.9,C12352^(1/C12340)-1)),IRR($C$12346:$I$12346,0.1)))</f>
        <v>0.129079522221618</v>
      </c>
    </row>
    <row r="12354" customFormat="false" ht="15" hidden="false" customHeight="false" outlineLevel="0" collapsed="false">
      <c r="A12354" s="5" t="s">
        <v>505</v>
      </c>
      <c r="C12354" s="31" t="n">
        <f aca="false">MAX($G$12148:$K$12148)</f>
        <v>7.83954933954934</v>
      </c>
    </row>
    <row r="12355" customFormat="false" ht="15" hidden="false" customHeight="false" outlineLevel="0" collapsed="false">
      <c r="A12355" s="5" t="s">
        <v>506</v>
      </c>
      <c r="C12355" s="31" t="n">
        <f aca="false">MIN($G$12149:$K$12149)</f>
        <v>1.22476364501667</v>
      </c>
    </row>
    <row r="12356" customFormat="false" ht="15" hidden="false" customHeight="false" outlineLevel="0" collapsed="false">
      <c r="A12356" s="5" t="s">
        <v>507</v>
      </c>
      <c r="C12356" s="25" t="n">
        <f aca="false">SUM($G$12038:$K$12038)</f>
        <v>-34.6192753812399</v>
      </c>
    </row>
    <row r="12360" customFormat="false" ht="15" hidden="false" customHeight="false" outlineLevel="0" collapsed="false">
      <c r="A12360" s="9" t="s">
        <v>661</v>
      </c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</row>
    <row r="12361" customFormat="false" ht="15" hidden="false" customHeight="false" outlineLevel="0" collapsed="false">
      <c r="A12361" s="5" t="s">
        <v>622</v>
      </c>
      <c r="C12361" s="11" t="n">
        <v>1</v>
      </c>
    </row>
    <row r="12362" customFormat="false" ht="15" hidden="false" customHeight="false" outlineLevel="0" collapsed="false">
      <c r="A12362" s="5" t="s">
        <v>623</v>
      </c>
      <c r="C12362" s="18" t="n">
        <v>0</v>
      </c>
    </row>
    <row r="12363" customFormat="false" ht="15" hidden="false" customHeight="false" outlineLevel="0" collapsed="false">
      <c r="A12363" s="5" t="s">
        <v>624</v>
      </c>
      <c r="C12363" s="18" t="n">
        <v>0</v>
      </c>
    </row>
    <row r="12364" customFormat="false" ht="15" hidden="false" customHeight="false" outlineLevel="0" collapsed="false">
      <c r="A12364" s="5" t="s">
        <v>625</v>
      </c>
      <c r="C12364" s="29" t="n">
        <f aca="false">Sensitivities!$A$52</f>
        <v>0</v>
      </c>
    </row>
    <row r="12365" customFormat="false" ht="15" hidden="false" customHeight="false" outlineLevel="0" collapsed="false">
      <c r="A12365" s="5" t="s">
        <v>626</v>
      </c>
      <c r="C12365" s="15" t="n">
        <v>0</v>
      </c>
    </row>
    <row r="12367" customFormat="false" ht="15" hidden="false" customHeight="false" outlineLevel="0" collapsed="false">
      <c r="A12367" s="23" t="s">
        <v>237</v>
      </c>
      <c r="B12367" s="24"/>
      <c r="C12367" s="24"/>
      <c r="D12367" s="24"/>
      <c r="E12367" s="24"/>
      <c r="F12367" s="24"/>
      <c r="G12367" s="24"/>
      <c r="H12367" s="24"/>
      <c r="I12367" s="24"/>
      <c r="J12367" s="24"/>
      <c r="K12367" s="24"/>
    </row>
    <row r="12368" customFormat="false" ht="15" hidden="false" customHeight="false" outlineLevel="0" collapsed="false">
      <c r="A12368" s="5" t="s">
        <v>238</v>
      </c>
      <c r="F12368" s="26" t="n">
        <f aca="false">Assumptions!$C$6</f>
        <v>2025</v>
      </c>
      <c r="G12368" s="20" t="n">
        <f aca="false">F12368+1</f>
        <v>2026</v>
      </c>
      <c r="H12368" s="20" t="n">
        <f aca="false">G12368+1</f>
        <v>2027</v>
      </c>
      <c r="I12368" s="20" t="n">
        <f aca="false">H12368+1</f>
        <v>2028</v>
      </c>
      <c r="J12368" s="20" t="n">
        <f aca="false">I12368+1</f>
        <v>2029</v>
      </c>
      <c r="K12368" s="20" t="n">
        <f aca="false">J12368+1</f>
        <v>2030</v>
      </c>
    </row>
    <row r="12369" customFormat="false" ht="15" hidden="false" customHeight="false" outlineLevel="0" collapsed="false">
      <c r="A12369" s="5" t="s">
        <v>239</v>
      </c>
      <c r="G12369" s="20" t="n">
        <f aca="false">G12368-Assumptions!$C$6</f>
        <v>1</v>
      </c>
      <c r="H12369" s="20" t="n">
        <f aca="false">H12368-Assumptions!$C$6</f>
        <v>2</v>
      </c>
      <c r="I12369" s="20" t="n">
        <f aca="false">I12368-Assumptions!$C$6</f>
        <v>3</v>
      </c>
      <c r="J12369" s="20" t="n">
        <f aca="false">J12368-Assumptions!$C$6</f>
        <v>4</v>
      </c>
      <c r="K12369" s="20" t="n">
        <f aca="false">K12368-Assumptions!$C$6</f>
        <v>5</v>
      </c>
    </row>
    <row r="12370" customFormat="false" ht="15" hidden="false" customHeight="false" outlineLevel="0" collapsed="false">
      <c r="A12370" s="5" t="s">
        <v>149</v>
      </c>
      <c r="G12370" s="21" t="n">
        <f aca="false">CHOOSE($C$12361,Assumptions!$G$65,Assumptions!$G$84,Assumptions!$G$103)+$C$12362</f>
        <v>-0.01</v>
      </c>
      <c r="H12370" s="21" t="n">
        <f aca="false">CHOOSE($C$12361,Assumptions!$H$65,Assumptions!$H$84,Assumptions!$H$103)+$C$12362</f>
        <v>-0.01</v>
      </c>
      <c r="I12370" s="21" t="n">
        <f aca="false">CHOOSE($C$12361,Assumptions!$I$65,Assumptions!$I$84,Assumptions!$I$103)+$C$12362</f>
        <v>-0.01</v>
      </c>
      <c r="J12370" s="21" t="n">
        <f aca="false">CHOOSE($C$12361,Assumptions!$J$65,Assumptions!$J$84,Assumptions!$J$103)+$C$12362</f>
        <v>-0.01</v>
      </c>
      <c r="K12370" s="21" t="n">
        <f aca="false">CHOOSE($C$12361,Assumptions!$K$65,Assumptions!$K$84,Assumptions!$K$103)+$C$12362</f>
        <v>-0.01</v>
      </c>
    </row>
    <row r="12371" customFormat="false" ht="15" hidden="false" customHeight="false" outlineLevel="0" collapsed="false">
      <c r="A12371" s="5" t="s">
        <v>150</v>
      </c>
      <c r="G12371" s="21" t="n">
        <f aca="false">CHOOSE($C$12361,Assumptions!$G$66,Assumptions!$G$85,Assumptions!$G$104)</f>
        <v>0.36</v>
      </c>
      <c r="H12371" s="21" t="n">
        <f aca="false">CHOOSE($C$12361,Assumptions!$H$66,Assumptions!$H$85,Assumptions!$H$104)</f>
        <v>0.362</v>
      </c>
      <c r="I12371" s="21" t="n">
        <f aca="false">CHOOSE($C$12361,Assumptions!$I$66,Assumptions!$I$85,Assumptions!$I$104)</f>
        <v>0.364</v>
      </c>
      <c r="J12371" s="21" t="n">
        <f aca="false">CHOOSE($C$12361,Assumptions!$J$66,Assumptions!$J$85,Assumptions!$J$104)</f>
        <v>0.366</v>
      </c>
      <c r="K12371" s="21" t="n">
        <f aca="false">CHOOSE($C$12361,Assumptions!$K$66,Assumptions!$K$85,Assumptions!$K$104)</f>
        <v>0.368</v>
      </c>
    </row>
    <row r="12372" customFormat="false" ht="15" hidden="false" customHeight="false" outlineLevel="0" collapsed="false">
      <c r="A12372" s="5" t="s">
        <v>151</v>
      </c>
      <c r="G12372" s="21" t="n">
        <f aca="false">CHOOSE($C$12361,Assumptions!$G$67,Assumptions!$G$86,Assumptions!$G$105)+$C$12363</f>
        <v>0.065</v>
      </c>
      <c r="H12372" s="21" t="n">
        <f aca="false">CHOOSE($C$12361,Assumptions!$H$67,Assumptions!$H$86,Assumptions!$H$105)+$C$12363</f>
        <v>0.067</v>
      </c>
      <c r="I12372" s="21" t="n">
        <f aca="false">CHOOSE($C$12361,Assumptions!$I$67,Assumptions!$I$86,Assumptions!$I$105)+$C$12363</f>
        <v>0.069</v>
      </c>
      <c r="J12372" s="21" t="n">
        <f aca="false">CHOOSE($C$12361,Assumptions!$J$67,Assumptions!$J$86,Assumptions!$J$105)+$C$12363</f>
        <v>0.071</v>
      </c>
      <c r="K12372" s="21" t="n">
        <f aca="false">CHOOSE($C$12361,Assumptions!$K$67,Assumptions!$K$86,Assumptions!$K$105)+$C$12363</f>
        <v>0.073</v>
      </c>
    </row>
    <row r="12373" customFormat="false" ht="15" hidden="false" customHeight="false" outlineLevel="0" collapsed="false">
      <c r="A12373" s="23" t="s">
        <v>240</v>
      </c>
      <c r="B12373" s="24"/>
      <c r="C12373" s="24"/>
      <c r="D12373" s="24"/>
      <c r="E12373" s="24"/>
      <c r="F12373" s="24"/>
      <c r="G12373" s="24"/>
      <c r="H12373" s="24"/>
      <c r="I12373" s="24"/>
      <c r="J12373" s="24"/>
      <c r="K12373" s="24"/>
    </row>
    <row r="12374" customFormat="false" ht="15" hidden="false" customHeight="false" outlineLevel="0" collapsed="false">
      <c r="A12374" s="2" t="s">
        <v>207</v>
      </c>
      <c r="F12374" s="27" t="n">
        <f aca="false">'Historical Financials'!E17</f>
        <v>2400</v>
      </c>
      <c r="G12374" s="16" t="n">
        <f aca="false">F12374*(1+G12370)</f>
        <v>2376</v>
      </c>
      <c r="H12374" s="16" t="n">
        <f aca="false">G12374*(1+H12370)</f>
        <v>2352.24</v>
      </c>
      <c r="I12374" s="16" t="n">
        <f aca="false">H12374*(1+I12370)</f>
        <v>2328.7176</v>
      </c>
      <c r="J12374" s="16" t="n">
        <f aca="false">I12374*(1+J12370)</f>
        <v>2305.430424</v>
      </c>
      <c r="K12374" s="16" t="n">
        <f aca="false">J12374*(1+K12370)</f>
        <v>2282.37611976</v>
      </c>
    </row>
    <row r="12375" customFormat="false" ht="15" hidden="false" customHeight="false" outlineLevel="0" collapsed="false">
      <c r="A12375" s="5" t="s">
        <v>217</v>
      </c>
      <c r="G12375" s="25" t="n">
        <f aca="false">G12374*(1-G12371)</f>
        <v>1520.64</v>
      </c>
      <c r="H12375" s="25" t="n">
        <f aca="false">H12374*(1-H12371)</f>
        <v>1500.72912</v>
      </c>
      <c r="I12375" s="25" t="n">
        <f aca="false">I12374*(1-I12371)</f>
        <v>1481.0643936</v>
      </c>
      <c r="J12375" s="25" t="n">
        <f aca="false">J12374*(1-J12371)</f>
        <v>1461.642888816</v>
      </c>
      <c r="K12375" s="25" t="n">
        <f aca="false">K12374*(1-K12371)</f>
        <v>1442.46170768832</v>
      </c>
    </row>
    <row r="12376" customFormat="false" ht="15" hidden="false" customHeight="false" outlineLevel="0" collapsed="false">
      <c r="A12376" s="2" t="s">
        <v>218</v>
      </c>
      <c r="G12376" s="16" t="n">
        <f aca="false">G12374-G12375</f>
        <v>855.36</v>
      </c>
      <c r="H12376" s="16" t="n">
        <f aca="false">H12374-H12375</f>
        <v>851.51088</v>
      </c>
      <c r="I12376" s="16" t="n">
        <f aca="false">I12374-I12375</f>
        <v>847.6532064</v>
      </c>
      <c r="J12376" s="16" t="n">
        <f aca="false">J12374-J12375</f>
        <v>843.787535184</v>
      </c>
      <c r="K12376" s="16" t="n">
        <f aca="false">K12374-K12375</f>
        <v>839.91441207168</v>
      </c>
    </row>
    <row r="12377" customFormat="false" ht="15" hidden="false" customHeight="false" outlineLevel="0" collapsed="false">
      <c r="A12377" s="5" t="s">
        <v>241</v>
      </c>
      <c r="G12377" s="25" t="n">
        <f aca="false">G12376-G12378</f>
        <v>700.92</v>
      </c>
      <c r="H12377" s="25" t="n">
        <f aca="false">H12376-H12378</f>
        <v>693.9108</v>
      </c>
      <c r="I12377" s="25" t="n">
        <f aca="false">I12376-I12378</f>
        <v>686.971692</v>
      </c>
      <c r="J12377" s="25" t="n">
        <f aca="false">J12376-J12378</f>
        <v>680.10197508</v>
      </c>
      <c r="K12377" s="25" t="n">
        <f aca="false">K12376-K12378</f>
        <v>673.3009553292</v>
      </c>
    </row>
    <row r="12378" customFormat="false" ht="15" hidden="false" customHeight="false" outlineLevel="0" collapsed="false">
      <c r="A12378" s="2" t="s">
        <v>242</v>
      </c>
      <c r="G12378" s="16" t="n">
        <f aca="false">G12374*G12372</f>
        <v>154.44</v>
      </c>
      <c r="H12378" s="16" t="n">
        <f aca="false">H12374*H12372</f>
        <v>157.60008</v>
      </c>
      <c r="I12378" s="16" t="n">
        <f aca="false">I12374*I12372</f>
        <v>160.6815144</v>
      </c>
      <c r="J12378" s="16" t="n">
        <f aca="false">J12374*J12372</f>
        <v>163.685560104</v>
      </c>
      <c r="K12378" s="16" t="n">
        <f aca="false">K12374*K12372</f>
        <v>166.61345674248</v>
      </c>
    </row>
    <row r="12379" customFormat="false" ht="15" hidden="false" customHeight="false" outlineLevel="0" collapsed="false">
      <c r="A12379" s="5" t="s">
        <v>243</v>
      </c>
      <c r="G12379" s="25" t="n">
        <f aca="false">G12374*'Historical Financials'!E22/'Historical Financials'!E17</f>
        <v>52.272</v>
      </c>
      <c r="H12379" s="25" t="n">
        <f aca="false">H12374*'Historical Financials'!E22/'Historical Financials'!E17</f>
        <v>51.74928</v>
      </c>
      <c r="I12379" s="25" t="n">
        <f aca="false">I12374*'Historical Financials'!E22/'Historical Financials'!E17</f>
        <v>51.2317872</v>
      </c>
      <c r="J12379" s="25" t="n">
        <f aca="false">J12374*'Historical Financials'!E22/'Historical Financials'!E17</f>
        <v>50.719469328</v>
      </c>
      <c r="K12379" s="25" t="n">
        <f aca="false">K12374*'Historical Financials'!E22/'Historical Financials'!E17</f>
        <v>50.21227463472</v>
      </c>
    </row>
    <row r="12380" customFormat="false" ht="15" hidden="false" customHeight="false" outlineLevel="0" collapsed="false">
      <c r="A12380" s="5" t="s">
        <v>244</v>
      </c>
      <c r="G12380" s="25" t="n">
        <f aca="false">G12374*'Historical Financials'!E23/'Historical Financials'!E17</f>
        <v>0</v>
      </c>
      <c r="H12380" s="25" t="n">
        <f aca="false">H12374*'Historical Financials'!E23/'Historical Financials'!E17</f>
        <v>0</v>
      </c>
      <c r="I12380" s="25" t="n">
        <f aca="false">I12374*'Historical Financials'!E23/'Historical Financials'!E17</f>
        <v>0</v>
      </c>
      <c r="J12380" s="25" t="n">
        <f aca="false">J12374*'Historical Financials'!E23/'Historical Financials'!E17</f>
        <v>0</v>
      </c>
      <c r="K12380" s="25" t="n">
        <f aca="false">K12374*'Historical Financials'!E23/'Historical Financials'!E17</f>
        <v>0</v>
      </c>
    </row>
    <row r="12381" customFormat="false" ht="15" hidden="false" customHeight="false" outlineLevel="0" collapsed="false">
      <c r="A12381" s="2" t="s">
        <v>245</v>
      </c>
      <c r="G12381" s="16" t="n">
        <f aca="false">G12378-G12379-G12380</f>
        <v>102.168</v>
      </c>
      <c r="H12381" s="16" t="n">
        <f aca="false">H12378-H12379-H12380</f>
        <v>105.8508</v>
      </c>
      <c r="I12381" s="16" t="n">
        <f aca="false">I12378-I12379-I12380</f>
        <v>109.4497272</v>
      </c>
      <c r="J12381" s="16" t="n">
        <f aca="false">J12378-J12379-J12380</f>
        <v>112.966090776</v>
      </c>
      <c r="K12381" s="16" t="n">
        <f aca="false">K12378-K12379-K12380</f>
        <v>116.40118210776</v>
      </c>
    </row>
    <row r="12382" customFormat="false" ht="15" hidden="false" customHeight="false" outlineLevel="0" collapsed="false">
      <c r="A12382" s="5" t="s">
        <v>246</v>
      </c>
      <c r="G12382" s="25" t="n">
        <f aca="false">G12408+G12421+G12434+G12447</f>
        <v>119.04</v>
      </c>
      <c r="H12382" s="25" t="n">
        <f aca="false">H12408+H12421+H12434+H12447</f>
        <v>114.21564</v>
      </c>
      <c r="I12382" s="25" t="n">
        <f aca="false">I12408+I12421+I12434+I12447</f>
        <v>126.8792</v>
      </c>
      <c r="J12382" s="25" t="n">
        <f aca="false">J12408+J12421+J12434+J12447</f>
        <v>134.749836056</v>
      </c>
      <c r="K12382" s="25" t="n">
        <f aca="false">K12408+K12421+K12434+K12447</f>
        <v>136.33146262032</v>
      </c>
    </row>
    <row r="12383" customFormat="false" ht="15" hidden="false" customHeight="false" outlineLevel="0" collapsed="false">
      <c r="A12383" s="5" t="s">
        <v>247</v>
      </c>
      <c r="G12383" s="25" t="n">
        <f aca="false">G12409+G12422+G12435+G12448</f>
        <v>0</v>
      </c>
      <c r="H12383" s="25" t="n">
        <f aca="false">H12409+H12422+H12435+H12448</f>
        <v>0</v>
      </c>
      <c r="I12383" s="25" t="n">
        <f aca="false">I12409+I12422+I12435+I12448</f>
        <v>0</v>
      </c>
      <c r="J12383" s="25" t="n">
        <f aca="false">J12409+J12422+J12435+J12448</f>
        <v>0</v>
      </c>
      <c r="K12383" s="25" t="n">
        <f aca="false">K12409+K12422+K12435+K12448</f>
        <v>0</v>
      </c>
    </row>
    <row r="12384" customFormat="false" ht="15" hidden="false" customHeight="false" outlineLevel="0" collapsed="false">
      <c r="A12384" s="5" t="s">
        <v>212</v>
      </c>
      <c r="G12384" s="25" t="n">
        <f aca="false">G12382+G12383</f>
        <v>119.04</v>
      </c>
      <c r="H12384" s="25" t="n">
        <f aca="false">H12382+H12383</f>
        <v>114.21564</v>
      </c>
      <c r="I12384" s="25" t="n">
        <f aca="false">I12382+I12383</f>
        <v>126.8792</v>
      </c>
      <c r="J12384" s="25" t="n">
        <f aca="false">J12382+J12383</f>
        <v>134.749836056</v>
      </c>
      <c r="K12384" s="25" t="n">
        <f aca="false">K12382+K12383</f>
        <v>136.33146262032</v>
      </c>
    </row>
    <row r="12385" customFormat="false" ht="15" hidden="false" customHeight="false" outlineLevel="0" collapsed="false">
      <c r="A12385" s="2" t="s">
        <v>223</v>
      </c>
      <c r="G12385" s="16" t="n">
        <f aca="false">G12381-G12384</f>
        <v>-16.872</v>
      </c>
      <c r="H12385" s="16" t="n">
        <f aca="false">H12381-H12384</f>
        <v>-8.36484</v>
      </c>
      <c r="I12385" s="16" t="n">
        <f aca="false">I12381-I12384</f>
        <v>-17.4294728</v>
      </c>
      <c r="J12385" s="16" t="n">
        <f aca="false">J12381-J12384</f>
        <v>-21.78374528</v>
      </c>
      <c r="K12385" s="16" t="n">
        <f aca="false">K12381-K12384</f>
        <v>-19.93028051256</v>
      </c>
    </row>
    <row r="12386" customFormat="false" ht="15" hidden="false" customHeight="false" outlineLevel="0" collapsed="false">
      <c r="A12386" s="5" t="s">
        <v>213</v>
      </c>
      <c r="G12386" s="25" t="n">
        <f aca="false">MAX(0,G12385)*Assumptions!$C$9</f>
        <v>0</v>
      </c>
      <c r="H12386" s="25" t="n">
        <f aca="false">MAX(0,H12385)*Assumptions!$C$9</f>
        <v>0</v>
      </c>
      <c r="I12386" s="25" t="n">
        <f aca="false">MAX(0,I12385)*Assumptions!$C$9</f>
        <v>0</v>
      </c>
      <c r="J12386" s="25" t="n">
        <f aca="false">MAX(0,J12385)*Assumptions!$C$9</f>
        <v>0</v>
      </c>
      <c r="K12386" s="25" t="n">
        <f aca="false">MAX(0,K12385)*Assumptions!$C$9</f>
        <v>0</v>
      </c>
    </row>
    <row r="12387" customFormat="false" ht="15" hidden="false" customHeight="false" outlineLevel="0" collapsed="false">
      <c r="A12387" s="2" t="s">
        <v>248</v>
      </c>
      <c r="G12387" s="16" t="n">
        <f aca="false">G12385-G12386</f>
        <v>-16.872</v>
      </c>
      <c r="H12387" s="16" t="n">
        <f aca="false">H12385-H12386</f>
        <v>-8.36484</v>
      </c>
      <c r="I12387" s="16" t="n">
        <f aca="false">I12385-I12386</f>
        <v>-17.4294728</v>
      </c>
      <c r="J12387" s="16" t="n">
        <f aca="false">J12385-J12386</f>
        <v>-21.78374528</v>
      </c>
      <c r="K12387" s="16" t="n">
        <f aca="false">K12385-K12386</f>
        <v>-19.93028051256</v>
      </c>
    </row>
    <row r="12388" customFormat="false" ht="15" hidden="false" customHeight="false" outlineLevel="0" collapsed="false">
      <c r="A12388" s="23" t="s">
        <v>249</v>
      </c>
      <c r="B12388" s="24"/>
      <c r="C12388" s="24"/>
      <c r="D12388" s="24"/>
      <c r="E12388" s="24"/>
      <c r="F12388" s="24"/>
      <c r="G12388" s="24"/>
      <c r="H12388" s="24"/>
      <c r="I12388" s="24"/>
      <c r="J12388" s="24"/>
      <c r="K12388" s="24"/>
    </row>
    <row r="12389" customFormat="false" ht="15" hidden="false" customHeight="false" outlineLevel="0" collapsed="false">
      <c r="A12389" s="5" t="s">
        <v>153</v>
      </c>
      <c r="G12389" s="25" t="n">
        <f aca="false">G12374*CHOOSE($C$12361,Assumptions!$C$69,Assumptions!$C$88,Assumptions!$C$107)</f>
        <v>47.52</v>
      </c>
      <c r="H12389" s="25" t="n">
        <f aca="false">H12374*CHOOSE($C$12361,Assumptions!$C$69,Assumptions!$C$88,Assumptions!$C$107)</f>
        <v>47.0448</v>
      </c>
      <c r="I12389" s="25" t="n">
        <f aca="false">I12374*CHOOSE($C$12361,Assumptions!$C$69,Assumptions!$C$88,Assumptions!$C$107)</f>
        <v>46.574352</v>
      </c>
      <c r="J12389" s="25" t="n">
        <f aca="false">J12374*CHOOSE($C$12361,Assumptions!$C$69,Assumptions!$C$88,Assumptions!$C$107)</f>
        <v>46.10860848</v>
      </c>
      <c r="K12389" s="25" t="n">
        <f aca="false">K12374*CHOOSE($C$12361,Assumptions!$C$69,Assumptions!$C$88,Assumptions!$C$107)</f>
        <v>45.6475223952</v>
      </c>
    </row>
    <row r="12390" customFormat="false" ht="15" hidden="false" customHeight="false" outlineLevel="0" collapsed="false">
      <c r="A12390" s="5" t="s">
        <v>250</v>
      </c>
      <c r="G12390" s="25" t="n">
        <f aca="false">CHOOSE($C$12361,Assumptions!$C$70,Assumptions!$C$89,Assumptions!$C$108)*(G12374-F12374)+CHOOSE($C$12361,Assumptions!$C$71,Assumptions!$C$90,Assumptions!$C$109)*G12374</f>
        <v>-2.88</v>
      </c>
      <c r="H12390" s="25" t="n">
        <f aca="false">CHOOSE($C$12361,Assumptions!$C$70,Assumptions!$C$89,Assumptions!$C$108)*(H12374-G12374)+CHOOSE($C$12361,Assumptions!$C$71,Assumptions!$C$90,Assumptions!$C$109)*H12374</f>
        <v>-2.85120000000003</v>
      </c>
      <c r="I12390" s="25" t="n">
        <f aca="false">CHOOSE($C$12361,Assumptions!$C$70,Assumptions!$C$89,Assumptions!$C$108)*(I12374-H12374)+CHOOSE($C$12361,Assumptions!$C$71,Assumptions!$C$90,Assumptions!$C$109)*I12374</f>
        <v>-2.82268799999998</v>
      </c>
      <c r="J12390" s="25" t="n">
        <f aca="false">CHOOSE($C$12361,Assumptions!$C$70,Assumptions!$C$89,Assumptions!$C$108)*(J12374-I12374)+CHOOSE($C$12361,Assumptions!$C$71,Assumptions!$C$90,Assumptions!$C$109)*J12374</f>
        <v>-2.79446111999998</v>
      </c>
      <c r="K12390" s="25" t="n">
        <f aca="false">CHOOSE($C$12361,Assumptions!$C$70,Assumptions!$C$89,Assumptions!$C$108)*(K12374-J12374)+CHOOSE($C$12361,Assumptions!$C$71,Assumptions!$C$90,Assumptions!$C$109)*K12374</f>
        <v>-2.7665165088</v>
      </c>
    </row>
    <row r="12391" customFormat="false" ht="15" hidden="false" customHeight="false" outlineLevel="0" collapsed="false">
      <c r="A12391" s="2" t="s">
        <v>251</v>
      </c>
      <c r="G12391" s="16" t="n">
        <f aca="false">G12387+G12379+G12380+G12383-G12389-G12390</f>
        <v>-9.24000000000001</v>
      </c>
      <c r="H12391" s="16" t="n">
        <f aca="false">H12387+H12379+H12380+H12383-H12389-H12390</f>
        <v>-0.809159999999978</v>
      </c>
      <c r="I12391" s="16" t="n">
        <f aca="false">I12387+I12379+I12380+I12383-I12389-I12390</f>
        <v>-9.94934960000002</v>
      </c>
      <c r="J12391" s="16" t="n">
        <f aca="false">J12387+J12379+J12380+J12383-J12389-J12390</f>
        <v>-14.378423312</v>
      </c>
      <c r="K12391" s="16" t="n">
        <f aca="false">K12387+K12379+K12380+K12383-K12389-K12390</f>
        <v>-12.59901176424</v>
      </c>
    </row>
    <row r="12393" customFormat="false" ht="15" hidden="false" customHeight="false" outlineLevel="0" collapsed="false">
      <c r="A12393" s="23" t="s">
        <v>253</v>
      </c>
      <c r="B12393" s="24"/>
      <c r="C12393" s="24"/>
      <c r="D12393" s="24"/>
      <c r="E12393" s="24"/>
      <c r="F12393" s="24"/>
      <c r="G12393" s="24"/>
      <c r="H12393" s="24"/>
      <c r="I12393" s="24"/>
      <c r="J12393" s="24"/>
      <c r="K12393" s="24"/>
    </row>
    <row r="12394" customFormat="false" ht="15" hidden="false" customHeight="false" outlineLevel="0" collapsed="false">
      <c r="A12394" s="5" t="s">
        <v>254</v>
      </c>
      <c r="G12394" s="29" t="n">
        <f aca="false">Assumptions!$G$49</f>
        <v>0.0425</v>
      </c>
      <c r="H12394" s="29" t="n">
        <f aca="false">Assumptions!$H$49</f>
        <v>0.04</v>
      </c>
      <c r="I12394" s="29" t="n">
        <f aca="false">Assumptions!$I$49</f>
        <v>0.0375</v>
      </c>
      <c r="J12394" s="29" t="n">
        <f aca="false">Assumptions!$J$49</f>
        <v>0.0375</v>
      </c>
      <c r="K12394" s="29" t="n">
        <f aca="false">Assumptions!$K$49</f>
        <v>0.0375</v>
      </c>
    </row>
    <row r="12395" customFormat="false" ht="15" hidden="false" customHeight="false" outlineLevel="0" collapsed="false">
      <c r="A12395" s="5" t="s">
        <v>255</v>
      </c>
      <c r="C12395" s="30" t="n">
        <f aca="false">CHOOSE($C$12361,Assumptions!$C$72,Assumptions!$C$91,Assumptions!$C$110)+$C$12364</f>
        <v>0</v>
      </c>
    </row>
    <row r="12396" customFormat="false" ht="15" hidden="false" customHeight="false" outlineLevel="0" collapsed="false">
      <c r="A12396" s="5" t="s">
        <v>256</v>
      </c>
      <c r="C12396" s="30" t="n">
        <f aca="false">CHOOSE($C$12361,Assumptions!$C$73,Assumptions!$C$92,Assumptions!$C$111)</f>
        <v>0.11</v>
      </c>
    </row>
    <row r="12397" customFormat="false" ht="15" hidden="false" customHeight="false" outlineLevel="0" collapsed="false">
      <c r="A12397" s="5" t="s">
        <v>257</v>
      </c>
      <c r="C12397" s="31" t="n">
        <f aca="false">CHOOSE($C$12361,Assumptions!$C$74,Assumptions!$C$93,Assumptions!$C$112)</f>
        <v>8.5</v>
      </c>
    </row>
    <row r="12398" customFormat="false" ht="15" hidden="false" customHeight="false" outlineLevel="0" collapsed="false">
      <c r="A12398" s="5" t="s">
        <v>258</v>
      </c>
      <c r="C12398" s="31" t="n">
        <f aca="false">CHOOSE($C$12361,Assumptions!$C$75,Assumptions!$C$94,Assumptions!$C$113)</f>
        <v>1.2</v>
      </c>
    </row>
    <row r="12399" customFormat="false" ht="15" hidden="false" customHeight="false" outlineLevel="0" collapsed="false">
      <c r="A12399" s="5" t="s">
        <v>259</v>
      </c>
      <c r="G12399" s="25" t="n">
        <f aca="false">G12404+G12417+G12430+G12443</f>
        <v>1250</v>
      </c>
      <c r="H12399" s="25" t="n">
        <f aca="false">H12404+H12417+H12430+H12443</f>
        <v>1214.24</v>
      </c>
      <c r="I12399" s="25" t="n">
        <f aca="false">I12404+I12417+I12430+I12443</f>
        <v>1209.04</v>
      </c>
      <c r="J12399" s="25" t="n">
        <f aca="false">J12404+J12417+J12430+J12443</f>
        <v>1224.9985096</v>
      </c>
      <c r="K12399" s="25" t="n">
        <f aca="false">K12404+K12417+K12430+K12443</f>
        <v>1239.376932912</v>
      </c>
    </row>
    <row r="12400" customFormat="false" ht="15" hidden="false" customHeight="false" outlineLevel="0" collapsed="false">
      <c r="A12400" s="5" t="s">
        <v>260</v>
      </c>
      <c r="G12400" s="25" t="n">
        <f aca="false">F12490</f>
        <v>45</v>
      </c>
      <c r="H12400" s="25" t="n">
        <f aca="false">G12490</f>
        <v>0</v>
      </c>
      <c r="I12400" s="25" t="n">
        <f aca="false">H12490</f>
        <v>-6.00915999999998</v>
      </c>
      <c r="J12400" s="25" t="n">
        <f aca="false">I12490</f>
        <v>0</v>
      </c>
      <c r="K12400" s="25" t="n">
        <f aca="false">J12490</f>
        <v>0</v>
      </c>
    </row>
    <row r="12401" customFormat="false" ht="15" hidden="false" customHeight="false" outlineLevel="0" collapsed="false">
      <c r="A12401" s="5" t="s">
        <v>261</v>
      </c>
      <c r="G12401" s="25" t="n">
        <f aca="false">G12404*IF(G12405=1,$C$12396,IF(Assumptions!$I$53=1,MAX(G12394,Assumptions!$G$53)+Assumptions!$F$53+$C$12395,Assumptions!$E$53))+G12417*IF(G12418=1,$C$12396,IF(Assumptions!$I$54=1,MAX(G12394,Assumptions!$G$54)+Assumptions!$F$54+$C$12395,Assumptions!$E$54))+G12430*IF(G12431=1,$C$12396,IF(Assumptions!$I$55=1,MAX(G12394,Assumptions!$G$55)+Assumptions!$F$55+$C$12395,Assumptions!$E$55))+G12443*IF(G12444=1,$C$12396,IF(Assumptions!$I$56=1,MAX(G12394,Assumptions!$G$56)+Assumptions!$F$56+$C$12395,Assumptions!$E$56))</f>
        <v>119.04</v>
      </c>
      <c r="H12401" s="25" t="n">
        <f aca="false">H12404*IF(OR(H12405=1,G12556=1),$C$12396,IF(Assumptions!$I$53=1,MAX(H12394,Assumptions!$G$53)+Assumptions!$F$53+$C$12395,Assumptions!$E$53))+H12417*IF(OR(H12418=1,G12557=1),$C$12396,IF(Assumptions!$I$54=1,MAX(H12394,Assumptions!$G$54)+Assumptions!$F$54+$C$12395,Assumptions!$E$54))+H12430*IF(OR(H12431=1,G12558=1),$C$12396,IF(Assumptions!$I$55=1,MAX(H12394,Assumptions!$G$55)+Assumptions!$F$55+$C$12395,Assumptions!$E$55))+H12443*IF(OR(H12444=1,G12559=1),$C$12396,IF(Assumptions!$I$56=1,MAX(H12394,Assumptions!$G$56)+Assumptions!$F$56+$C$12395,Assumptions!$E$56))</f>
        <v>128.6758</v>
      </c>
      <c r="I12401" s="25" t="n">
        <f aca="false">I12404*IF(OR(I12405=1,H12556=1),$C$12396,IF(Assumptions!$I$53=1,MAX(I12394,Assumptions!$G$53)+Assumptions!$F$53+$C$12395,Assumptions!$E$53))+I12417*IF(OR(I12418=1,H12557=1),$C$12396,IF(Assumptions!$I$54=1,MAX(I12394,Assumptions!$G$54)+Assumptions!$F$54+$C$12395,Assumptions!$E$54))+I12430*IF(OR(I12431=1,H12558=1),$C$12396,IF(Assumptions!$I$55=1,MAX(I12394,Assumptions!$G$55)+Assumptions!$F$55+$C$12395,Assumptions!$E$55))+I12443*IF(OR(I12444=1,H12559=1),$C$12396,IF(Assumptions!$I$56=1,MAX(I12394,Assumptions!$G$56)+Assumptions!$F$56+$C$12395,Assumptions!$E$56))</f>
        <v>132.9944</v>
      </c>
      <c r="J12401" s="25" t="n">
        <f aca="false">J12404*IF(OR(J12405=1,I12556=1),$C$12396,IF(Assumptions!$I$53=1,MAX(J12394,Assumptions!$G$53)+Assumptions!$F$53+$C$12395,Assumptions!$E$53))+J12417*IF(OR(J12418=1,I12557=1),$C$12396,IF(Assumptions!$I$54=1,MAX(J12394,Assumptions!$G$54)+Assumptions!$F$54+$C$12395,Assumptions!$E$54))+J12430*IF(OR(J12431=1,I12558=1),$C$12396,IF(Assumptions!$I$55=1,MAX(J12394,Assumptions!$G$55)+Assumptions!$F$55+$C$12395,Assumptions!$E$55))+J12443*IF(OR(J12444=1,I12559=1),$C$12396,IF(Assumptions!$I$56=1,MAX(J12394,Assumptions!$G$56)+Assumptions!$F$56+$C$12395,Assumptions!$E$56))</f>
        <v>134.749836056</v>
      </c>
      <c r="K12401" s="25" t="n">
        <f aca="false">K12404*IF(OR(K12405=1,J12556=1),$C$12396,IF(Assumptions!$I$53=1,MAX(K12394,Assumptions!$G$53)+Assumptions!$F$53+$C$12395,Assumptions!$E$53))+K12417*IF(OR(K12418=1,J12557=1),$C$12396,IF(Assumptions!$I$54=1,MAX(K12394,Assumptions!$G$54)+Assumptions!$F$54+$C$12395,Assumptions!$E$54))+K12430*IF(OR(K12431=1,J12558=1),$C$12396,IF(Assumptions!$I$55=1,MAX(K12394,Assumptions!$G$55)+Assumptions!$F$55+$C$12395,Assumptions!$E$55))+K12443*IF(OR(K12444=1,J12559=1),$C$12396,IF(Assumptions!$I$56=1,MAX(K12394,Assumptions!$G$56)+Assumptions!$F$56+$C$12395,Assumptions!$E$56))</f>
        <v>136.33146262032</v>
      </c>
    </row>
    <row r="12402" customFormat="false" ht="15" hidden="false" customHeight="false" outlineLevel="0" collapsed="false">
      <c r="A12402" s="5" t="s">
        <v>262</v>
      </c>
      <c r="G12402" s="20" t="n">
        <f aca="false">IF(G12378&lt;=0,0,IF(AND((G12399-G12400)/G12378&lt;=$C$12397,G12378/G12401&gt;=$C$12398),1,0))</f>
        <v>1</v>
      </c>
      <c r="H12402" s="20" t="n">
        <f aca="false">IF(H12378&lt;=0,0,IF(AND((H12399-H12400)/H12378&lt;=$C$12397,H12378/H12401&gt;=$C$12398),1,0))</f>
        <v>1</v>
      </c>
      <c r="I12402" s="20" t="n">
        <f aca="false">IF(I12378&lt;=0,0,IF(AND((I12399-I12400)/I12378&lt;=$C$12397,I12378/I12401&gt;=$C$12398),1,0))</f>
        <v>1</v>
      </c>
      <c r="J12402" s="20" t="n">
        <f aca="false">IF(J12378&lt;=0,0,IF(AND((J12399-J12400)/J12378&lt;=$C$12397,J12378/J12401&gt;=$C$12398),1,0))</f>
        <v>1</v>
      </c>
      <c r="K12402" s="20" t="n">
        <f aca="false">IF(K12378&lt;=0,0,IF(AND((K12399-K12400)/K12378&lt;=$C$12397,K12378/K12401&gt;=$C$12398),1,0))</f>
        <v>1</v>
      </c>
    </row>
    <row r="12403" customFormat="false" ht="15" hidden="false" customHeight="false" outlineLevel="0" collapsed="false">
      <c r="A12403" s="23" t="s">
        <v>263</v>
      </c>
      <c r="B12403" s="24"/>
      <c r="C12403" s="24"/>
      <c r="D12403" s="24"/>
      <c r="E12403" s="24"/>
      <c r="F12403" s="24"/>
      <c r="G12403" s="24"/>
      <c r="H12403" s="24"/>
      <c r="I12403" s="24"/>
      <c r="J12403" s="24"/>
      <c r="K12403" s="24"/>
    </row>
    <row r="12404" customFormat="false" ht="15" hidden="false" customHeight="false" outlineLevel="0" collapsed="false">
      <c r="A12404" s="5" t="s">
        <v>264</v>
      </c>
      <c r="G12404" s="25" t="n">
        <f aca="false">F12415</f>
        <v>180</v>
      </c>
      <c r="H12404" s="25" t="n">
        <f aca="false">G12415</f>
        <v>149.44</v>
      </c>
      <c r="I12404" s="25" t="n">
        <f aca="false">H12415</f>
        <v>149.44</v>
      </c>
      <c r="J12404" s="25" t="n">
        <f aca="false">I12415</f>
        <v>170.5985096</v>
      </c>
      <c r="K12404" s="25" t="n">
        <f aca="false">J12415</f>
        <v>190.176932912</v>
      </c>
    </row>
    <row r="12405" customFormat="false" ht="15" hidden="false" customHeight="false" outlineLevel="0" collapsed="false">
      <c r="A12405" s="5" t="s">
        <v>265</v>
      </c>
      <c r="G12405" s="20" t="n">
        <f aca="false">IF(G12368=Assumptions!$K$53,1,0)</f>
        <v>0</v>
      </c>
      <c r="H12405" s="20" t="n">
        <f aca="false">IF(H12368=Assumptions!$K$53,1,0)</f>
        <v>1</v>
      </c>
      <c r="I12405" s="20" t="n">
        <f aca="false">IF(I12368=Assumptions!$K$53,1,0)</f>
        <v>0</v>
      </c>
      <c r="J12405" s="20" t="n">
        <f aca="false">IF(J12368=Assumptions!$K$53,1,0)</f>
        <v>0</v>
      </c>
      <c r="K12405" s="20" t="n">
        <f aca="false">IF(K12368=Assumptions!$K$53,1,0)</f>
        <v>0</v>
      </c>
    </row>
    <row r="12407" customFormat="false" ht="15" hidden="false" customHeight="false" outlineLevel="0" collapsed="false">
      <c r="A12407" s="5" t="s">
        <v>266</v>
      </c>
      <c r="G12407" s="30" t="n">
        <f aca="false">IF(Assumptions!$I$53=1,MAX(G12394,Assumptions!$G$53)+Assumptions!$F$53+$C$12395,Assumptions!$E$53)</f>
        <v>0.086</v>
      </c>
      <c r="H12407" s="30" t="n">
        <f aca="false">IF(G12556=1,$C$12396,IF(Assumptions!$I$53=1,MAX(H12394,Assumptions!$G$53)+Assumptions!$F$53+$C$12395,Assumptions!$E$53))</f>
        <v>0.0835</v>
      </c>
      <c r="I12407" s="30" t="n">
        <f aca="false">IF(H12556=1,$C$12396,IF(Assumptions!$I$53=1,MAX(I12394,Assumptions!$G$53)+Assumptions!$F$53+$C$12395,Assumptions!$E$53))</f>
        <v>0.11</v>
      </c>
      <c r="J12407" s="30" t="n">
        <f aca="false">IF(I12556=1,$C$12396,IF(Assumptions!$I$53=1,MAX(J12394,Assumptions!$G$53)+Assumptions!$F$53+$C$12395,Assumptions!$E$53))</f>
        <v>0.11</v>
      </c>
      <c r="K12407" s="30" t="n">
        <f aca="false">IF(J12556=1,$C$12396,IF(Assumptions!$I$53=1,MAX(K12394,Assumptions!$G$53)+Assumptions!$F$53+$C$12395,Assumptions!$E$53))</f>
        <v>0.11</v>
      </c>
    </row>
    <row r="12408" customFormat="false" ht="15" hidden="false" customHeight="false" outlineLevel="0" collapsed="false">
      <c r="A12408" s="5" t="s">
        <v>267</v>
      </c>
      <c r="G12408" s="25" t="n">
        <f aca="false">G12404*G12407</f>
        <v>15.48</v>
      </c>
      <c r="H12408" s="25" t="n">
        <f aca="false">H12404*H12407</f>
        <v>12.47824</v>
      </c>
      <c r="I12408" s="25" t="n">
        <f aca="false">I12404*I12407</f>
        <v>16.4384</v>
      </c>
      <c r="J12408" s="25" t="n">
        <f aca="false">J12404*J12407</f>
        <v>18.765836056</v>
      </c>
      <c r="K12408" s="25" t="n">
        <f aca="false">K12404*K12407</f>
        <v>20.91946262032</v>
      </c>
    </row>
    <row r="12409" customFormat="false" ht="15" hidden="false" customHeight="false" outlineLevel="0" collapsed="false">
      <c r="A12409" s="5" t="s">
        <v>268</v>
      </c>
      <c r="G12409" s="25" t="n">
        <f aca="false">G12404*Assumptions!$H$53</f>
        <v>0</v>
      </c>
      <c r="H12409" s="25" t="n">
        <f aca="false">H12404*Assumptions!$H$53</f>
        <v>0</v>
      </c>
      <c r="I12409" s="25" t="n">
        <f aca="false">I12404*Assumptions!$H$53</f>
        <v>0</v>
      </c>
      <c r="J12409" s="25" t="n">
        <f aca="false">J12404*Assumptions!$H$53</f>
        <v>0</v>
      </c>
      <c r="K12409" s="25" t="n">
        <f aca="false">K12404*Assumptions!$H$53</f>
        <v>0</v>
      </c>
    </row>
    <row r="12410" customFormat="false" ht="15" hidden="false" customHeight="false" outlineLevel="0" collapsed="false">
      <c r="A12410" s="5" t="s">
        <v>269</v>
      </c>
      <c r="G12410" s="25" t="n">
        <f aca="false">MIN(G12404,Assumptions!$L$53*Assumptions!$C$53)</f>
        <v>0</v>
      </c>
      <c r="H12410" s="25" t="n">
        <f aca="false">MIN(H12404,Assumptions!$L$53*Assumptions!$C$53)</f>
        <v>0</v>
      </c>
      <c r="I12410" s="25" t="n">
        <f aca="false">MIN(I12404,Assumptions!$L$53*Assumptions!$C$53)</f>
        <v>0</v>
      </c>
      <c r="J12410" s="25" t="n">
        <f aca="false">MIN(J12404,Assumptions!$L$53*Assumptions!$C$53)</f>
        <v>0</v>
      </c>
      <c r="K12410" s="25" t="n">
        <f aca="false">MIN(K12404,Assumptions!$L$53*Assumptions!$C$53)</f>
        <v>0</v>
      </c>
    </row>
    <row r="12411" customFormat="false" ht="15" hidden="false" customHeight="false" outlineLevel="0" collapsed="false">
      <c r="A12411" s="5" t="s">
        <v>270</v>
      </c>
      <c r="G12411" s="25" t="n">
        <f aca="false">IF(AND(Assumptions!$P$53=1,G12368&lt;Assumptions!$K$53),MIN(MAX(0,-G12482),MAX(0,Assumptions!$D$53-G12404)),0)</f>
        <v>0</v>
      </c>
      <c r="H12411" s="25" t="n">
        <f aca="false">IF(AND(Assumptions!$P$53=1,OR(H12368&lt;Assumptions!$K$53,G12556=1)),MIN(MAX(0,-H12482),MAX(0,Assumptions!$D$53-H12404)),0)</f>
        <v>0</v>
      </c>
      <c r="I12411" s="25" t="n">
        <f aca="false">IF(AND(Assumptions!$P$53=1,OR(I12368&lt;Assumptions!$K$53,H12556=1)),MIN(MAX(0,-I12482),MAX(0,Assumptions!$D$53-I12404)),0)</f>
        <v>21.1585096</v>
      </c>
      <c r="J12411" s="25" t="n">
        <f aca="false">IF(AND(Assumptions!$P$53=1,OR(J12368&lt;Assumptions!$K$53,I12556=1)),MIN(MAX(0,-J12482),MAX(0,Assumptions!$D$53-J12404)),0)</f>
        <v>19.578423312</v>
      </c>
      <c r="K12411" s="25" t="n">
        <f aca="false">IF(AND(Assumptions!$P$53=1,OR(K12368&lt;Assumptions!$K$53,J12556=1)),MIN(MAX(0,-K12482),MAX(0,Assumptions!$D$53-K12404)),0)</f>
        <v>17.79901176424</v>
      </c>
    </row>
    <row r="12412" customFormat="false" ht="15" hidden="false" customHeight="false" outlineLevel="0" collapsed="false">
      <c r="A12412" s="5" t="s">
        <v>271</v>
      </c>
      <c r="G12412" s="25" t="n">
        <f aca="false">G12405*MIN(G12404-G12410+G12409,MAX(0,G12484-Assumptions!$C$12*G12402))</f>
        <v>0</v>
      </c>
      <c r="H12412" s="25" t="n">
        <f aca="false">H12405*MIN(H12404-H12410+H12409,MAX(0,H12484-Assumptions!$C$12*H12402))</f>
        <v>0</v>
      </c>
      <c r="I12412" s="25" t="n">
        <f aca="false">I12405*MIN(I12404-I12410+I12409,MAX(0,I12484-Assumptions!$C$12*I12402))</f>
        <v>0</v>
      </c>
      <c r="J12412" s="25" t="n">
        <f aca="false">J12405*MIN(J12404-J12410+J12409,MAX(0,J12484-Assumptions!$C$12*J12402))</f>
        <v>0</v>
      </c>
      <c r="K12412" s="25" t="n">
        <f aca="false">K12405*MIN(K12404-K12410+K12409,MAX(0,K12484-Assumptions!$C$12*K12402))</f>
        <v>0</v>
      </c>
    </row>
    <row r="12413" customFormat="false" ht="15" hidden="false" customHeight="false" outlineLevel="0" collapsed="false">
      <c r="A12413" s="5" t="s">
        <v>272</v>
      </c>
      <c r="G12413" s="25" t="n">
        <f aca="false">Assumptions!$N$53*MIN(G12404+G12411+G12409-G12410-G12412,MAX(0,G12488))</f>
        <v>30.56</v>
      </c>
      <c r="H12413" s="25" t="n">
        <f aca="false">Assumptions!$N$53*MIN(H12404+H12411+H12409-H12410-H12412,MAX(0,H12488))</f>
        <v>0</v>
      </c>
      <c r="I12413" s="25" t="n">
        <f aca="false">Assumptions!$N$53*MIN(I12404+I12411+I12409-I12410-I12412,MAX(0,I12488))</f>
        <v>0</v>
      </c>
      <c r="J12413" s="25" t="n">
        <f aca="false">Assumptions!$N$53*MIN(J12404+J12411+J12409-J12410-J12412,MAX(0,J12488))</f>
        <v>0</v>
      </c>
      <c r="K12413" s="25" t="n">
        <f aca="false">Assumptions!$N$53*MIN(K12404+K12411+K12409-K12410-K12412,MAX(0,K12488))</f>
        <v>0</v>
      </c>
    </row>
    <row r="12414" customFormat="false" ht="15" hidden="false" customHeight="false" outlineLevel="0" collapsed="false">
      <c r="A12414" s="5" t="s">
        <v>273</v>
      </c>
      <c r="G12414" s="25" t="n">
        <f aca="false">G12405*(1-G12402)*(G12404-G12410+G12409-G12412)</f>
        <v>0</v>
      </c>
      <c r="H12414" s="25" t="n">
        <f aca="false">H12405*(1-H12402)*(H12404-H12410+H12409-H12412)</f>
        <v>0</v>
      </c>
      <c r="I12414" s="25" t="n">
        <f aca="false">I12405*(1-I12402)*(I12404-I12410+I12409-I12412)</f>
        <v>0</v>
      </c>
      <c r="J12414" s="25" t="n">
        <f aca="false">J12405*(1-J12402)*(J12404-J12410+J12409-J12412)</f>
        <v>0</v>
      </c>
      <c r="K12414" s="25" t="n">
        <f aca="false">K12405*(1-K12402)*(K12404-K12410+K12409-K12412)</f>
        <v>0</v>
      </c>
    </row>
    <row r="12415" customFormat="false" ht="15" hidden="false" customHeight="false" outlineLevel="0" collapsed="false">
      <c r="A12415" s="2" t="s">
        <v>274</v>
      </c>
      <c r="F12415" s="27" t="n">
        <f aca="false">Assumptions!$C$53</f>
        <v>180</v>
      </c>
      <c r="G12415" s="16" t="n">
        <f aca="false">G12404+G12411+G12409-G12410-G12412-G12413</f>
        <v>149.44</v>
      </c>
      <c r="H12415" s="16" t="n">
        <f aca="false">H12404+H12411+H12409-H12410-H12412-H12413</f>
        <v>149.44</v>
      </c>
      <c r="I12415" s="16" t="n">
        <f aca="false">I12404+I12411+I12409-I12410-I12412-I12413</f>
        <v>170.5985096</v>
      </c>
      <c r="J12415" s="16" t="n">
        <f aca="false">J12404+J12411+J12409-J12410-J12412-J12413</f>
        <v>190.176932912</v>
      </c>
      <c r="K12415" s="16" t="n">
        <f aca="false">K12404+K12411+K12409-K12410-K12412-K12413</f>
        <v>207.97594467624</v>
      </c>
    </row>
    <row r="12416" customFormat="false" ht="15" hidden="false" customHeight="false" outlineLevel="0" collapsed="false">
      <c r="A12416" s="23" t="s">
        <v>275</v>
      </c>
      <c r="B12416" s="24"/>
      <c r="C12416" s="24"/>
      <c r="D12416" s="24"/>
      <c r="E12416" s="24"/>
      <c r="F12416" s="24"/>
      <c r="G12416" s="24"/>
      <c r="H12416" s="24"/>
      <c r="I12416" s="24"/>
      <c r="J12416" s="24"/>
      <c r="K12416" s="24"/>
    </row>
    <row r="12417" customFormat="false" ht="15" hidden="false" customHeight="false" outlineLevel="0" collapsed="false">
      <c r="A12417" s="5" t="s">
        <v>264</v>
      </c>
      <c r="G12417" s="25" t="n">
        <f aca="false">F12428</f>
        <v>520</v>
      </c>
      <c r="H12417" s="25" t="n">
        <f aca="false">G12428</f>
        <v>514.8</v>
      </c>
      <c r="I12417" s="25" t="n">
        <f aca="false">H12428</f>
        <v>509.6</v>
      </c>
      <c r="J12417" s="25" t="n">
        <f aca="false">I12428</f>
        <v>504.4</v>
      </c>
      <c r="K12417" s="25" t="n">
        <f aca="false">J12428</f>
        <v>499.2</v>
      </c>
    </row>
    <row r="12418" customFormat="false" ht="15" hidden="false" customHeight="false" outlineLevel="0" collapsed="false">
      <c r="A12418" s="5" t="s">
        <v>265</v>
      </c>
      <c r="G12418" s="20" t="n">
        <f aca="false">IF(G12368=Assumptions!$K$54,1,0)</f>
        <v>0</v>
      </c>
      <c r="H12418" s="20" t="n">
        <f aca="false">IF(H12368=Assumptions!$K$54,1,0)</f>
        <v>0</v>
      </c>
      <c r="I12418" s="20" t="n">
        <f aca="false">IF(I12368=Assumptions!$K$54,1,0)</f>
        <v>1</v>
      </c>
      <c r="J12418" s="20" t="n">
        <f aca="false">IF(J12368=Assumptions!$K$54,1,0)</f>
        <v>0</v>
      </c>
      <c r="K12418" s="20" t="n">
        <f aca="false">IF(K12368=Assumptions!$K$54,1,0)</f>
        <v>0</v>
      </c>
    </row>
    <row r="12420" customFormat="false" ht="15" hidden="false" customHeight="false" outlineLevel="0" collapsed="false">
      <c r="A12420" s="5" t="s">
        <v>266</v>
      </c>
      <c r="G12420" s="30" t="n">
        <f aca="false">IF(Assumptions!$I$54=1,MAX(G12394,Assumptions!$G$54)+Assumptions!$F$54+$C$12395,Assumptions!$E$54)</f>
        <v>0.103</v>
      </c>
      <c r="H12420" s="30" t="n">
        <f aca="false">IF(G12557=1,$C$12396,IF(Assumptions!$I$54=1,MAX(H12394,Assumptions!$G$54)+Assumptions!$F$54+$C$12395,Assumptions!$E$54))</f>
        <v>0.1005</v>
      </c>
      <c r="I12420" s="30" t="n">
        <f aca="false">IF(H12557=1,$C$12396,IF(Assumptions!$I$54=1,MAX(I12394,Assumptions!$G$54)+Assumptions!$F$54+$C$12395,Assumptions!$E$54))</f>
        <v>0.098</v>
      </c>
      <c r="J12420" s="30" t="n">
        <f aca="false">IF(I12557=1,$C$12396,IF(Assumptions!$I$54=1,MAX(J12394,Assumptions!$G$54)+Assumptions!$F$54+$C$12395,Assumptions!$E$54))</f>
        <v>0.11</v>
      </c>
      <c r="K12420" s="30" t="n">
        <f aca="false">IF(J12557=1,$C$12396,IF(Assumptions!$I$54=1,MAX(K12394,Assumptions!$G$54)+Assumptions!$F$54+$C$12395,Assumptions!$E$54))</f>
        <v>0.11</v>
      </c>
    </row>
    <row r="12421" customFormat="false" ht="15" hidden="false" customHeight="false" outlineLevel="0" collapsed="false">
      <c r="A12421" s="5" t="s">
        <v>267</v>
      </c>
      <c r="G12421" s="25" t="n">
        <f aca="false">G12417*G12420</f>
        <v>53.56</v>
      </c>
      <c r="H12421" s="25" t="n">
        <f aca="false">H12417*H12420</f>
        <v>51.7374</v>
      </c>
      <c r="I12421" s="25" t="n">
        <f aca="false">I12417*I12420</f>
        <v>49.9408</v>
      </c>
      <c r="J12421" s="25" t="n">
        <f aca="false">J12417*J12420</f>
        <v>55.484</v>
      </c>
      <c r="K12421" s="25" t="n">
        <f aca="false">K12417*K12420</f>
        <v>54.912</v>
      </c>
    </row>
    <row r="12422" customFormat="false" ht="15" hidden="false" customHeight="false" outlineLevel="0" collapsed="false">
      <c r="A12422" s="5" t="s">
        <v>268</v>
      </c>
      <c r="G12422" s="25" t="n">
        <f aca="false">G12417*Assumptions!$H$54</f>
        <v>0</v>
      </c>
      <c r="H12422" s="25" t="n">
        <f aca="false">H12417*Assumptions!$H$54</f>
        <v>0</v>
      </c>
      <c r="I12422" s="25" t="n">
        <f aca="false">I12417*Assumptions!$H$54</f>
        <v>0</v>
      </c>
      <c r="J12422" s="25" t="n">
        <f aca="false">J12417*Assumptions!$H$54</f>
        <v>0</v>
      </c>
      <c r="K12422" s="25" t="n">
        <f aca="false">K12417*Assumptions!$H$54</f>
        <v>0</v>
      </c>
    </row>
    <row r="12423" customFormat="false" ht="15" hidden="false" customHeight="false" outlineLevel="0" collapsed="false">
      <c r="A12423" s="5" t="s">
        <v>269</v>
      </c>
      <c r="G12423" s="25" t="n">
        <f aca="false">MIN(G12417,Assumptions!$L$54*Assumptions!$C$54)</f>
        <v>5.2</v>
      </c>
      <c r="H12423" s="25" t="n">
        <f aca="false">MIN(H12417,Assumptions!$L$54*Assumptions!$C$54)</f>
        <v>5.2</v>
      </c>
      <c r="I12423" s="25" t="n">
        <f aca="false">MIN(I12417,Assumptions!$L$54*Assumptions!$C$54)</f>
        <v>5.2</v>
      </c>
      <c r="J12423" s="25" t="n">
        <f aca="false">MIN(J12417,Assumptions!$L$54*Assumptions!$C$54)</f>
        <v>5.2</v>
      </c>
      <c r="K12423" s="25" t="n">
        <f aca="false">MIN(K12417,Assumptions!$L$54*Assumptions!$C$54)</f>
        <v>5.2</v>
      </c>
    </row>
    <row r="12424" customFormat="false" ht="15" hidden="false" customHeight="false" outlineLevel="0" collapsed="false">
      <c r="A12424" s="5" t="s">
        <v>270</v>
      </c>
      <c r="G12424" s="25" t="n">
        <f aca="false">IF(AND(Assumptions!$P$54=1,G12368&lt;Assumptions!$K$54),MIN(MAX(0,-G12482),MAX(0,Assumptions!$D$54-G12417)),0)</f>
        <v>0</v>
      </c>
      <c r="H12424" s="25" t="n">
        <f aca="false">IF(AND(Assumptions!$P$54=1,OR(H12368&lt;Assumptions!$K$54,G12557=1)),MIN(MAX(0,-H12482),MAX(0,Assumptions!$D$54-H12417)),0)</f>
        <v>0</v>
      </c>
      <c r="I12424" s="25" t="n">
        <f aca="false">IF(AND(Assumptions!$P$54=1,OR(I12368&lt;Assumptions!$K$54,H12557=1)),MIN(MAX(0,-I12482),MAX(0,Assumptions!$D$54-I12417)),0)</f>
        <v>0</v>
      </c>
      <c r="J12424" s="25" t="n">
        <f aca="false">IF(AND(Assumptions!$P$54=1,OR(J12368&lt;Assumptions!$K$54,I12557=1)),MIN(MAX(0,-J12482),MAX(0,Assumptions!$D$54-J12417)),0)</f>
        <v>0</v>
      </c>
      <c r="K12424" s="25" t="n">
        <f aca="false">IF(AND(Assumptions!$P$54=1,OR(K12368&lt;Assumptions!$K$54,J12557=1)),MIN(MAX(0,-K12482),MAX(0,Assumptions!$D$54-K12417)),0)</f>
        <v>0</v>
      </c>
    </row>
    <row r="12425" customFormat="false" ht="15" hidden="false" customHeight="false" outlineLevel="0" collapsed="false">
      <c r="A12425" s="5" t="s">
        <v>271</v>
      </c>
      <c r="G12425" s="25" t="n">
        <f aca="false">G12418*MIN(G12417-G12423+G12422,MAX(0,G12484-Assumptions!$C$12*G12402-G12412))</f>
        <v>0</v>
      </c>
      <c r="H12425" s="25" t="n">
        <f aca="false">H12418*MIN(H12417-H12423+H12422,MAX(0,H12484-Assumptions!$C$12*H12402-H12412))</f>
        <v>0</v>
      </c>
      <c r="I12425" s="25" t="n">
        <f aca="false">I12418*MIN(I12417-I12423+I12422,MAX(0,I12484-Assumptions!$C$12*I12402-I12412))</f>
        <v>0</v>
      </c>
      <c r="J12425" s="25" t="n">
        <f aca="false">J12418*MIN(J12417-J12423+J12422,MAX(0,J12484-Assumptions!$C$12*J12402-J12412))</f>
        <v>0</v>
      </c>
      <c r="K12425" s="25" t="n">
        <f aca="false">K12418*MIN(K12417-K12423+K12422,MAX(0,K12484-Assumptions!$C$12*K12402-K12412))</f>
        <v>0</v>
      </c>
    </row>
    <row r="12426" customFormat="false" ht="15" hidden="false" customHeight="false" outlineLevel="0" collapsed="false">
      <c r="A12426" s="5" t="s">
        <v>272</v>
      </c>
      <c r="G12426" s="25" t="n">
        <f aca="false">Assumptions!$N$54*MIN(G12417+G12424+G12422-G12423-G12425,MAX(0,G12488-G12413))</f>
        <v>0</v>
      </c>
      <c r="H12426" s="25" t="n">
        <f aca="false">Assumptions!$N$54*MIN(H12417+H12424+H12422-H12423-H12425,MAX(0,H12488-H12413))</f>
        <v>0</v>
      </c>
      <c r="I12426" s="25" t="n">
        <f aca="false">Assumptions!$N$54*MIN(I12417+I12424+I12422-I12423-I12425,MAX(0,I12488-I12413))</f>
        <v>0</v>
      </c>
      <c r="J12426" s="25" t="n">
        <f aca="false">Assumptions!$N$54*MIN(J12417+J12424+J12422-J12423-J12425,MAX(0,J12488-J12413))</f>
        <v>0</v>
      </c>
      <c r="K12426" s="25" t="n">
        <f aca="false">Assumptions!$N$54*MIN(K12417+K12424+K12422-K12423-K12425,MAX(0,K12488-K12413))</f>
        <v>0</v>
      </c>
    </row>
    <row r="12427" customFormat="false" ht="15" hidden="false" customHeight="false" outlineLevel="0" collapsed="false">
      <c r="A12427" s="5" t="s">
        <v>273</v>
      </c>
      <c r="G12427" s="25" t="n">
        <f aca="false">G12418*(1-G12402)*(G12417-G12423+G12422-G12425)</f>
        <v>0</v>
      </c>
      <c r="H12427" s="25" t="n">
        <f aca="false">H12418*(1-H12402)*(H12417-H12423+H12422-H12425)</f>
        <v>0</v>
      </c>
      <c r="I12427" s="25" t="n">
        <f aca="false">I12418*(1-I12402)*(I12417-I12423+I12422-I12425)</f>
        <v>0</v>
      </c>
      <c r="J12427" s="25" t="n">
        <f aca="false">J12418*(1-J12402)*(J12417-J12423+J12422-J12425)</f>
        <v>0</v>
      </c>
      <c r="K12427" s="25" t="n">
        <f aca="false">K12418*(1-K12402)*(K12417-K12423+K12422-K12425)</f>
        <v>0</v>
      </c>
    </row>
    <row r="12428" customFormat="false" ht="15" hidden="false" customHeight="false" outlineLevel="0" collapsed="false">
      <c r="A12428" s="2" t="s">
        <v>274</v>
      </c>
      <c r="F12428" s="27" t="n">
        <f aca="false">Assumptions!$C$54</f>
        <v>520</v>
      </c>
      <c r="G12428" s="16" t="n">
        <f aca="false">G12417+G12424+G12422-G12423-G12425-G12426</f>
        <v>514.8</v>
      </c>
      <c r="H12428" s="16" t="n">
        <f aca="false">H12417+H12424+H12422-H12423-H12425-H12426</f>
        <v>509.6</v>
      </c>
      <c r="I12428" s="16" t="n">
        <f aca="false">I12417+I12424+I12422-I12423-I12425-I12426</f>
        <v>504.4</v>
      </c>
      <c r="J12428" s="16" t="n">
        <f aca="false">J12417+J12424+J12422-J12423-J12425-J12426</f>
        <v>499.2</v>
      </c>
      <c r="K12428" s="16" t="n">
        <f aca="false">K12417+K12424+K12422-K12423-K12425-K12426</f>
        <v>494</v>
      </c>
    </row>
    <row r="12429" customFormat="false" ht="15" hidden="false" customHeight="false" outlineLevel="0" collapsed="false">
      <c r="A12429" s="23" t="s">
        <v>276</v>
      </c>
      <c r="B12429" s="24"/>
      <c r="C12429" s="24"/>
      <c r="D12429" s="24"/>
      <c r="E12429" s="24"/>
      <c r="F12429" s="24"/>
      <c r="G12429" s="24"/>
      <c r="H12429" s="24"/>
      <c r="I12429" s="24"/>
      <c r="J12429" s="24"/>
      <c r="K12429" s="24"/>
    </row>
    <row r="12430" customFormat="false" ht="15" hidden="false" customHeight="false" outlineLevel="0" collapsed="false">
      <c r="A12430" s="5" t="s">
        <v>264</v>
      </c>
      <c r="G12430" s="25" t="n">
        <f aca="false">F12441</f>
        <v>250</v>
      </c>
      <c r="H12430" s="25" t="n">
        <f aca="false">G12441</f>
        <v>250</v>
      </c>
      <c r="I12430" s="25" t="n">
        <f aca="false">H12441</f>
        <v>250</v>
      </c>
      <c r="J12430" s="25" t="n">
        <f aca="false">I12441</f>
        <v>250</v>
      </c>
      <c r="K12430" s="25" t="n">
        <f aca="false">J12441</f>
        <v>250</v>
      </c>
    </row>
    <row r="12431" customFormat="false" ht="15" hidden="false" customHeight="false" outlineLevel="0" collapsed="false">
      <c r="A12431" s="5" t="s">
        <v>265</v>
      </c>
      <c r="G12431" s="20" t="n">
        <f aca="false">IF(G12368=Assumptions!$K$55,1,0)</f>
        <v>0</v>
      </c>
      <c r="H12431" s="20" t="n">
        <f aca="false">IF(H12368=Assumptions!$K$55,1,0)</f>
        <v>0</v>
      </c>
      <c r="I12431" s="20" t="n">
        <f aca="false">IF(I12368=Assumptions!$K$55,1,0)</f>
        <v>0</v>
      </c>
      <c r="J12431" s="20" t="n">
        <f aca="false">IF(J12368=Assumptions!$K$55,1,0)</f>
        <v>1</v>
      </c>
      <c r="K12431" s="20" t="n">
        <f aca="false">IF(K12368=Assumptions!$K$55,1,0)</f>
        <v>0</v>
      </c>
    </row>
    <row r="12433" customFormat="false" ht="15" hidden="false" customHeight="false" outlineLevel="0" collapsed="false">
      <c r="A12433" s="5" t="s">
        <v>266</v>
      </c>
      <c r="G12433" s="30" t="n">
        <f aca="false">IF(Assumptions!$I$55=1,MAX(G12394,Assumptions!$G$55)+Assumptions!$F$55+$C$12395,Assumptions!$E$55)</f>
        <v>0.11</v>
      </c>
      <c r="H12433" s="30" t="n">
        <f aca="false">IF(G12558=1,$C$12396,IF(Assumptions!$I$55=1,MAX(H12394,Assumptions!$G$55)+Assumptions!$F$55+$C$12395,Assumptions!$E$55))</f>
        <v>0.11</v>
      </c>
      <c r="I12433" s="30" t="n">
        <f aca="false">IF(H12558=1,$C$12396,IF(Assumptions!$I$55=1,MAX(I12394,Assumptions!$G$55)+Assumptions!$F$55+$C$12395,Assumptions!$E$55))</f>
        <v>0.11</v>
      </c>
      <c r="J12433" s="30" t="n">
        <f aca="false">IF(I12558=1,$C$12396,IF(Assumptions!$I$55=1,MAX(J12394,Assumptions!$G$55)+Assumptions!$F$55+$C$12395,Assumptions!$E$55))</f>
        <v>0.11</v>
      </c>
      <c r="K12433" s="30" t="n">
        <f aca="false">IF(J12558=1,$C$12396,IF(Assumptions!$I$55=1,MAX(K12394,Assumptions!$G$55)+Assumptions!$F$55+$C$12395,Assumptions!$E$55))</f>
        <v>0.11</v>
      </c>
    </row>
    <row r="12434" customFormat="false" ht="15" hidden="false" customHeight="false" outlineLevel="0" collapsed="false">
      <c r="A12434" s="5" t="s">
        <v>267</v>
      </c>
      <c r="G12434" s="25" t="n">
        <f aca="false">G12430*G12433</f>
        <v>27.5</v>
      </c>
      <c r="H12434" s="25" t="n">
        <f aca="false">H12430*H12433</f>
        <v>27.5</v>
      </c>
      <c r="I12434" s="25" t="n">
        <f aca="false">I12430*I12433</f>
        <v>27.5</v>
      </c>
      <c r="J12434" s="25" t="n">
        <f aca="false">J12430*J12433</f>
        <v>27.5</v>
      </c>
      <c r="K12434" s="25" t="n">
        <f aca="false">K12430*K12433</f>
        <v>27.5</v>
      </c>
    </row>
    <row r="12435" customFormat="false" ht="15" hidden="false" customHeight="false" outlineLevel="0" collapsed="false">
      <c r="A12435" s="5" t="s">
        <v>268</v>
      </c>
      <c r="G12435" s="25" t="n">
        <f aca="false">G12430*Assumptions!$H$55</f>
        <v>0</v>
      </c>
      <c r="H12435" s="25" t="n">
        <f aca="false">H12430*Assumptions!$H$55</f>
        <v>0</v>
      </c>
      <c r="I12435" s="25" t="n">
        <f aca="false">I12430*Assumptions!$H$55</f>
        <v>0</v>
      </c>
      <c r="J12435" s="25" t="n">
        <f aca="false">J12430*Assumptions!$H$55</f>
        <v>0</v>
      </c>
      <c r="K12435" s="25" t="n">
        <f aca="false">K12430*Assumptions!$H$55</f>
        <v>0</v>
      </c>
    </row>
    <row r="12436" customFormat="false" ht="15" hidden="false" customHeight="false" outlineLevel="0" collapsed="false">
      <c r="A12436" s="5" t="s">
        <v>269</v>
      </c>
      <c r="G12436" s="25" t="n">
        <f aca="false">MIN(G12430,Assumptions!$L$55*Assumptions!$C$55)</f>
        <v>0</v>
      </c>
      <c r="H12436" s="25" t="n">
        <f aca="false">MIN(H12430,Assumptions!$L$55*Assumptions!$C$55)</f>
        <v>0</v>
      </c>
      <c r="I12436" s="25" t="n">
        <f aca="false">MIN(I12430,Assumptions!$L$55*Assumptions!$C$55)</f>
        <v>0</v>
      </c>
      <c r="J12436" s="25" t="n">
        <f aca="false">MIN(J12430,Assumptions!$L$55*Assumptions!$C$55)</f>
        <v>0</v>
      </c>
      <c r="K12436" s="25" t="n">
        <f aca="false">MIN(K12430,Assumptions!$L$55*Assumptions!$C$55)</f>
        <v>0</v>
      </c>
    </row>
    <row r="12437" customFormat="false" ht="15" hidden="false" customHeight="false" outlineLevel="0" collapsed="false">
      <c r="A12437" s="5" t="s">
        <v>270</v>
      </c>
      <c r="G12437" s="25" t="n">
        <f aca="false">IF(AND(Assumptions!$P$55=1,G12368&lt;Assumptions!$K$55),MIN(MAX(0,-G12482),MAX(0,Assumptions!$D$55-G12430)),0)</f>
        <v>0</v>
      </c>
      <c r="H12437" s="25" t="n">
        <f aca="false">IF(AND(Assumptions!$P$55=1,OR(H12368&lt;Assumptions!$K$55,G12558=1)),MIN(MAX(0,-H12482),MAX(0,Assumptions!$D$55-H12430)),0)</f>
        <v>0</v>
      </c>
      <c r="I12437" s="25" t="n">
        <f aca="false">IF(AND(Assumptions!$P$55=1,OR(I12368&lt;Assumptions!$K$55,H12558=1)),MIN(MAX(0,-I12482),MAX(0,Assumptions!$D$55-I12430)),0)</f>
        <v>0</v>
      </c>
      <c r="J12437" s="25" t="n">
        <f aca="false">IF(AND(Assumptions!$P$55=1,OR(J12368&lt;Assumptions!$K$55,I12558=1)),MIN(MAX(0,-J12482),MAX(0,Assumptions!$D$55-J12430)),0)</f>
        <v>0</v>
      </c>
      <c r="K12437" s="25" t="n">
        <f aca="false">IF(AND(Assumptions!$P$55=1,OR(K12368&lt;Assumptions!$K$55,J12558=1)),MIN(MAX(0,-K12482),MAX(0,Assumptions!$D$55-K12430)),0)</f>
        <v>0</v>
      </c>
    </row>
    <row r="12438" customFormat="false" ht="15" hidden="false" customHeight="false" outlineLevel="0" collapsed="false">
      <c r="A12438" s="5" t="s">
        <v>271</v>
      </c>
      <c r="G12438" s="25" t="n">
        <f aca="false">G12431*MIN(G12430-G12436+G12435,MAX(0,G12484-Assumptions!$C$12*G12402-G12412-G12425))</f>
        <v>0</v>
      </c>
      <c r="H12438" s="25" t="n">
        <f aca="false">H12431*MIN(H12430-H12436+H12435,MAX(0,H12484-Assumptions!$C$12*H12402-H12412-H12425))</f>
        <v>0</v>
      </c>
      <c r="I12438" s="25" t="n">
        <f aca="false">I12431*MIN(I12430-I12436+I12435,MAX(0,I12484-Assumptions!$C$12*I12402-I12412-I12425))</f>
        <v>0</v>
      </c>
      <c r="J12438" s="25" t="n">
        <f aca="false">J12431*MIN(J12430-J12436+J12435,MAX(0,J12484-Assumptions!$C$12*J12402-J12412-J12425))</f>
        <v>0</v>
      </c>
      <c r="K12438" s="25" t="n">
        <f aca="false">K12431*MIN(K12430-K12436+K12435,MAX(0,K12484-Assumptions!$C$12*K12402-K12412-K12425))</f>
        <v>0</v>
      </c>
    </row>
    <row r="12439" customFormat="false" ht="15" hidden="false" customHeight="false" outlineLevel="0" collapsed="false">
      <c r="A12439" s="5" t="s">
        <v>272</v>
      </c>
      <c r="G12439" s="25" t="n">
        <f aca="false">Assumptions!$N$55*MIN(G12430+G12437+G12435-G12436-G12438,MAX(0,G12488-G12413-G12426))</f>
        <v>0</v>
      </c>
      <c r="H12439" s="25" t="n">
        <f aca="false">Assumptions!$N$55*MIN(H12430+H12437+H12435-H12436-H12438,MAX(0,H12488-H12413-H12426))</f>
        <v>0</v>
      </c>
      <c r="I12439" s="25" t="n">
        <f aca="false">Assumptions!$N$55*MIN(I12430+I12437+I12435-I12436-I12438,MAX(0,I12488-I12413-I12426))</f>
        <v>0</v>
      </c>
      <c r="J12439" s="25" t="n">
        <f aca="false">Assumptions!$N$55*MIN(J12430+J12437+J12435-J12436-J12438,MAX(0,J12488-J12413-J12426))</f>
        <v>0</v>
      </c>
      <c r="K12439" s="25" t="n">
        <f aca="false">Assumptions!$N$55*MIN(K12430+K12437+K12435-K12436-K12438,MAX(0,K12488-K12413-K12426))</f>
        <v>0</v>
      </c>
    </row>
    <row r="12440" customFormat="false" ht="15" hidden="false" customHeight="false" outlineLevel="0" collapsed="false">
      <c r="A12440" s="5" t="s">
        <v>273</v>
      </c>
      <c r="G12440" s="25" t="n">
        <f aca="false">G12431*(1-G12402)*(G12430-G12436+G12435-G12438)</f>
        <v>0</v>
      </c>
      <c r="H12440" s="25" t="n">
        <f aca="false">H12431*(1-H12402)*(H12430-H12436+H12435-H12438)</f>
        <v>0</v>
      </c>
      <c r="I12440" s="25" t="n">
        <f aca="false">I12431*(1-I12402)*(I12430-I12436+I12435-I12438)</f>
        <v>0</v>
      </c>
      <c r="J12440" s="25" t="n">
        <f aca="false">J12431*(1-J12402)*(J12430-J12436+J12435-J12438)</f>
        <v>0</v>
      </c>
      <c r="K12440" s="25" t="n">
        <f aca="false">K12431*(1-K12402)*(K12430-K12436+K12435-K12438)</f>
        <v>0</v>
      </c>
    </row>
    <row r="12441" customFormat="false" ht="15" hidden="false" customHeight="false" outlineLevel="0" collapsed="false">
      <c r="A12441" s="2" t="s">
        <v>274</v>
      </c>
      <c r="F12441" s="27" t="n">
        <f aca="false">Assumptions!$C$55</f>
        <v>250</v>
      </c>
      <c r="G12441" s="16" t="n">
        <f aca="false">G12430+G12437+G12435-G12436-G12438-G12439</f>
        <v>250</v>
      </c>
      <c r="H12441" s="16" t="n">
        <f aca="false">H12430+H12437+H12435-H12436-H12438-H12439</f>
        <v>250</v>
      </c>
      <c r="I12441" s="16" t="n">
        <f aca="false">I12430+I12437+I12435-I12436-I12438-I12439</f>
        <v>250</v>
      </c>
      <c r="J12441" s="16" t="n">
        <f aca="false">J12430+J12437+J12435-J12436-J12438-J12439</f>
        <v>250</v>
      </c>
      <c r="K12441" s="16" t="n">
        <f aca="false">K12430+K12437+K12435-K12436-K12438-K12439</f>
        <v>250</v>
      </c>
    </row>
    <row r="12442" customFormat="false" ht="15" hidden="false" customHeight="false" outlineLevel="0" collapsed="false">
      <c r="A12442" s="23" t="s">
        <v>277</v>
      </c>
      <c r="B12442" s="24"/>
      <c r="C12442" s="24"/>
      <c r="D12442" s="24"/>
      <c r="E12442" s="24"/>
      <c r="F12442" s="24"/>
      <c r="G12442" s="24"/>
      <c r="H12442" s="24"/>
      <c r="I12442" s="24"/>
      <c r="J12442" s="24"/>
      <c r="K12442" s="24"/>
    </row>
    <row r="12443" customFormat="false" ht="15" hidden="false" customHeight="false" outlineLevel="0" collapsed="false">
      <c r="A12443" s="5" t="s">
        <v>264</v>
      </c>
      <c r="G12443" s="25" t="n">
        <f aca="false">F12454</f>
        <v>300</v>
      </c>
      <c r="H12443" s="25" t="n">
        <f aca="false">G12454</f>
        <v>300</v>
      </c>
      <c r="I12443" s="25" t="n">
        <f aca="false">H12454</f>
        <v>300</v>
      </c>
      <c r="J12443" s="25" t="n">
        <f aca="false">I12454</f>
        <v>300</v>
      </c>
      <c r="K12443" s="25" t="n">
        <f aca="false">J12454</f>
        <v>300</v>
      </c>
    </row>
    <row r="12444" customFormat="false" ht="15" hidden="false" customHeight="false" outlineLevel="0" collapsed="false">
      <c r="A12444" s="5" t="s">
        <v>265</v>
      </c>
      <c r="G12444" s="20" t="n">
        <f aca="false">IF(G12368=Assumptions!$K$56,1,0)</f>
        <v>0</v>
      </c>
      <c r="H12444" s="20" t="n">
        <f aca="false">IF(H12368=Assumptions!$K$56,1,0)</f>
        <v>1</v>
      </c>
      <c r="I12444" s="20" t="n">
        <f aca="false">IF(I12368=Assumptions!$K$56,1,0)</f>
        <v>0</v>
      </c>
      <c r="J12444" s="20" t="n">
        <f aca="false">IF(J12368=Assumptions!$K$56,1,0)</f>
        <v>0</v>
      </c>
      <c r="K12444" s="20" t="n">
        <f aca="false">IF(K12368=Assumptions!$K$56,1,0)</f>
        <v>0</v>
      </c>
    </row>
    <row r="12446" customFormat="false" ht="15" hidden="false" customHeight="false" outlineLevel="0" collapsed="false">
      <c r="A12446" s="5" t="s">
        <v>266</v>
      </c>
      <c r="G12446" s="30" t="n">
        <f aca="false">IF(Assumptions!$I$56=1,MAX(G12394,Assumptions!$G$56)+Assumptions!$F$56+$C$12395,Assumptions!$E$56)</f>
        <v>0.075</v>
      </c>
      <c r="H12446" s="30" t="n">
        <f aca="false">IF(G12559=1,$C$12396,IF(Assumptions!$I$56=1,MAX(H12394,Assumptions!$G$56)+Assumptions!$F$56+$C$12395,Assumptions!$E$56))</f>
        <v>0.075</v>
      </c>
      <c r="I12446" s="30" t="n">
        <f aca="false">IF(H12559=1,$C$12396,IF(Assumptions!$I$56=1,MAX(I12394,Assumptions!$G$56)+Assumptions!$F$56+$C$12395,Assumptions!$E$56))</f>
        <v>0.11</v>
      </c>
      <c r="J12446" s="30" t="n">
        <f aca="false">IF(I12559=1,$C$12396,IF(Assumptions!$I$56=1,MAX(J12394,Assumptions!$G$56)+Assumptions!$F$56+$C$12395,Assumptions!$E$56))</f>
        <v>0.11</v>
      </c>
      <c r="K12446" s="30" t="n">
        <f aca="false">IF(J12559=1,$C$12396,IF(Assumptions!$I$56=1,MAX(K12394,Assumptions!$G$56)+Assumptions!$F$56+$C$12395,Assumptions!$E$56))</f>
        <v>0.11</v>
      </c>
    </row>
    <row r="12447" customFormat="false" ht="15" hidden="false" customHeight="false" outlineLevel="0" collapsed="false">
      <c r="A12447" s="5" t="s">
        <v>267</v>
      </c>
      <c r="G12447" s="25" t="n">
        <f aca="false">G12443*G12446</f>
        <v>22.5</v>
      </c>
      <c r="H12447" s="25" t="n">
        <f aca="false">H12443*H12446</f>
        <v>22.5</v>
      </c>
      <c r="I12447" s="25" t="n">
        <f aca="false">I12443*I12446</f>
        <v>33</v>
      </c>
      <c r="J12447" s="25" t="n">
        <f aca="false">J12443*J12446</f>
        <v>33</v>
      </c>
      <c r="K12447" s="25" t="n">
        <f aca="false">K12443*K12446</f>
        <v>33</v>
      </c>
    </row>
    <row r="12448" customFormat="false" ht="15" hidden="false" customHeight="false" outlineLevel="0" collapsed="false">
      <c r="A12448" s="5" t="s">
        <v>268</v>
      </c>
      <c r="G12448" s="25" t="n">
        <f aca="false">G12443*Assumptions!$H$56</f>
        <v>0</v>
      </c>
      <c r="H12448" s="25" t="n">
        <f aca="false">H12443*Assumptions!$H$56</f>
        <v>0</v>
      </c>
      <c r="I12448" s="25" t="n">
        <f aca="false">I12443*Assumptions!$H$56</f>
        <v>0</v>
      </c>
      <c r="J12448" s="25" t="n">
        <f aca="false">J12443*Assumptions!$H$56</f>
        <v>0</v>
      </c>
      <c r="K12448" s="25" t="n">
        <f aca="false">K12443*Assumptions!$H$56</f>
        <v>0</v>
      </c>
    </row>
    <row r="12449" customFormat="false" ht="15" hidden="false" customHeight="false" outlineLevel="0" collapsed="false">
      <c r="A12449" s="5" t="s">
        <v>269</v>
      </c>
      <c r="G12449" s="25" t="n">
        <f aca="false">MIN(G12443,Assumptions!$L$56*Assumptions!$C$56)</f>
        <v>0</v>
      </c>
      <c r="H12449" s="25" t="n">
        <f aca="false">MIN(H12443,Assumptions!$L$56*Assumptions!$C$56)</f>
        <v>0</v>
      </c>
      <c r="I12449" s="25" t="n">
        <f aca="false">MIN(I12443,Assumptions!$L$56*Assumptions!$C$56)</f>
        <v>0</v>
      </c>
      <c r="J12449" s="25" t="n">
        <f aca="false">MIN(J12443,Assumptions!$L$56*Assumptions!$C$56)</f>
        <v>0</v>
      </c>
      <c r="K12449" s="25" t="n">
        <f aca="false">MIN(K12443,Assumptions!$L$56*Assumptions!$C$56)</f>
        <v>0</v>
      </c>
    </row>
    <row r="12450" customFormat="false" ht="15" hidden="false" customHeight="false" outlineLevel="0" collapsed="false">
      <c r="A12450" s="5" t="s">
        <v>270</v>
      </c>
      <c r="G12450" s="25" t="n">
        <f aca="false">IF(AND(Assumptions!$P$56=1,G12368&lt;Assumptions!$K$56),MIN(MAX(0,-G12482),MAX(0,Assumptions!$D$56-G12443)),0)</f>
        <v>0</v>
      </c>
      <c r="H12450" s="25" t="n">
        <f aca="false">IF(AND(Assumptions!$P$56=1,OR(H12368&lt;Assumptions!$K$56,G12559=1)),MIN(MAX(0,-H12482),MAX(0,Assumptions!$D$56-H12443)),0)</f>
        <v>0</v>
      </c>
      <c r="I12450" s="25" t="n">
        <f aca="false">IF(AND(Assumptions!$P$56=1,OR(I12368&lt;Assumptions!$K$56,H12559=1)),MIN(MAX(0,-I12482),MAX(0,Assumptions!$D$56-I12443)),0)</f>
        <v>0</v>
      </c>
      <c r="J12450" s="25" t="n">
        <f aca="false">IF(AND(Assumptions!$P$56=1,OR(J12368&lt;Assumptions!$K$56,I12559=1)),MIN(MAX(0,-J12482),MAX(0,Assumptions!$D$56-J12443)),0)</f>
        <v>0</v>
      </c>
      <c r="K12450" s="25" t="n">
        <f aca="false">IF(AND(Assumptions!$P$56=1,OR(K12368&lt;Assumptions!$K$56,J12559=1)),MIN(MAX(0,-K12482),MAX(0,Assumptions!$D$56-K12443)),0)</f>
        <v>0</v>
      </c>
    </row>
    <row r="12451" customFormat="false" ht="15" hidden="false" customHeight="false" outlineLevel="0" collapsed="false">
      <c r="A12451" s="5" t="s">
        <v>271</v>
      </c>
      <c r="G12451" s="25" t="n">
        <f aca="false">G12444*MIN(G12443-G12449+G12448,MAX(0,G12484-Assumptions!$C$12*G12402-G12412-G12425-G12438))</f>
        <v>0</v>
      </c>
      <c r="H12451" s="25" t="n">
        <f aca="false">H12444*MIN(H12443-H12449+H12448,MAX(0,H12484-Assumptions!$C$12*H12402-H12412-H12425-H12438))</f>
        <v>0</v>
      </c>
      <c r="I12451" s="25" t="n">
        <f aca="false">I12444*MIN(I12443-I12449+I12448,MAX(0,I12484-Assumptions!$C$12*I12402-I12412-I12425-I12438))</f>
        <v>0</v>
      </c>
      <c r="J12451" s="25" t="n">
        <f aca="false">J12444*MIN(J12443-J12449+J12448,MAX(0,J12484-Assumptions!$C$12*J12402-J12412-J12425-J12438))</f>
        <v>0</v>
      </c>
      <c r="K12451" s="25" t="n">
        <f aca="false">K12444*MIN(K12443-K12449+K12448,MAX(0,K12484-Assumptions!$C$12*K12402-K12412-K12425-K12438))</f>
        <v>0</v>
      </c>
    </row>
    <row r="12452" customFormat="false" ht="15" hidden="false" customHeight="false" outlineLevel="0" collapsed="false">
      <c r="A12452" s="5" t="s">
        <v>272</v>
      </c>
      <c r="G12452" s="25" t="n">
        <f aca="false">Assumptions!$N$56*MIN(G12443+G12450+G12448-G12449-G12451,MAX(0,G12488-G12413-G12426-G12439))</f>
        <v>0</v>
      </c>
      <c r="H12452" s="25" t="n">
        <f aca="false">Assumptions!$N$56*MIN(H12443+H12450+H12448-H12449-H12451,MAX(0,H12488-H12413-H12426-H12439))</f>
        <v>0</v>
      </c>
      <c r="I12452" s="25" t="n">
        <f aca="false">Assumptions!$N$56*MIN(I12443+I12450+I12448-I12449-I12451,MAX(0,I12488-I12413-I12426-I12439))</f>
        <v>0</v>
      </c>
      <c r="J12452" s="25" t="n">
        <f aca="false">Assumptions!$N$56*MIN(J12443+J12450+J12448-J12449-J12451,MAX(0,J12488-J12413-J12426-J12439))</f>
        <v>0</v>
      </c>
      <c r="K12452" s="25" t="n">
        <f aca="false">Assumptions!$N$56*MIN(K12443+K12450+K12448-K12449-K12451,MAX(0,K12488-K12413-K12426-K12439))</f>
        <v>0</v>
      </c>
    </row>
    <row r="12453" customFormat="false" ht="15" hidden="false" customHeight="false" outlineLevel="0" collapsed="false">
      <c r="A12453" s="5" t="s">
        <v>273</v>
      </c>
      <c r="G12453" s="25" t="n">
        <f aca="false">G12444*(1-G12402)*(G12443-G12449+G12448-G12451)</f>
        <v>0</v>
      </c>
      <c r="H12453" s="25" t="n">
        <f aca="false">H12444*(1-H12402)*(H12443-H12449+H12448-H12451)</f>
        <v>0</v>
      </c>
      <c r="I12453" s="25" t="n">
        <f aca="false">I12444*(1-I12402)*(I12443-I12449+I12448-I12451)</f>
        <v>0</v>
      </c>
      <c r="J12453" s="25" t="n">
        <f aca="false">J12444*(1-J12402)*(J12443-J12449+J12448-J12451)</f>
        <v>0</v>
      </c>
      <c r="K12453" s="25" t="n">
        <f aca="false">K12444*(1-K12402)*(K12443-K12449+K12448-K12451)</f>
        <v>0</v>
      </c>
    </row>
    <row r="12454" customFormat="false" ht="15" hidden="false" customHeight="false" outlineLevel="0" collapsed="false">
      <c r="A12454" s="2" t="s">
        <v>274</v>
      </c>
      <c r="F12454" s="27" t="n">
        <f aca="false">Assumptions!$C$56</f>
        <v>300</v>
      </c>
      <c r="G12454" s="16" t="n">
        <f aca="false">G12443+G12450+G12448-G12449-G12451-G12452</f>
        <v>300</v>
      </c>
      <c r="H12454" s="16" t="n">
        <f aca="false">H12443+H12450+H12448-H12449-H12451-H12452</f>
        <v>300</v>
      </c>
      <c r="I12454" s="16" t="n">
        <f aca="false">I12443+I12450+I12448-I12449-I12451-I12452</f>
        <v>300</v>
      </c>
      <c r="J12454" s="16" t="n">
        <f aca="false">J12443+J12450+J12448-J12449-J12451-J12452</f>
        <v>300</v>
      </c>
      <c r="K12454" s="16" t="n">
        <f aca="false">K12443+K12450+K12448-K12449-K12451-K12452</f>
        <v>300</v>
      </c>
    </row>
    <row r="12455" customFormat="false" ht="15" hidden="false" customHeight="false" outlineLevel="0" collapsed="false">
      <c r="A12455" s="23" t="s">
        <v>278</v>
      </c>
      <c r="B12455" s="24"/>
      <c r="C12455" s="24"/>
      <c r="D12455" s="24"/>
      <c r="E12455" s="24"/>
      <c r="F12455" s="24"/>
      <c r="G12455" s="24"/>
      <c r="H12455" s="24"/>
      <c r="I12455" s="24"/>
      <c r="J12455" s="24"/>
      <c r="K12455" s="24"/>
    </row>
    <row r="12456" customFormat="false" ht="15" hidden="false" customHeight="false" outlineLevel="0" collapsed="false">
      <c r="A12456" s="2" t="s">
        <v>279</v>
      </c>
      <c r="F12456" s="16" t="n">
        <f aca="false">F12415+F12428+F12441+F12454</f>
        <v>1250</v>
      </c>
      <c r="G12456" s="16" t="n">
        <f aca="false">G12415+G12428+G12441+G12454</f>
        <v>1214.24</v>
      </c>
      <c r="H12456" s="16" t="n">
        <f aca="false">H12415+H12428+H12441+H12454</f>
        <v>1209.04</v>
      </c>
      <c r="I12456" s="16" t="n">
        <f aca="false">I12415+I12428+I12441+I12454</f>
        <v>1224.9985096</v>
      </c>
      <c r="J12456" s="16" t="n">
        <f aca="false">J12415+J12428+J12441+J12454</f>
        <v>1239.376932912</v>
      </c>
      <c r="K12456" s="16" t="n">
        <f aca="false">K12415+K12428+K12441+K12454</f>
        <v>1251.97594467624</v>
      </c>
    </row>
    <row r="12457" customFormat="false" ht="15" hidden="false" customHeight="false" outlineLevel="0" collapsed="false">
      <c r="A12457" s="5" t="s">
        <v>280</v>
      </c>
      <c r="G12457" s="25" t="n">
        <f aca="false">G12405*Assumptions!$C$53+G12418*Assumptions!$C$54+G12431*Assumptions!$C$55+G12444*Assumptions!$C$56</f>
        <v>0</v>
      </c>
      <c r="H12457" s="25" t="n">
        <f aca="false">H12405*Assumptions!$C$53+H12418*Assumptions!$C$54+H12431*Assumptions!$C$55+H12444*Assumptions!$C$56</f>
        <v>480</v>
      </c>
      <c r="I12457" s="25" t="n">
        <f aca="false">I12405*Assumptions!$C$53+I12418*Assumptions!$C$54+I12431*Assumptions!$C$55+I12444*Assumptions!$C$56</f>
        <v>520</v>
      </c>
      <c r="J12457" s="25" t="n">
        <f aca="false">J12405*Assumptions!$C$53+J12418*Assumptions!$C$54+J12431*Assumptions!$C$55+J12444*Assumptions!$C$56</f>
        <v>250</v>
      </c>
      <c r="K12457" s="25" t="n">
        <f aca="false">K12405*Assumptions!$C$53+K12418*Assumptions!$C$54+K12431*Assumptions!$C$55+K12444*Assumptions!$C$56</f>
        <v>0</v>
      </c>
    </row>
    <row r="12458" customFormat="false" ht="15" hidden="false" customHeight="false" outlineLevel="0" collapsed="false">
      <c r="A12458" s="23" t="s">
        <v>281</v>
      </c>
      <c r="B12458" s="24"/>
      <c r="C12458" s="24"/>
      <c r="D12458" s="24"/>
      <c r="E12458" s="24"/>
      <c r="F12458" s="24"/>
      <c r="G12458" s="24"/>
      <c r="H12458" s="24"/>
      <c r="I12458" s="24"/>
      <c r="J12458" s="24"/>
      <c r="K12458" s="24"/>
    </row>
    <row r="12459" customFormat="false" ht="15" hidden="false" customHeight="false" outlineLevel="0" collapsed="false">
      <c r="A12459" s="5" t="s">
        <v>282</v>
      </c>
      <c r="C12459" s="25" t="n">
        <f aca="false">SUMPRODUCT($G$12405:$K$12405,$G$12404:$K$12404-$G$12410:$K$12410+$G$12409:$K$12409)</f>
        <v>149.44</v>
      </c>
    </row>
    <row r="12460" customFormat="false" ht="15" hidden="false" customHeight="false" outlineLevel="0" collapsed="false">
      <c r="A12460" s="5" t="s">
        <v>283</v>
      </c>
      <c r="C12460" s="25" t="n">
        <f aca="false">SUMPRODUCT($G$12405:$K$12405,$G$12412:$K$12412)</f>
        <v>0</v>
      </c>
    </row>
    <row r="12461" customFormat="false" ht="15" hidden="false" customHeight="false" outlineLevel="0" collapsed="false">
      <c r="A12461" s="5" t="s">
        <v>284</v>
      </c>
      <c r="C12461" s="5" t="str">
        <f aca="false">IF(SUM($G$12405:$K$12405)=0,"n/a (beyond horizon)",IF(SUMPRODUCT($G$12405:$K$12405,$G$12402:$K$12402)&gt;0,"REFINANCING PASS","REFINANCING FAILURE"))</f>
        <v>REFINANCING PASS</v>
      </c>
    </row>
    <row r="12462" customFormat="false" ht="15" hidden="false" customHeight="false" outlineLevel="0" collapsed="false">
      <c r="A12462" s="5" t="s">
        <v>285</v>
      </c>
      <c r="C12462" s="5" t="str">
        <f aca="false">IF(SUM($G$12405:$K$12405)=0,"n/a",IF(C12460&gt;=C12459-0.001,"Repaid from cash",IF(SUMPRODUCT($G$12405:$K$12405,$G$12402:$K$12402)&gt;0,IF(C12460&gt;0,"Partly repaid; remainder refinanced","Refinanced"),IF(SUM($G$12414:$K$12414)&gt;0.001,IF(C12460&gt;0,"Partial repayment; PAYMENT DEFAULT","PAYMENT DEFAULT"),"Repaid from cash"))))</f>
        <v>Refinanced</v>
      </c>
    </row>
    <row r="12463" customFormat="false" ht="15" hidden="false" customHeight="false" outlineLevel="0" collapsed="false">
      <c r="A12463" s="5" t="s">
        <v>286</v>
      </c>
      <c r="C12463" s="25" t="n">
        <f aca="false">SUMPRODUCT($G$12418:$K$12418,$G$12417:$K$12417-$G$12423:$K$12423+$G$12422:$K$12422)</f>
        <v>504.4</v>
      </c>
    </row>
    <row r="12464" customFormat="false" ht="15" hidden="false" customHeight="false" outlineLevel="0" collapsed="false">
      <c r="A12464" s="5" t="s">
        <v>287</v>
      </c>
      <c r="C12464" s="25" t="n">
        <f aca="false">SUMPRODUCT($G$12418:$K$12418,$G$12425:$K$12425)</f>
        <v>0</v>
      </c>
    </row>
    <row r="12465" customFormat="false" ht="15" hidden="false" customHeight="false" outlineLevel="0" collapsed="false">
      <c r="A12465" s="5" t="s">
        <v>288</v>
      </c>
      <c r="C12465" s="5" t="str">
        <f aca="false">IF(SUM($G$12418:$K$12418)=0,"n/a (beyond horizon)",IF(SUMPRODUCT($G$12418:$K$12418,$G$12402:$K$12402)&gt;0,"REFINANCING PASS","REFINANCING FAILURE"))</f>
        <v>REFINANCING PASS</v>
      </c>
    </row>
    <row r="12466" customFormat="false" ht="15" hidden="false" customHeight="false" outlineLevel="0" collapsed="false">
      <c r="A12466" s="5" t="s">
        <v>289</v>
      </c>
      <c r="C12466" s="5" t="str">
        <f aca="false">IF(SUM($G$12418:$K$12418)=0,"n/a",IF(C12464&gt;=C12463-0.001,"Repaid from cash",IF(SUMPRODUCT($G$12418:$K$12418,$G$12402:$K$12402)&gt;0,IF(C12464&gt;0,"Partly repaid; remainder refinanced","Refinanced"),IF(SUM($G$12427:$K$12427)&gt;0.001,IF(C12464&gt;0,"Partial repayment; PAYMENT DEFAULT","PAYMENT DEFAULT"),"Repaid from cash"))))</f>
        <v>Refinanced</v>
      </c>
    </row>
    <row r="12467" customFormat="false" ht="15" hidden="false" customHeight="false" outlineLevel="0" collapsed="false">
      <c r="A12467" s="5" t="s">
        <v>290</v>
      </c>
      <c r="C12467" s="25" t="n">
        <f aca="false">SUMPRODUCT($G$12431:$K$12431,$G$12430:$K$12430-$G$12436:$K$12436+$G$12435:$K$12435)</f>
        <v>250</v>
      </c>
    </row>
    <row r="12468" customFormat="false" ht="15" hidden="false" customHeight="false" outlineLevel="0" collapsed="false">
      <c r="A12468" s="5" t="s">
        <v>291</v>
      </c>
      <c r="C12468" s="25" t="n">
        <f aca="false">SUMPRODUCT($G$12431:$K$12431,$G$12438:$K$12438)</f>
        <v>0</v>
      </c>
    </row>
    <row r="12469" customFormat="false" ht="15" hidden="false" customHeight="false" outlineLevel="0" collapsed="false">
      <c r="A12469" s="5" t="s">
        <v>292</v>
      </c>
      <c r="C12469" s="5" t="str">
        <f aca="false">IF(SUM($G$12431:$K$12431)=0,"n/a (beyond horizon)",IF(SUMPRODUCT($G$12431:$K$12431,$G$12402:$K$12402)&gt;0,"REFINANCING PASS","REFINANCING FAILURE"))</f>
        <v>REFINANCING PASS</v>
      </c>
    </row>
    <row r="12470" customFormat="false" ht="15" hidden="false" customHeight="false" outlineLevel="0" collapsed="false">
      <c r="A12470" s="5" t="s">
        <v>293</v>
      </c>
      <c r="C12470" s="5" t="str">
        <f aca="false">IF(SUM($G$12431:$K$12431)=0,"n/a",IF(C12468&gt;=C12467-0.001,"Repaid from cash",IF(SUMPRODUCT($G$12431:$K$12431,$G$12402:$K$12402)&gt;0,IF(C12468&gt;0,"Partly repaid; remainder refinanced","Refinanced"),IF(SUM($G$12440:$K$12440)&gt;0.001,IF(C12468&gt;0,"Partial repayment; PAYMENT DEFAULT","PAYMENT DEFAULT"),"Repaid from cash"))))</f>
        <v>Refinanced</v>
      </c>
    </row>
    <row r="12471" customFormat="false" ht="15" hidden="false" customHeight="false" outlineLevel="0" collapsed="false">
      <c r="A12471" s="5" t="s">
        <v>294</v>
      </c>
      <c r="C12471" s="25" t="n">
        <f aca="false">SUMPRODUCT($G$12444:$K$12444,$G$12443:$K$12443-$G$12449:$K$12449+$G$12448:$K$12448)</f>
        <v>300</v>
      </c>
    </row>
    <row r="12472" customFormat="false" ht="15" hidden="false" customHeight="false" outlineLevel="0" collapsed="false">
      <c r="A12472" s="5" t="s">
        <v>295</v>
      </c>
      <c r="C12472" s="25" t="n">
        <f aca="false">SUMPRODUCT($G$12444:$K$12444,$G$12451:$K$12451)</f>
        <v>0</v>
      </c>
    </row>
    <row r="12473" customFormat="false" ht="15" hidden="false" customHeight="false" outlineLevel="0" collapsed="false">
      <c r="A12473" s="5" t="s">
        <v>296</v>
      </c>
      <c r="C12473" s="5" t="str">
        <f aca="false">IF(SUM($G$12444:$K$12444)=0,"n/a (beyond horizon)",IF(SUMPRODUCT($G$12444:$K$12444,$G$12402:$K$12402)&gt;0,"REFINANCING PASS","REFINANCING FAILURE"))</f>
        <v>REFINANCING PASS</v>
      </c>
    </row>
    <row r="12474" customFormat="false" ht="15" hidden="false" customHeight="false" outlineLevel="0" collapsed="false">
      <c r="A12474" s="5" t="s">
        <v>297</v>
      </c>
      <c r="C12474" s="5" t="str">
        <f aca="false">IF(SUM($G$12444:$K$12444)=0,"n/a",IF(C12472&gt;=C12471-0.001,"Repaid from cash",IF(SUMPRODUCT($G$12444:$K$12444,$G$12402:$K$12402)&gt;0,IF(C12472&gt;0,"Partly repaid; remainder refinanced","Refinanced"),IF(SUM($G$12453:$K$12453)&gt;0.001,IF(C12472&gt;0,"Partial repayment; PAYMENT DEFAULT","PAYMENT DEFAULT"),"Repaid from cash"))))</f>
        <v>Refinanced</v>
      </c>
    </row>
    <row r="12475" customFormat="false" ht="15" hidden="false" customHeight="false" outlineLevel="0" collapsed="false">
      <c r="A12475" s="5" t="s">
        <v>298</v>
      </c>
      <c r="C12475" s="20" t="n">
        <f aca="false">IF(C12461="REFINANCING FAILURE",1,0)+IF(C12465="REFINANCING FAILURE",1,0)+IF(C12469="REFINANCING FAILURE",1,0)+IF(C12473="REFINANCING FAILURE",1,0)</f>
        <v>0</v>
      </c>
    </row>
    <row r="12477" customFormat="false" ht="15" hidden="false" customHeight="false" outlineLevel="0" collapsed="false">
      <c r="A12477" s="23" t="s">
        <v>300</v>
      </c>
      <c r="B12477" s="24"/>
      <c r="C12477" s="24"/>
      <c r="D12477" s="24"/>
      <c r="E12477" s="24"/>
      <c r="F12477" s="24"/>
      <c r="G12477" s="24"/>
      <c r="H12477" s="24"/>
      <c r="I12477" s="24"/>
      <c r="J12477" s="24"/>
      <c r="K12477" s="24"/>
    </row>
    <row r="12478" customFormat="false" ht="15" hidden="false" customHeight="false" outlineLevel="0" collapsed="false">
      <c r="A12478" s="5" t="s">
        <v>260</v>
      </c>
      <c r="G12478" s="25" t="n">
        <f aca="false">F12490</f>
        <v>45</v>
      </c>
      <c r="H12478" s="25" t="n">
        <f aca="false">G12490</f>
        <v>0</v>
      </c>
      <c r="I12478" s="25" t="n">
        <f aca="false">H12490</f>
        <v>-6.00915999999998</v>
      </c>
      <c r="J12478" s="25" t="n">
        <f aca="false">I12490</f>
        <v>0</v>
      </c>
      <c r="K12478" s="25" t="n">
        <f aca="false">J12490</f>
        <v>0</v>
      </c>
    </row>
    <row r="12479" customFormat="false" ht="15" hidden="false" customHeight="false" outlineLevel="0" collapsed="false">
      <c r="A12479" s="5" t="s">
        <v>301</v>
      </c>
      <c r="G12479" s="25" t="n">
        <f aca="false">G12391</f>
        <v>-9.24000000000001</v>
      </c>
      <c r="H12479" s="25" t="n">
        <f aca="false">H12391</f>
        <v>-0.809159999999978</v>
      </c>
      <c r="I12479" s="25" t="n">
        <f aca="false">I12391</f>
        <v>-9.94934960000002</v>
      </c>
      <c r="J12479" s="25" t="n">
        <f aca="false">J12391</f>
        <v>-14.378423312</v>
      </c>
      <c r="K12479" s="25" t="n">
        <f aca="false">K12391</f>
        <v>-12.59901176424</v>
      </c>
    </row>
    <row r="12480" customFormat="false" ht="15" hidden="false" customHeight="false" outlineLevel="0" collapsed="false">
      <c r="A12480" s="5" t="s">
        <v>302</v>
      </c>
      <c r="G12480" s="25" t="n">
        <f aca="false">CHOOSE($C$12361,Assumptions!$G$68,Assumptions!$G$87,Assumptions!$G$106)</f>
        <v>0</v>
      </c>
      <c r="H12480" s="25" t="n">
        <f aca="false">CHOOSE($C$12361,Assumptions!$H$68,Assumptions!$H$87,Assumptions!$H$106)</f>
        <v>0</v>
      </c>
      <c r="I12480" s="25" t="n">
        <f aca="false">CHOOSE($C$12361,Assumptions!$I$68,Assumptions!$I$87,Assumptions!$I$106)</f>
        <v>0</v>
      </c>
      <c r="J12480" s="25" t="n">
        <f aca="false">CHOOSE($C$12361,Assumptions!$J$68,Assumptions!$J$87,Assumptions!$J$106)</f>
        <v>0</v>
      </c>
      <c r="K12480" s="25" t="n">
        <f aca="false">CHOOSE($C$12361,Assumptions!$K$68,Assumptions!$K$87,Assumptions!$K$106)</f>
        <v>0</v>
      </c>
    </row>
    <row r="12481" customFormat="false" ht="15" hidden="false" customHeight="false" outlineLevel="0" collapsed="false">
      <c r="A12481" s="5" t="s">
        <v>303</v>
      </c>
      <c r="G12481" s="25" t="n">
        <f aca="false">G12410+G12423+G12436+G12449</f>
        <v>5.2</v>
      </c>
      <c r="H12481" s="25" t="n">
        <f aca="false">H12410+H12423+H12436+H12449</f>
        <v>5.2</v>
      </c>
      <c r="I12481" s="25" t="n">
        <f aca="false">I12410+I12423+I12436+I12449</f>
        <v>5.2</v>
      </c>
      <c r="J12481" s="25" t="n">
        <f aca="false">J12410+J12423+J12436+J12449</f>
        <v>5.2</v>
      </c>
      <c r="K12481" s="25" t="n">
        <f aca="false">K12410+K12423+K12436+K12449</f>
        <v>5.2</v>
      </c>
    </row>
    <row r="12482" customFormat="false" ht="15" hidden="false" customHeight="false" outlineLevel="0" collapsed="false">
      <c r="A12482" s="2" t="s">
        <v>304</v>
      </c>
      <c r="G12482" s="16" t="n">
        <f aca="false">G12478+G12479+G12480-G12481</f>
        <v>30.56</v>
      </c>
      <c r="H12482" s="16" t="n">
        <f aca="false">H12478+H12479+H12480-H12481</f>
        <v>-6.00915999999998</v>
      </c>
      <c r="I12482" s="16" t="n">
        <f aca="false">I12478+I12479+I12480-I12481</f>
        <v>-21.1585096</v>
      </c>
      <c r="J12482" s="16" t="n">
        <f aca="false">J12478+J12479+J12480-J12481</f>
        <v>-19.578423312</v>
      </c>
      <c r="K12482" s="16" t="n">
        <f aca="false">K12478+K12479+K12480-K12481</f>
        <v>-17.79901176424</v>
      </c>
    </row>
    <row r="12483" customFormat="false" ht="15" hidden="false" customHeight="false" outlineLevel="0" collapsed="false">
      <c r="A12483" s="5" t="s">
        <v>305</v>
      </c>
      <c r="G12483" s="25" t="n">
        <f aca="false">G12411+G12424+G12437+G12450</f>
        <v>0</v>
      </c>
      <c r="H12483" s="25" t="n">
        <f aca="false">H12411+H12424+H12437+H12450</f>
        <v>0</v>
      </c>
      <c r="I12483" s="25" t="n">
        <f aca="false">I12411+I12424+I12437+I12450</f>
        <v>21.1585096</v>
      </c>
      <c r="J12483" s="25" t="n">
        <f aca="false">J12411+J12424+J12437+J12450</f>
        <v>19.578423312</v>
      </c>
      <c r="K12483" s="25" t="n">
        <f aca="false">K12411+K12424+K12437+K12450</f>
        <v>17.79901176424</v>
      </c>
    </row>
    <row r="12484" customFormat="false" ht="15" hidden="false" customHeight="false" outlineLevel="0" collapsed="false">
      <c r="A12484" s="2" t="s">
        <v>306</v>
      </c>
      <c r="G12484" s="16" t="n">
        <f aca="false">G12482+G12483</f>
        <v>30.56</v>
      </c>
      <c r="H12484" s="16" t="n">
        <f aca="false">H12482+H12483</f>
        <v>-6.00915999999998</v>
      </c>
      <c r="I12484" s="16" t="n">
        <f aca="false">I12482+I12483</f>
        <v>0</v>
      </c>
      <c r="J12484" s="16" t="n">
        <f aca="false">J12482+J12483</f>
        <v>0</v>
      </c>
      <c r="K12484" s="16" t="n">
        <f aca="false">K12482+K12483</f>
        <v>0</v>
      </c>
    </row>
    <row r="12485" customFormat="false" ht="15" hidden="false" customHeight="false" outlineLevel="0" collapsed="false">
      <c r="A12485" s="5" t="s">
        <v>307</v>
      </c>
      <c r="G12485" s="25" t="n">
        <f aca="false">G12412+G12425+G12438+G12451</f>
        <v>0</v>
      </c>
      <c r="H12485" s="25" t="n">
        <f aca="false">H12412+H12425+H12438+H12451</f>
        <v>0</v>
      </c>
      <c r="I12485" s="25" t="n">
        <f aca="false">I12412+I12425+I12438+I12451</f>
        <v>0</v>
      </c>
      <c r="J12485" s="25" t="n">
        <f aca="false">J12412+J12425+J12438+J12451</f>
        <v>0</v>
      </c>
      <c r="K12485" s="25" t="n">
        <f aca="false">K12412+K12425+K12438+K12451</f>
        <v>0</v>
      </c>
    </row>
    <row r="12486" customFormat="false" ht="15" hidden="false" customHeight="false" outlineLevel="0" collapsed="false">
      <c r="A12486" s="2" t="s">
        <v>308</v>
      </c>
      <c r="G12486" s="16" t="n">
        <f aca="false">G12484-G12485</f>
        <v>30.56</v>
      </c>
      <c r="H12486" s="16" t="n">
        <f aca="false">H12484-H12485</f>
        <v>-6.00915999999998</v>
      </c>
      <c r="I12486" s="16" t="n">
        <f aca="false">I12484-I12485</f>
        <v>0</v>
      </c>
      <c r="J12486" s="16" t="n">
        <f aca="false">J12484-J12485</f>
        <v>0</v>
      </c>
      <c r="K12486" s="16" t="n">
        <f aca="false">K12484-K12485</f>
        <v>0</v>
      </c>
    </row>
    <row r="12487" customFormat="false" ht="15" hidden="false" customHeight="false" outlineLevel="0" collapsed="false">
      <c r="A12487" s="5" t="s">
        <v>309</v>
      </c>
      <c r="G12487" s="25" t="n">
        <f aca="false">MAX(0,-G12486)</f>
        <v>0</v>
      </c>
      <c r="H12487" s="25" t="n">
        <f aca="false">MAX(0,-H12486)</f>
        <v>6.00915999999998</v>
      </c>
      <c r="I12487" s="25" t="n">
        <f aca="false">MAX(0,-I12486)</f>
        <v>-0</v>
      </c>
      <c r="J12487" s="25" t="n">
        <f aca="false">MAX(0,-J12486)</f>
        <v>-0</v>
      </c>
      <c r="K12487" s="25" t="n">
        <f aca="false">MAX(0,-K12486)</f>
        <v>-0</v>
      </c>
    </row>
    <row r="12488" customFormat="false" ht="15" hidden="false" customHeight="false" outlineLevel="0" collapsed="false">
      <c r="A12488" s="5" t="s">
        <v>310</v>
      </c>
      <c r="G12488" s="25" t="n">
        <f aca="false">MAX(0,G12486-Assumptions!$C$12)*Assumptions!$C$13</f>
        <v>30.56</v>
      </c>
      <c r="H12488" s="25" t="n">
        <f aca="false">MAX(0,H12486-Assumptions!$C$12)*Assumptions!$C$13</f>
        <v>0</v>
      </c>
      <c r="I12488" s="25" t="n">
        <f aca="false">MAX(0,I12486-Assumptions!$C$12)*Assumptions!$C$13</f>
        <v>0</v>
      </c>
      <c r="J12488" s="25" t="n">
        <f aca="false">MAX(0,J12486-Assumptions!$C$12)*Assumptions!$C$13</f>
        <v>0</v>
      </c>
      <c r="K12488" s="25" t="n">
        <f aca="false">MAX(0,K12486-Assumptions!$C$12)*Assumptions!$C$13</f>
        <v>0</v>
      </c>
    </row>
    <row r="12489" customFormat="false" ht="15" hidden="false" customHeight="false" outlineLevel="0" collapsed="false">
      <c r="A12489" s="5" t="s">
        <v>311</v>
      </c>
      <c r="G12489" s="25" t="n">
        <f aca="false">G12413+G12426+G12439+G12452</f>
        <v>30.56</v>
      </c>
      <c r="H12489" s="25" t="n">
        <f aca="false">H12413+H12426+H12439+H12452</f>
        <v>0</v>
      </c>
      <c r="I12489" s="25" t="n">
        <f aca="false">I12413+I12426+I12439+I12452</f>
        <v>0</v>
      </c>
      <c r="J12489" s="25" t="n">
        <f aca="false">J12413+J12426+J12439+J12452</f>
        <v>0</v>
      </c>
      <c r="K12489" s="25" t="n">
        <f aca="false">K12413+K12426+K12439+K12452</f>
        <v>0</v>
      </c>
    </row>
    <row r="12490" customFormat="false" ht="15" hidden="false" customHeight="false" outlineLevel="0" collapsed="false">
      <c r="A12490" s="2" t="s">
        <v>312</v>
      </c>
      <c r="F12490" s="27" t="n">
        <f aca="false">Assumptions!$C$11</f>
        <v>45</v>
      </c>
      <c r="G12490" s="16" t="n">
        <f aca="false">G12486-G12489</f>
        <v>0</v>
      </c>
      <c r="H12490" s="16" t="n">
        <f aca="false">H12486-H12489</f>
        <v>-6.00915999999998</v>
      </c>
      <c r="I12490" s="16" t="n">
        <f aca="false">I12486-I12489</f>
        <v>0</v>
      </c>
      <c r="J12490" s="16" t="n">
        <f aca="false">J12486-J12489</f>
        <v>0</v>
      </c>
      <c r="K12490" s="16" t="n">
        <f aca="false">K12486-K12489</f>
        <v>0</v>
      </c>
    </row>
    <row r="12491" customFormat="false" ht="15" hidden="false" customHeight="false" outlineLevel="0" collapsed="false">
      <c r="A12491" s="5" t="s">
        <v>313</v>
      </c>
      <c r="G12491" s="25" t="n">
        <f aca="false">G12414+G12427+G12440+G12453</f>
        <v>0</v>
      </c>
      <c r="H12491" s="25" t="n">
        <f aca="false">H12414+H12427+H12440+H12453</f>
        <v>0</v>
      </c>
      <c r="I12491" s="25" t="n">
        <f aca="false">I12414+I12427+I12440+I12453</f>
        <v>0</v>
      </c>
      <c r="J12491" s="25" t="n">
        <f aca="false">J12414+J12427+J12440+J12453</f>
        <v>0</v>
      </c>
      <c r="K12491" s="25" t="n">
        <f aca="false">K12414+K12427+K12440+K12453</f>
        <v>0</v>
      </c>
    </row>
    <row r="12492" customFormat="false" ht="15" hidden="false" customHeight="false" outlineLevel="0" collapsed="false">
      <c r="A12492" s="5" t="s">
        <v>314</v>
      </c>
      <c r="G12492" s="20" t="n">
        <f aca="false">IF(OR(G12487&gt;0.001,G12491&gt;0.001),1,0)</f>
        <v>0</v>
      </c>
      <c r="H12492" s="20" t="n">
        <f aca="false">IF(OR(H12487&gt;0.001,H12491&gt;0.001),1,0)</f>
        <v>1</v>
      </c>
      <c r="I12492" s="20" t="n">
        <f aca="false">IF(OR(I12487&gt;0.001,I12491&gt;0.001),1,0)</f>
        <v>0</v>
      </c>
      <c r="J12492" s="20" t="n">
        <f aca="false">IF(OR(J12487&gt;0.001,J12491&gt;0.001),1,0)</f>
        <v>0</v>
      </c>
      <c r="K12492" s="20" t="n">
        <f aca="false">IF(OR(K12487&gt;0.001,K12491&gt;0.001),1,0)</f>
        <v>0</v>
      </c>
    </row>
    <row r="12493" customFormat="false" ht="15" hidden="false" customHeight="false" outlineLevel="0" collapsed="false">
      <c r="A12493" s="5" t="s">
        <v>315</v>
      </c>
      <c r="G12493" s="20" t="n">
        <f aca="false">IF(G12492=1,1,0)</f>
        <v>0</v>
      </c>
      <c r="H12493" s="20" t="n">
        <f aca="false">IF(AND(H12492=1,SUM($G$12492:G12492)=0),1,0)</f>
        <v>1</v>
      </c>
      <c r="I12493" s="20" t="n">
        <f aca="false">IF(AND(I12492=1,SUM($G$12492:H12492)=0),1,0)</f>
        <v>0</v>
      </c>
      <c r="J12493" s="20" t="n">
        <f aca="false">IF(AND(J12492=1,SUM($G$12492:I12492)=0),1,0)</f>
        <v>0</v>
      </c>
      <c r="K12493" s="20" t="n">
        <f aca="false">IF(AND(K12492=1,SUM($G$12492:J12492)=0),1,0)</f>
        <v>0</v>
      </c>
    </row>
    <row r="12494" customFormat="false" ht="15" hidden="false" customHeight="false" outlineLevel="0" collapsed="false">
      <c r="A12494" s="5" t="s">
        <v>316</v>
      </c>
      <c r="G12494" s="25" t="n">
        <f aca="false">(G12456-F12456)-(G12483+G12383-G12481-G12485-G12489)</f>
        <v>0</v>
      </c>
      <c r="H12494" s="25" t="n">
        <f aca="false">(H12456-G12456)-(H12483+H12383-H12481-H12485-H12489)</f>
        <v>-4.52970994047064E-014</v>
      </c>
      <c r="I12494" s="25" t="n">
        <f aca="false">(I12456-H12456)-(I12483+I12383-I12481-I12485-I12489)</f>
        <v>7.46069872548105E-014</v>
      </c>
      <c r="J12494" s="25" t="n">
        <f aca="false">(J12456-I12456)-(J12483+J12383-J12481-J12485-J12489)</f>
        <v>0</v>
      </c>
      <c r="K12494" s="25" t="n">
        <f aca="false">(K12456-J12456)-(K12483+K12383-K12481-K12485-K12489)</f>
        <v>0</v>
      </c>
    </row>
    <row r="12496" customFormat="false" ht="15" hidden="false" customHeight="false" outlineLevel="0" collapsed="false">
      <c r="A12496" s="23" t="s">
        <v>318</v>
      </c>
      <c r="B12496" s="24"/>
      <c r="C12496" s="24"/>
      <c r="D12496" s="24"/>
      <c r="E12496" s="24"/>
      <c r="F12496" s="24"/>
      <c r="G12496" s="24"/>
      <c r="H12496" s="24"/>
      <c r="I12496" s="24"/>
      <c r="J12496" s="24"/>
      <c r="K12496" s="24"/>
    </row>
    <row r="12497" customFormat="false" ht="15" hidden="false" customHeight="false" outlineLevel="0" collapsed="false">
      <c r="A12497" s="5" t="s">
        <v>319</v>
      </c>
      <c r="G12497" s="25" t="n">
        <f aca="false">G12456</f>
        <v>1214.24</v>
      </c>
      <c r="H12497" s="25" t="n">
        <f aca="false">H12456</f>
        <v>1209.04</v>
      </c>
      <c r="I12497" s="25" t="n">
        <f aca="false">I12456</f>
        <v>1224.9985096</v>
      </c>
      <c r="J12497" s="25" t="n">
        <f aca="false">J12456</f>
        <v>1239.376932912</v>
      </c>
      <c r="K12497" s="25" t="n">
        <f aca="false">K12456</f>
        <v>1251.97594467624</v>
      </c>
    </row>
    <row r="12498" customFormat="false" ht="15" hidden="false" customHeight="false" outlineLevel="0" collapsed="false">
      <c r="A12498" s="5" t="s">
        <v>320</v>
      </c>
      <c r="G12498" s="25" t="n">
        <f aca="false">Assumptions!$O$53*G12415+Assumptions!$O$54*G12428+Assumptions!$O$55*G12441+Assumptions!$O$56*G12454</f>
        <v>914.24</v>
      </c>
      <c r="H12498" s="25" t="n">
        <f aca="false">Assumptions!$O$53*H12415+Assumptions!$O$54*H12428+Assumptions!$O$55*H12441+Assumptions!$O$56*H12454</f>
        <v>909.04</v>
      </c>
      <c r="I12498" s="25" t="n">
        <f aca="false">Assumptions!$O$53*I12415+Assumptions!$O$54*I12428+Assumptions!$O$55*I12441+Assumptions!$O$56*I12454</f>
        <v>924.9985096</v>
      </c>
      <c r="J12498" s="25" t="n">
        <f aca="false">Assumptions!$O$53*J12415+Assumptions!$O$54*J12428+Assumptions!$O$55*J12441+Assumptions!$O$56*J12454</f>
        <v>939.376932912</v>
      </c>
      <c r="K12498" s="25" t="n">
        <f aca="false">Assumptions!$O$53*K12415+Assumptions!$O$54*K12428+Assumptions!$O$55*K12441+Assumptions!$O$56*K12454</f>
        <v>951.97594467624</v>
      </c>
    </row>
    <row r="12499" customFormat="false" ht="15" hidden="false" customHeight="false" outlineLevel="0" collapsed="false">
      <c r="A12499" s="5" t="s">
        <v>321</v>
      </c>
      <c r="G12499" s="25" t="n">
        <f aca="false">G12497-G12490</f>
        <v>1214.24</v>
      </c>
      <c r="H12499" s="25" t="n">
        <f aca="false">H12497-H12490</f>
        <v>1215.04916</v>
      </c>
      <c r="I12499" s="25" t="n">
        <f aca="false">I12497-I12490</f>
        <v>1224.9985096</v>
      </c>
      <c r="J12499" s="25" t="n">
        <f aca="false">J12497-J12490</f>
        <v>1239.376932912</v>
      </c>
      <c r="K12499" s="25" t="n">
        <f aca="false">K12497-K12490</f>
        <v>1251.97594467624</v>
      </c>
    </row>
    <row r="12500" customFormat="false" ht="15" hidden="false" customHeight="false" outlineLevel="0" collapsed="false">
      <c r="A12500" s="5" t="s">
        <v>322</v>
      </c>
      <c r="G12500" s="31" t="n">
        <f aca="false">IF(G12378&gt;0,G12497/G12378,0)</f>
        <v>7.86221186221186</v>
      </c>
      <c r="H12500" s="31" t="n">
        <f aca="false">IF(H12378&gt;0,H12497/H12378,0)</f>
        <v>7.67156970986309</v>
      </c>
      <c r="I12500" s="31" t="n">
        <f aca="false">IF(I12378&gt;0,I12497/I12378,0)</f>
        <v>7.62376751410553</v>
      </c>
      <c r="J12500" s="31" t="n">
        <f aca="false">IF(J12378&gt;0,J12497/J12378,0)</f>
        <v>7.5716937530992</v>
      </c>
      <c r="K12500" s="31" t="n">
        <f aca="false">IF(K12378&gt;0,K12497/K12378,0)</f>
        <v>7.51425466558389</v>
      </c>
    </row>
    <row r="12501" customFormat="false" ht="15" hidden="false" customHeight="false" outlineLevel="0" collapsed="false">
      <c r="A12501" s="5" t="s">
        <v>323</v>
      </c>
      <c r="G12501" s="31" t="n">
        <f aca="false">IF(G12378&gt;0,G12499/G12378,0)</f>
        <v>7.86221186221186</v>
      </c>
      <c r="H12501" s="31" t="n">
        <f aca="false">IF(H12378&gt;0,H12499/H12378,0)</f>
        <v>7.70969887832544</v>
      </c>
      <c r="I12501" s="31" t="n">
        <f aca="false">IF(I12378&gt;0,I12499/I12378,0)</f>
        <v>7.62376751410553</v>
      </c>
      <c r="J12501" s="31" t="n">
        <f aca="false">IF(J12378&gt;0,J12499/J12378,0)</f>
        <v>7.5716937530992</v>
      </c>
      <c r="K12501" s="31" t="n">
        <f aca="false">IF(K12378&gt;0,K12499/K12378,0)</f>
        <v>7.51425466558389</v>
      </c>
    </row>
    <row r="12502" customFormat="false" ht="15" hidden="false" customHeight="false" outlineLevel="0" collapsed="false">
      <c r="A12502" s="5" t="s">
        <v>324</v>
      </c>
      <c r="G12502" s="31" t="n">
        <f aca="false">IF(G12382&gt;0,G12378/G12382,0)</f>
        <v>1.29737903225806</v>
      </c>
      <c r="H12502" s="31" t="n">
        <f aca="false">IF(H12382&gt;0,H12378/H12382,0)</f>
        <v>1.37984675303662</v>
      </c>
      <c r="I12502" s="31" t="n">
        <f aca="false">IF(I12382&gt;0,I12378/I12382,0)</f>
        <v>1.26641336326206</v>
      </c>
      <c r="J12502" s="31" t="n">
        <f aca="false">IF(J12382&gt;0,J12378/J12382,0)</f>
        <v>1.21473661783139</v>
      </c>
      <c r="K12502" s="31" t="n">
        <f aca="false">IF(K12382&gt;0,K12378/K12382,0)</f>
        <v>1.22212036414877</v>
      </c>
    </row>
    <row r="12503" customFormat="false" ht="15" hidden="false" customHeight="false" outlineLevel="0" collapsed="false">
      <c r="A12503" s="5" t="s">
        <v>325</v>
      </c>
      <c r="G12503" s="31" t="n">
        <f aca="false">IF(G12382&gt;0,G12381/G12382,0)</f>
        <v>0.858266129032258</v>
      </c>
      <c r="H12503" s="31" t="n">
        <f aca="false">IF(H12382&gt;0,H12381/H12382,0)</f>
        <v>0.926762744576837</v>
      </c>
      <c r="I12503" s="31" t="n">
        <f aca="false">IF(I12382&gt;0,I12381/I12382,0)</f>
        <v>0.862629392366913</v>
      </c>
      <c r="J12503" s="31" t="n">
        <f aca="false">IF(J12382&gt;0,J12381/J12382,0)</f>
        <v>0.838339355968144</v>
      </c>
      <c r="K12503" s="31" t="n">
        <f aca="false">IF(K12382&gt;0,K12381/K12382,0)</f>
        <v>0.853810117419004</v>
      </c>
    </row>
    <row r="12504" customFormat="false" ht="15" hidden="false" customHeight="false" outlineLevel="0" collapsed="false">
      <c r="A12504" s="5" t="s">
        <v>182</v>
      </c>
      <c r="G12504" s="21" t="n">
        <f aca="false">IF(G12497&gt;0,G12391/G12497,0)</f>
        <v>-0.00760969824746344</v>
      </c>
      <c r="H12504" s="21" t="n">
        <f aca="false">IF(H12497&gt;0,H12391/H12497,0)</f>
        <v>-0.000669258254482877</v>
      </c>
      <c r="I12504" s="21" t="n">
        <f aca="false">IF(I12497&gt;0,I12391/I12497,0)</f>
        <v>-0.00812192792238481</v>
      </c>
      <c r="J12504" s="21" t="n">
        <f aca="false">IF(J12497&gt;0,J12391/J12497,0)</f>
        <v>-0.0116013320323922</v>
      </c>
      <c r="K12504" s="21" t="n">
        <f aca="false">IF(K12497&gt;0,K12391/K12497,0)</f>
        <v>-0.0100633017893152</v>
      </c>
    </row>
    <row r="12505" customFormat="false" ht="15" hidden="false" customHeight="false" outlineLevel="0" collapsed="false">
      <c r="A12505" s="5" t="s">
        <v>326</v>
      </c>
      <c r="G12505" s="31" t="n">
        <f aca="false">IF(G12382+G12481&gt;0,(G12378-G12389-G12386)/(G12382+G12481),0)</f>
        <v>0.860592401802962</v>
      </c>
      <c r="H12505" s="31" t="n">
        <f aca="false">IF(H12382+H12481&gt;0,(H12378-H12389-H12386)/(H12382+H12481),0)</f>
        <v>0.925802348838058</v>
      </c>
      <c r="I12505" s="31" t="n">
        <f aca="false">IF(I12382+I12481&gt;0,(I12378-I12389-I12386)/(I12382+I12481),0)</f>
        <v>0.863929842094743</v>
      </c>
      <c r="J12505" s="31" t="n">
        <f aca="false">IF(J12382+J12481&gt;0,(J12378-J12389-J12386)/(J12382+J12481),0)</f>
        <v>0.840136401281331</v>
      </c>
      <c r="K12505" s="31" t="n">
        <f aca="false">IF(K12382+K12481&gt;0,(K12378-K12389-K12386)/(K12382+K12481),0)</f>
        <v>0.854692886710214</v>
      </c>
    </row>
    <row r="12506" customFormat="false" ht="15" hidden="false" customHeight="false" outlineLevel="0" collapsed="false">
      <c r="A12506" s="5" t="s">
        <v>327</v>
      </c>
      <c r="G12506" s="25" t="n">
        <f aca="false">MAX(0,G12490)+Assumptions!$P$53*MAX(0,Assumptions!$D$53-G12415)+Assumptions!$P$54*MAX(0,Assumptions!$D$54-G12428)+Assumptions!$P$55*MAX(0,Assumptions!$D$55-G12441)+Assumptions!$P$56*MAX(0,Assumptions!$D$56-G12454)</f>
        <v>150.56</v>
      </c>
      <c r="H12506" s="25" t="n">
        <f aca="false">MAX(0,H12490)+Assumptions!$P$53*MAX(0,Assumptions!$D$53-H12415)+Assumptions!$P$54*MAX(0,Assumptions!$D$54-H12428)+Assumptions!$P$55*MAX(0,Assumptions!$D$55-H12441)+Assumptions!$P$56*MAX(0,Assumptions!$D$56-H12454)</f>
        <v>150.56</v>
      </c>
      <c r="I12506" s="25" t="n">
        <f aca="false">MAX(0,I12490)+Assumptions!$P$53*MAX(0,Assumptions!$D$53-I12415)+Assumptions!$P$54*MAX(0,Assumptions!$D$54-I12428)+Assumptions!$P$55*MAX(0,Assumptions!$D$55-I12441)+Assumptions!$P$56*MAX(0,Assumptions!$D$56-I12454)</f>
        <v>129.4014904</v>
      </c>
      <c r="J12506" s="25" t="n">
        <f aca="false">MAX(0,J12490)+Assumptions!$P$53*MAX(0,Assumptions!$D$53-J12415)+Assumptions!$P$54*MAX(0,Assumptions!$D$54-J12428)+Assumptions!$P$55*MAX(0,Assumptions!$D$55-J12441)+Assumptions!$P$56*MAX(0,Assumptions!$D$56-J12454)</f>
        <v>109.823067088</v>
      </c>
      <c r="K12506" s="25" t="n">
        <f aca="false">MAX(0,K12490)+Assumptions!$P$53*MAX(0,Assumptions!$D$53-K12415)+Assumptions!$P$54*MAX(0,Assumptions!$D$54-K12428)+Assumptions!$P$55*MAX(0,Assumptions!$D$55-K12441)+Assumptions!$P$56*MAX(0,Assumptions!$D$56-K12454)</f>
        <v>92.02405532376</v>
      </c>
    </row>
    <row r="12507" customFormat="false" ht="15" hidden="false" customHeight="false" outlineLevel="0" collapsed="false">
      <c r="A12507" s="5" t="s">
        <v>328</v>
      </c>
      <c r="G12507" s="21" t="n">
        <f aca="false">IF(G12497&gt;0,G12497/(G12497+MAX(0,G12378*CHOOSE($C$12361,Assumptions!$C$76,Assumptions!$C$95,Assumptions!$C$114)-G12499)),0)</f>
        <v>1</v>
      </c>
      <c r="H12507" s="21" t="n">
        <f aca="false">IF(H12497&gt;0,H12497/(H12497+MAX(0,H12378*CHOOSE($C$12361,Assumptions!$C$76,Assumptions!$C$95,Assumptions!$C$114)-H12499)),0)</f>
        <v>1</v>
      </c>
      <c r="I12507" s="21" t="n">
        <f aca="false">IF(I12497&gt;0,I12497/(I12497+MAX(0,I12378*CHOOSE($C$12361,Assumptions!$C$76,Assumptions!$C$95,Assumptions!$C$114)-I12499)),0)</f>
        <v>1</v>
      </c>
      <c r="J12507" s="21" t="n">
        <f aca="false">IF(J12497&gt;0,J12497/(J12497+MAX(0,J12378*CHOOSE($C$12361,Assumptions!$C$76,Assumptions!$C$95,Assumptions!$C$114)-J12499)),0)</f>
        <v>1</v>
      </c>
      <c r="K12507" s="21" t="n">
        <f aca="false">IF(K12497&gt;0,K12497/(K12497+MAX(0,K12378*CHOOSE($C$12361,Assumptions!$C$76,Assumptions!$C$95,Assumptions!$C$114)-K12499)),0)</f>
        <v>1</v>
      </c>
    </row>
    <row r="12508" customFormat="false" ht="15" hidden="false" customHeight="false" outlineLevel="0" collapsed="false">
      <c r="A12508" s="5" t="s">
        <v>329</v>
      </c>
      <c r="G12508" s="21" t="n">
        <f aca="false">IF(G12497&gt;0,MAX(0,G12490)/G12497,0)</f>
        <v>0</v>
      </c>
      <c r="H12508" s="21" t="n">
        <f aca="false">IF(H12497&gt;0,MAX(0,H12490)/H12497,0)</f>
        <v>0</v>
      </c>
      <c r="I12508" s="21" t="n">
        <f aca="false">IF(I12497&gt;0,MAX(0,I12490)/I12497,0)</f>
        <v>0</v>
      </c>
      <c r="J12508" s="21" t="n">
        <f aca="false">IF(J12497&gt;0,MAX(0,J12490)/J12497,0)</f>
        <v>0</v>
      </c>
      <c r="K12508" s="21" t="n">
        <f aca="false">IF(K12497&gt;0,MAX(0,K12490)/K12497,0)</f>
        <v>0</v>
      </c>
    </row>
    <row r="12509" customFormat="false" ht="15" hidden="false" customHeight="false" outlineLevel="0" collapsed="false">
      <c r="A12509" s="5" t="s">
        <v>330</v>
      </c>
      <c r="G12509" s="25" t="n">
        <f aca="false">Assumptions!$C$27*(1-CHOOSE($C$12361,Assumptions!$C$79,Assumptions!$C$98,Assumptions!$C$117))</f>
        <v>1040</v>
      </c>
      <c r="H12509" s="25" t="n">
        <f aca="false">Assumptions!$C$27*(1-CHOOSE($C$12361,Assumptions!$C$79,Assumptions!$C$98,Assumptions!$C$117))</f>
        <v>1040</v>
      </c>
      <c r="I12509" s="25" t="n">
        <f aca="false">Assumptions!$C$27*(1-CHOOSE($C$12361,Assumptions!$C$79,Assumptions!$C$98,Assumptions!$C$117))</f>
        <v>1040</v>
      </c>
      <c r="J12509" s="25" t="n">
        <f aca="false">Assumptions!$C$27*(1-CHOOSE($C$12361,Assumptions!$C$79,Assumptions!$C$98,Assumptions!$C$117))</f>
        <v>1040</v>
      </c>
      <c r="K12509" s="25" t="n">
        <f aca="false">Assumptions!$C$27*(1-CHOOSE($C$12361,Assumptions!$C$79,Assumptions!$C$98,Assumptions!$C$117))</f>
        <v>1040</v>
      </c>
    </row>
    <row r="12510" customFormat="false" ht="15" hidden="false" customHeight="false" outlineLevel="0" collapsed="false">
      <c r="A12510" s="23" t="s">
        <v>331</v>
      </c>
      <c r="B12510" s="24"/>
      <c r="C12510" s="24"/>
      <c r="D12510" s="24"/>
      <c r="E12510" s="24"/>
      <c r="F12510" s="24"/>
      <c r="G12510" s="24"/>
      <c r="H12510" s="24"/>
      <c r="I12510" s="24"/>
      <c r="J12510" s="24"/>
      <c r="K12510" s="24"/>
    </row>
    <row r="12511" customFormat="false" ht="15" hidden="false" customHeight="false" outlineLevel="0" collapsed="false">
      <c r="A12511" s="23" t="s">
        <v>332</v>
      </c>
      <c r="B12511" s="24"/>
      <c r="C12511" s="24"/>
      <c r="D12511" s="24"/>
      <c r="E12511" s="24"/>
      <c r="F12511" s="24"/>
      <c r="G12511" s="24"/>
      <c r="H12511" s="24"/>
      <c r="I12511" s="24"/>
      <c r="J12511" s="24"/>
      <c r="K12511" s="24"/>
    </row>
    <row r="12512" customFormat="false" ht="15" hidden="false" customHeight="false" outlineLevel="0" collapsed="false">
      <c r="A12512" s="5" t="s">
        <v>333</v>
      </c>
      <c r="G12512" s="31" t="n">
        <f aca="false">IF(G12378&gt;0,G12499/G12378,99)</f>
        <v>7.86221186221186</v>
      </c>
      <c r="H12512" s="31" t="n">
        <f aca="false">IF(H12378&gt;0,H12499/H12378,99)</f>
        <v>7.70969887832544</v>
      </c>
      <c r="I12512" s="31" t="n">
        <f aca="false">IF(I12378&gt;0,I12499/I12378,99)</f>
        <v>7.62376751410553</v>
      </c>
      <c r="J12512" s="31" t="n">
        <f aca="false">IF(J12378&gt;0,J12499/J12378,99)</f>
        <v>7.5716937530992</v>
      </c>
      <c r="K12512" s="31" t="n">
        <f aca="false">IF(K12378&gt;0,K12499/K12378,99)</f>
        <v>7.51425466558389</v>
      </c>
    </row>
    <row r="12513" customFormat="false" ht="15" hidden="false" customHeight="false" outlineLevel="0" collapsed="false">
      <c r="A12513" s="5" t="s">
        <v>334</v>
      </c>
      <c r="G12513" s="32" t="n">
        <f aca="false">Assumptions!$G$61</f>
        <v>8.5</v>
      </c>
      <c r="H12513" s="32" t="n">
        <f aca="false">Assumptions!$H$61</f>
        <v>8.5</v>
      </c>
      <c r="I12513" s="32" t="n">
        <f aca="false">Assumptions!$I$61</f>
        <v>8.5</v>
      </c>
      <c r="J12513" s="32" t="n">
        <f aca="false">Assumptions!$J$61</f>
        <v>8.5</v>
      </c>
      <c r="K12513" s="32" t="n">
        <f aca="false">Assumptions!$K$61</f>
        <v>8.5</v>
      </c>
    </row>
    <row r="12514" customFormat="false" ht="15" hidden="false" customHeight="false" outlineLevel="0" collapsed="false">
      <c r="A12514" s="5" t="s">
        <v>335</v>
      </c>
      <c r="G12514" s="31" t="n">
        <f aca="false">G12513-G12512</f>
        <v>0.637788137788138</v>
      </c>
      <c r="H12514" s="31" t="n">
        <f aca="false">H12513-H12512</f>
        <v>0.790301121674557</v>
      </c>
      <c r="I12514" s="31" t="n">
        <f aca="false">I12513-I12512</f>
        <v>0.876232485894469</v>
      </c>
      <c r="J12514" s="31" t="n">
        <f aca="false">J12513-J12512</f>
        <v>0.928306246900803</v>
      </c>
      <c r="K12514" s="31" t="n">
        <f aca="false">K12513-K12512</f>
        <v>0.985745334416111</v>
      </c>
    </row>
    <row r="12515" customFormat="false" ht="15" hidden="false" customHeight="false" outlineLevel="0" collapsed="false">
      <c r="A12515" s="5" t="s">
        <v>336</v>
      </c>
      <c r="G12515" s="21" t="n">
        <f aca="false">IF(G12513=0,0,G12514/ABS(G12513))</f>
        <v>0.0750338985633103</v>
      </c>
      <c r="H12515" s="21" t="n">
        <f aca="false">IF(H12513=0,0,H12514/ABS(H12513))</f>
        <v>0.0929766025499479</v>
      </c>
      <c r="I12515" s="21" t="n">
        <f aca="false">IF(I12513=0,0,I12514/ABS(I12513))</f>
        <v>0.103086174811114</v>
      </c>
      <c r="J12515" s="21" t="n">
        <f aca="false">IF(J12513=0,0,J12514/ABS(J12513))</f>
        <v>0.109212499635389</v>
      </c>
      <c r="K12515" s="21" t="n">
        <f aca="false">IF(K12513=0,0,K12514/ABS(K12513))</f>
        <v>0.115970039343072</v>
      </c>
    </row>
    <row r="12516" customFormat="false" ht="15" hidden="false" customHeight="false" outlineLevel="0" collapsed="false">
      <c r="A12516" s="5" t="s">
        <v>337</v>
      </c>
      <c r="G12516" s="20" t="n">
        <f aca="false">IF(G12514&lt;0,1,0)</f>
        <v>0</v>
      </c>
      <c r="H12516" s="20" t="n">
        <f aca="false">IF(H12514&lt;0,1,0)</f>
        <v>0</v>
      </c>
      <c r="I12516" s="20" t="n">
        <f aca="false">IF(I12514&lt;0,1,0)</f>
        <v>0</v>
      </c>
      <c r="J12516" s="20" t="n">
        <f aca="false">IF(J12514&lt;0,1,0)</f>
        <v>0</v>
      </c>
      <c r="K12516" s="20" t="n">
        <f aca="false">IF(K12514&lt;0,1,0)</f>
        <v>0</v>
      </c>
    </row>
    <row r="12517" customFormat="false" ht="15" hidden="false" customHeight="false" outlineLevel="0" collapsed="false">
      <c r="A12517" s="5" t="s">
        <v>338</v>
      </c>
      <c r="C12517" s="20" t="n">
        <f aca="false">IFERROR(INDEX($G$12368:$K$12368,MATCH(1,$G$12516:$K$12516,0)),0)</f>
        <v>0</v>
      </c>
    </row>
    <row r="12518" customFormat="false" ht="15" hidden="false" customHeight="false" outlineLevel="0" collapsed="false">
      <c r="A12518" s="5" t="s">
        <v>339</v>
      </c>
      <c r="C12518" s="21" t="n">
        <f aca="false">MIN($G$12515:$K$12515)</f>
        <v>0.0750338985633103</v>
      </c>
    </row>
    <row r="12519" customFormat="false" ht="15" hidden="false" customHeight="false" outlineLevel="0" collapsed="false">
      <c r="A12519" s="5" t="s">
        <v>340</v>
      </c>
      <c r="G12519" s="20" t="n">
        <f aca="false">G12516</f>
        <v>0</v>
      </c>
      <c r="H12519" s="20" t="n">
        <f aca="false">H12516</f>
        <v>0</v>
      </c>
      <c r="I12519" s="20" t="n">
        <f aca="false">I12516</f>
        <v>0</v>
      </c>
      <c r="J12519" s="20" t="n">
        <f aca="false">J12516</f>
        <v>0</v>
      </c>
      <c r="K12519" s="20" t="n">
        <f aca="false">K12516</f>
        <v>0</v>
      </c>
    </row>
    <row r="12520" customFormat="false" ht="15" hidden="false" customHeight="false" outlineLevel="0" collapsed="false">
      <c r="A12520" s="5" t="s">
        <v>341</v>
      </c>
      <c r="C12520" s="20" t="n">
        <f aca="false">SUM($G$12519:$K$12519)</f>
        <v>0</v>
      </c>
    </row>
    <row r="12521" customFormat="false" ht="15" hidden="false" customHeight="false" outlineLevel="0" collapsed="false">
      <c r="A12521" s="5" t="s">
        <v>342</v>
      </c>
      <c r="C12521" s="21" t="n">
        <f aca="false">MIN(C12518)</f>
        <v>0.0750338985633103</v>
      </c>
    </row>
    <row r="12523" customFormat="false" ht="15" hidden="false" customHeight="false" outlineLevel="0" collapsed="false">
      <c r="A12523" s="23" t="s">
        <v>444</v>
      </c>
      <c r="B12523" s="24"/>
      <c r="C12523" s="24"/>
      <c r="D12523" s="24"/>
      <c r="E12523" s="24"/>
      <c r="F12523" s="24"/>
      <c r="G12523" s="24"/>
      <c r="H12523" s="24"/>
      <c r="I12523" s="24"/>
      <c r="J12523" s="24"/>
      <c r="K12523" s="24"/>
    </row>
    <row r="12524" customFormat="false" ht="15" hidden="false" customHeight="false" outlineLevel="0" collapsed="false">
      <c r="A12524" s="5" t="s">
        <v>445</v>
      </c>
      <c r="G12524" s="20" t="n">
        <f aca="false">IF($C$12525=1,G12493,IF(G12378=MIN($G$12378:$K$12378),1,0))</f>
        <v>0</v>
      </c>
      <c r="H12524" s="20" t="n">
        <f aca="false">IF($C$12525=1,H12493,IF(AND(H12378=MIN($G$12378:$K$12378),SUM($G$12524:G12524)=0),1,0))</f>
        <v>1</v>
      </c>
      <c r="I12524" s="20" t="n">
        <f aca="false">IF($C$12525=1,I12493,IF(AND(I12378=MIN($G$12378:$K$12378),SUM($G$12524:H12524)=0),1,0))</f>
        <v>0</v>
      </c>
      <c r="J12524" s="20" t="n">
        <f aca="false">IF($C$12525=1,J12493,IF(AND(J12378=MIN($G$12378:$K$12378),SUM($G$12524:I12524)=0),1,0))</f>
        <v>0</v>
      </c>
      <c r="K12524" s="20" t="n">
        <f aca="false">IF($C$12525=1,K12493,IF(AND(K12378=MIN($G$12378:$K$12378),SUM($G$12524:J12524)=0),1,0))</f>
        <v>0</v>
      </c>
    </row>
    <row r="12525" customFormat="false" ht="15" hidden="false" customHeight="false" outlineLevel="0" collapsed="false">
      <c r="A12525" s="5" t="s">
        <v>446</v>
      </c>
      <c r="C12525" s="20" t="n">
        <f aca="false">IF(SUM($G$12493:$K$12493)&gt;0,1,0)</f>
        <v>1</v>
      </c>
    </row>
    <row r="12526" customFormat="false" ht="15" hidden="false" customHeight="false" outlineLevel="0" collapsed="false">
      <c r="A12526" s="5" t="s">
        <v>447</v>
      </c>
      <c r="C12526" s="20" t="n">
        <f aca="false">SUMPRODUCT($G$12524:$K$12524,$G$12368:$K$12368)</f>
        <v>2027</v>
      </c>
    </row>
    <row r="12527" customFormat="false" ht="15" hidden="false" customHeight="false" outlineLevel="0" collapsed="false">
      <c r="A12527" s="5" t="s">
        <v>448</v>
      </c>
      <c r="C12527" s="25" t="n">
        <f aca="false">SUMPRODUCT($G$12524:$K$12524,$G$12378:$K$12378)</f>
        <v>157.60008</v>
      </c>
    </row>
    <row r="12528" customFormat="false" ht="15" hidden="false" customHeight="false" outlineLevel="0" collapsed="false">
      <c r="A12528" s="5" t="s">
        <v>449</v>
      </c>
      <c r="C12528" s="25" t="n">
        <f aca="false">MAX(0,SUMPRODUCT($G$12524:$K$12524,$G$12490:$K$12490))</f>
        <v>0</v>
      </c>
    </row>
    <row r="12529" customFormat="false" ht="15" hidden="false" customHeight="false" outlineLevel="0" collapsed="false">
      <c r="A12529" s="5" t="s">
        <v>450</v>
      </c>
      <c r="C12529" s="25" t="n">
        <f aca="false">(CHOOSE($C$12361,Assumptions!$C$78,Assumptions!$C$97,Assumptions!$C$116)+$C$12365)*C12527</f>
        <v>630.40032</v>
      </c>
    </row>
    <row r="12530" customFormat="false" ht="15" hidden="false" customHeight="false" outlineLevel="0" collapsed="false">
      <c r="A12530" s="5" t="s">
        <v>451</v>
      </c>
      <c r="C12530" s="25" t="n">
        <f aca="false">Assumptions!$C$27*(1-CHOOSE($C$12361,Assumptions!$C$79,Assumptions!$C$98,Assumptions!$C$117))*CHOOSE($C$12361,Assumptions!$C$80,Assumptions!$C$99,Assumptions!$C$118)</f>
        <v>624</v>
      </c>
    </row>
    <row r="12531" customFormat="false" ht="15" hidden="false" customHeight="false" outlineLevel="0" collapsed="false">
      <c r="A12531" s="5" t="s">
        <v>452</v>
      </c>
      <c r="C12531" s="25" t="n">
        <f aca="false">MAX(C12529,C12530)+C12528</f>
        <v>630.40032</v>
      </c>
    </row>
    <row r="12532" customFormat="false" ht="15" hidden="false" customHeight="false" outlineLevel="0" collapsed="false">
      <c r="A12532" s="2" t="s">
        <v>453</v>
      </c>
      <c r="C12532" s="16" t="n">
        <f aca="false">IF(ISNUMBER(Assumptions!$C$14),Assumptions!$C$14,C12531)</f>
        <v>630.40032</v>
      </c>
    </row>
    <row r="12533" customFormat="false" ht="15" hidden="false" customHeight="false" outlineLevel="0" collapsed="false">
      <c r="A12533" s="5" t="s">
        <v>454</v>
      </c>
      <c r="C12533" s="25" t="n">
        <f aca="false">C12532*Assumptions!$C$15</f>
        <v>25.2160128</v>
      </c>
    </row>
    <row r="12534" customFormat="false" ht="15" hidden="false" customHeight="false" outlineLevel="0" collapsed="false">
      <c r="A12534" s="2" t="s">
        <v>455</v>
      </c>
      <c r="C12534" s="16" t="n">
        <f aca="false">C12532-C12533</f>
        <v>605.1843072</v>
      </c>
    </row>
    <row r="12535" customFormat="false" ht="15" hidden="false" customHeight="false" outlineLevel="0" collapsed="false">
      <c r="A12535" s="23" t="s">
        <v>456</v>
      </c>
      <c r="B12535" s="24"/>
      <c r="C12535" s="24"/>
      <c r="D12535" s="24"/>
      <c r="E12535" s="24"/>
      <c r="F12535" s="24"/>
      <c r="G12535" s="24"/>
      <c r="H12535" s="24"/>
      <c r="I12535" s="24"/>
      <c r="J12535" s="24"/>
      <c r="K12535" s="24"/>
    </row>
    <row r="12536" customFormat="false" ht="15" hidden="false" customHeight="false" outlineLevel="0" collapsed="false">
      <c r="A12536" s="5" t="s">
        <v>457</v>
      </c>
      <c r="C12536" s="25" t="n">
        <f aca="false">SUMPRODUCT($G$12524:$K$12524,$G$12415:$K$12415)*(1+SUMPRODUCT($G$12524:$K$12524,$G$12407:$K$12407)*Assumptions!$C$16/12)</f>
        <v>152.55956</v>
      </c>
    </row>
    <row r="12537" customFormat="false" ht="15" hidden="false" customHeight="false" outlineLevel="0" collapsed="false">
      <c r="A12537" s="5" t="s">
        <v>458</v>
      </c>
      <c r="C12537" s="25" t="n">
        <f aca="false">SUMPRODUCT($G$12524:$K$12524,$G$12428:$K$12428)*(1+SUMPRODUCT($G$12524:$K$12524,$G$12420:$K$12420)*Assumptions!$C$16/12)</f>
        <v>522.4037</v>
      </c>
    </row>
    <row r="12538" customFormat="false" ht="15" hidden="false" customHeight="false" outlineLevel="0" collapsed="false">
      <c r="A12538" s="5" t="s">
        <v>459</v>
      </c>
      <c r="C12538" s="25" t="n">
        <f aca="false">SUMPRODUCT($G$12524:$K$12524,$G$12441:$K$12441)*(1+SUMPRODUCT($G$12524:$K$12524,$G$12433:$K$12433)*Assumptions!$C$16/12)</f>
        <v>256.875</v>
      </c>
    </row>
    <row r="12539" customFormat="false" ht="15" hidden="false" customHeight="false" outlineLevel="0" collapsed="false">
      <c r="A12539" s="5" t="s">
        <v>460</v>
      </c>
      <c r="C12539" s="25" t="n">
        <f aca="false">SUMPRODUCT($G$12524:$K$12524,$G$12454:$K$12454)*(1+SUMPRODUCT($G$12524:$K$12524,$G$12446:$K$12446)*Assumptions!$C$16/12)</f>
        <v>305.625</v>
      </c>
    </row>
    <row r="12540" customFormat="false" ht="15" hidden="false" customHeight="false" outlineLevel="0" collapsed="false">
      <c r="A12540" s="23" t="s">
        <v>461</v>
      </c>
      <c r="B12540" s="24"/>
      <c r="C12540" s="24"/>
      <c r="D12540" s="24"/>
      <c r="E12540" s="24"/>
      <c r="F12540" s="24"/>
      <c r="G12540" s="24"/>
      <c r="H12540" s="24"/>
      <c r="I12540" s="24"/>
      <c r="J12540" s="24"/>
      <c r="K12540" s="24"/>
    </row>
    <row r="12541" customFormat="false" ht="15" hidden="false" customHeight="false" outlineLevel="0" collapsed="false">
      <c r="A12541" s="5" t="s">
        <v>457</v>
      </c>
      <c r="C12541" s="26" t="n">
        <f aca="false">Assumptions!$M$53</f>
        <v>1</v>
      </c>
    </row>
    <row r="12542" customFormat="false" ht="15" hidden="false" customHeight="false" outlineLevel="0" collapsed="false">
      <c r="A12542" s="5" t="s">
        <v>458</v>
      </c>
      <c r="C12542" s="26" t="n">
        <f aca="false">Assumptions!$M$54</f>
        <v>2</v>
      </c>
    </row>
    <row r="12543" customFormat="false" ht="15" hidden="false" customHeight="false" outlineLevel="0" collapsed="false">
      <c r="A12543" s="5" t="s">
        <v>459</v>
      </c>
      <c r="C12543" s="26" t="n">
        <f aca="false">Assumptions!$M$55</f>
        <v>3</v>
      </c>
    </row>
    <row r="12544" customFormat="false" ht="15" hidden="false" customHeight="false" outlineLevel="0" collapsed="false">
      <c r="A12544" s="5" t="s">
        <v>460</v>
      </c>
      <c r="C12544" s="26" t="n">
        <f aca="false">Assumptions!$M$56</f>
        <v>4</v>
      </c>
    </row>
    <row r="12545" customFormat="false" ht="15" hidden="false" customHeight="false" outlineLevel="0" collapsed="false">
      <c r="A12545" s="23" t="s">
        <v>462</v>
      </c>
      <c r="B12545" s="24"/>
      <c r="C12545" s="24"/>
      <c r="D12545" s="24"/>
      <c r="E12545" s="24"/>
      <c r="F12545" s="24"/>
      <c r="G12545" s="24"/>
      <c r="H12545" s="24"/>
      <c r="I12545" s="24"/>
      <c r="J12545" s="24"/>
      <c r="K12545" s="24"/>
    </row>
    <row r="12546" customFormat="false" ht="15" hidden="false" customHeight="false" outlineLevel="0" collapsed="false">
      <c r="A12546" s="5" t="s">
        <v>457</v>
      </c>
      <c r="C12546" s="34" t="n">
        <f aca="false">Assumptions!$Q$53</f>
        <v>0</v>
      </c>
    </row>
    <row r="12547" customFormat="false" ht="15" hidden="false" customHeight="false" outlineLevel="0" collapsed="false">
      <c r="A12547" s="5" t="s">
        <v>458</v>
      </c>
      <c r="C12547" s="34" t="n">
        <f aca="false">Assumptions!$Q$54</f>
        <v>0</v>
      </c>
    </row>
    <row r="12548" customFormat="false" ht="15" hidden="false" customHeight="false" outlineLevel="0" collapsed="false">
      <c r="A12548" s="5" t="s">
        <v>459</v>
      </c>
      <c r="C12548" s="34" t="n">
        <f aca="false">Assumptions!$Q$55</f>
        <v>0</v>
      </c>
    </row>
    <row r="12549" customFormat="false" ht="15" hidden="false" customHeight="false" outlineLevel="0" collapsed="false">
      <c r="A12549" s="5" t="s">
        <v>460</v>
      </c>
      <c r="C12549" s="34" t="n">
        <f aca="false">Assumptions!$Q$56</f>
        <v>0</v>
      </c>
    </row>
    <row r="12550" customFormat="false" ht="15" hidden="false" customHeight="false" outlineLevel="0" collapsed="false">
      <c r="A12550" s="23" t="s">
        <v>463</v>
      </c>
      <c r="B12550" s="24"/>
      <c r="C12550" s="24"/>
      <c r="D12550" s="24"/>
      <c r="E12550" s="24"/>
      <c r="F12550" s="24"/>
      <c r="G12550" s="24"/>
      <c r="H12550" s="24"/>
      <c r="I12550" s="24"/>
      <c r="J12550" s="24"/>
      <c r="K12550" s="24"/>
    </row>
    <row r="12551" customFormat="false" ht="15" hidden="false" customHeight="false" outlineLevel="0" collapsed="false">
      <c r="A12551" s="5" t="s">
        <v>457</v>
      </c>
      <c r="C12551" s="25" t="n">
        <f aca="false">IF(C12546&gt;0,MIN(C12536,C12546*$C$12534),0)</f>
        <v>0</v>
      </c>
    </row>
    <row r="12552" customFormat="false" ht="15" hidden="false" customHeight="false" outlineLevel="0" collapsed="false">
      <c r="A12552" s="5" t="s">
        <v>458</v>
      </c>
      <c r="C12552" s="25" t="n">
        <f aca="false">IF(C12547&gt;0,MIN(C12537,C12547*$C$12534),0)</f>
        <v>0</v>
      </c>
    </row>
    <row r="12553" customFormat="false" ht="15" hidden="false" customHeight="false" outlineLevel="0" collapsed="false">
      <c r="A12553" s="5" t="s">
        <v>459</v>
      </c>
      <c r="C12553" s="25" t="n">
        <f aca="false">IF(C12548&gt;0,MIN(C12538,C12548*$C$12534),0)</f>
        <v>0</v>
      </c>
    </row>
    <row r="12554" customFormat="false" ht="15" hidden="false" customHeight="false" outlineLevel="0" collapsed="false">
      <c r="A12554" s="5" t="s">
        <v>460</v>
      </c>
      <c r="C12554" s="25" t="n">
        <f aca="false">IF(C12549&gt;0,MIN(C12539,C12549*$C$12534),0)</f>
        <v>0</v>
      </c>
    </row>
    <row r="12555" customFormat="false" ht="15" hidden="false" customHeight="false" outlineLevel="0" collapsed="false">
      <c r="A12555" s="23" t="s">
        <v>464</v>
      </c>
      <c r="B12555" s="24"/>
      <c r="C12555" s="24"/>
      <c r="D12555" s="24"/>
      <c r="E12555" s="24"/>
      <c r="F12555" s="24"/>
      <c r="G12555" s="24"/>
      <c r="H12555" s="24"/>
      <c r="I12555" s="24"/>
      <c r="J12555" s="24"/>
      <c r="K12555" s="24"/>
    </row>
    <row r="12556" customFormat="false" ht="15" hidden="false" customHeight="false" outlineLevel="0" collapsed="false">
      <c r="A12556" s="5" t="s">
        <v>457</v>
      </c>
      <c r="C12556" s="25" t="n">
        <f aca="false">IF(C12546&gt;0,C12536-C12551,0)</f>
        <v>0</v>
      </c>
      <c r="G12556" s="20" t="n">
        <f aca="false">IF(AND(G12405=1,G12402=1),1,0)</f>
        <v>0</v>
      </c>
      <c r="H12556" s="20" t="n">
        <f aca="false">IF(G12556=1,1,IF(AND(H12405=1,H12402=1),1,0))</f>
        <v>1</v>
      </c>
      <c r="I12556" s="20" t="n">
        <f aca="false">IF(H12556=1,1,IF(AND(I12405=1,I12402=1),1,0))</f>
        <v>1</v>
      </c>
      <c r="J12556" s="20" t="n">
        <f aca="false">IF(I12556=1,1,IF(AND(J12405=1,J12402=1),1,0))</f>
        <v>1</v>
      </c>
      <c r="K12556" s="20" t="n">
        <f aca="false">IF(J12556=1,1,IF(AND(K12405=1,K12402=1),1,0))</f>
        <v>1</v>
      </c>
    </row>
    <row r="12557" customFormat="false" ht="15" hidden="false" customHeight="false" outlineLevel="0" collapsed="false">
      <c r="A12557" s="5" t="s">
        <v>458</v>
      </c>
      <c r="C12557" s="25" t="n">
        <f aca="false">IF(C12547&gt;0,C12537-C12552,0)</f>
        <v>0</v>
      </c>
      <c r="G12557" s="20" t="n">
        <f aca="false">IF(AND(G12418=1,G12402=1),1,0)</f>
        <v>0</v>
      </c>
      <c r="H12557" s="20" t="n">
        <f aca="false">IF(G12557=1,1,IF(AND(H12418=1,H12402=1),1,0))</f>
        <v>0</v>
      </c>
      <c r="I12557" s="20" t="n">
        <f aca="false">IF(H12557=1,1,IF(AND(I12418=1,I12402=1),1,0))</f>
        <v>1</v>
      </c>
      <c r="J12557" s="20" t="n">
        <f aca="false">IF(I12557=1,1,IF(AND(J12418=1,J12402=1),1,0))</f>
        <v>1</v>
      </c>
      <c r="K12557" s="20" t="n">
        <f aca="false">IF(J12557=1,1,IF(AND(K12418=1,K12402=1),1,0))</f>
        <v>1</v>
      </c>
    </row>
    <row r="12558" customFormat="false" ht="15" hidden="false" customHeight="false" outlineLevel="0" collapsed="false">
      <c r="A12558" s="5" t="s">
        <v>459</v>
      </c>
      <c r="C12558" s="25" t="n">
        <f aca="false">IF(C12548&gt;0,C12538-C12553,0)</f>
        <v>0</v>
      </c>
      <c r="G12558" s="20" t="n">
        <f aca="false">IF(AND(G12431=1,G12402=1),1,0)</f>
        <v>0</v>
      </c>
      <c r="H12558" s="20" t="n">
        <f aca="false">IF(G12558=1,1,IF(AND(H12431=1,H12402=1),1,0))</f>
        <v>0</v>
      </c>
      <c r="I12558" s="20" t="n">
        <f aca="false">IF(H12558=1,1,IF(AND(I12431=1,I12402=1),1,0))</f>
        <v>0</v>
      </c>
      <c r="J12558" s="20" t="n">
        <f aca="false">IF(I12558=1,1,IF(AND(J12431=1,J12402=1),1,0))</f>
        <v>1</v>
      </c>
      <c r="K12558" s="20" t="n">
        <f aca="false">IF(J12558=1,1,IF(AND(K12431=1,K12402=1),1,0))</f>
        <v>1</v>
      </c>
    </row>
    <row r="12559" customFormat="false" ht="15" hidden="false" customHeight="false" outlineLevel="0" collapsed="false">
      <c r="A12559" s="5" t="s">
        <v>460</v>
      </c>
      <c r="C12559" s="25" t="n">
        <f aca="false">IF(C12549&gt;0,C12539-C12554,0)</f>
        <v>0</v>
      </c>
      <c r="G12559" s="20" t="n">
        <f aca="false">IF(AND(G12444=1,G12402=1),1,0)</f>
        <v>0</v>
      </c>
      <c r="H12559" s="20" t="n">
        <f aca="false">IF(G12559=1,1,IF(AND(H12444=1,H12402=1),1,0))</f>
        <v>1</v>
      </c>
      <c r="I12559" s="20" t="n">
        <f aca="false">IF(H12559=1,1,IF(AND(I12444=1,I12402=1),1,0))</f>
        <v>1</v>
      </c>
      <c r="J12559" s="20" t="n">
        <f aca="false">IF(I12559=1,1,IF(AND(J12444=1,J12402=1),1,0))</f>
        <v>1</v>
      </c>
      <c r="K12559" s="20" t="n">
        <f aca="false">IF(J12559=1,1,IF(AND(K12444=1,K12402=1),1,0))</f>
        <v>1</v>
      </c>
    </row>
    <row r="12560" customFormat="false" ht="15" hidden="false" customHeight="false" outlineLevel="0" collapsed="false">
      <c r="A12560" s="23" t="s">
        <v>465</v>
      </c>
      <c r="B12560" s="24"/>
      <c r="C12560" s="24"/>
      <c r="D12560" s="24"/>
      <c r="E12560" s="24"/>
      <c r="F12560" s="24"/>
      <c r="G12560" s="24"/>
      <c r="H12560" s="24"/>
      <c r="I12560" s="24"/>
      <c r="J12560" s="24"/>
      <c r="K12560" s="24"/>
    </row>
    <row r="12561" customFormat="false" ht="15" hidden="false" customHeight="false" outlineLevel="0" collapsed="false">
      <c r="A12561" s="5" t="s">
        <v>457</v>
      </c>
      <c r="C12561" s="25" t="n">
        <f aca="false">IF(C12546&gt;0,C12556,C12536)</f>
        <v>152.55956</v>
      </c>
    </row>
    <row r="12562" customFormat="false" ht="15" hidden="false" customHeight="false" outlineLevel="0" collapsed="false">
      <c r="A12562" s="5" t="s">
        <v>458</v>
      </c>
      <c r="C12562" s="25" t="n">
        <f aca="false">IF(C12547&gt;0,C12557,C12537)</f>
        <v>522.4037</v>
      </c>
    </row>
    <row r="12563" customFormat="false" ht="15" hidden="false" customHeight="false" outlineLevel="0" collapsed="false">
      <c r="A12563" s="5" t="s">
        <v>459</v>
      </c>
      <c r="C12563" s="25" t="n">
        <f aca="false">IF(C12548&gt;0,C12558,C12538)</f>
        <v>256.875</v>
      </c>
    </row>
    <row r="12564" customFormat="false" ht="15" hidden="false" customHeight="false" outlineLevel="0" collapsed="false">
      <c r="A12564" s="5" t="s">
        <v>460</v>
      </c>
      <c r="C12564" s="25" t="n">
        <f aca="false">IF(C12549&gt;0,C12559,C12539)</f>
        <v>305.625</v>
      </c>
    </row>
    <row r="12565" customFormat="false" ht="15" hidden="false" customHeight="false" outlineLevel="0" collapsed="false">
      <c r="A12565" s="23" t="s">
        <v>466</v>
      </c>
      <c r="B12565" s="24"/>
      <c r="C12565" s="24"/>
      <c r="D12565" s="24"/>
      <c r="E12565" s="24"/>
      <c r="F12565" s="24"/>
      <c r="G12565" s="24"/>
      <c r="H12565" s="24"/>
      <c r="I12565" s="24"/>
      <c r="J12565" s="24"/>
      <c r="K12565" s="24"/>
    </row>
    <row r="12566" customFormat="false" ht="15" hidden="false" customHeight="false" outlineLevel="0" collapsed="false">
      <c r="A12566" s="5" t="s">
        <v>457</v>
      </c>
      <c r="C12566" s="20" t="n">
        <f aca="false">IF(C12546&gt;0,Assumptions!$C$17,C12541)</f>
        <v>1</v>
      </c>
    </row>
    <row r="12567" customFormat="false" ht="15" hidden="false" customHeight="false" outlineLevel="0" collapsed="false">
      <c r="A12567" s="5" t="s">
        <v>458</v>
      </c>
      <c r="C12567" s="20" t="n">
        <f aca="false">IF(C12547&gt;0,Assumptions!$C$17,C12542)</f>
        <v>2</v>
      </c>
    </row>
    <row r="12568" customFormat="false" ht="15" hidden="false" customHeight="false" outlineLevel="0" collapsed="false">
      <c r="A12568" s="5" t="s">
        <v>459</v>
      </c>
      <c r="C12568" s="20" t="n">
        <f aca="false">IF(C12548&gt;0,Assumptions!$C$17,C12543)</f>
        <v>3</v>
      </c>
    </row>
    <row r="12569" customFormat="false" ht="15" hidden="false" customHeight="false" outlineLevel="0" collapsed="false">
      <c r="A12569" s="5" t="s">
        <v>460</v>
      </c>
      <c r="C12569" s="20" t="n">
        <f aca="false">IF(C12549&gt;0,Assumptions!$C$17,C12544)</f>
        <v>4</v>
      </c>
    </row>
    <row r="12570" customFormat="false" ht="15" hidden="false" customHeight="false" outlineLevel="0" collapsed="false">
      <c r="A12570" s="23" t="s">
        <v>467</v>
      </c>
      <c r="B12570" s="24"/>
      <c r="C12570" s="24"/>
      <c r="D12570" s="24"/>
      <c r="E12570" s="24"/>
      <c r="F12570" s="24"/>
      <c r="G12570" s="24"/>
      <c r="H12570" s="24"/>
      <c r="I12570" s="24"/>
      <c r="J12570" s="24"/>
      <c r="K12570" s="24"/>
    </row>
    <row r="12571" customFormat="false" ht="15" hidden="false" customHeight="false" outlineLevel="0" collapsed="false">
      <c r="A12571" s="5" t="s">
        <v>457</v>
      </c>
      <c r="C12571" s="25" t="n">
        <f aca="false">SUMPRODUCT(($C$12566:$C$12569&lt;C12566)*$C$12561:$C$12564)</f>
        <v>0</v>
      </c>
    </row>
    <row r="12572" customFormat="false" ht="15" hidden="false" customHeight="false" outlineLevel="0" collapsed="false">
      <c r="A12572" s="5" t="s">
        <v>458</v>
      </c>
      <c r="C12572" s="25" t="n">
        <f aca="false">SUMPRODUCT(($C$12566:$C$12569&lt;C12567)*$C$12561:$C$12564)</f>
        <v>152.55956</v>
      </c>
    </row>
    <row r="12573" customFormat="false" ht="15" hidden="false" customHeight="false" outlineLevel="0" collapsed="false">
      <c r="A12573" s="5" t="s">
        <v>459</v>
      </c>
      <c r="C12573" s="25" t="n">
        <f aca="false">SUMPRODUCT(($C$12566:$C$12569&lt;C12568)*$C$12561:$C$12564)</f>
        <v>674.96326</v>
      </c>
    </row>
    <row r="12574" customFormat="false" ht="15" hidden="false" customHeight="false" outlineLevel="0" collapsed="false">
      <c r="A12574" s="5" t="s">
        <v>460</v>
      </c>
      <c r="C12574" s="25" t="n">
        <f aca="false">SUMPRODUCT(($C$12566:$C$12569&lt;C12569)*$C$12561:$C$12564)</f>
        <v>931.83826</v>
      </c>
    </row>
    <row r="12575" customFormat="false" ht="15" hidden="false" customHeight="false" outlineLevel="0" collapsed="false">
      <c r="A12575" s="23" t="s">
        <v>468</v>
      </c>
      <c r="B12575" s="24"/>
      <c r="C12575" s="24"/>
      <c r="D12575" s="24"/>
      <c r="E12575" s="24"/>
      <c r="F12575" s="24"/>
      <c r="G12575" s="24"/>
      <c r="H12575" s="24"/>
      <c r="I12575" s="24"/>
      <c r="J12575" s="24"/>
      <c r="K12575" s="24"/>
    </row>
    <row r="12576" customFormat="false" ht="15" hidden="false" customHeight="false" outlineLevel="0" collapsed="false">
      <c r="A12576" s="5" t="s">
        <v>457</v>
      </c>
      <c r="C12576" s="25" t="n">
        <f aca="false">SUMPRODUCT(($C$12566:$C$12569=C12566)*$C$12561:$C$12564)</f>
        <v>152.55956</v>
      </c>
    </row>
    <row r="12577" customFormat="false" ht="15" hidden="false" customHeight="false" outlineLevel="0" collapsed="false">
      <c r="A12577" s="5" t="s">
        <v>458</v>
      </c>
      <c r="C12577" s="25" t="n">
        <f aca="false">SUMPRODUCT(($C$12566:$C$12569=C12567)*$C$12561:$C$12564)</f>
        <v>522.4037</v>
      </c>
    </row>
    <row r="12578" customFormat="false" ht="15" hidden="false" customHeight="false" outlineLevel="0" collapsed="false">
      <c r="A12578" s="5" t="s">
        <v>459</v>
      </c>
      <c r="C12578" s="25" t="n">
        <f aca="false">SUMPRODUCT(($C$12566:$C$12569=C12568)*$C$12561:$C$12564)</f>
        <v>256.875</v>
      </c>
    </row>
    <row r="12579" customFormat="false" ht="15" hidden="false" customHeight="false" outlineLevel="0" collapsed="false">
      <c r="A12579" s="5" t="s">
        <v>460</v>
      </c>
      <c r="C12579" s="25" t="n">
        <f aca="false">SUMPRODUCT(($C$12566:$C$12569=C12569)*$C$12561:$C$12564)</f>
        <v>305.625</v>
      </c>
    </row>
    <row r="12580" customFormat="false" ht="15" hidden="false" customHeight="false" outlineLevel="0" collapsed="false">
      <c r="A12580" s="23" t="s">
        <v>469</v>
      </c>
      <c r="B12580" s="24"/>
      <c r="C12580" s="24"/>
      <c r="D12580" s="24"/>
      <c r="E12580" s="24"/>
      <c r="F12580" s="24"/>
      <c r="G12580" s="24"/>
      <c r="H12580" s="24"/>
      <c r="I12580" s="24"/>
      <c r="J12580" s="24"/>
      <c r="K12580" s="24"/>
    </row>
    <row r="12581" customFormat="false" ht="15" hidden="false" customHeight="false" outlineLevel="0" collapsed="false">
      <c r="A12581" s="5" t="s">
        <v>457</v>
      </c>
      <c r="C12581" s="25" t="n">
        <f aca="false">IF(C12576=0,0,C12561/C12576*MAX(0,MIN(C12576,$C$12534-SUM($C$12551:$C$12554)-C12571)))</f>
        <v>152.55956</v>
      </c>
    </row>
    <row r="12582" customFormat="false" ht="15" hidden="false" customHeight="false" outlineLevel="0" collapsed="false">
      <c r="A12582" s="5" t="s">
        <v>458</v>
      </c>
      <c r="C12582" s="25" t="n">
        <f aca="false">IF(C12577=0,0,C12562/C12577*MAX(0,MIN(C12577,$C$12534-SUM($C$12551:$C$12554)-C12572)))</f>
        <v>452.6247472</v>
      </c>
    </row>
    <row r="12583" customFormat="false" ht="15" hidden="false" customHeight="false" outlineLevel="0" collapsed="false">
      <c r="A12583" s="5" t="s">
        <v>459</v>
      </c>
      <c r="C12583" s="25" t="n">
        <f aca="false">IF(C12578=0,0,C12563/C12578*MAX(0,MIN(C12578,$C$12534-SUM($C$12551:$C$12554)-C12573)))</f>
        <v>0</v>
      </c>
    </row>
    <row r="12584" customFormat="false" ht="15" hidden="false" customHeight="false" outlineLevel="0" collapsed="false">
      <c r="A12584" s="5" t="s">
        <v>460</v>
      </c>
      <c r="C12584" s="25" t="n">
        <f aca="false">IF(C12579=0,0,C12564/C12579*MAX(0,MIN(C12579,$C$12534-SUM($C$12551:$C$12554)-C12574)))</f>
        <v>0</v>
      </c>
    </row>
    <row r="12585" customFormat="false" ht="15" hidden="false" customHeight="false" outlineLevel="0" collapsed="false">
      <c r="A12585" s="23" t="s">
        <v>470</v>
      </c>
      <c r="B12585" s="24"/>
      <c r="C12585" s="24"/>
      <c r="D12585" s="24"/>
      <c r="E12585" s="24"/>
      <c r="F12585" s="24"/>
      <c r="G12585" s="24"/>
      <c r="H12585" s="24"/>
      <c r="I12585" s="24"/>
      <c r="J12585" s="24"/>
      <c r="K12585" s="24"/>
    </row>
    <row r="12586" customFormat="false" ht="15" hidden="false" customHeight="false" outlineLevel="0" collapsed="false">
      <c r="A12586" s="2" t="s">
        <v>457</v>
      </c>
      <c r="C12586" s="16" t="n">
        <f aca="false">C12551+C12581</f>
        <v>152.55956</v>
      </c>
    </row>
    <row r="12587" customFormat="false" ht="15" hidden="false" customHeight="false" outlineLevel="0" collapsed="false">
      <c r="A12587" s="2" t="s">
        <v>458</v>
      </c>
      <c r="C12587" s="16" t="n">
        <f aca="false">C12552+C12582</f>
        <v>452.6247472</v>
      </c>
    </row>
    <row r="12588" customFormat="false" ht="15" hidden="false" customHeight="false" outlineLevel="0" collapsed="false">
      <c r="A12588" s="2" t="s">
        <v>459</v>
      </c>
      <c r="C12588" s="16" t="n">
        <f aca="false">C12553+C12583</f>
        <v>0</v>
      </c>
    </row>
    <row r="12589" customFormat="false" ht="15" hidden="false" customHeight="false" outlineLevel="0" collapsed="false">
      <c r="A12589" s="2" t="s">
        <v>460</v>
      </c>
      <c r="C12589" s="16" t="n">
        <f aca="false">C12554+C12584</f>
        <v>0</v>
      </c>
    </row>
    <row r="12590" customFormat="false" ht="15" hidden="false" customHeight="false" outlineLevel="0" collapsed="false">
      <c r="A12590" s="23" t="s">
        <v>471</v>
      </c>
      <c r="B12590" s="24"/>
      <c r="C12590" s="24"/>
      <c r="D12590" s="24"/>
      <c r="E12590" s="24"/>
      <c r="F12590" s="24"/>
      <c r="G12590" s="24"/>
      <c r="H12590" s="24"/>
      <c r="I12590" s="24"/>
      <c r="J12590" s="24"/>
      <c r="K12590" s="24"/>
    </row>
    <row r="12591" customFormat="false" ht="15" hidden="false" customHeight="false" outlineLevel="0" collapsed="false">
      <c r="A12591" s="5" t="s">
        <v>457</v>
      </c>
      <c r="C12591" s="21" t="n">
        <f aca="false">IF(C12536=0,1,C12586/C12536)</f>
        <v>1</v>
      </c>
    </row>
    <row r="12592" customFormat="false" ht="15" hidden="false" customHeight="false" outlineLevel="0" collapsed="false">
      <c r="A12592" s="5" t="s">
        <v>458</v>
      </c>
      <c r="C12592" s="21" t="n">
        <f aca="false">IF(C12537=0,1,C12587/C12537)</f>
        <v>0.866427146668372</v>
      </c>
    </row>
    <row r="12593" customFormat="false" ht="15" hidden="false" customHeight="false" outlineLevel="0" collapsed="false">
      <c r="A12593" s="5" t="s">
        <v>459</v>
      </c>
      <c r="C12593" s="21" t="n">
        <f aca="false">IF(C12538=0,1,C12588/C12538)</f>
        <v>0</v>
      </c>
    </row>
    <row r="12594" customFormat="false" ht="15" hidden="false" customHeight="false" outlineLevel="0" collapsed="false">
      <c r="A12594" s="5" t="s">
        <v>460</v>
      </c>
      <c r="C12594" s="21" t="n">
        <f aca="false">IF(C12539=0,1,C12589/C12539)</f>
        <v>0</v>
      </c>
    </row>
    <row r="12595" customFormat="false" ht="15" hidden="false" customHeight="false" outlineLevel="0" collapsed="false">
      <c r="A12595" s="23" t="s">
        <v>472</v>
      </c>
      <c r="B12595" s="24"/>
      <c r="C12595" s="24"/>
      <c r="D12595" s="24"/>
      <c r="E12595" s="24"/>
      <c r="F12595" s="24"/>
      <c r="G12595" s="24"/>
      <c r="H12595" s="24"/>
      <c r="I12595" s="24"/>
      <c r="J12595" s="24"/>
      <c r="K12595" s="24"/>
    </row>
    <row r="12596" customFormat="false" ht="15" hidden="false" customHeight="false" outlineLevel="0" collapsed="false">
      <c r="A12596" s="5" t="s">
        <v>457</v>
      </c>
      <c r="C12596" s="25" t="n">
        <f aca="false">C12536-C12586</f>
        <v>0</v>
      </c>
    </row>
    <row r="12597" customFormat="false" ht="15" hidden="false" customHeight="false" outlineLevel="0" collapsed="false">
      <c r="A12597" s="5" t="s">
        <v>458</v>
      </c>
      <c r="C12597" s="25" t="n">
        <f aca="false">C12537-C12587</f>
        <v>69.7789528000001</v>
      </c>
    </row>
    <row r="12598" customFormat="false" ht="15" hidden="false" customHeight="false" outlineLevel="0" collapsed="false">
      <c r="A12598" s="5" t="s">
        <v>459</v>
      </c>
      <c r="C12598" s="25" t="n">
        <f aca="false">C12538-C12588</f>
        <v>256.875</v>
      </c>
    </row>
    <row r="12599" customFormat="false" ht="15" hidden="false" customHeight="false" outlineLevel="0" collapsed="false">
      <c r="A12599" s="5" t="s">
        <v>460</v>
      </c>
      <c r="C12599" s="25" t="n">
        <f aca="false">C12539-C12589</f>
        <v>305.625</v>
      </c>
    </row>
    <row r="12600" customFormat="false" ht="15" hidden="false" customHeight="false" outlineLevel="0" collapsed="false">
      <c r="A12600" s="23" t="s">
        <v>473</v>
      </c>
      <c r="B12600" s="24"/>
      <c r="C12600" s="24"/>
      <c r="D12600" s="24"/>
      <c r="E12600" s="24"/>
      <c r="F12600" s="24"/>
      <c r="G12600" s="24"/>
      <c r="H12600" s="24"/>
      <c r="I12600" s="24"/>
      <c r="J12600" s="24"/>
      <c r="K12600" s="24"/>
    </row>
    <row r="12601" customFormat="false" ht="15" hidden="false" customHeight="false" outlineLevel="0" collapsed="false">
      <c r="A12601" s="5" t="s">
        <v>457</v>
      </c>
      <c r="C12601" s="21" t="n">
        <f aca="false">IF(C12536=0,0,C12596/C12536)</f>
        <v>0</v>
      </c>
    </row>
    <row r="12602" customFormat="false" ht="15" hidden="false" customHeight="false" outlineLevel="0" collapsed="false">
      <c r="A12602" s="5" t="s">
        <v>458</v>
      </c>
      <c r="C12602" s="21" t="n">
        <f aca="false">IF(C12537=0,0,C12597/C12537)</f>
        <v>0.133572853331629</v>
      </c>
    </row>
    <row r="12603" customFormat="false" ht="15" hidden="false" customHeight="false" outlineLevel="0" collapsed="false">
      <c r="A12603" s="5" t="s">
        <v>459</v>
      </c>
      <c r="C12603" s="21" t="n">
        <f aca="false">IF(C12538=0,0,C12598/C12538)</f>
        <v>1</v>
      </c>
    </row>
    <row r="12604" customFormat="false" ht="15" hidden="false" customHeight="false" outlineLevel="0" collapsed="false">
      <c r="A12604" s="5" t="s">
        <v>460</v>
      </c>
      <c r="C12604" s="21" t="n">
        <f aca="false">IF(C12539=0,0,C12599/C12539)</f>
        <v>1</v>
      </c>
    </row>
    <row r="12605" customFormat="false" ht="15" hidden="false" customHeight="false" outlineLevel="0" collapsed="false">
      <c r="A12605" s="2" t="s">
        <v>474</v>
      </c>
      <c r="C12605" s="16" t="n">
        <f aca="false">MAX(0,$C$12534-SUM($C$12551:$C$12554)-SUM($C$12561:$C$12564))</f>
        <v>0</v>
      </c>
    </row>
    <row r="12606" customFormat="false" ht="15" hidden="false" customHeight="false" outlineLevel="0" collapsed="false">
      <c r="A12606" s="5" t="s">
        <v>475</v>
      </c>
      <c r="C12606" s="25" t="n">
        <f aca="false">SUM($C$12586:$C$12589)+C12605+C12533-C12532</f>
        <v>0</v>
      </c>
    </row>
    <row r="12608" customFormat="false" ht="15" hidden="false" customHeight="false" outlineLevel="0" collapsed="false">
      <c r="A12608" s="23" t="s">
        <v>478</v>
      </c>
      <c r="B12608" s="24"/>
      <c r="C12608" s="24"/>
      <c r="D12608" s="24"/>
      <c r="E12608" s="24"/>
      <c r="F12608" s="24"/>
      <c r="G12608" s="24"/>
      <c r="H12608" s="24"/>
      <c r="I12608" s="24"/>
      <c r="J12608" s="24"/>
      <c r="K12608" s="24"/>
    </row>
    <row r="12609" customFormat="false" ht="15" hidden="false" customHeight="false" outlineLevel="0" collapsed="false">
      <c r="A12609" s="5" t="s">
        <v>479</v>
      </c>
      <c r="C12609" s="26" t="n">
        <f aca="false">Assumptions!$C$30</f>
        <v>2</v>
      </c>
    </row>
    <row r="12610" customFormat="false" ht="15" hidden="false" customHeight="false" outlineLevel="0" collapsed="false">
      <c r="A12610" s="5" t="s">
        <v>480</v>
      </c>
      <c r="C12610" s="28" t="n">
        <f aca="false">Assumptions!$C$31</f>
        <v>100</v>
      </c>
    </row>
    <row r="12611" customFormat="false" ht="15" hidden="false" customHeight="false" outlineLevel="0" collapsed="false">
      <c r="A12611" s="5" t="s">
        <v>481</v>
      </c>
      <c r="C12611" s="39" t="n">
        <f aca="false">Assumptions!$C$32</f>
        <v>78</v>
      </c>
    </row>
    <row r="12612" customFormat="false" ht="15" hidden="false" customHeight="false" outlineLevel="0" collapsed="false">
      <c r="A12612" s="5" t="s">
        <v>482</v>
      </c>
      <c r="C12612" s="25" t="n">
        <f aca="false">C12610*C12611/100*(1+Assumptions!$C$33)</f>
        <v>78.39</v>
      </c>
    </row>
    <row r="12613" customFormat="false" ht="15" hidden="false" customHeight="false" outlineLevel="0" collapsed="false">
      <c r="A12613" s="5" t="s">
        <v>483</v>
      </c>
      <c r="C12613" s="26" t="n">
        <f aca="false">Assumptions!$C$34</f>
        <v>2</v>
      </c>
    </row>
    <row r="12614" customFormat="false" ht="15" hidden="false" customHeight="false" outlineLevel="0" collapsed="false">
      <c r="A12614" s="5" t="s">
        <v>484</v>
      </c>
      <c r="C12614" s="20" t="n">
        <f aca="false">IF(C12525=1,SUMPRODUCT($G$12493:$K$12493,$G$12369:$K$12369),0)</f>
        <v>2</v>
      </c>
    </row>
    <row r="12615" customFormat="false" ht="15" hidden="false" customHeight="false" outlineLevel="0" collapsed="false">
      <c r="A12615" s="5" t="s">
        <v>485</v>
      </c>
      <c r="C12615" s="21" t="n">
        <f aca="false">IFERROR(C12610/CHOOSE(C12609,SUMPRODUCT($G$12524:$K$12524,$G$12415:$K$12415),SUMPRODUCT($G$12524:$K$12524,$G$12428:$K$12428),SUMPRODUCT($G$12524:$K$12524,$G$12441:$K$12441),SUMPRODUCT($G$12524:$K$12524,$G$12454:$K$12454)),0)</f>
        <v>0.196232339089482</v>
      </c>
    </row>
    <row r="12616" customFormat="false" ht="15" hidden="false" customHeight="false" outlineLevel="0" collapsed="false">
      <c r="A12616" s="5" t="s">
        <v>486</v>
      </c>
      <c r="C12616" s="25" t="n">
        <f aca="false">CHOOSE(C12609,C12586,C12587,C12588,C12589)*C12615</f>
        <v>88.8196128728414</v>
      </c>
    </row>
    <row r="12617" customFormat="false" ht="15" hidden="false" customHeight="false" outlineLevel="0" collapsed="false">
      <c r="A12617" s="5" t="s">
        <v>487</v>
      </c>
      <c r="C12617" s="21" t="n">
        <f aca="false">CHOOSE(C12609,C12591,C12592,C12593,C12594)</f>
        <v>0.866427146668372</v>
      </c>
    </row>
    <row r="12618" customFormat="false" ht="15" hidden="false" customHeight="false" outlineLevel="0" collapsed="false">
      <c r="A12618" s="5" t="s">
        <v>488</v>
      </c>
      <c r="C12618" s="20" t="n">
        <f aca="false">IF(C12525=1,C12614,C12613)</f>
        <v>2</v>
      </c>
    </row>
    <row r="12619" customFormat="false" ht="15" hidden="false" customHeight="false" outlineLevel="0" collapsed="false">
      <c r="A12619" s="5" t="s">
        <v>489</v>
      </c>
      <c r="C12619" s="33" t="n">
        <f aca="false">CHOOSE($C$12361,Assumptions!$C$77,Assumptions!$C$96,Assumptions!$C$115)</f>
        <v>100</v>
      </c>
    </row>
    <row r="12620" customFormat="false" ht="15" hidden="false" customHeight="false" outlineLevel="0" collapsed="false">
      <c r="A12620" s="5" t="s">
        <v>490</v>
      </c>
      <c r="C12620" s="25" t="n">
        <f aca="false">INDEX($G$12378:$K$12378,C12613)*CHOOSE($C$12361,Assumptions!$C$76,Assumptions!$C$95,Assumptions!$C$114)+MAX(0,INDEX($G$12490:$K$12490,C12613))</f>
        <v>1024.40052</v>
      </c>
    </row>
    <row r="12621" customFormat="false" ht="15" hidden="false" customHeight="false" outlineLevel="0" collapsed="false">
      <c r="A12621" s="23" t="s">
        <v>491</v>
      </c>
      <c r="B12621" s="24"/>
      <c r="C12621" s="24"/>
      <c r="D12621" s="24"/>
      <c r="E12621" s="24"/>
      <c r="F12621" s="24"/>
      <c r="G12621" s="24"/>
      <c r="H12621" s="24"/>
      <c r="I12621" s="24"/>
      <c r="J12621" s="24"/>
      <c r="K12621" s="24"/>
    </row>
    <row r="12622" customFormat="false" ht="15" hidden="false" customHeight="false" outlineLevel="0" collapsed="false">
      <c r="A12622" s="5" t="s">
        <v>457</v>
      </c>
      <c r="C12622" s="25" t="n">
        <f aca="false">INDEX($G$12415:$K$12415,C12613)</f>
        <v>149.44</v>
      </c>
    </row>
    <row r="12623" customFormat="false" ht="15" hidden="false" customHeight="false" outlineLevel="0" collapsed="false">
      <c r="A12623" s="5" t="s">
        <v>458</v>
      </c>
      <c r="C12623" s="25" t="n">
        <f aca="false">INDEX($G$12428:$K$12428,C12613)</f>
        <v>509.6</v>
      </c>
    </row>
    <row r="12624" customFormat="false" ht="15" hidden="false" customHeight="false" outlineLevel="0" collapsed="false">
      <c r="A12624" s="5" t="s">
        <v>459</v>
      </c>
      <c r="C12624" s="25" t="n">
        <f aca="false">INDEX($G$12441:$K$12441,C12613)</f>
        <v>250</v>
      </c>
    </row>
    <row r="12625" customFormat="false" ht="15" hidden="false" customHeight="false" outlineLevel="0" collapsed="false">
      <c r="A12625" s="5" t="s">
        <v>460</v>
      </c>
      <c r="C12625" s="25" t="n">
        <f aca="false">INDEX($G$12454:$K$12454,C12613)</f>
        <v>300</v>
      </c>
    </row>
    <row r="12626" customFormat="false" ht="15" hidden="false" customHeight="false" outlineLevel="0" collapsed="false">
      <c r="A12626" s="23" t="s">
        <v>461</v>
      </c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</row>
    <row r="12627" customFormat="false" ht="15" hidden="false" customHeight="false" outlineLevel="0" collapsed="false">
      <c r="A12627" s="5" t="s">
        <v>457</v>
      </c>
      <c r="C12627" s="26" t="n">
        <f aca="false">Assumptions!$M$53</f>
        <v>1</v>
      </c>
    </row>
    <row r="12628" customFormat="false" ht="15" hidden="false" customHeight="false" outlineLevel="0" collapsed="false">
      <c r="A12628" s="5" t="s">
        <v>458</v>
      </c>
      <c r="C12628" s="26" t="n">
        <f aca="false">Assumptions!$M$54</f>
        <v>2</v>
      </c>
    </row>
    <row r="12629" customFormat="false" ht="15" hidden="false" customHeight="false" outlineLevel="0" collapsed="false">
      <c r="A12629" s="5" t="s">
        <v>459</v>
      </c>
      <c r="C12629" s="26" t="n">
        <f aca="false">Assumptions!$M$55</f>
        <v>3</v>
      </c>
    </row>
    <row r="12630" customFormat="false" ht="15" hidden="false" customHeight="false" outlineLevel="0" collapsed="false">
      <c r="A12630" s="5" t="s">
        <v>460</v>
      </c>
      <c r="C12630" s="26" t="n">
        <f aca="false">Assumptions!$M$56</f>
        <v>4</v>
      </c>
    </row>
    <row r="12631" customFormat="false" ht="15" hidden="false" customHeight="false" outlineLevel="0" collapsed="false">
      <c r="A12631" s="23" t="s">
        <v>462</v>
      </c>
      <c r="B12631" s="24"/>
      <c r="C12631" s="24"/>
      <c r="D12631" s="24"/>
      <c r="E12631" s="24"/>
      <c r="F12631" s="24"/>
      <c r="G12631" s="24"/>
      <c r="H12631" s="24"/>
      <c r="I12631" s="24"/>
      <c r="J12631" s="24"/>
      <c r="K12631" s="24"/>
    </row>
    <row r="12632" customFormat="false" ht="15" hidden="false" customHeight="false" outlineLevel="0" collapsed="false">
      <c r="A12632" s="5" t="s">
        <v>457</v>
      </c>
      <c r="C12632" s="34" t="n">
        <f aca="false">Assumptions!$Q$53</f>
        <v>0</v>
      </c>
    </row>
    <row r="12633" customFormat="false" ht="15" hidden="false" customHeight="false" outlineLevel="0" collapsed="false">
      <c r="A12633" s="5" t="s">
        <v>458</v>
      </c>
      <c r="C12633" s="34" t="n">
        <f aca="false">Assumptions!$Q$54</f>
        <v>0</v>
      </c>
    </row>
    <row r="12634" customFormat="false" ht="15" hidden="false" customHeight="false" outlineLevel="0" collapsed="false">
      <c r="A12634" s="5" t="s">
        <v>459</v>
      </c>
      <c r="C12634" s="34" t="n">
        <f aca="false">Assumptions!$Q$55</f>
        <v>0</v>
      </c>
    </row>
    <row r="12635" customFormat="false" ht="15" hidden="false" customHeight="false" outlineLevel="0" collapsed="false">
      <c r="A12635" s="5" t="s">
        <v>460</v>
      </c>
      <c r="C12635" s="34" t="n">
        <f aca="false">Assumptions!$Q$56</f>
        <v>0</v>
      </c>
    </row>
    <row r="12636" customFormat="false" ht="15" hidden="false" customHeight="false" outlineLevel="0" collapsed="false">
      <c r="A12636" s="23" t="s">
        <v>463</v>
      </c>
      <c r="B12636" s="24"/>
      <c r="C12636" s="24"/>
      <c r="D12636" s="24"/>
      <c r="E12636" s="24"/>
      <c r="F12636" s="24"/>
      <c r="G12636" s="24"/>
      <c r="H12636" s="24"/>
      <c r="I12636" s="24"/>
      <c r="J12636" s="24"/>
      <c r="K12636" s="24"/>
    </row>
    <row r="12637" customFormat="false" ht="15" hidden="false" customHeight="false" outlineLevel="0" collapsed="false">
      <c r="A12637" s="5" t="s">
        <v>457</v>
      </c>
      <c r="C12637" s="25" t="n">
        <f aca="false">IF(C12632&gt;0,MIN(C12622,C12632*$C$12620),0)</f>
        <v>0</v>
      </c>
    </row>
    <row r="12638" customFormat="false" ht="15" hidden="false" customHeight="false" outlineLevel="0" collapsed="false">
      <c r="A12638" s="5" t="s">
        <v>458</v>
      </c>
      <c r="C12638" s="25" t="n">
        <f aca="false">IF(C12633&gt;0,MIN(C12623,C12633*$C$12620),0)</f>
        <v>0</v>
      </c>
    </row>
    <row r="12639" customFormat="false" ht="15" hidden="false" customHeight="false" outlineLevel="0" collapsed="false">
      <c r="A12639" s="5" t="s">
        <v>459</v>
      </c>
      <c r="C12639" s="25" t="n">
        <f aca="false">IF(C12634&gt;0,MIN(C12624,C12634*$C$12620),0)</f>
        <v>0</v>
      </c>
    </row>
    <row r="12640" customFormat="false" ht="15" hidden="false" customHeight="false" outlineLevel="0" collapsed="false">
      <c r="A12640" s="5" t="s">
        <v>460</v>
      </c>
      <c r="C12640" s="25" t="n">
        <f aca="false">IF(C12635&gt;0,MIN(C12625,C12635*$C$12620),0)</f>
        <v>0</v>
      </c>
    </row>
    <row r="12641" customFormat="false" ht="15" hidden="false" customHeight="false" outlineLevel="0" collapsed="false">
      <c r="A12641" s="23" t="s">
        <v>464</v>
      </c>
      <c r="B12641" s="24"/>
      <c r="C12641" s="24"/>
      <c r="D12641" s="24"/>
      <c r="E12641" s="24"/>
      <c r="F12641" s="24"/>
      <c r="G12641" s="24"/>
      <c r="H12641" s="24"/>
      <c r="I12641" s="24"/>
      <c r="J12641" s="24"/>
      <c r="K12641" s="24"/>
    </row>
    <row r="12642" customFormat="false" ht="15" hidden="false" customHeight="false" outlineLevel="0" collapsed="false">
      <c r="A12642" s="5" t="s">
        <v>457</v>
      </c>
      <c r="C12642" s="25" t="n">
        <f aca="false">IF(C12632&gt;0,C12622-C12637,0)</f>
        <v>0</v>
      </c>
    </row>
    <row r="12643" customFormat="false" ht="15" hidden="false" customHeight="false" outlineLevel="0" collapsed="false">
      <c r="A12643" s="5" t="s">
        <v>458</v>
      </c>
      <c r="C12643" s="25" t="n">
        <f aca="false">IF(C12633&gt;0,C12623-C12638,0)</f>
        <v>0</v>
      </c>
    </row>
    <row r="12644" customFormat="false" ht="15" hidden="false" customHeight="false" outlineLevel="0" collapsed="false">
      <c r="A12644" s="5" t="s">
        <v>459</v>
      </c>
      <c r="C12644" s="25" t="n">
        <f aca="false">IF(C12634&gt;0,C12624-C12639,0)</f>
        <v>0</v>
      </c>
    </row>
    <row r="12645" customFormat="false" ht="15" hidden="false" customHeight="false" outlineLevel="0" collapsed="false">
      <c r="A12645" s="5" t="s">
        <v>460</v>
      </c>
      <c r="C12645" s="25" t="n">
        <f aca="false">IF(C12635&gt;0,C12625-C12640,0)</f>
        <v>0</v>
      </c>
    </row>
    <row r="12646" customFormat="false" ht="15" hidden="false" customHeight="false" outlineLevel="0" collapsed="false">
      <c r="A12646" s="23" t="s">
        <v>465</v>
      </c>
      <c r="B12646" s="24"/>
      <c r="C12646" s="24"/>
      <c r="D12646" s="24"/>
      <c r="E12646" s="24"/>
      <c r="F12646" s="24"/>
      <c r="G12646" s="24"/>
      <c r="H12646" s="24"/>
      <c r="I12646" s="24"/>
      <c r="J12646" s="24"/>
      <c r="K12646" s="24"/>
    </row>
    <row r="12647" customFormat="false" ht="15" hidden="false" customHeight="false" outlineLevel="0" collapsed="false">
      <c r="A12647" s="5" t="s">
        <v>457</v>
      </c>
      <c r="C12647" s="25" t="n">
        <f aca="false">IF(C12632&gt;0,C12642,C12622)</f>
        <v>149.44</v>
      </c>
    </row>
    <row r="12648" customFormat="false" ht="15" hidden="false" customHeight="false" outlineLevel="0" collapsed="false">
      <c r="A12648" s="5" t="s">
        <v>458</v>
      </c>
      <c r="C12648" s="25" t="n">
        <f aca="false">IF(C12633&gt;0,C12643,C12623)</f>
        <v>509.6</v>
      </c>
    </row>
    <row r="12649" customFormat="false" ht="15" hidden="false" customHeight="false" outlineLevel="0" collapsed="false">
      <c r="A12649" s="5" t="s">
        <v>459</v>
      </c>
      <c r="C12649" s="25" t="n">
        <f aca="false">IF(C12634&gt;0,C12644,C12624)</f>
        <v>250</v>
      </c>
    </row>
    <row r="12650" customFormat="false" ht="15" hidden="false" customHeight="false" outlineLevel="0" collapsed="false">
      <c r="A12650" s="5" t="s">
        <v>460</v>
      </c>
      <c r="C12650" s="25" t="n">
        <f aca="false">IF(C12635&gt;0,C12645,C12625)</f>
        <v>300</v>
      </c>
    </row>
    <row r="12651" customFormat="false" ht="15" hidden="false" customHeight="false" outlineLevel="0" collapsed="false">
      <c r="A12651" s="23" t="s">
        <v>466</v>
      </c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</row>
    <row r="12652" customFormat="false" ht="15" hidden="false" customHeight="false" outlineLevel="0" collapsed="false">
      <c r="A12652" s="5" t="s">
        <v>457</v>
      </c>
      <c r="C12652" s="20" t="n">
        <f aca="false">IF(C12632&gt;0,Assumptions!$C$17,C12627)</f>
        <v>1</v>
      </c>
    </row>
    <row r="12653" customFormat="false" ht="15" hidden="false" customHeight="false" outlineLevel="0" collapsed="false">
      <c r="A12653" s="5" t="s">
        <v>458</v>
      </c>
      <c r="C12653" s="20" t="n">
        <f aca="false">IF(C12633&gt;0,Assumptions!$C$17,C12628)</f>
        <v>2</v>
      </c>
    </row>
    <row r="12654" customFormat="false" ht="15" hidden="false" customHeight="false" outlineLevel="0" collapsed="false">
      <c r="A12654" s="5" t="s">
        <v>459</v>
      </c>
      <c r="C12654" s="20" t="n">
        <f aca="false">IF(C12634&gt;0,Assumptions!$C$17,C12629)</f>
        <v>3</v>
      </c>
    </row>
    <row r="12655" customFormat="false" ht="15" hidden="false" customHeight="false" outlineLevel="0" collapsed="false">
      <c r="A12655" s="5" t="s">
        <v>460</v>
      </c>
      <c r="C12655" s="20" t="n">
        <f aca="false">IF(C12635&gt;0,Assumptions!$C$17,C12630)</f>
        <v>4</v>
      </c>
    </row>
    <row r="12656" customFormat="false" ht="15" hidden="false" customHeight="false" outlineLevel="0" collapsed="false">
      <c r="A12656" s="23" t="s">
        <v>467</v>
      </c>
      <c r="B12656" s="24"/>
      <c r="C12656" s="24"/>
      <c r="D12656" s="24"/>
      <c r="E12656" s="24"/>
      <c r="F12656" s="24"/>
      <c r="G12656" s="24"/>
      <c r="H12656" s="24"/>
      <c r="I12656" s="24"/>
      <c r="J12656" s="24"/>
      <c r="K12656" s="24"/>
    </row>
    <row r="12657" customFormat="false" ht="15" hidden="false" customHeight="false" outlineLevel="0" collapsed="false">
      <c r="A12657" s="5" t="s">
        <v>457</v>
      </c>
      <c r="C12657" s="25" t="n">
        <f aca="false">SUMPRODUCT(($C$12652:$C$12655&lt;C12652)*$C$12647:$C$12650)</f>
        <v>0</v>
      </c>
    </row>
    <row r="12658" customFormat="false" ht="15" hidden="false" customHeight="false" outlineLevel="0" collapsed="false">
      <c r="A12658" s="5" t="s">
        <v>458</v>
      </c>
      <c r="C12658" s="25" t="n">
        <f aca="false">SUMPRODUCT(($C$12652:$C$12655&lt;C12653)*$C$12647:$C$12650)</f>
        <v>149.44</v>
      </c>
    </row>
    <row r="12659" customFormat="false" ht="15" hidden="false" customHeight="false" outlineLevel="0" collapsed="false">
      <c r="A12659" s="5" t="s">
        <v>459</v>
      </c>
      <c r="C12659" s="25" t="n">
        <f aca="false">SUMPRODUCT(($C$12652:$C$12655&lt;C12654)*$C$12647:$C$12650)</f>
        <v>659.04</v>
      </c>
    </row>
    <row r="12660" customFormat="false" ht="15" hidden="false" customHeight="false" outlineLevel="0" collapsed="false">
      <c r="A12660" s="5" t="s">
        <v>460</v>
      </c>
      <c r="C12660" s="25" t="n">
        <f aca="false">SUMPRODUCT(($C$12652:$C$12655&lt;C12655)*$C$12647:$C$12650)</f>
        <v>909.04</v>
      </c>
    </row>
    <row r="12661" customFormat="false" ht="15" hidden="false" customHeight="false" outlineLevel="0" collapsed="false">
      <c r="A12661" s="23" t="s">
        <v>468</v>
      </c>
      <c r="B12661" s="24"/>
      <c r="C12661" s="24"/>
      <c r="D12661" s="24"/>
      <c r="E12661" s="24"/>
      <c r="F12661" s="24"/>
      <c r="G12661" s="24"/>
      <c r="H12661" s="24"/>
      <c r="I12661" s="24"/>
      <c r="J12661" s="24"/>
      <c r="K12661" s="24"/>
    </row>
    <row r="12662" customFormat="false" ht="15" hidden="false" customHeight="false" outlineLevel="0" collapsed="false">
      <c r="A12662" s="5" t="s">
        <v>457</v>
      </c>
      <c r="C12662" s="25" t="n">
        <f aca="false">SUMPRODUCT(($C$12652:$C$12655=C12652)*$C$12647:$C$12650)</f>
        <v>149.44</v>
      </c>
    </row>
    <row r="12663" customFormat="false" ht="15" hidden="false" customHeight="false" outlineLevel="0" collapsed="false">
      <c r="A12663" s="5" t="s">
        <v>458</v>
      </c>
      <c r="C12663" s="25" t="n">
        <f aca="false">SUMPRODUCT(($C$12652:$C$12655=C12653)*$C$12647:$C$12650)</f>
        <v>509.6</v>
      </c>
    </row>
    <row r="12664" customFormat="false" ht="15" hidden="false" customHeight="false" outlineLevel="0" collapsed="false">
      <c r="A12664" s="5" t="s">
        <v>459</v>
      </c>
      <c r="C12664" s="25" t="n">
        <f aca="false">SUMPRODUCT(($C$12652:$C$12655=C12654)*$C$12647:$C$12650)</f>
        <v>250</v>
      </c>
    </row>
    <row r="12665" customFormat="false" ht="15" hidden="false" customHeight="false" outlineLevel="0" collapsed="false">
      <c r="A12665" s="5" t="s">
        <v>460</v>
      </c>
      <c r="C12665" s="25" t="n">
        <f aca="false">SUMPRODUCT(($C$12652:$C$12655=C12655)*$C$12647:$C$12650)</f>
        <v>300</v>
      </c>
    </row>
    <row r="12666" customFormat="false" ht="15" hidden="false" customHeight="false" outlineLevel="0" collapsed="false">
      <c r="A12666" s="23" t="s">
        <v>469</v>
      </c>
      <c r="B12666" s="24"/>
      <c r="C12666" s="24"/>
      <c r="D12666" s="24"/>
      <c r="E12666" s="24"/>
      <c r="F12666" s="24"/>
      <c r="G12666" s="24"/>
      <c r="H12666" s="24"/>
      <c r="I12666" s="24"/>
      <c r="J12666" s="24"/>
      <c r="K12666" s="24"/>
    </row>
    <row r="12667" customFormat="false" ht="15" hidden="false" customHeight="false" outlineLevel="0" collapsed="false">
      <c r="A12667" s="5" t="s">
        <v>457</v>
      </c>
      <c r="C12667" s="25" t="n">
        <f aca="false">IF(C12662=0,0,C12647/C12662*MAX(0,MIN(C12662,$C$12620-SUM($C$12637:$C$12640)-C12657)))</f>
        <v>149.44</v>
      </c>
    </row>
    <row r="12668" customFormat="false" ht="15" hidden="false" customHeight="false" outlineLevel="0" collapsed="false">
      <c r="A12668" s="5" t="s">
        <v>458</v>
      </c>
      <c r="C12668" s="25" t="n">
        <f aca="false">IF(C12663=0,0,C12648/C12663*MAX(0,MIN(C12663,$C$12620-SUM($C$12637:$C$12640)-C12658)))</f>
        <v>509.6</v>
      </c>
    </row>
    <row r="12669" customFormat="false" ht="15" hidden="false" customHeight="false" outlineLevel="0" collapsed="false">
      <c r="A12669" s="5" t="s">
        <v>459</v>
      </c>
      <c r="C12669" s="25" t="n">
        <f aca="false">IF(C12664=0,0,C12649/C12664*MAX(0,MIN(C12664,$C$12620-SUM($C$12637:$C$12640)-C12659)))</f>
        <v>250</v>
      </c>
    </row>
    <row r="12670" customFormat="false" ht="15" hidden="false" customHeight="false" outlineLevel="0" collapsed="false">
      <c r="A12670" s="5" t="s">
        <v>460</v>
      </c>
      <c r="C12670" s="25" t="n">
        <f aca="false">IF(C12665=0,0,C12650/C12665*MAX(0,MIN(C12665,$C$12620-SUM($C$12637:$C$12640)-C12660)))</f>
        <v>115.36052</v>
      </c>
    </row>
    <row r="12671" customFormat="false" ht="15" hidden="false" customHeight="false" outlineLevel="0" collapsed="false">
      <c r="A12671" s="23" t="s">
        <v>470</v>
      </c>
      <c r="B12671" s="24"/>
      <c r="C12671" s="24"/>
      <c r="D12671" s="24"/>
      <c r="E12671" s="24"/>
      <c r="F12671" s="24"/>
      <c r="G12671" s="24"/>
      <c r="H12671" s="24"/>
      <c r="I12671" s="24"/>
      <c r="J12671" s="24"/>
      <c r="K12671" s="24"/>
    </row>
    <row r="12672" customFormat="false" ht="15" hidden="false" customHeight="false" outlineLevel="0" collapsed="false">
      <c r="A12672" s="2" t="s">
        <v>457</v>
      </c>
      <c r="C12672" s="16" t="n">
        <f aca="false">C12637+C12667</f>
        <v>149.44</v>
      </c>
    </row>
    <row r="12673" customFormat="false" ht="15" hidden="false" customHeight="false" outlineLevel="0" collapsed="false">
      <c r="A12673" s="2" t="s">
        <v>458</v>
      </c>
      <c r="C12673" s="16" t="n">
        <f aca="false">C12638+C12668</f>
        <v>509.6</v>
      </c>
    </row>
    <row r="12674" customFormat="false" ht="15" hidden="false" customHeight="false" outlineLevel="0" collapsed="false">
      <c r="A12674" s="2" t="s">
        <v>459</v>
      </c>
      <c r="C12674" s="16" t="n">
        <f aca="false">C12639+C12669</f>
        <v>250</v>
      </c>
    </row>
    <row r="12675" customFormat="false" ht="15" hidden="false" customHeight="false" outlineLevel="0" collapsed="false">
      <c r="A12675" s="2" t="s">
        <v>460</v>
      </c>
      <c r="C12675" s="16" t="n">
        <f aca="false">C12640+C12670</f>
        <v>115.36052</v>
      </c>
    </row>
    <row r="12676" customFormat="false" ht="15" hidden="false" customHeight="false" outlineLevel="0" collapsed="false">
      <c r="A12676" s="23" t="s">
        <v>471</v>
      </c>
      <c r="B12676" s="24"/>
      <c r="C12676" s="24"/>
      <c r="D12676" s="24"/>
      <c r="E12676" s="24"/>
      <c r="F12676" s="24"/>
      <c r="G12676" s="24"/>
      <c r="H12676" s="24"/>
      <c r="I12676" s="24"/>
      <c r="J12676" s="24"/>
      <c r="K12676" s="24"/>
    </row>
    <row r="12677" customFormat="false" ht="15" hidden="false" customHeight="false" outlineLevel="0" collapsed="false">
      <c r="A12677" s="5" t="s">
        <v>457</v>
      </c>
      <c r="C12677" s="21" t="n">
        <f aca="false">IF(C12622=0,1,C12672/C12622)</f>
        <v>1</v>
      </c>
    </row>
    <row r="12678" customFormat="false" ht="15" hidden="false" customHeight="false" outlineLevel="0" collapsed="false">
      <c r="A12678" s="5" t="s">
        <v>458</v>
      </c>
      <c r="C12678" s="21" t="n">
        <f aca="false">IF(C12623=0,1,C12673/C12623)</f>
        <v>1</v>
      </c>
    </row>
    <row r="12679" customFormat="false" ht="15" hidden="false" customHeight="false" outlineLevel="0" collapsed="false">
      <c r="A12679" s="5" t="s">
        <v>459</v>
      </c>
      <c r="C12679" s="21" t="n">
        <f aca="false">IF(C12624=0,1,C12674/C12624)</f>
        <v>1</v>
      </c>
    </row>
    <row r="12680" customFormat="false" ht="15" hidden="false" customHeight="false" outlineLevel="0" collapsed="false">
      <c r="A12680" s="5" t="s">
        <v>460</v>
      </c>
      <c r="C12680" s="21" t="n">
        <f aca="false">IF(C12625=0,1,C12675/C12625)</f>
        <v>0.384535066666667</v>
      </c>
    </row>
    <row r="12681" customFormat="false" ht="15" hidden="false" customHeight="false" outlineLevel="0" collapsed="false">
      <c r="A12681" s="23" t="s">
        <v>472</v>
      </c>
      <c r="B12681" s="24"/>
      <c r="C12681" s="24"/>
      <c r="D12681" s="24"/>
      <c r="E12681" s="24"/>
      <c r="F12681" s="24"/>
      <c r="G12681" s="24"/>
      <c r="H12681" s="24"/>
      <c r="I12681" s="24"/>
      <c r="J12681" s="24"/>
      <c r="K12681" s="24"/>
    </row>
    <row r="12682" customFormat="false" ht="15" hidden="false" customHeight="false" outlineLevel="0" collapsed="false">
      <c r="A12682" s="5" t="s">
        <v>457</v>
      </c>
      <c r="C12682" s="25" t="n">
        <f aca="false">C12622-C12672</f>
        <v>0</v>
      </c>
    </row>
    <row r="12683" customFormat="false" ht="15" hidden="false" customHeight="false" outlineLevel="0" collapsed="false">
      <c r="A12683" s="5" t="s">
        <v>458</v>
      </c>
      <c r="C12683" s="25" t="n">
        <f aca="false">C12623-C12673</f>
        <v>0</v>
      </c>
    </row>
    <row r="12684" customFormat="false" ht="15" hidden="false" customHeight="false" outlineLevel="0" collapsed="false">
      <c r="A12684" s="5" t="s">
        <v>459</v>
      </c>
      <c r="C12684" s="25" t="n">
        <f aca="false">C12624-C12674</f>
        <v>0</v>
      </c>
    </row>
    <row r="12685" customFormat="false" ht="15" hidden="false" customHeight="false" outlineLevel="0" collapsed="false">
      <c r="A12685" s="5" t="s">
        <v>460</v>
      </c>
      <c r="C12685" s="25" t="n">
        <f aca="false">C12625-C12675</f>
        <v>184.63948</v>
      </c>
    </row>
    <row r="12686" customFormat="false" ht="15" hidden="false" customHeight="false" outlineLevel="0" collapsed="false">
      <c r="A12686" s="23" t="s">
        <v>473</v>
      </c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</row>
    <row r="12687" customFormat="false" ht="15" hidden="false" customHeight="false" outlineLevel="0" collapsed="false">
      <c r="A12687" s="5" t="s">
        <v>457</v>
      </c>
      <c r="C12687" s="21" t="n">
        <f aca="false">IF(C12622=0,0,C12682/C12622)</f>
        <v>0</v>
      </c>
    </row>
    <row r="12688" customFormat="false" ht="15" hidden="false" customHeight="false" outlineLevel="0" collapsed="false">
      <c r="A12688" s="5" t="s">
        <v>458</v>
      </c>
      <c r="C12688" s="21" t="n">
        <f aca="false">IF(C12623=0,0,C12683/C12623)</f>
        <v>0</v>
      </c>
    </row>
    <row r="12689" customFormat="false" ht="15" hidden="false" customHeight="false" outlineLevel="0" collapsed="false">
      <c r="A12689" s="5" t="s">
        <v>459</v>
      </c>
      <c r="C12689" s="21" t="n">
        <f aca="false">IF(C12624=0,0,C12684/C12624)</f>
        <v>0</v>
      </c>
    </row>
    <row r="12690" customFormat="false" ht="15" hidden="false" customHeight="false" outlineLevel="0" collapsed="false">
      <c r="A12690" s="5" t="s">
        <v>460</v>
      </c>
      <c r="C12690" s="21" t="n">
        <f aca="false">IF(C12625=0,0,C12685/C12625)</f>
        <v>0.615464933333334</v>
      </c>
    </row>
    <row r="12691" customFormat="false" ht="15" hidden="false" customHeight="false" outlineLevel="0" collapsed="false">
      <c r="A12691" s="2" t="s">
        <v>474</v>
      </c>
      <c r="C12691" s="16" t="n">
        <f aca="false">MAX(0,$C$12620-SUM($C$12637:$C$12640)-SUM($C$12647:$C$12650))</f>
        <v>0</v>
      </c>
    </row>
    <row r="12692" customFormat="false" ht="15" hidden="false" customHeight="false" outlineLevel="0" collapsed="false">
      <c r="A12692" s="5" t="s">
        <v>492</v>
      </c>
      <c r="C12692" s="33" t="n">
        <f aca="false">MIN(C12619,100*CHOOSE(C12609,C12677,C12678,C12679,C12680))</f>
        <v>100</v>
      </c>
    </row>
    <row r="12693" customFormat="false" ht="15" hidden="false" customHeight="false" outlineLevel="0" collapsed="false">
      <c r="A12693" s="5" t="s">
        <v>493</v>
      </c>
      <c r="C12693" s="20" t="n">
        <f aca="false">IF(C12525=1,C12614+Assumptions!$C$36,C12613)</f>
        <v>3</v>
      </c>
    </row>
    <row r="12694" customFormat="false" ht="15" hidden="false" customHeight="false" outlineLevel="0" collapsed="false">
      <c r="A12694" s="23" t="s">
        <v>494</v>
      </c>
      <c r="B12694" s="24"/>
      <c r="C12694" s="24"/>
      <c r="D12694" s="24"/>
      <c r="E12694" s="24"/>
      <c r="F12694" s="24"/>
      <c r="G12694" s="24"/>
      <c r="H12694" s="24"/>
      <c r="I12694" s="24"/>
      <c r="J12694" s="24"/>
      <c r="K12694" s="24"/>
    </row>
    <row r="12695" customFormat="false" ht="15" hidden="false" customHeight="false" outlineLevel="0" collapsed="false">
      <c r="A12695" s="5" t="s">
        <v>495</v>
      </c>
      <c r="C12695" s="20" t="n">
        <f aca="false">COLUMN()-COLUMN($C$1)</f>
        <v>0</v>
      </c>
      <c r="D12695" s="20" t="n">
        <f aca="false">COLUMN()-COLUMN($C$1)</f>
        <v>1</v>
      </c>
      <c r="E12695" s="20" t="n">
        <f aca="false">COLUMN()-COLUMN($C$1)</f>
        <v>2</v>
      </c>
      <c r="F12695" s="20" t="n">
        <f aca="false">COLUMN()-COLUMN($C$1)</f>
        <v>3</v>
      </c>
      <c r="G12695" s="20" t="n">
        <f aca="false">COLUMN()-COLUMN($C$1)</f>
        <v>4</v>
      </c>
      <c r="H12695" s="20" t="n">
        <f aca="false">COLUMN()-COLUMN($C$1)</f>
        <v>5</v>
      </c>
      <c r="I12695" s="20" t="n">
        <f aca="false">COLUMN()-COLUMN($C$1)</f>
        <v>6</v>
      </c>
    </row>
    <row r="12696" customFormat="false" ht="15" hidden="false" customHeight="false" outlineLevel="0" collapsed="false">
      <c r="A12696" s="5" t="s">
        <v>496</v>
      </c>
      <c r="D12696" s="30" t="n">
        <f aca="false">CHOOSE($C$12609,G12407,G12420,G12433,G12446)</f>
        <v>0.103</v>
      </c>
      <c r="E12696" s="30" t="n">
        <f aca="false">CHOOSE($C$12609,H12407,H12420,H12433,H12446)</f>
        <v>0.1005</v>
      </c>
      <c r="F12696" s="30" t="n">
        <f aca="false">CHOOSE($C$12609,I12407,I12420,I12433,I12446)</f>
        <v>0.098</v>
      </c>
      <c r="G12696" s="30" t="n">
        <f aca="false">CHOOSE($C$12609,J12407,J12420,J12433,J12446)</f>
        <v>0.11</v>
      </c>
      <c r="H12696" s="30" t="n">
        <f aca="false">CHOOSE($C$12609,K12407,K12420,K12433,K12446)</f>
        <v>0.11</v>
      </c>
    </row>
    <row r="12697" customFormat="false" ht="15" hidden="false" customHeight="false" outlineLevel="0" collapsed="false">
      <c r="A12697" s="5" t="s">
        <v>497</v>
      </c>
      <c r="D12697" s="25" t="n">
        <f aca="false">IF(D12695&lt;=$C$12618,$C$12610*D12696,0)</f>
        <v>10.3</v>
      </c>
      <c r="E12697" s="25" t="n">
        <f aca="false">IF(E12695&lt;=$C$12618,$C$12610*E12696,0)</f>
        <v>10.05</v>
      </c>
      <c r="F12697" s="25" t="n">
        <f aca="false">IF(F12695&lt;=$C$12618,$C$12610*F12696,0)</f>
        <v>0</v>
      </c>
      <c r="G12697" s="25" t="n">
        <f aca="false">IF(G12695&lt;=$C$12618,$C$12610*G12696,0)</f>
        <v>0</v>
      </c>
      <c r="H12697" s="25" t="n">
        <f aca="false">IF(H12695&lt;=$C$12618,$C$12610*H12696,0)</f>
        <v>0</v>
      </c>
    </row>
    <row r="12698" customFormat="false" ht="15" hidden="false" customHeight="false" outlineLevel="0" collapsed="false">
      <c r="A12698" s="5" t="s">
        <v>498</v>
      </c>
      <c r="D12698" s="25" t="n">
        <f aca="false">IF(AND($C$12525=0,D12695=$C$12613),$C$12610*$C$12692/100,0)+IF(AND($C$12525=1,D12695=$C$12693),$C$12616,0)</f>
        <v>0</v>
      </c>
      <c r="E12698" s="25" t="n">
        <f aca="false">IF(AND($C$12525=0,E12695=$C$12613),$C$12610*$C$12692/100,0)+IF(AND($C$12525=1,E12695=$C$12693),$C$12616,0)</f>
        <v>0</v>
      </c>
      <c r="F12698" s="25" t="n">
        <f aca="false">IF(AND($C$12525=0,F12695=$C$12613),$C$12610*$C$12692/100,0)+IF(AND($C$12525=1,F12695=$C$12693),$C$12616,0)</f>
        <v>88.8196128728414</v>
      </c>
      <c r="G12698" s="25" t="n">
        <f aca="false">IF(AND($C$12525=0,G12695=$C$12613),$C$12610*$C$12692/100,0)+IF(AND($C$12525=1,G12695=$C$12693),$C$12616,0)</f>
        <v>0</v>
      </c>
      <c r="H12698" s="25" t="n">
        <f aca="false">IF(AND($C$12525=0,H12695=$C$12613),$C$12610*$C$12692/100,0)+IF(AND($C$12525=1,H12695=$C$12693),$C$12616,0)</f>
        <v>0</v>
      </c>
      <c r="I12698" s="25" t="n">
        <f aca="false">IF(AND($C$12525=0,I12695=$C$12613),$C$12610*$C$12692/100,0)+IF(AND($C$12525=1,I12695=$C$12693),$C$12616,0)</f>
        <v>0</v>
      </c>
    </row>
    <row r="12699" customFormat="false" ht="15" hidden="false" customHeight="false" outlineLevel="0" collapsed="false">
      <c r="A12699" s="2" t="s">
        <v>499</v>
      </c>
      <c r="C12699" s="16" t="n">
        <f aca="false">-$C$12612</f>
        <v>-78.39</v>
      </c>
      <c r="D12699" s="16" t="n">
        <f aca="false">D12697+D12698</f>
        <v>10.3</v>
      </c>
      <c r="E12699" s="16" t="n">
        <f aca="false">E12697+E12698</f>
        <v>10.05</v>
      </c>
      <c r="F12699" s="16" t="n">
        <f aca="false">F12697+F12698</f>
        <v>88.8196128728414</v>
      </c>
      <c r="G12699" s="16" t="n">
        <f aca="false">G12697+G12698</f>
        <v>0</v>
      </c>
      <c r="H12699" s="16" t="n">
        <f aca="false">H12697+H12698</f>
        <v>0</v>
      </c>
      <c r="I12699" s="16" t="n">
        <f aca="false">I12697+I12698</f>
        <v>0</v>
      </c>
    </row>
    <row r="12700" customFormat="false" ht="15" hidden="false" customHeight="false" outlineLevel="0" collapsed="false">
      <c r="A12700" s="5" t="s">
        <v>500</v>
      </c>
      <c r="C12700" s="25" t="n">
        <f aca="false">SUM($C$12697:$I$12697)</f>
        <v>20.35</v>
      </c>
    </row>
    <row r="12701" customFormat="false" ht="15" hidden="false" customHeight="false" outlineLevel="0" collapsed="false">
      <c r="A12701" s="5" t="s">
        <v>501</v>
      </c>
      <c r="C12701" s="25" t="n">
        <f aca="false">SUM($C$12698:$I$12698)</f>
        <v>88.8196128728414</v>
      </c>
    </row>
    <row r="12702" customFormat="false" ht="15" hidden="false" customHeight="false" outlineLevel="0" collapsed="false">
      <c r="A12702" s="5" t="s">
        <v>502</v>
      </c>
      <c r="C12702" s="25" t="n">
        <f aca="false">C12700+C12701</f>
        <v>109.169612872841</v>
      </c>
    </row>
    <row r="12703" customFormat="false" ht="15" hidden="false" customHeight="false" outlineLevel="0" collapsed="false">
      <c r="A12703" s="5" t="s">
        <v>503</v>
      </c>
      <c r="C12703" s="25" t="n">
        <f aca="false">C12701-C12610*C12611/100</f>
        <v>10.8196128728414</v>
      </c>
    </row>
    <row r="12704" customFormat="false" ht="15" hidden="false" customHeight="false" outlineLevel="0" collapsed="false">
      <c r="A12704" s="5" t="s">
        <v>504</v>
      </c>
      <c r="C12704" s="25" t="n">
        <f aca="false">C12702-C12612</f>
        <v>30.7796128728415</v>
      </c>
    </row>
    <row r="12705" customFormat="false" ht="15" hidden="false" customHeight="false" outlineLevel="0" collapsed="false">
      <c r="A12705" s="2" t="s">
        <v>385</v>
      </c>
      <c r="C12705" s="43" t="n">
        <f aca="false">C12702/C12612</f>
        <v>1.39264718551909</v>
      </c>
    </row>
    <row r="12706" customFormat="false" ht="15" hidden="false" customHeight="false" outlineLevel="0" collapsed="false">
      <c r="A12706" s="2" t="s">
        <v>384</v>
      </c>
      <c r="C12706" s="41" t="n">
        <f aca="false">IF(C12702&lt;=0,-1,IFERROR(IRR($C$12699:$I$12699,MAX(-0.9,C12705^(1/C12693)-1)),IRR($C$12699:$I$12699,0.1)))</f>
        <v>0.130821524311548</v>
      </c>
    </row>
    <row r="12707" customFormat="false" ht="15" hidden="false" customHeight="false" outlineLevel="0" collapsed="false">
      <c r="A12707" s="5" t="s">
        <v>505</v>
      </c>
      <c r="C12707" s="31" t="n">
        <f aca="false">MAX($G$12501:$K$12501)</f>
        <v>7.86221186221186</v>
      </c>
    </row>
    <row r="12708" customFormat="false" ht="15" hidden="false" customHeight="false" outlineLevel="0" collapsed="false">
      <c r="A12708" s="5" t="s">
        <v>506</v>
      </c>
      <c r="C12708" s="31" t="n">
        <f aca="false">MIN($G$12502:$K$12502)</f>
        <v>1.21473661783139</v>
      </c>
    </row>
    <row r="12709" customFormat="false" ht="15" hidden="false" customHeight="false" outlineLevel="0" collapsed="false">
      <c r="A12709" s="5" t="s">
        <v>507</v>
      </c>
      <c r="C12709" s="25" t="n">
        <f aca="false">SUM($G$12391:$K$12391)</f>
        <v>-46.97594467624</v>
      </c>
    </row>
    <row r="12713" customFormat="false" ht="15" hidden="false" customHeight="false" outlineLevel="0" collapsed="false">
      <c r="A12713" s="9" t="s">
        <v>662</v>
      </c>
      <c r="B12713" s="10"/>
      <c r="C12713" s="10"/>
      <c r="D12713" s="10"/>
      <c r="E12713" s="10"/>
      <c r="F12713" s="10"/>
      <c r="G12713" s="10"/>
      <c r="H12713" s="10"/>
      <c r="I12713" s="10"/>
      <c r="J12713" s="10"/>
      <c r="K12713" s="10"/>
    </row>
    <row r="12714" customFormat="false" ht="15" hidden="false" customHeight="false" outlineLevel="0" collapsed="false">
      <c r="A12714" s="5" t="s">
        <v>622</v>
      </c>
      <c r="C12714" s="11" t="n">
        <v>1</v>
      </c>
    </row>
    <row r="12715" customFormat="false" ht="15" hidden="false" customHeight="false" outlineLevel="0" collapsed="false">
      <c r="A12715" s="5" t="s">
        <v>623</v>
      </c>
      <c r="C12715" s="18" t="n">
        <v>0</v>
      </c>
    </row>
    <row r="12716" customFormat="false" ht="15" hidden="false" customHeight="false" outlineLevel="0" collapsed="false">
      <c r="A12716" s="5" t="s">
        <v>624</v>
      </c>
      <c r="C12716" s="18" t="n">
        <v>0</v>
      </c>
    </row>
    <row r="12717" customFormat="false" ht="15" hidden="false" customHeight="false" outlineLevel="0" collapsed="false">
      <c r="A12717" s="5" t="s">
        <v>625</v>
      </c>
      <c r="C12717" s="29" t="n">
        <f aca="false">Sensitivities!$A$53</f>
        <v>0.01</v>
      </c>
    </row>
    <row r="12718" customFormat="false" ht="15" hidden="false" customHeight="false" outlineLevel="0" collapsed="false">
      <c r="A12718" s="5" t="s">
        <v>626</v>
      </c>
      <c r="C12718" s="15" t="n">
        <v>0</v>
      </c>
    </row>
    <row r="12720" customFormat="false" ht="15" hidden="false" customHeight="false" outlineLevel="0" collapsed="false">
      <c r="A12720" s="23" t="s">
        <v>237</v>
      </c>
      <c r="B12720" s="24"/>
      <c r="C12720" s="24"/>
      <c r="D12720" s="24"/>
      <c r="E12720" s="24"/>
      <c r="F12720" s="24"/>
      <c r="G12720" s="24"/>
      <c r="H12720" s="24"/>
      <c r="I12720" s="24"/>
      <c r="J12720" s="24"/>
      <c r="K12720" s="24"/>
    </row>
    <row r="12721" customFormat="false" ht="15" hidden="false" customHeight="false" outlineLevel="0" collapsed="false">
      <c r="A12721" s="5" t="s">
        <v>238</v>
      </c>
      <c r="F12721" s="26" t="n">
        <f aca="false">Assumptions!$C$6</f>
        <v>2025</v>
      </c>
      <c r="G12721" s="20" t="n">
        <f aca="false">F12721+1</f>
        <v>2026</v>
      </c>
      <c r="H12721" s="20" t="n">
        <f aca="false">G12721+1</f>
        <v>2027</v>
      </c>
      <c r="I12721" s="20" t="n">
        <f aca="false">H12721+1</f>
        <v>2028</v>
      </c>
      <c r="J12721" s="20" t="n">
        <f aca="false">I12721+1</f>
        <v>2029</v>
      </c>
      <c r="K12721" s="20" t="n">
        <f aca="false">J12721+1</f>
        <v>2030</v>
      </c>
    </row>
    <row r="12722" customFormat="false" ht="15" hidden="false" customHeight="false" outlineLevel="0" collapsed="false">
      <c r="A12722" s="5" t="s">
        <v>239</v>
      </c>
      <c r="G12722" s="20" t="n">
        <f aca="false">G12721-Assumptions!$C$6</f>
        <v>1</v>
      </c>
      <c r="H12722" s="20" t="n">
        <f aca="false">H12721-Assumptions!$C$6</f>
        <v>2</v>
      </c>
      <c r="I12722" s="20" t="n">
        <f aca="false">I12721-Assumptions!$C$6</f>
        <v>3</v>
      </c>
      <c r="J12722" s="20" t="n">
        <f aca="false">J12721-Assumptions!$C$6</f>
        <v>4</v>
      </c>
      <c r="K12722" s="20" t="n">
        <f aca="false">K12721-Assumptions!$C$6</f>
        <v>5</v>
      </c>
    </row>
    <row r="12723" customFormat="false" ht="15" hidden="false" customHeight="false" outlineLevel="0" collapsed="false">
      <c r="A12723" s="5" t="s">
        <v>149</v>
      </c>
      <c r="G12723" s="21" t="n">
        <f aca="false">CHOOSE($C$12714,Assumptions!$G$65,Assumptions!$G$84,Assumptions!$G$103)+$C$12715</f>
        <v>-0.01</v>
      </c>
      <c r="H12723" s="21" t="n">
        <f aca="false">CHOOSE($C$12714,Assumptions!$H$65,Assumptions!$H$84,Assumptions!$H$103)+$C$12715</f>
        <v>-0.01</v>
      </c>
      <c r="I12723" s="21" t="n">
        <f aca="false">CHOOSE($C$12714,Assumptions!$I$65,Assumptions!$I$84,Assumptions!$I$103)+$C$12715</f>
        <v>-0.01</v>
      </c>
      <c r="J12723" s="21" t="n">
        <f aca="false">CHOOSE($C$12714,Assumptions!$J$65,Assumptions!$J$84,Assumptions!$J$103)+$C$12715</f>
        <v>-0.01</v>
      </c>
      <c r="K12723" s="21" t="n">
        <f aca="false">CHOOSE($C$12714,Assumptions!$K$65,Assumptions!$K$84,Assumptions!$K$103)+$C$12715</f>
        <v>-0.01</v>
      </c>
    </row>
    <row r="12724" customFormat="false" ht="15" hidden="false" customHeight="false" outlineLevel="0" collapsed="false">
      <c r="A12724" s="5" t="s">
        <v>150</v>
      </c>
      <c r="G12724" s="21" t="n">
        <f aca="false">CHOOSE($C$12714,Assumptions!$G$66,Assumptions!$G$85,Assumptions!$G$104)</f>
        <v>0.36</v>
      </c>
      <c r="H12724" s="21" t="n">
        <f aca="false">CHOOSE($C$12714,Assumptions!$H$66,Assumptions!$H$85,Assumptions!$H$104)</f>
        <v>0.362</v>
      </c>
      <c r="I12724" s="21" t="n">
        <f aca="false">CHOOSE($C$12714,Assumptions!$I$66,Assumptions!$I$85,Assumptions!$I$104)</f>
        <v>0.364</v>
      </c>
      <c r="J12724" s="21" t="n">
        <f aca="false">CHOOSE($C$12714,Assumptions!$J$66,Assumptions!$J$85,Assumptions!$J$104)</f>
        <v>0.366</v>
      </c>
      <c r="K12724" s="21" t="n">
        <f aca="false">CHOOSE($C$12714,Assumptions!$K$66,Assumptions!$K$85,Assumptions!$K$104)</f>
        <v>0.368</v>
      </c>
    </row>
    <row r="12725" customFormat="false" ht="15" hidden="false" customHeight="false" outlineLevel="0" collapsed="false">
      <c r="A12725" s="5" t="s">
        <v>151</v>
      </c>
      <c r="G12725" s="21" t="n">
        <f aca="false">CHOOSE($C$12714,Assumptions!$G$67,Assumptions!$G$86,Assumptions!$G$105)+$C$12716</f>
        <v>0.065</v>
      </c>
      <c r="H12725" s="21" t="n">
        <f aca="false">CHOOSE($C$12714,Assumptions!$H$67,Assumptions!$H$86,Assumptions!$H$105)+$C$12716</f>
        <v>0.067</v>
      </c>
      <c r="I12725" s="21" t="n">
        <f aca="false">CHOOSE($C$12714,Assumptions!$I$67,Assumptions!$I$86,Assumptions!$I$105)+$C$12716</f>
        <v>0.069</v>
      </c>
      <c r="J12725" s="21" t="n">
        <f aca="false">CHOOSE($C$12714,Assumptions!$J$67,Assumptions!$J$86,Assumptions!$J$105)+$C$12716</f>
        <v>0.071</v>
      </c>
      <c r="K12725" s="21" t="n">
        <f aca="false">CHOOSE($C$12714,Assumptions!$K$67,Assumptions!$K$86,Assumptions!$K$105)+$C$12716</f>
        <v>0.073</v>
      </c>
    </row>
    <row r="12726" customFormat="false" ht="15" hidden="false" customHeight="false" outlineLevel="0" collapsed="false">
      <c r="A12726" s="23" t="s">
        <v>240</v>
      </c>
      <c r="B12726" s="24"/>
      <c r="C12726" s="24"/>
      <c r="D12726" s="24"/>
      <c r="E12726" s="24"/>
      <c r="F12726" s="24"/>
      <c r="G12726" s="24"/>
      <c r="H12726" s="24"/>
      <c r="I12726" s="24"/>
      <c r="J12726" s="24"/>
      <c r="K12726" s="24"/>
    </row>
    <row r="12727" customFormat="false" ht="15" hidden="false" customHeight="false" outlineLevel="0" collapsed="false">
      <c r="A12727" s="2" t="s">
        <v>207</v>
      </c>
      <c r="F12727" s="27" t="n">
        <f aca="false">'Historical Financials'!E17</f>
        <v>2400</v>
      </c>
      <c r="G12727" s="16" t="n">
        <f aca="false">F12727*(1+G12723)</f>
        <v>2376</v>
      </c>
      <c r="H12727" s="16" t="n">
        <f aca="false">G12727*(1+H12723)</f>
        <v>2352.24</v>
      </c>
      <c r="I12727" s="16" t="n">
        <f aca="false">H12727*(1+I12723)</f>
        <v>2328.7176</v>
      </c>
      <c r="J12727" s="16" t="n">
        <f aca="false">I12727*(1+J12723)</f>
        <v>2305.430424</v>
      </c>
      <c r="K12727" s="16" t="n">
        <f aca="false">J12727*(1+K12723)</f>
        <v>2282.37611976</v>
      </c>
    </row>
    <row r="12728" customFormat="false" ht="15" hidden="false" customHeight="false" outlineLevel="0" collapsed="false">
      <c r="A12728" s="5" t="s">
        <v>217</v>
      </c>
      <c r="G12728" s="25" t="n">
        <f aca="false">G12727*(1-G12724)</f>
        <v>1520.64</v>
      </c>
      <c r="H12728" s="25" t="n">
        <f aca="false">H12727*(1-H12724)</f>
        <v>1500.72912</v>
      </c>
      <c r="I12728" s="25" t="n">
        <f aca="false">I12727*(1-I12724)</f>
        <v>1481.0643936</v>
      </c>
      <c r="J12728" s="25" t="n">
        <f aca="false">J12727*(1-J12724)</f>
        <v>1461.642888816</v>
      </c>
      <c r="K12728" s="25" t="n">
        <f aca="false">K12727*(1-K12724)</f>
        <v>1442.46170768832</v>
      </c>
    </row>
    <row r="12729" customFormat="false" ht="15" hidden="false" customHeight="false" outlineLevel="0" collapsed="false">
      <c r="A12729" s="2" t="s">
        <v>218</v>
      </c>
      <c r="G12729" s="16" t="n">
        <f aca="false">G12727-G12728</f>
        <v>855.36</v>
      </c>
      <c r="H12729" s="16" t="n">
        <f aca="false">H12727-H12728</f>
        <v>851.51088</v>
      </c>
      <c r="I12729" s="16" t="n">
        <f aca="false">I12727-I12728</f>
        <v>847.6532064</v>
      </c>
      <c r="J12729" s="16" t="n">
        <f aca="false">J12727-J12728</f>
        <v>843.787535184</v>
      </c>
      <c r="K12729" s="16" t="n">
        <f aca="false">K12727-K12728</f>
        <v>839.91441207168</v>
      </c>
    </row>
    <row r="12730" customFormat="false" ht="15" hidden="false" customHeight="false" outlineLevel="0" collapsed="false">
      <c r="A12730" s="5" t="s">
        <v>241</v>
      </c>
      <c r="G12730" s="25" t="n">
        <f aca="false">G12729-G12731</f>
        <v>700.92</v>
      </c>
      <c r="H12730" s="25" t="n">
        <f aca="false">H12729-H12731</f>
        <v>693.9108</v>
      </c>
      <c r="I12730" s="25" t="n">
        <f aca="false">I12729-I12731</f>
        <v>686.971692</v>
      </c>
      <c r="J12730" s="25" t="n">
        <f aca="false">J12729-J12731</f>
        <v>680.10197508</v>
      </c>
      <c r="K12730" s="25" t="n">
        <f aca="false">K12729-K12731</f>
        <v>673.3009553292</v>
      </c>
    </row>
    <row r="12731" customFormat="false" ht="15" hidden="false" customHeight="false" outlineLevel="0" collapsed="false">
      <c r="A12731" s="2" t="s">
        <v>242</v>
      </c>
      <c r="G12731" s="16" t="n">
        <f aca="false">G12727*G12725</f>
        <v>154.44</v>
      </c>
      <c r="H12731" s="16" t="n">
        <f aca="false">H12727*H12725</f>
        <v>157.60008</v>
      </c>
      <c r="I12731" s="16" t="n">
        <f aca="false">I12727*I12725</f>
        <v>160.6815144</v>
      </c>
      <c r="J12731" s="16" t="n">
        <f aca="false">J12727*J12725</f>
        <v>163.685560104</v>
      </c>
      <c r="K12731" s="16" t="n">
        <f aca="false">K12727*K12725</f>
        <v>166.61345674248</v>
      </c>
    </row>
    <row r="12732" customFormat="false" ht="15" hidden="false" customHeight="false" outlineLevel="0" collapsed="false">
      <c r="A12732" s="5" t="s">
        <v>243</v>
      </c>
      <c r="G12732" s="25" t="n">
        <f aca="false">G12727*'Historical Financials'!E22/'Historical Financials'!E17</f>
        <v>52.272</v>
      </c>
      <c r="H12732" s="25" t="n">
        <f aca="false">H12727*'Historical Financials'!E22/'Historical Financials'!E17</f>
        <v>51.74928</v>
      </c>
      <c r="I12732" s="25" t="n">
        <f aca="false">I12727*'Historical Financials'!E22/'Historical Financials'!E17</f>
        <v>51.2317872</v>
      </c>
      <c r="J12732" s="25" t="n">
        <f aca="false">J12727*'Historical Financials'!E22/'Historical Financials'!E17</f>
        <v>50.719469328</v>
      </c>
      <c r="K12732" s="25" t="n">
        <f aca="false">K12727*'Historical Financials'!E22/'Historical Financials'!E17</f>
        <v>50.21227463472</v>
      </c>
    </row>
    <row r="12733" customFormat="false" ht="15" hidden="false" customHeight="false" outlineLevel="0" collapsed="false">
      <c r="A12733" s="5" t="s">
        <v>244</v>
      </c>
      <c r="G12733" s="25" t="n">
        <f aca="false">G12727*'Historical Financials'!E23/'Historical Financials'!E17</f>
        <v>0</v>
      </c>
      <c r="H12733" s="25" t="n">
        <f aca="false">H12727*'Historical Financials'!E23/'Historical Financials'!E17</f>
        <v>0</v>
      </c>
      <c r="I12733" s="25" t="n">
        <f aca="false">I12727*'Historical Financials'!E23/'Historical Financials'!E17</f>
        <v>0</v>
      </c>
      <c r="J12733" s="25" t="n">
        <f aca="false">J12727*'Historical Financials'!E23/'Historical Financials'!E17</f>
        <v>0</v>
      </c>
      <c r="K12733" s="25" t="n">
        <f aca="false">K12727*'Historical Financials'!E23/'Historical Financials'!E17</f>
        <v>0</v>
      </c>
    </row>
    <row r="12734" customFormat="false" ht="15" hidden="false" customHeight="false" outlineLevel="0" collapsed="false">
      <c r="A12734" s="2" t="s">
        <v>245</v>
      </c>
      <c r="G12734" s="16" t="n">
        <f aca="false">G12731-G12732-G12733</f>
        <v>102.168</v>
      </c>
      <c r="H12734" s="16" t="n">
        <f aca="false">H12731-H12732-H12733</f>
        <v>105.8508</v>
      </c>
      <c r="I12734" s="16" t="n">
        <f aca="false">I12731-I12732-I12733</f>
        <v>109.4497272</v>
      </c>
      <c r="J12734" s="16" t="n">
        <f aca="false">J12731-J12732-J12733</f>
        <v>112.966090776</v>
      </c>
      <c r="K12734" s="16" t="n">
        <f aca="false">K12731-K12732-K12733</f>
        <v>116.40118210776</v>
      </c>
    </row>
    <row r="12735" customFormat="false" ht="15" hidden="false" customHeight="false" outlineLevel="0" collapsed="false">
      <c r="A12735" s="5" t="s">
        <v>246</v>
      </c>
      <c r="G12735" s="25" t="n">
        <f aca="false">G12761+G12774+G12787+G12800</f>
        <v>126.04</v>
      </c>
      <c r="H12735" s="25" t="n">
        <f aca="false">H12761+H12774+H12787+H12800</f>
        <v>121.51254</v>
      </c>
      <c r="I12735" s="25" t="n">
        <f aca="false">I12761+I12774+I12787+I12800</f>
        <v>119.27284</v>
      </c>
      <c r="J12735" s="25" t="n">
        <f aca="false">J12761+J12774+J12787+J12800</f>
        <v>119.72004</v>
      </c>
      <c r="K12735" s="25" t="n">
        <f aca="false">K12761+K12774+K12787+K12800</f>
        <v>119.14804</v>
      </c>
    </row>
    <row r="12736" customFormat="false" ht="15" hidden="false" customHeight="false" outlineLevel="0" collapsed="false">
      <c r="A12736" s="5" t="s">
        <v>247</v>
      </c>
      <c r="G12736" s="25" t="n">
        <f aca="false">G12762+G12775+G12788+G12801</f>
        <v>0</v>
      </c>
      <c r="H12736" s="25" t="n">
        <f aca="false">H12762+H12775+H12788+H12801</f>
        <v>0</v>
      </c>
      <c r="I12736" s="25" t="n">
        <f aca="false">I12762+I12775+I12788+I12801</f>
        <v>0</v>
      </c>
      <c r="J12736" s="25" t="n">
        <f aca="false">J12762+J12775+J12788+J12801</f>
        <v>0</v>
      </c>
      <c r="K12736" s="25" t="n">
        <f aca="false">K12762+K12775+K12788+K12801</f>
        <v>0</v>
      </c>
    </row>
    <row r="12737" customFormat="false" ht="15" hidden="false" customHeight="false" outlineLevel="0" collapsed="false">
      <c r="A12737" s="5" t="s">
        <v>212</v>
      </c>
      <c r="G12737" s="25" t="n">
        <f aca="false">G12735+G12736</f>
        <v>126.04</v>
      </c>
      <c r="H12737" s="25" t="n">
        <f aca="false">H12735+H12736</f>
        <v>121.51254</v>
      </c>
      <c r="I12737" s="25" t="n">
        <f aca="false">I12735+I12736</f>
        <v>119.27284</v>
      </c>
      <c r="J12737" s="25" t="n">
        <f aca="false">J12735+J12736</f>
        <v>119.72004</v>
      </c>
      <c r="K12737" s="25" t="n">
        <f aca="false">K12735+K12736</f>
        <v>119.14804</v>
      </c>
    </row>
    <row r="12738" customFormat="false" ht="15" hidden="false" customHeight="false" outlineLevel="0" collapsed="false">
      <c r="A12738" s="2" t="s">
        <v>223</v>
      </c>
      <c r="G12738" s="16" t="n">
        <f aca="false">G12734-G12737</f>
        <v>-23.872</v>
      </c>
      <c r="H12738" s="16" t="n">
        <f aca="false">H12734-H12737</f>
        <v>-15.66174</v>
      </c>
      <c r="I12738" s="16" t="n">
        <f aca="false">I12734-I12737</f>
        <v>-9.82311279999999</v>
      </c>
      <c r="J12738" s="16" t="n">
        <f aca="false">J12734-J12737</f>
        <v>-6.75394922399998</v>
      </c>
      <c r="K12738" s="16" t="n">
        <f aca="false">K12734-K12737</f>
        <v>-2.74685789223997</v>
      </c>
    </row>
    <row r="12739" customFormat="false" ht="15" hidden="false" customHeight="false" outlineLevel="0" collapsed="false">
      <c r="A12739" s="5" t="s">
        <v>213</v>
      </c>
      <c r="G12739" s="25" t="n">
        <f aca="false">MAX(0,G12738)*Assumptions!$C$9</f>
        <v>0</v>
      </c>
      <c r="H12739" s="25" t="n">
        <f aca="false">MAX(0,H12738)*Assumptions!$C$9</f>
        <v>0</v>
      </c>
      <c r="I12739" s="25" t="n">
        <f aca="false">MAX(0,I12738)*Assumptions!$C$9</f>
        <v>0</v>
      </c>
      <c r="J12739" s="25" t="n">
        <f aca="false">MAX(0,J12738)*Assumptions!$C$9</f>
        <v>0</v>
      </c>
      <c r="K12739" s="25" t="n">
        <f aca="false">MAX(0,K12738)*Assumptions!$C$9</f>
        <v>0</v>
      </c>
    </row>
    <row r="12740" customFormat="false" ht="15" hidden="false" customHeight="false" outlineLevel="0" collapsed="false">
      <c r="A12740" s="2" t="s">
        <v>248</v>
      </c>
      <c r="G12740" s="16" t="n">
        <f aca="false">G12738-G12739</f>
        <v>-23.872</v>
      </c>
      <c r="H12740" s="16" t="n">
        <f aca="false">H12738-H12739</f>
        <v>-15.66174</v>
      </c>
      <c r="I12740" s="16" t="n">
        <f aca="false">I12738-I12739</f>
        <v>-9.82311279999999</v>
      </c>
      <c r="J12740" s="16" t="n">
        <f aca="false">J12738-J12739</f>
        <v>-6.75394922399998</v>
      </c>
      <c r="K12740" s="16" t="n">
        <f aca="false">K12738-K12739</f>
        <v>-2.74685789223997</v>
      </c>
    </row>
    <row r="12741" customFormat="false" ht="15" hidden="false" customHeight="false" outlineLevel="0" collapsed="false">
      <c r="A12741" s="23" t="s">
        <v>249</v>
      </c>
      <c r="B12741" s="24"/>
      <c r="C12741" s="24"/>
      <c r="D12741" s="24"/>
      <c r="E12741" s="24"/>
      <c r="F12741" s="24"/>
      <c r="G12741" s="24"/>
      <c r="H12741" s="24"/>
      <c r="I12741" s="24"/>
      <c r="J12741" s="24"/>
      <c r="K12741" s="24"/>
    </row>
    <row r="12742" customFormat="false" ht="15" hidden="false" customHeight="false" outlineLevel="0" collapsed="false">
      <c r="A12742" s="5" t="s">
        <v>153</v>
      </c>
      <c r="G12742" s="25" t="n">
        <f aca="false">G12727*CHOOSE($C$12714,Assumptions!$C$69,Assumptions!$C$88,Assumptions!$C$107)</f>
        <v>47.52</v>
      </c>
      <c r="H12742" s="25" t="n">
        <f aca="false">H12727*CHOOSE($C$12714,Assumptions!$C$69,Assumptions!$C$88,Assumptions!$C$107)</f>
        <v>47.0448</v>
      </c>
      <c r="I12742" s="25" t="n">
        <f aca="false">I12727*CHOOSE($C$12714,Assumptions!$C$69,Assumptions!$C$88,Assumptions!$C$107)</f>
        <v>46.574352</v>
      </c>
      <c r="J12742" s="25" t="n">
        <f aca="false">J12727*CHOOSE($C$12714,Assumptions!$C$69,Assumptions!$C$88,Assumptions!$C$107)</f>
        <v>46.10860848</v>
      </c>
      <c r="K12742" s="25" t="n">
        <f aca="false">K12727*CHOOSE($C$12714,Assumptions!$C$69,Assumptions!$C$88,Assumptions!$C$107)</f>
        <v>45.6475223952</v>
      </c>
    </row>
    <row r="12743" customFormat="false" ht="15" hidden="false" customHeight="false" outlineLevel="0" collapsed="false">
      <c r="A12743" s="5" t="s">
        <v>250</v>
      </c>
      <c r="G12743" s="25" t="n">
        <f aca="false">CHOOSE($C$12714,Assumptions!$C$70,Assumptions!$C$89,Assumptions!$C$108)*(G12727-F12727)+CHOOSE($C$12714,Assumptions!$C$71,Assumptions!$C$90,Assumptions!$C$109)*G12727</f>
        <v>-2.88</v>
      </c>
      <c r="H12743" s="25" t="n">
        <f aca="false">CHOOSE($C$12714,Assumptions!$C$70,Assumptions!$C$89,Assumptions!$C$108)*(H12727-G12727)+CHOOSE($C$12714,Assumptions!$C$71,Assumptions!$C$90,Assumptions!$C$109)*H12727</f>
        <v>-2.85120000000003</v>
      </c>
      <c r="I12743" s="25" t="n">
        <f aca="false">CHOOSE($C$12714,Assumptions!$C$70,Assumptions!$C$89,Assumptions!$C$108)*(I12727-H12727)+CHOOSE($C$12714,Assumptions!$C$71,Assumptions!$C$90,Assumptions!$C$109)*I12727</f>
        <v>-2.82268799999998</v>
      </c>
      <c r="J12743" s="25" t="n">
        <f aca="false">CHOOSE($C$12714,Assumptions!$C$70,Assumptions!$C$89,Assumptions!$C$108)*(J12727-I12727)+CHOOSE($C$12714,Assumptions!$C$71,Assumptions!$C$90,Assumptions!$C$109)*J12727</f>
        <v>-2.79446111999998</v>
      </c>
      <c r="K12743" s="25" t="n">
        <f aca="false">CHOOSE($C$12714,Assumptions!$C$70,Assumptions!$C$89,Assumptions!$C$108)*(K12727-J12727)+CHOOSE($C$12714,Assumptions!$C$71,Assumptions!$C$90,Assumptions!$C$109)*K12727</f>
        <v>-2.7665165088</v>
      </c>
    </row>
    <row r="12744" customFormat="false" ht="15" hidden="false" customHeight="false" outlineLevel="0" collapsed="false">
      <c r="A12744" s="2" t="s">
        <v>251</v>
      </c>
      <c r="G12744" s="16" t="n">
        <f aca="false">G12740+G12732+G12733+G12736-G12742-G12743</f>
        <v>-16.24</v>
      </c>
      <c r="H12744" s="16" t="n">
        <f aca="false">H12740+H12732+H12733+H12736-H12742-H12743</f>
        <v>-8.10605999999999</v>
      </c>
      <c r="I12744" s="16" t="n">
        <f aca="false">I12740+I12732+I12733+I12736-I12742-I12743</f>
        <v>-2.34298960000001</v>
      </c>
      <c r="J12744" s="16" t="n">
        <f aca="false">J12740+J12732+J12733+J12736-J12742-J12743</f>
        <v>0.651372743999998</v>
      </c>
      <c r="K12744" s="16" t="n">
        <f aca="false">K12740+K12732+K12733+K12736-K12742-K12743</f>
        <v>4.58441085608002</v>
      </c>
    </row>
    <row r="12746" customFormat="false" ht="15" hidden="false" customHeight="false" outlineLevel="0" collapsed="false">
      <c r="A12746" s="23" t="s">
        <v>253</v>
      </c>
      <c r="B12746" s="24"/>
      <c r="C12746" s="24"/>
      <c r="D12746" s="24"/>
      <c r="E12746" s="24"/>
      <c r="F12746" s="24"/>
      <c r="G12746" s="24"/>
      <c r="H12746" s="24"/>
      <c r="I12746" s="24"/>
      <c r="J12746" s="24"/>
      <c r="K12746" s="24"/>
    </row>
    <row r="12747" customFormat="false" ht="15" hidden="false" customHeight="false" outlineLevel="0" collapsed="false">
      <c r="A12747" s="5" t="s">
        <v>254</v>
      </c>
      <c r="G12747" s="29" t="n">
        <f aca="false">Assumptions!$G$49</f>
        <v>0.0425</v>
      </c>
      <c r="H12747" s="29" t="n">
        <f aca="false">Assumptions!$H$49</f>
        <v>0.04</v>
      </c>
      <c r="I12747" s="29" t="n">
        <f aca="false">Assumptions!$I$49</f>
        <v>0.0375</v>
      </c>
      <c r="J12747" s="29" t="n">
        <f aca="false">Assumptions!$J$49</f>
        <v>0.0375</v>
      </c>
      <c r="K12747" s="29" t="n">
        <f aca="false">Assumptions!$K$49</f>
        <v>0.0375</v>
      </c>
    </row>
    <row r="12748" customFormat="false" ht="15" hidden="false" customHeight="false" outlineLevel="0" collapsed="false">
      <c r="A12748" s="5" t="s">
        <v>255</v>
      </c>
      <c r="C12748" s="30" t="n">
        <f aca="false">CHOOSE($C$12714,Assumptions!$C$72,Assumptions!$C$91,Assumptions!$C$110)+$C$12717</f>
        <v>0.01</v>
      </c>
    </row>
    <row r="12749" customFormat="false" ht="15" hidden="false" customHeight="false" outlineLevel="0" collapsed="false">
      <c r="A12749" s="5" t="s">
        <v>256</v>
      </c>
      <c r="C12749" s="30" t="n">
        <f aca="false">CHOOSE($C$12714,Assumptions!$C$73,Assumptions!$C$92,Assumptions!$C$111)</f>
        <v>0.11</v>
      </c>
    </row>
    <row r="12750" customFormat="false" ht="15" hidden="false" customHeight="false" outlineLevel="0" collapsed="false">
      <c r="A12750" s="5" t="s">
        <v>257</v>
      </c>
      <c r="C12750" s="31" t="n">
        <f aca="false">CHOOSE($C$12714,Assumptions!$C$74,Assumptions!$C$93,Assumptions!$C$112)</f>
        <v>8.5</v>
      </c>
    </row>
    <row r="12751" customFormat="false" ht="15" hidden="false" customHeight="false" outlineLevel="0" collapsed="false">
      <c r="A12751" s="5" t="s">
        <v>258</v>
      </c>
      <c r="C12751" s="31" t="n">
        <f aca="false">CHOOSE($C$12714,Assumptions!$C$75,Assumptions!$C$94,Assumptions!$C$113)</f>
        <v>1.2</v>
      </c>
    </row>
    <row r="12752" customFormat="false" ht="15" hidden="false" customHeight="false" outlineLevel="0" collapsed="false">
      <c r="A12752" s="5" t="s">
        <v>259</v>
      </c>
      <c r="G12752" s="25" t="n">
        <f aca="false">G12757+G12770+G12783+G12796</f>
        <v>1250</v>
      </c>
      <c r="H12752" s="25" t="n">
        <f aca="false">H12757+H12770+H12783+H12796</f>
        <v>1221.24</v>
      </c>
      <c r="I12752" s="25" t="n">
        <f aca="false">I12757+I12770+I12783+I12796</f>
        <v>1216.04</v>
      </c>
      <c r="J12752" s="25" t="n">
        <f aca="false">J12757+J12770+J12783+J12796</f>
        <v>1210.84</v>
      </c>
      <c r="K12752" s="25" t="n">
        <f aca="false">K12757+K12770+K12783+K12796</f>
        <v>1205.64</v>
      </c>
    </row>
    <row r="12753" customFormat="false" ht="15" hidden="false" customHeight="false" outlineLevel="0" collapsed="false">
      <c r="A12753" s="5" t="s">
        <v>260</v>
      </c>
      <c r="G12753" s="25" t="n">
        <f aca="false">F12843</f>
        <v>45</v>
      </c>
      <c r="H12753" s="25" t="n">
        <f aca="false">G12843</f>
        <v>0</v>
      </c>
      <c r="I12753" s="25" t="n">
        <f aca="false">H12843</f>
        <v>-13.30606</v>
      </c>
      <c r="J12753" s="25" t="n">
        <f aca="false">I12843</f>
        <v>-20.8490496</v>
      </c>
      <c r="K12753" s="25" t="n">
        <f aca="false">J12843</f>
        <v>-25.397676856</v>
      </c>
    </row>
    <row r="12754" customFormat="false" ht="15" hidden="false" customHeight="false" outlineLevel="0" collapsed="false">
      <c r="A12754" s="5" t="s">
        <v>261</v>
      </c>
      <c r="G12754" s="25" t="n">
        <f aca="false">G12757*IF(G12758=1,$C$12749,IF(Assumptions!$I$53=1,MAX(G12747,Assumptions!$G$53)+Assumptions!$F$53+$C$12748,Assumptions!$E$53))+G12770*IF(G12771=1,$C$12749,IF(Assumptions!$I$54=1,MAX(G12747,Assumptions!$G$54)+Assumptions!$F$54+$C$12748,Assumptions!$E$54))+G12783*IF(G12784=1,$C$12749,IF(Assumptions!$I$55=1,MAX(G12747,Assumptions!$G$55)+Assumptions!$F$55+$C$12748,Assumptions!$E$55))+G12796*IF(G12797=1,$C$12749,IF(Assumptions!$I$56=1,MAX(G12747,Assumptions!$G$56)+Assumptions!$F$56+$C$12748,Assumptions!$E$56))</f>
        <v>126.04</v>
      </c>
      <c r="H12754" s="25" t="n">
        <f aca="false">H12757*IF(OR(H12758=1,G12909=1),$C$12749,IF(Assumptions!$I$53=1,MAX(H12747,Assumptions!$G$53)+Assumptions!$F$53+$C$12748,Assumptions!$E$53))+H12770*IF(OR(H12771=1,G12910=1),$C$12749,IF(Assumptions!$I$54=1,MAX(H12747,Assumptions!$G$54)+Assumptions!$F$54+$C$12748,Assumptions!$E$54))+H12783*IF(OR(H12784=1,G12911=1),$C$12749,IF(Assumptions!$I$55=1,MAX(H12747,Assumptions!$G$55)+Assumptions!$F$55+$C$12748,Assumptions!$E$55))+H12796*IF(OR(H12797=1,G12912=1),$C$12749,IF(Assumptions!$I$56=1,MAX(H12747,Assumptions!$G$56)+Assumptions!$F$56+$C$12748,Assumptions!$E$56))</f>
        <v>134.5938</v>
      </c>
      <c r="I12754" s="25" t="n">
        <f aca="false">I12757*IF(OR(I12758=1,H12909=1),$C$12749,IF(Assumptions!$I$53=1,MAX(I12747,Assumptions!$G$53)+Assumptions!$F$53+$C$12748,Assumptions!$E$53))+I12770*IF(OR(I12771=1,H12910=1),$C$12749,IF(Assumptions!$I$54=1,MAX(I12747,Assumptions!$G$54)+Assumptions!$F$54+$C$12748,Assumptions!$E$54))+I12783*IF(OR(I12784=1,H12911=1),$C$12749,IF(Assumptions!$I$55=1,MAX(I12747,Assumptions!$G$55)+Assumptions!$F$55+$C$12748,Assumptions!$E$55))+I12796*IF(OR(I12797=1,H12912=1),$C$12749,IF(Assumptions!$I$56=1,MAX(I12747,Assumptions!$G$56)+Assumptions!$F$56+$C$12748,Assumptions!$E$56))</f>
        <v>120.29204</v>
      </c>
      <c r="J12754" s="25" t="n">
        <f aca="false">J12757*IF(OR(J12758=1,I12909=1),$C$12749,IF(Assumptions!$I$53=1,MAX(J12747,Assumptions!$G$53)+Assumptions!$F$53+$C$12748,Assumptions!$E$53))+J12770*IF(OR(J12771=1,I12910=1),$C$12749,IF(Assumptions!$I$54=1,MAX(J12747,Assumptions!$G$54)+Assumptions!$F$54+$C$12748,Assumptions!$E$54))+J12783*IF(OR(J12784=1,I12911=1),$C$12749,IF(Assumptions!$I$55=1,MAX(J12747,Assumptions!$G$55)+Assumptions!$F$55+$C$12748,Assumptions!$E$55))+J12796*IF(OR(J12797=1,I12912=1),$C$12749,IF(Assumptions!$I$56=1,MAX(J12747,Assumptions!$G$56)+Assumptions!$F$56+$C$12748,Assumptions!$E$56))</f>
        <v>119.72004</v>
      </c>
      <c r="K12754" s="25" t="n">
        <f aca="false">K12757*IF(OR(K12758=1,J12909=1),$C$12749,IF(Assumptions!$I$53=1,MAX(K12747,Assumptions!$G$53)+Assumptions!$F$53+$C$12748,Assumptions!$E$53))+K12770*IF(OR(K12771=1,J12910=1),$C$12749,IF(Assumptions!$I$54=1,MAX(K12747,Assumptions!$G$54)+Assumptions!$F$54+$C$12748,Assumptions!$E$54))+K12783*IF(OR(K12784=1,J12911=1),$C$12749,IF(Assumptions!$I$55=1,MAX(K12747,Assumptions!$G$55)+Assumptions!$F$55+$C$12748,Assumptions!$E$55))+K12796*IF(OR(K12797=1,J12912=1),$C$12749,IF(Assumptions!$I$56=1,MAX(K12747,Assumptions!$G$56)+Assumptions!$F$56+$C$12748,Assumptions!$E$56))</f>
        <v>119.14804</v>
      </c>
    </row>
    <row r="12755" customFormat="false" ht="15" hidden="false" customHeight="false" outlineLevel="0" collapsed="false">
      <c r="A12755" s="5" t="s">
        <v>262</v>
      </c>
      <c r="G12755" s="20" t="n">
        <f aca="false">IF(G12731&lt;=0,0,IF(AND((G12752-G12753)/G12731&lt;=$C$12750,G12731/G12754&gt;=$C$12751),1,0))</f>
        <v>1</v>
      </c>
      <c r="H12755" s="20" t="n">
        <f aca="false">IF(H12731&lt;=0,0,IF(AND((H12752-H12753)/H12731&lt;=$C$12750,H12731/H12754&gt;=$C$12751),1,0))</f>
        <v>0</v>
      </c>
      <c r="I12755" s="20" t="n">
        <f aca="false">IF(I12731&lt;=0,0,IF(AND((I12752-I12753)/I12731&lt;=$C$12750,I12731/I12754&gt;=$C$12751),1,0))</f>
        <v>1</v>
      </c>
      <c r="J12755" s="20" t="n">
        <f aca="false">IF(J12731&lt;=0,0,IF(AND((J12752-J12753)/J12731&lt;=$C$12750,J12731/J12754&gt;=$C$12751),1,0))</f>
        <v>1</v>
      </c>
      <c r="K12755" s="20" t="n">
        <f aca="false">IF(K12731&lt;=0,0,IF(AND((K12752-K12753)/K12731&lt;=$C$12750,K12731/K12754&gt;=$C$12751),1,0))</f>
        <v>1</v>
      </c>
    </row>
    <row r="12756" customFormat="false" ht="15" hidden="false" customHeight="false" outlineLevel="0" collapsed="false">
      <c r="A12756" s="23" t="s">
        <v>263</v>
      </c>
      <c r="B12756" s="24"/>
      <c r="C12756" s="24"/>
      <c r="D12756" s="24"/>
      <c r="E12756" s="24"/>
      <c r="F12756" s="24"/>
      <c r="G12756" s="24"/>
      <c r="H12756" s="24"/>
      <c r="I12756" s="24"/>
      <c r="J12756" s="24"/>
      <c r="K12756" s="24"/>
    </row>
    <row r="12757" customFormat="false" ht="15" hidden="false" customHeight="false" outlineLevel="0" collapsed="false">
      <c r="A12757" s="5" t="s">
        <v>264</v>
      </c>
      <c r="G12757" s="25" t="n">
        <f aca="false">F12768</f>
        <v>180</v>
      </c>
      <c r="H12757" s="25" t="n">
        <f aca="false">G12768</f>
        <v>156.44</v>
      </c>
      <c r="I12757" s="25" t="n">
        <f aca="false">H12768</f>
        <v>156.44</v>
      </c>
      <c r="J12757" s="25" t="n">
        <f aca="false">I12768</f>
        <v>156.44</v>
      </c>
      <c r="K12757" s="25" t="n">
        <f aca="false">J12768</f>
        <v>156.44</v>
      </c>
    </row>
    <row r="12758" customFormat="false" ht="15" hidden="false" customHeight="false" outlineLevel="0" collapsed="false">
      <c r="A12758" s="5" t="s">
        <v>265</v>
      </c>
      <c r="G12758" s="20" t="n">
        <f aca="false">IF(G12721=Assumptions!$K$53,1,0)</f>
        <v>0</v>
      </c>
      <c r="H12758" s="20" t="n">
        <f aca="false">IF(H12721=Assumptions!$K$53,1,0)</f>
        <v>1</v>
      </c>
      <c r="I12758" s="20" t="n">
        <f aca="false">IF(I12721=Assumptions!$K$53,1,0)</f>
        <v>0</v>
      </c>
      <c r="J12758" s="20" t="n">
        <f aca="false">IF(J12721=Assumptions!$K$53,1,0)</f>
        <v>0</v>
      </c>
      <c r="K12758" s="20" t="n">
        <f aca="false">IF(K12721=Assumptions!$K$53,1,0)</f>
        <v>0</v>
      </c>
    </row>
    <row r="12760" customFormat="false" ht="15" hidden="false" customHeight="false" outlineLevel="0" collapsed="false">
      <c r="A12760" s="5" t="s">
        <v>266</v>
      </c>
      <c r="G12760" s="30" t="n">
        <f aca="false">IF(Assumptions!$I$53=1,MAX(G12747,Assumptions!$G$53)+Assumptions!$F$53+$C$12748,Assumptions!$E$53)</f>
        <v>0.096</v>
      </c>
      <c r="H12760" s="30" t="n">
        <f aca="false">IF(G12909=1,$C$12749,IF(Assumptions!$I$53=1,MAX(H12747,Assumptions!$G$53)+Assumptions!$F$53+$C$12748,Assumptions!$E$53))</f>
        <v>0.0935</v>
      </c>
      <c r="I12760" s="30" t="n">
        <f aca="false">IF(H12909=1,$C$12749,IF(Assumptions!$I$53=1,MAX(I12747,Assumptions!$G$53)+Assumptions!$F$53+$C$12748,Assumptions!$E$53))</f>
        <v>0.091</v>
      </c>
      <c r="J12760" s="30" t="n">
        <f aca="false">IF(I12909=1,$C$12749,IF(Assumptions!$I$53=1,MAX(J12747,Assumptions!$G$53)+Assumptions!$F$53+$C$12748,Assumptions!$E$53))</f>
        <v>0.091</v>
      </c>
      <c r="K12760" s="30" t="n">
        <f aca="false">IF(J12909=1,$C$12749,IF(Assumptions!$I$53=1,MAX(K12747,Assumptions!$G$53)+Assumptions!$F$53+$C$12748,Assumptions!$E$53))</f>
        <v>0.091</v>
      </c>
    </row>
    <row r="12761" customFormat="false" ht="15" hidden="false" customHeight="false" outlineLevel="0" collapsed="false">
      <c r="A12761" s="5" t="s">
        <v>267</v>
      </c>
      <c r="G12761" s="25" t="n">
        <f aca="false">G12757*G12760</f>
        <v>17.28</v>
      </c>
      <c r="H12761" s="25" t="n">
        <f aca="false">H12757*H12760</f>
        <v>14.62714</v>
      </c>
      <c r="I12761" s="25" t="n">
        <f aca="false">I12757*I12760</f>
        <v>14.23604</v>
      </c>
      <c r="J12761" s="25" t="n">
        <f aca="false">J12757*J12760</f>
        <v>14.23604</v>
      </c>
      <c r="K12761" s="25" t="n">
        <f aca="false">K12757*K12760</f>
        <v>14.23604</v>
      </c>
    </row>
    <row r="12762" customFormat="false" ht="15" hidden="false" customHeight="false" outlineLevel="0" collapsed="false">
      <c r="A12762" s="5" t="s">
        <v>268</v>
      </c>
      <c r="G12762" s="25" t="n">
        <f aca="false">G12757*Assumptions!$H$53</f>
        <v>0</v>
      </c>
      <c r="H12762" s="25" t="n">
        <f aca="false">H12757*Assumptions!$H$53</f>
        <v>0</v>
      </c>
      <c r="I12762" s="25" t="n">
        <f aca="false">I12757*Assumptions!$H$53</f>
        <v>0</v>
      </c>
      <c r="J12762" s="25" t="n">
        <f aca="false">J12757*Assumptions!$H$53</f>
        <v>0</v>
      </c>
      <c r="K12762" s="25" t="n">
        <f aca="false">K12757*Assumptions!$H$53</f>
        <v>0</v>
      </c>
    </row>
    <row r="12763" customFormat="false" ht="15" hidden="false" customHeight="false" outlineLevel="0" collapsed="false">
      <c r="A12763" s="5" t="s">
        <v>269</v>
      </c>
      <c r="G12763" s="25" t="n">
        <f aca="false">MIN(G12757,Assumptions!$L$53*Assumptions!$C$53)</f>
        <v>0</v>
      </c>
      <c r="H12763" s="25" t="n">
        <f aca="false">MIN(H12757,Assumptions!$L$53*Assumptions!$C$53)</f>
        <v>0</v>
      </c>
      <c r="I12763" s="25" t="n">
        <f aca="false">MIN(I12757,Assumptions!$L$53*Assumptions!$C$53)</f>
        <v>0</v>
      </c>
      <c r="J12763" s="25" t="n">
        <f aca="false">MIN(J12757,Assumptions!$L$53*Assumptions!$C$53)</f>
        <v>0</v>
      </c>
      <c r="K12763" s="25" t="n">
        <f aca="false">MIN(K12757,Assumptions!$L$53*Assumptions!$C$53)</f>
        <v>0</v>
      </c>
    </row>
    <row r="12764" customFormat="false" ht="15" hidden="false" customHeight="false" outlineLevel="0" collapsed="false">
      <c r="A12764" s="5" t="s">
        <v>270</v>
      </c>
      <c r="G12764" s="25" t="n">
        <f aca="false">IF(AND(Assumptions!$P$53=1,G12721&lt;Assumptions!$K$53),MIN(MAX(0,-G12835),MAX(0,Assumptions!$D$53-G12757)),0)</f>
        <v>0</v>
      </c>
      <c r="H12764" s="25" t="n">
        <f aca="false">IF(AND(Assumptions!$P$53=1,OR(H12721&lt;Assumptions!$K$53,G12909=1)),MIN(MAX(0,-H12835),MAX(0,Assumptions!$D$53-H12757)),0)</f>
        <v>0</v>
      </c>
      <c r="I12764" s="25" t="n">
        <f aca="false">IF(AND(Assumptions!$P$53=1,OR(I12721&lt;Assumptions!$K$53,H12909=1)),MIN(MAX(0,-I12835),MAX(0,Assumptions!$D$53-I12757)),0)</f>
        <v>0</v>
      </c>
      <c r="J12764" s="25" t="n">
        <f aca="false">IF(AND(Assumptions!$P$53=1,OR(J12721&lt;Assumptions!$K$53,I12909=1)),MIN(MAX(0,-J12835),MAX(0,Assumptions!$D$53-J12757)),0)</f>
        <v>0</v>
      </c>
      <c r="K12764" s="25" t="n">
        <f aca="false">IF(AND(Assumptions!$P$53=1,OR(K12721&lt;Assumptions!$K$53,J12909=1)),MIN(MAX(0,-K12835),MAX(0,Assumptions!$D$53-K12757)),0)</f>
        <v>0</v>
      </c>
    </row>
    <row r="12765" customFormat="false" ht="15" hidden="false" customHeight="false" outlineLevel="0" collapsed="false">
      <c r="A12765" s="5" t="s">
        <v>271</v>
      </c>
      <c r="G12765" s="25" t="n">
        <f aca="false">G12758*MIN(G12757-G12763+G12762,MAX(0,G12837-Assumptions!$C$12*G12755))</f>
        <v>0</v>
      </c>
      <c r="H12765" s="25" t="n">
        <f aca="false">H12758*MIN(H12757-H12763+H12762,MAX(0,H12837-Assumptions!$C$12*H12755))</f>
        <v>0</v>
      </c>
      <c r="I12765" s="25" t="n">
        <f aca="false">I12758*MIN(I12757-I12763+I12762,MAX(0,I12837-Assumptions!$C$12*I12755))</f>
        <v>0</v>
      </c>
      <c r="J12765" s="25" t="n">
        <f aca="false">J12758*MIN(J12757-J12763+J12762,MAX(0,J12837-Assumptions!$C$12*J12755))</f>
        <v>0</v>
      </c>
      <c r="K12765" s="25" t="n">
        <f aca="false">K12758*MIN(K12757-K12763+K12762,MAX(0,K12837-Assumptions!$C$12*K12755))</f>
        <v>0</v>
      </c>
    </row>
    <row r="12766" customFormat="false" ht="15" hidden="false" customHeight="false" outlineLevel="0" collapsed="false">
      <c r="A12766" s="5" t="s">
        <v>272</v>
      </c>
      <c r="G12766" s="25" t="n">
        <f aca="false">Assumptions!$N$53*MIN(G12757+G12764+G12762-G12763-G12765,MAX(0,G12841))</f>
        <v>23.56</v>
      </c>
      <c r="H12766" s="25" t="n">
        <f aca="false">Assumptions!$N$53*MIN(H12757+H12764+H12762-H12763-H12765,MAX(0,H12841))</f>
        <v>0</v>
      </c>
      <c r="I12766" s="25" t="n">
        <f aca="false">Assumptions!$N$53*MIN(I12757+I12764+I12762-I12763-I12765,MAX(0,I12841))</f>
        <v>0</v>
      </c>
      <c r="J12766" s="25" t="n">
        <f aca="false">Assumptions!$N$53*MIN(J12757+J12764+J12762-J12763-J12765,MAX(0,J12841))</f>
        <v>0</v>
      </c>
      <c r="K12766" s="25" t="n">
        <f aca="false">Assumptions!$N$53*MIN(K12757+K12764+K12762-K12763-K12765,MAX(0,K12841))</f>
        <v>0</v>
      </c>
    </row>
    <row r="12767" customFormat="false" ht="15" hidden="false" customHeight="false" outlineLevel="0" collapsed="false">
      <c r="A12767" s="5" t="s">
        <v>273</v>
      </c>
      <c r="G12767" s="25" t="n">
        <f aca="false">G12758*(1-G12755)*(G12757-G12763+G12762-G12765)</f>
        <v>0</v>
      </c>
      <c r="H12767" s="25" t="n">
        <f aca="false">H12758*(1-H12755)*(H12757-H12763+H12762-H12765)</f>
        <v>156.44</v>
      </c>
      <c r="I12767" s="25" t="n">
        <f aca="false">I12758*(1-I12755)*(I12757-I12763+I12762-I12765)</f>
        <v>0</v>
      </c>
      <c r="J12767" s="25" t="n">
        <f aca="false">J12758*(1-J12755)*(J12757-J12763+J12762-J12765)</f>
        <v>0</v>
      </c>
      <c r="K12767" s="25" t="n">
        <f aca="false">K12758*(1-K12755)*(K12757-K12763+K12762-K12765)</f>
        <v>0</v>
      </c>
    </row>
    <row r="12768" customFormat="false" ht="15" hidden="false" customHeight="false" outlineLevel="0" collapsed="false">
      <c r="A12768" s="2" t="s">
        <v>274</v>
      </c>
      <c r="F12768" s="27" t="n">
        <f aca="false">Assumptions!$C$53</f>
        <v>180</v>
      </c>
      <c r="G12768" s="16" t="n">
        <f aca="false">G12757+G12764+G12762-G12763-G12765-G12766</f>
        <v>156.44</v>
      </c>
      <c r="H12768" s="16" t="n">
        <f aca="false">H12757+H12764+H12762-H12763-H12765-H12766</f>
        <v>156.44</v>
      </c>
      <c r="I12768" s="16" t="n">
        <f aca="false">I12757+I12764+I12762-I12763-I12765-I12766</f>
        <v>156.44</v>
      </c>
      <c r="J12768" s="16" t="n">
        <f aca="false">J12757+J12764+J12762-J12763-J12765-J12766</f>
        <v>156.44</v>
      </c>
      <c r="K12768" s="16" t="n">
        <f aca="false">K12757+K12764+K12762-K12763-K12765-K12766</f>
        <v>156.44</v>
      </c>
    </row>
    <row r="12769" customFormat="false" ht="15" hidden="false" customHeight="false" outlineLevel="0" collapsed="false">
      <c r="A12769" s="23" t="s">
        <v>275</v>
      </c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</row>
    <row r="12770" customFormat="false" ht="15" hidden="false" customHeight="false" outlineLevel="0" collapsed="false">
      <c r="A12770" s="5" t="s">
        <v>264</v>
      </c>
      <c r="G12770" s="25" t="n">
        <f aca="false">F12781</f>
        <v>520</v>
      </c>
      <c r="H12770" s="25" t="n">
        <f aca="false">G12781</f>
        <v>514.8</v>
      </c>
      <c r="I12770" s="25" t="n">
        <f aca="false">H12781</f>
        <v>509.6</v>
      </c>
      <c r="J12770" s="25" t="n">
        <f aca="false">I12781</f>
        <v>504.4</v>
      </c>
      <c r="K12770" s="25" t="n">
        <f aca="false">J12781</f>
        <v>499.2</v>
      </c>
    </row>
    <row r="12771" customFormat="false" ht="15" hidden="false" customHeight="false" outlineLevel="0" collapsed="false">
      <c r="A12771" s="5" t="s">
        <v>265</v>
      </c>
      <c r="G12771" s="20" t="n">
        <f aca="false">IF(G12721=Assumptions!$K$54,1,0)</f>
        <v>0</v>
      </c>
      <c r="H12771" s="20" t="n">
        <f aca="false">IF(H12721=Assumptions!$K$54,1,0)</f>
        <v>0</v>
      </c>
      <c r="I12771" s="20" t="n">
        <f aca="false">IF(I12721=Assumptions!$K$54,1,0)</f>
        <v>1</v>
      </c>
      <c r="J12771" s="20" t="n">
        <f aca="false">IF(J12721=Assumptions!$K$54,1,0)</f>
        <v>0</v>
      </c>
      <c r="K12771" s="20" t="n">
        <f aca="false">IF(K12721=Assumptions!$K$54,1,0)</f>
        <v>0</v>
      </c>
    </row>
    <row r="12773" customFormat="false" ht="15" hidden="false" customHeight="false" outlineLevel="0" collapsed="false">
      <c r="A12773" s="5" t="s">
        <v>266</v>
      </c>
      <c r="G12773" s="30" t="n">
        <f aca="false">IF(Assumptions!$I$54=1,MAX(G12747,Assumptions!$G$54)+Assumptions!$F$54+$C$12748,Assumptions!$E$54)</f>
        <v>0.113</v>
      </c>
      <c r="H12773" s="30" t="n">
        <f aca="false">IF(G12910=1,$C$12749,IF(Assumptions!$I$54=1,MAX(H12747,Assumptions!$G$54)+Assumptions!$F$54+$C$12748,Assumptions!$E$54))</f>
        <v>0.1105</v>
      </c>
      <c r="I12773" s="30" t="n">
        <f aca="false">IF(H12910=1,$C$12749,IF(Assumptions!$I$54=1,MAX(I12747,Assumptions!$G$54)+Assumptions!$F$54+$C$12748,Assumptions!$E$54))</f>
        <v>0.108</v>
      </c>
      <c r="J12773" s="30" t="n">
        <f aca="false">IF(I12910=1,$C$12749,IF(Assumptions!$I$54=1,MAX(J12747,Assumptions!$G$54)+Assumptions!$F$54+$C$12748,Assumptions!$E$54))</f>
        <v>0.11</v>
      </c>
      <c r="K12773" s="30" t="n">
        <f aca="false">IF(J12910=1,$C$12749,IF(Assumptions!$I$54=1,MAX(K12747,Assumptions!$G$54)+Assumptions!$F$54+$C$12748,Assumptions!$E$54))</f>
        <v>0.11</v>
      </c>
    </row>
    <row r="12774" customFormat="false" ht="15" hidden="false" customHeight="false" outlineLevel="0" collapsed="false">
      <c r="A12774" s="5" t="s">
        <v>267</v>
      </c>
      <c r="G12774" s="25" t="n">
        <f aca="false">G12770*G12773</f>
        <v>58.76</v>
      </c>
      <c r="H12774" s="25" t="n">
        <f aca="false">H12770*H12773</f>
        <v>56.8854</v>
      </c>
      <c r="I12774" s="25" t="n">
        <f aca="false">I12770*I12773</f>
        <v>55.0368</v>
      </c>
      <c r="J12774" s="25" t="n">
        <f aca="false">J12770*J12773</f>
        <v>55.484</v>
      </c>
      <c r="K12774" s="25" t="n">
        <f aca="false">K12770*K12773</f>
        <v>54.912</v>
      </c>
    </row>
    <row r="12775" customFormat="false" ht="15" hidden="false" customHeight="false" outlineLevel="0" collapsed="false">
      <c r="A12775" s="5" t="s">
        <v>268</v>
      </c>
      <c r="G12775" s="25" t="n">
        <f aca="false">G12770*Assumptions!$H$54</f>
        <v>0</v>
      </c>
      <c r="H12775" s="25" t="n">
        <f aca="false">H12770*Assumptions!$H$54</f>
        <v>0</v>
      </c>
      <c r="I12775" s="25" t="n">
        <f aca="false">I12770*Assumptions!$H$54</f>
        <v>0</v>
      </c>
      <c r="J12775" s="25" t="n">
        <f aca="false">J12770*Assumptions!$H$54</f>
        <v>0</v>
      </c>
      <c r="K12775" s="25" t="n">
        <f aca="false">K12770*Assumptions!$H$54</f>
        <v>0</v>
      </c>
    </row>
    <row r="12776" customFormat="false" ht="15" hidden="false" customHeight="false" outlineLevel="0" collapsed="false">
      <c r="A12776" s="5" t="s">
        <v>269</v>
      </c>
      <c r="G12776" s="25" t="n">
        <f aca="false">MIN(G12770,Assumptions!$L$54*Assumptions!$C$54)</f>
        <v>5.2</v>
      </c>
      <c r="H12776" s="25" t="n">
        <f aca="false">MIN(H12770,Assumptions!$L$54*Assumptions!$C$54)</f>
        <v>5.2</v>
      </c>
      <c r="I12776" s="25" t="n">
        <f aca="false">MIN(I12770,Assumptions!$L$54*Assumptions!$C$54)</f>
        <v>5.2</v>
      </c>
      <c r="J12776" s="25" t="n">
        <f aca="false">MIN(J12770,Assumptions!$L$54*Assumptions!$C$54)</f>
        <v>5.2</v>
      </c>
      <c r="K12776" s="25" t="n">
        <f aca="false">MIN(K12770,Assumptions!$L$54*Assumptions!$C$54)</f>
        <v>5.2</v>
      </c>
    </row>
    <row r="12777" customFormat="false" ht="15" hidden="false" customHeight="false" outlineLevel="0" collapsed="false">
      <c r="A12777" s="5" t="s">
        <v>270</v>
      </c>
      <c r="G12777" s="25" t="n">
        <f aca="false">IF(AND(Assumptions!$P$54=1,G12721&lt;Assumptions!$K$54),MIN(MAX(0,-G12835),MAX(0,Assumptions!$D$54-G12770)),0)</f>
        <v>0</v>
      </c>
      <c r="H12777" s="25" t="n">
        <f aca="false">IF(AND(Assumptions!$P$54=1,OR(H12721&lt;Assumptions!$K$54,G12910=1)),MIN(MAX(0,-H12835),MAX(0,Assumptions!$D$54-H12770)),0)</f>
        <v>0</v>
      </c>
      <c r="I12777" s="25" t="n">
        <f aca="false">IF(AND(Assumptions!$P$54=1,OR(I12721&lt;Assumptions!$K$54,H12910=1)),MIN(MAX(0,-I12835),MAX(0,Assumptions!$D$54-I12770)),0)</f>
        <v>0</v>
      </c>
      <c r="J12777" s="25" t="n">
        <f aca="false">IF(AND(Assumptions!$P$54=1,OR(J12721&lt;Assumptions!$K$54,I12910=1)),MIN(MAX(0,-J12835),MAX(0,Assumptions!$D$54-J12770)),0)</f>
        <v>0</v>
      </c>
      <c r="K12777" s="25" t="n">
        <f aca="false">IF(AND(Assumptions!$P$54=1,OR(K12721&lt;Assumptions!$K$54,J12910=1)),MIN(MAX(0,-K12835),MAX(0,Assumptions!$D$54-K12770)),0)</f>
        <v>0</v>
      </c>
    </row>
    <row r="12778" customFormat="false" ht="15" hidden="false" customHeight="false" outlineLevel="0" collapsed="false">
      <c r="A12778" s="5" t="s">
        <v>271</v>
      </c>
      <c r="G12778" s="25" t="n">
        <f aca="false">G12771*MIN(G12770-G12776+G12775,MAX(0,G12837-Assumptions!$C$12*G12755-G12765))</f>
        <v>0</v>
      </c>
      <c r="H12778" s="25" t="n">
        <f aca="false">H12771*MIN(H12770-H12776+H12775,MAX(0,H12837-Assumptions!$C$12*H12755-H12765))</f>
        <v>0</v>
      </c>
      <c r="I12778" s="25" t="n">
        <f aca="false">I12771*MIN(I12770-I12776+I12775,MAX(0,I12837-Assumptions!$C$12*I12755-I12765))</f>
        <v>0</v>
      </c>
      <c r="J12778" s="25" t="n">
        <f aca="false">J12771*MIN(J12770-J12776+J12775,MAX(0,J12837-Assumptions!$C$12*J12755-J12765))</f>
        <v>0</v>
      </c>
      <c r="K12778" s="25" t="n">
        <f aca="false">K12771*MIN(K12770-K12776+K12775,MAX(0,K12837-Assumptions!$C$12*K12755-K12765))</f>
        <v>0</v>
      </c>
    </row>
    <row r="12779" customFormat="false" ht="15" hidden="false" customHeight="false" outlineLevel="0" collapsed="false">
      <c r="A12779" s="5" t="s">
        <v>272</v>
      </c>
      <c r="G12779" s="25" t="n">
        <f aca="false">Assumptions!$N$54*MIN(G12770+G12777+G12775-G12776-G12778,MAX(0,G12841-G12766))</f>
        <v>0</v>
      </c>
      <c r="H12779" s="25" t="n">
        <f aca="false">Assumptions!$N$54*MIN(H12770+H12777+H12775-H12776-H12778,MAX(0,H12841-H12766))</f>
        <v>0</v>
      </c>
      <c r="I12779" s="25" t="n">
        <f aca="false">Assumptions!$N$54*MIN(I12770+I12777+I12775-I12776-I12778,MAX(0,I12841-I12766))</f>
        <v>0</v>
      </c>
      <c r="J12779" s="25" t="n">
        <f aca="false">Assumptions!$N$54*MIN(J12770+J12777+J12775-J12776-J12778,MAX(0,J12841-J12766))</f>
        <v>0</v>
      </c>
      <c r="K12779" s="25" t="n">
        <f aca="false">Assumptions!$N$54*MIN(K12770+K12777+K12775-K12776-K12778,MAX(0,K12841-K12766))</f>
        <v>0</v>
      </c>
    </row>
    <row r="12780" customFormat="false" ht="15" hidden="false" customHeight="false" outlineLevel="0" collapsed="false">
      <c r="A12780" s="5" t="s">
        <v>273</v>
      </c>
      <c r="G12780" s="25" t="n">
        <f aca="false">G12771*(1-G12755)*(G12770-G12776+G12775-G12778)</f>
        <v>0</v>
      </c>
      <c r="H12780" s="25" t="n">
        <f aca="false">H12771*(1-H12755)*(H12770-H12776+H12775-H12778)</f>
        <v>0</v>
      </c>
      <c r="I12780" s="25" t="n">
        <f aca="false">I12771*(1-I12755)*(I12770-I12776+I12775-I12778)</f>
        <v>0</v>
      </c>
      <c r="J12780" s="25" t="n">
        <f aca="false">J12771*(1-J12755)*(J12770-J12776+J12775-J12778)</f>
        <v>0</v>
      </c>
      <c r="K12780" s="25" t="n">
        <f aca="false">K12771*(1-K12755)*(K12770-K12776+K12775-K12778)</f>
        <v>0</v>
      </c>
    </row>
    <row r="12781" customFormat="false" ht="15" hidden="false" customHeight="false" outlineLevel="0" collapsed="false">
      <c r="A12781" s="2" t="s">
        <v>274</v>
      </c>
      <c r="F12781" s="27" t="n">
        <f aca="false">Assumptions!$C$54</f>
        <v>520</v>
      </c>
      <c r="G12781" s="16" t="n">
        <f aca="false">G12770+G12777+G12775-G12776-G12778-G12779</f>
        <v>514.8</v>
      </c>
      <c r="H12781" s="16" t="n">
        <f aca="false">H12770+H12777+H12775-H12776-H12778-H12779</f>
        <v>509.6</v>
      </c>
      <c r="I12781" s="16" t="n">
        <f aca="false">I12770+I12777+I12775-I12776-I12778-I12779</f>
        <v>504.4</v>
      </c>
      <c r="J12781" s="16" t="n">
        <f aca="false">J12770+J12777+J12775-J12776-J12778-J12779</f>
        <v>499.2</v>
      </c>
      <c r="K12781" s="16" t="n">
        <f aca="false">K12770+K12777+K12775-K12776-K12778-K12779</f>
        <v>494</v>
      </c>
    </row>
    <row r="12782" customFormat="false" ht="15" hidden="false" customHeight="false" outlineLevel="0" collapsed="false">
      <c r="A12782" s="23" t="s">
        <v>276</v>
      </c>
      <c r="B12782" s="24"/>
      <c r="C12782" s="24"/>
      <c r="D12782" s="24"/>
      <c r="E12782" s="24"/>
      <c r="F12782" s="24"/>
      <c r="G12782" s="24"/>
      <c r="H12782" s="24"/>
      <c r="I12782" s="24"/>
      <c r="J12782" s="24"/>
      <c r="K12782" s="24"/>
    </row>
    <row r="12783" customFormat="false" ht="15" hidden="false" customHeight="false" outlineLevel="0" collapsed="false">
      <c r="A12783" s="5" t="s">
        <v>264</v>
      </c>
      <c r="G12783" s="25" t="n">
        <f aca="false">F12794</f>
        <v>250</v>
      </c>
      <c r="H12783" s="25" t="n">
        <f aca="false">G12794</f>
        <v>250</v>
      </c>
      <c r="I12783" s="25" t="n">
        <f aca="false">H12794</f>
        <v>250</v>
      </c>
      <c r="J12783" s="25" t="n">
        <f aca="false">I12794</f>
        <v>250</v>
      </c>
      <c r="K12783" s="25" t="n">
        <f aca="false">J12794</f>
        <v>250</v>
      </c>
    </row>
    <row r="12784" customFormat="false" ht="15" hidden="false" customHeight="false" outlineLevel="0" collapsed="false">
      <c r="A12784" s="5" t="s">
        <v>265</v>
      </c>
      <c r="G12784" s="20" t="n">
        <f aca="false">IF(G12721=Assumptions!$K$55,1,0)</f>
        <v>0</v>
      </c>
      <c r="H12784" s="20" t="n">
        <f aca="false">IF(H12721=Assumptions!$K$55,1,0)</f>
        <v>0</v>
      </c>
      <c r="I12784" s="20" t="n">
        <f aca="false">IF(I12721=Assumptions!$K$55,1,0)</f>
        <v>0</v>
      </c>
      <c r="J12784" s="20" t="n">
        <f aca="false">IF(J12721=Assumptions!$K$55,1,0)</f>
        <v>1</v>
      </c>
      <c r="K12784" s="20" t="n">
        <f aca="false">IF(K12721=Assumptions!$K$55,1,0)</f>
        <v>0</v>
      </c>
    </row>
    <row r="12786" customFormat="false" ht="15" hidden="false" customHeight="false" outlineLevel="0" collapsed="false">
      <c r="A12786" s="5" t="s">
        <v>266</v>
      </c>
      <c r="G12786" s="30" t="n">
        <f aca="false">IF(Assumptions!$I$55=1,MAX(G12747,Assumptions!$G$55)+Assumptions!$F$55+$C$12748,Assumptions!$E$55)</f>
        <v>0.11</v>
      </c>
      <c r="H12786" s="30" t="n">
        <f aca="false">IF(G12911=1,$C$12749,IF(Assumptions!$I$55=1,MAX(H12747,Assumptions!$G$55)+Assumptions!$F$55+$C$12748,Assumptions!$E$55))</f>
        <v>0.11</v>
      </c>
      <c r="I12786" s="30" t="n">
        <f aca="false">IF(H12911=1,$C$12749,IF(Assumptions!$I$55=1,MAX(I12747,Assumptions!$G$55)+Assumptions!$F$55+$C$12748,Assumptions!$E$55))</f>
        <v>0.11</v>
      </c>
      <c r="J12786" s="30" t="n">
        <f aca="false">IF(I12911=1,$C$12749,IF(Assumptions!$I$55=1,MAX(J12747,Assumptions!$G$55)+Assumptions!$F$55+$C$12748,Assumptions!$E$55))</f>
        <v>0.11</v>
      </c>
      <c r="K12786" s="30" t="n">
        <f aca="false">IF(J12911=1,$C$12749,IF(Assumptions!$I$55=1,MAX(K12747,Assumptions!$G$55)+Assumptions!$F$55+$C$12748,Assumptions!$E$55))</f>
        <v>0.11</v>
      </c>
    </row>
    <row r="12787" customFormat="false" ht="15" hidden="false" customHeight="false" outlineLevel="0" collapsed="false">
      <c r="A12787" s="5" t="s">
        <v>267</v>
      </c>
      <c r="G12787" s="25" t="n">
        <f aca="false">G12783*G12786</f>
        <v>27.5</v>
      </c>
      <c r="H12787" s="25" t="n">
        <f aca="false">H12783*H12786</f>
        <v>27.5</v>
      </c>
      <c r="I12787" s="25" t="n">
        <f aca="false">I12783*I12786</f>
        <v>27.5</v>
      </c>
      <c r="J12787" s="25" t="n">
        <f aca="false">J12783*J12786</f>
        <v>27.5</v>
      </c>
      <c r="K12787" s="25" t="n">
        <f aca="false">K12783*K12786</f>
        <v>27.5</v>
      </c>
    </row>
    <row r="12788" customFormat="false" ht="15" hidden="false" customHeight="false" outlineLevel="0" collapsed="false">
      <c r="A12788" s="5" t="s">
        <v>268</v>
      </c>
      <c r="G12788" s="25" t="n">
        <f aca="false">G12783*Assumptions!$H$55</f>
        <v>0</v>
      </c>
      <c r="H12788" s="25" t="n">
        <f aca="false">H12783*Assumptions!$H$55</f>
        <v>0</v>
      </c>
      <c r="I12788" s="25" t="n">
        <f aca="false">I12783*Assumptions!$H$55</f>
        <v>0</v>
      </c>
      <c r="J12788" s="25" t="n">
        <f aca="false">J12783*Assumptions!$H$55</f>
        <v>0</v>
      </c>
      <c r="K12788" s="25" t="n">
        <f aca="false">K12783*Assumptions!$H$55</f>
        <v>0</v>
      </c>
    </row>
    <row r="12789" customFormat="false" ht="15" hidden="false" customHeight="false" outlineLevel="0" collapsed="false">
      <c r="A12789" s="5" t="s">
        <v>269</v>
      </c>
      <c r="G12789" s="25" t="n">
        <f aca="false">MIN(G12783,Assumptions!$L$55*Assumptions!$C$55)</f>
        <v>0</v>
      </c>
      <c r="H12789" s="25" t="n">
        <f aca="false">MIN(H12783,Assumptions!$L$55*Assumptions!$C$55)</f>
        <v>0</v>
      </c>
      <c r="I12789" s="25" t="n">
        <f aca="false">MIN(I12783,Assumptions!$L$55*Assumptions!$C$55)</f>
        <v>0</v>
      </c>
      <c r="J12789" s="25" t="n">
        <f aca="false">MIN(J12783,Assumptions!$L$55*Assumptions!$C$55)</f>
        <v>0</v>
      </c>
      <c r="K12789" s="25" t="n">
        <f aca="false">MIN(K12783,Assumptions!$L$55*Assumptions!$C$55)</f>
        <v>0</v>
      </c>
    </row>
    <row r="12790" customFormat="false" ht="15" hidden="false" customHeight="false" outlineLevel="0" collapsed="false">
      <c r="A12790" s="5" t="s">
        <v>270</v>
      </c>
      <c r="G12790" s="25" t="n">
        <f aca="false">IF(AND(Assumptions!$P$55=1,G12721&lt;Assumptions!$K$55),MIN(MAX(0,-G12835),MAX(0,Assumptions!$D$55-G12783)),0)</f>
        <v>0</v>
      </c>
      <c r="H12790" s="25" t="n">
        <f aca="false">IF(AND(Assumptions!$P$55=1,OR(H12721&lt;Assumptions!$K$55,G12911=1)),MIN(MAX(0,-H12835),MAX(0,Assumptions!$D$55-H12783)),0)</f>
        <v>0</v>
      </c>
      <c r="I12790" s="25" t="n">
        <f aca="false">IF(AND(Assumptions!$P$55=1,OR(I12721&lt;Assumptions!$K$55,H12911=1)),MIN(MAX(0,-I12835),MAX(0,Assumptions!$D$55-I12783)),0)</f>
        <v>0</v>
      </c>
      <c r="J12790" s="25" t="n">
        <f aca="false">IF(AND(Assumptions!$P$55=1,OR(J12721&lt;Assumptions!$K$55,I12911=1)),MIN(MAX(0,-J12835),MAX(0,Assumptions!$D$55-J12783)),0)</f>
        <v>0</v>
      </c>
      <c r="K12790" s="25" t="n">
        <f aca="false">IF(AND(Assumptions!$P$55=1,OR(K12721&lt;Assumptions!$K$55,J12911=1)),MIN(MAX(0,-K12835),MAX(0,Assumptions!$D$55-K12783)),0)</f>
        <v>0</v>
      </c>
    </row>
    <row r="12791" customFormat="false" ht="15" hidden="false" customHeight="false" outlineLevel="0" collapsed="false">
      <c r="A12791" s="5" t="s">
        <v>271</v>
      </c>
      <c r="G12791" s="25" t="n">
        <f aca="false">G12784*MIN(G12783-G12789+G12788,MAX(0,G12837-Assumptions!$C$12*G12755-G12765-G12778))</f>
        <v>0</v>
      </c>
      <c r="H12791" s="25" t="n">
        <f aca="false">H12784*MIN(H12783-H12789+H12788,MAX(0,H12837-Assumptions!$C$12*H12755-H12765-H12778))</f>
        <v>0</v>
      </c>
      <c r="I12791" s="25" t="n">
        <f aca="false">I12784*MIN(I12783-I12789+I12788,MAX(0,I12837-Assumptions!$C$12*I12755-I12765-I12778))</f>
        <v>0</v>
      </c>
      <c r="J12791" s="25" t="n">
        <f aca="false">J12784*MIN(J12783-J12789+J12788,MAX(0,J12837-Assumptions!$C$12*J12755-J12765-J12778))</f>
        <v>0</v>
      </c>
      <c r="K12791" s="25" t="n">
        <f aca="false">K12784*MIN(K12783-K12789+K12788,MAX(0,K12837-Assumptions!$C$12*K12755-K12765-K12778))</f>
        <v>0</v>
      </c>
    </row>
    <row r="12792" customFormat="false" ht="15" hidden="false" customHeight="false" outlineLevel="0" collapsed="false">
      <c r="A12792" s="5" t="s">
        <v>272</v>
      </c>
      <c r="G12792" s="25" t="n">
        <f aca="false">Assumptions!$N$55*MIN(G12783+G12790+G12788-G12789-G12791,MAX(0,G12841-G12766-G12779))</f>
        <v>0</v>
      </c>
      <c r="H12792" s="25" t="n">
        <f aca="false">Assumptions!$N$55*MIN(H12783+H12790+H12788-H12789-H12791,MAX(0,H12841-H12766-H12779))</f>
        <v>0</v>
      </c>
      <c r="I12792" s="25" t="n">
        <f aca="false">Assumptions!$N$55*MIN(I12783+I12790+I12788-I12789-I12791,MAX(0,I12841-I12766-I12779))</f>
        <v>0</v>
      </c>
      <c r="J12792" s="25" t="n">
        <f aca="false">Assumptions!$N$55*MIN(J12783+J12790+J12788-J12789-J12791,MAX(0,J12841-J12766-J12779))</f>
        <v>0</v>
      </c>
      <c r="K12792" s="25" t="n">
        <f aca="false">Assumptions!$N$55*MIN(K12783+K12790+K12788-K12789-K12791,MAX(0,K12841-K12766-K12779))</f>
        <v>0</v>
      </c>
    </row>
    <row r="12793" customFormat="false" ht="15" hidden="false" customHeight="false" outlineLevel="0" collapsed="false">
      <c r="A12793" s="5" t="s">
        <v>273</v>
      </c>
      <c r="G12793" s="25" t="n">
        <f aca="false">G12784*(1-G12755)*(G12783-G12789+G12788-G12791)</f>
        <v>0</v>
      </c>
      <c r="H12793" s="25" t="n">
        <f aca="false">H12784*(1-H12755)*(H12783-H12789+H12788-H12791)</f>
        <v>0</v>
      </c>
      <c r="I12793" s="25" t="n">
        <f aca="false">I12784*(1-I12755)*(I12783-I12789+I12788-I12791)</f>
        <v>0</v>
      </c>
      <c r="J12793" s="25" t="n">
        <f aca="false">J12784*(1-J12755)*(J12783-J12789+J12788-J12791)</f>
        <v>0</v>
      </c>
      <c r="K12793" s="25" t="n">
        <f aca="false">K12784*(1-K12755)*(K12783-K12789+K12788-K12791)</f>
        <v>0</v>
      </c>
    </row>
    <row r="12794" customFormat="false" ht="15" hidden="false" customHeight="false" outlineLevel="0" collapsed="false">
      <c r="A12794" s="2" t="s">
        <v>274</v>
      </c>
      <c r="F12794" s="27" t="n">
        <f aca="false">Assumptions!$C$55</f>
        <v>250</v>
      </c>
      <c r="G12794" s="16" t="n">
        <f aca="false">G12783+G12790+G12788-G12789-G12791-G12792</f>
        <v>250</v>
      </c>
      <c r="H12794" s="16" t="n">
        <f aca="false">H12783+H12790+H12788-H12789-H12791-H12792</f>
        <v>250</v>
      </c>
      <c r="I12794" s="16" t="n">
        <f aca="false">I12783+I12790+I12788-I12789-I12791-I12792</f>
        <v>250</v>
      </c>
      <c r="J12794" s="16" t="n">
        <f aca="false">J12783+J12790+J12788-J12789-J12791-J12792</f>
        <v>250</v>
      </c>
      <c r="K12794" s="16" t="n">
        <f aca="false">K12783+K12790+K12788-K12789-K12791-K12792</f>
        <v>250</v>
      </c>
    </row>
    <row r="12795" customFormat="false" ht="15" hidden="false" customHeight="false" outlineLevel="0" collapsed="false">
      <c r="A12795" s="23" t="s">
        <v>277</v>
      </c>
      <c r="B12795" s="24"/>
      <c r="C12795" s="24"/>
      <c r="D12795" s="24"/>
      <c r="E12795" s="24"/>
      <c r="F12795" s="24"/>
      <c r="G12795" s="24"/>
      <c r="H12795" s="24"/>
      <c r="I12795" s="24"/>
      <c r="J12795" s="24"/>
      <c r="K12795" s="24"/>
    </row>
    <row r="12796" customFormat="false" ht="15" hidden="false" customHeight="false" outlineLevel="0" collapsed="false">
      <c r="A12796" s="5" t="s">
        <v>264</v>
      </c>
      <c r="G12796" s="25" t="n">
        <f aca="false">F12807</f>
        <v>300</v>
      </c>
      <c r="H12796" s="25" t="n">
        <f aca="false">G12807</f>
        <v>300</v>
      </c>
      <c r="I12796" s="25" t="n">
        <f aca="false">H12807</f>
        <v>300</v>
      </c>
      <c r="J12796" s="25" t="n">
        <f aca="false">I12807</f>
        <v>300</v>
      </c>
      <c r="K12796" s="25" t="n">
        <f aca="false">J12807</f>
        <v>300</v>
      </c>
    </row>
    <row r="12797" customFormat="false" ht="15" hidden="false" customHeight="false" outlineLevel="0" collapsed="false">
      <c r="A12797" s="5" t="s">
        <v>265</v>
      </c>
      <c r="G12797" s="20" t="n">
        <f aca="false">IF(G12721=Assumptions!$K$56,1,0)</f>
        <v>0</v>
      </c>
      <c r="H12797" s="20" t="n">
        <f aca="false">IF(H12721=Assumptions!$K$56,1,0)</f>
        <v>1</v>
      </c>
      <c r="I12797" s="20" t="n">
        <f aca="false">IF(I12721=Assumptions!$K$56,1,0)</f>
        <v>0</v>
      </c>
      <c r="J12797" s="20" t="n">
        <f aca="false">IF(J12721=Assumptions!$K$56,1,0)</f>
        <v>0</v>
      </c>
      <c r="K12797" s="20" t="n">
        <f aca="false">IF(K12721=Assumptions!$K$56,1,0)</f>
        <v>0</v>
      </c>
    </row>
    <row r="12799" customFormat="false" ht="15" hidden="false" customHeight="false" outlineLevel="0" collapsed="false">
      <c r="A12799" s="5" t="s">
        <v>266</v>
      </c>
      <c r="G12799" s="30" t="n">
        <f aca="false">IF(Assumptions!$I$56=1,MAX(G12747,Assumptions!$G$56)+Assumptions!$F$56+$C$12748,Assumptions!$E$56)</f>
        <v>0.075</v>
      </c>
      <c r="H12799" s="30" t="n">
        <f aca="false">IF(G12912=1,$C$12749,IF(Assumptions!$I$56=1,MAX(H12747,Assumptions!$G$56)+Assumptions!$F$56+$C$12748,Assumptions!$E$56))</f>
        <v>0.075</v>
      </c>
      <c r="I12799" s="30" t="n">
        <f aca="false">IF(H12912=1,$C$12749,IF(Assumptions!$I$56=1,MAX(I12747,Assumptions!$G$56)+Assumptions!$F$56+$C$12748,Assumptions!$E$56))</f>
        <v>0.075</v>
      </c>
      <c r="J12799" s="30" t="n">
        <f aca="false">IF(I12912=1,$C$12749,IF(Assumptions!$I$56=1,MAX(J12747,Assumptions!$G$56)+Assumptions!$F$56+$C$12748,Assumptions!$E$56))</f>
        <v>0.075</v>
      </c>
      <c r="K12799" s="30" t="n">
        <f aca="false">IF(J12912=1,$C$12749,IF(Assumptions!$I$56=1,MAX(K12747,Assumptions!$G$56)+Assumptions!$F$56+$C$12748,Assumptions!$E$56))</f>
        <v>0.075</v>
      </c>
    </row>
    <row r="12800" customFormat="false" ht="15" hidden="false" customHeight="false" outlineLevel="0" collapsed="false">
      <c r="A12800" s="5" t="s">
        <v>267</v>
      </c>
      <c r="G12800" s="25" t="n">
        <f aca="false">G12796*G12799</f>
        <v>22.5</v>
      </c>
      <c r="H12800" s="25" t="n">
        <f aca="false">H12796*H12799</f>
        <v>22.5</v>
      </c>
      <c r="I12800" s="25" t="n">
        <f aca="false">I12796*I12799</f>
        <v>22.5</v>
      </c>
      <c r="J12800" s="25" t="n">
        <f aca="false">J12796*J12799</f>
        <v>22.5</v>
      </c>
      <c r="K12800" s="25" t="n">
        <f aca="false">K12796*K12799</f>
        <v>22.5</v>
      </c>
    </row>
    <row r="12801" customFormat="false" ht="15" hidden="false" customHeight="false" outlineLevel="0" collapsed="false">
      <c r="A12801" s="5" t="s">
        <v>268</v>
      </c>
      <c r="G12801" s="25" t="n">
        <f aca="false">G12796*Assumptions!$H$56</f>
        <v>0</v>
      </c>
      <c r="H12801" s="25" t="n">
        <f aca="false">H12796*Assumptions!$H$56</f>
        <v>0</v>
      </c>
      <c r="I12801" s="25" t="n">
        <f aca="false">I12796*Assumptions!$H$56</f>
        <v>0</v>
      </c>
      <c r="J12801" s="25" t="n">
        <f aca="false">J12796*Assumptions!$H$56</f>
        <v>0</v>
      </c>
      <c r="K12801" s="25" t="n">
        <f aca="false">K12796*Assumptions!$H$56</f>
        <v>0</v>
      </c>
    </row>
    <row r="12802" customFormat="false" ht="15" hidden="false" customHeight="false" outlineLevel="0" collapsed="false">
      <c r="A12802" s="5" t="s">
        <v>269</v>
      </c>
      <c r="G12802" s="25" t="n">
        <f aca="false">MIN(G12796,Assumptions!$L$56*Assumptions!$C$56)</f>
        <v>0</v>
      </c>
      <c r="H12802" s="25" t="n">
        <f aca="false">MIN(H12796,Assumptions!$L$56*Assumptions!$C$56)</f>
        <v>0</v>
      </c>
      <c r="I12802" s="25" t="n">
        <f aca="false">MIN(I12796,Assumptions!$L$56*Assumptions!$C$56)</f>
        <v>0</v>
      </c>
      <c r="J12802" s="25" t="n">
        <f aca="false">MIN(J12796,Assumptions!$L$56*Assumptions!$C$56)</f>
        <v>0</v>
      </c>
      <c r="K12802" s="25" t="n">
        <f aca="false">MIN(K12796,Assumptions!$L$56*Assumptions!$C$56)</f>
        <v>0</v>
      </c>
    </row>
    <row r="12803" customFormat="false" ht="15" hidden="false" customHeight="false" outlineLevel="0" collapsed="false">
      <c r="A12803" s="5" t="s">
        <v>270</v>
      </c>
      <c r="G12803" s="25" t="n">
        <f aca="false">IF(AND(Assumptions!$P$56=1,G12721&lt;Assumptions!$K$56),MIN(MAX(0,-G12835),MAX(0,Assumptions!$D$56-G12796)),0)</f>
        <v>0</v>
      </c>
      <c r="H12803" s="25" t="n">
        <f aca="false">IF(AND(Assumptions!$P$56=1,OR(H12721&lt;Assumptions!$K$56,G12912=1)),MIN(MAX(0,-H12835),MAX(0,Assumptions!$D$56-H12796)),0)</f>
        <v>0</v>
      </c>
      <c r="I12803" s="25" t="n">
        <f aca="false">IF(AND(Assumptions!$P$56=1,OR(I12721&lt;Assumptions!$K$56,H12912=1)),MIN(MAX(0,-I12835),MAX(0,Assumptions!$D$56-I12796)),0)</f>
        <v>0</v>
      </c>
      <c r="J12803" s="25" t="n">
        <f aca="false">IF(AND(Assumptions!$P$56=1,OR(J12721&lt;Assumptions!$K$56,I12912=1)),MIN(MAX(0,-J12835),MAX(0,Assumptions!$D$56-J12796)),0)</f>
        <v>0</v>
      </c>
      <c r="K12803" s="25" t="n">
        <f aca="false">IF(AND(Assumptions!$P$56=1,OR(K12721&lt;Assumptions!$K$56,J12912=1)),MIN(MAX(0,-K12835),MAX(0,Assumptions!$D$56-K12796)),0)</f>
        <v>0</v>
      </c>
    </row>
    <row r="12804" customFormat="false" ht="15" hidden="false" customHeight="false" outlineLevel="0" collapsed="false">
      <c r="A12804" s="5" t="s">
        <v>271</v>
      </c>
      <c r="G12804" s="25" t="n">
        <f aca="false">G12797*MIN(G12796-G12802+G12801,MAX(0,G12837-Assumptions!$C$12*G12755-G12765-G12778-G12791))</f>
        <v>0</v>
      </c>
      <c r="H12804" s="25" t="n">
        <f aca="false">H12797*MIN(H12796-H12802+H12801,MAX(0,H12837-Assumptions!$C$12*H12755-H12765-H12778-H12791))</f>
        <v>0</v>
      </c>
      <c r="I12804" s="25" t="n">
        <f aca="false">I12797*MIN(I12796-I12802+I12801,MAX(0,I12837-Assumptions!$C$12*I12755-I12765-I12778-I12791))</f>
        <v>0</v>
      </c>
      <c r="J12804" s="25" t="n">
        <f aca="false">J12797*MIN(J12796-J12802+J12801,MAX(0,J12837-Assumptions!$C$12*J12755-J12765-J12778-J12791))</f>
        <v>0</v>
      </c>
      <c r="K12804" s="25" t="n">
        <f aca="false">K12797*MIN(K12796-K12802+K12801,MAX(0,K12837-Assumptions!$C$12*K12755-K12765-K12778-K12791))</f>
        <v>0</v>
      </c>
    </row>
    <row r="12805" customFormat="false" ht="15" hidden="false" customHeight="false" outlineLevel="0" collapsed="false">
      <c r="A12805" s="5" t="s">
        <v>272</v>
      </c>
      <c r="G12805" s="25" t="n">
        <f aca="false">Assumptions!$N$56*MIN(G12796+G12803+G12801-G12802-G12804,MAX(0,G12841-G12766-G12779-G12792))</f>
        <v>0</v>
      </c>
      <c r="H12805" s="25" t="n">
        <f aca="false">Assumptions!$N$56*MIN(H12796+H12803+H12801-H12802-H12804,MAX(0,H12841-H12766-H12779-H12792))</f>
        <v>0</v>
      </c>
      <c r="I12805" s="25" t="n">
        <f aca="false">Assumptions!$N$56*MIN(I12796+I12803+I12801-I12802-I12804,MAX(0,I12841-I12766-I12779-I12792))</f>
        <v>0</v>
      </c>
      <c r="J12805" s="25" t="n">
        <f aca="false">Assumptions!$N$56*MIN(J12796+J12803+J12801-J12802-J12804,MAX(0,J12841-J12766-J12779-J12792))</f>
        <v>0</v>
      </c>
      <c r="K12805" s="25" t="n">
        <f aca="false">Assumptions!$N$56*MIN(K12796+K12803+K12801-K12802-K12804,MAX(0,K12841-K12766-K12779-K12792))</f>
        <v>0</v>
      </c>
    </row>
    <row r="12806" customFormat="false" ht="15" hidden="false" customHeight="false" outlineLevel="0" collapsed="false">
      <c r="A12806" s="5" t="s">
        <v>273</v>
      </c>
      <c r="G12806" s="25" t="n">
        <f aca="false">G12797*(1-G12755)*(G12796-G12802+G12801-G12804)</f>
        <v>0</v>
      </c>
      <c r="H12806" s="25" t="n">
        <f aca="false">H12797*(1-H12755)*(H12796-H12802+H12801-H12804)</f>
        <v>300</v>
      </c>
      <c r="I12806" s="25" t="n">
        <f aca="false">I12797*(1-I12755)*(I12796-I12802+I12801-I12804)</f>
        <v>0</v>
      </c>
      <c r="J12806" s="25" t="n">
        <f aca="false">J12797*(1-J12755)*(J12796-J12802+J12801-J12804)</f>
        <v>0</v>
      </c>
      <c r="K12806" s="25" t="n">
        <f aca="false">K12797*(1-K12755)*(K12796-K12802+K12801-K12804)</f>
        <v>0</v>
      </c>
    </row>
    <row r="12807" customFormat="false" ht="15" hidden="false" customHeight="false" outlineLevel="0" collapsed="false">
      <c r="A12807" s="2" t="s">
        <v>274</v>
      </c>
      <c r="F12807" s="27" t="n">
        <f aca="false">Assumptions!$C$56</f>
        <v>300</v>
      </c>
      <c r="G12807" s="16" t="n">
        <f aca="false">G12796+G12803+G12801-G12802-G12804-G12805</f>
        <v>300</v>
      </c>
      <c r="H12807" s="16" t="n">
        <f aca="false">H12796+H12803+H12801-H12802-H12804-H12805</f>
        <v>300</v>
      </c>
      <c r="I12807" s="16" t="n">
        <f aca="false">I12796+I12803+I12801-I12802-I12804-I12805</f>
        <v>300</v>
      </c>
      <c r="J12807" s="16" t="n">
        <f aca="false">J12796+J12803+J12801-J12802-J12804-J12805</f>
        <v>300</v>
      </c>
      <c r="K12807" s="16" t="n">
        <f aca="false">K12796+K12803+K12801-K12802-K12804-K12805</f>
        <v>300</v>
      </c>
    </row>
    <row r="12808" customFormat="false" ht="15" hidden="false" customHeight="false" outlineLevel="0" collapsed="false">
      <c r="A12808" s="23" t="s">
        <v>278</v>
      </c>
      <c r="B12808" s="24"/>
      <c r="C12808" s="24"/>
      <c r="D12808" s="24"/>
      <c r="E12808" s="24"/>
      <c r="F12808" s="24"/>
      <c r="G12808" s="24"/>
      <c r="H12808" s="24"/>
      <c r="I12808" s="24"/>
      <c r="J12808" s="24"/>
      <c r="K12808" s="24"/>
    </row>
    <row r="12809" customFormat="false" ht="15" hidden="false" customHeight="false" outlineLevel="0" collapsed="false">
      <c r="A12809" s="2" t="s">
        <v>279</v>
      </c>
      <c r="F12809" s="16" t="n">
        <f aca="false">F12768+F12781+F12794+F12807</f>
        <v>1250</v>
      </c>
      <c r="G12809" s="16" t="n">
        <f aca="false">G12768+G12781+G12794+G12807</f>
        <v>1221.24</v>
      </c>
      <c r="H12809" s="16" t="n">
        <f aca="false">H12768+H12781+H12794+H12807</f>
        <v>1216.04</v>
      </c>
      <c r="I12809" s="16" t="n">
        <f aca="false">I12768+I12781+I12794+I12807</f>
        <v>1210.84</v>
      </c>
      <c r="J12809" s="16" t="n">
        <f aca="false">J12768+J12781+J12794+J12807</f>
        <v>1205.64</v>
      </c>
      <c r="K12809" s="16" t="n">
        <f aca="false">K12768+K12781+K12794+K12807</f>
        <v>1200.44</v>
      </c>
    </row>
    <row r="12810" customFormat="false" ht="15" hidden="false" customHeight="false" outlineLevel="0" collapsed="false">
      <c r="A12810" s="5" t="s">
        <v>280</v>
      </c>
      <c r="G12810" s="25" t="n">
        <f aca="false">G12758*Assumptions!$C$53+G12771*Assumptions!$C$54+G12784*Assumptions!$C$55+G12797*Assumptions!$C$56</f>
        <v>0</v>
      </c>
      <c r="H12810" s="25" t="n">
        <f aca="false">H12758*Assumptions!$C$53+H12771*Assumptions!$C$54+H12784*Assumptions!$C$55+H12797*Assumptions!$C$56</f>
        <v>480</v>
      </c>
      <c r="I12810" s="25" t="n">
        <f aca="false">I12758*Assumptions!$C$53+I12771*Assumptions!$C$54+I12784*Assumptions!$C$55+I12797*Assumptions!$C$56</f>
        <v>520</v>
      </c>
      <c r="J12810" s="25" t="n">
        <f aca="false">J12758*Assumptions!$C$53+J12771*Assumptions!$C$54+J12784*Assumptions!$C$55+J12797*Assumptions!$C$56</f>
        <v>250</v>
      </c>
      <c r="K12810" s="25" t="n">
        <f aca="false">K12758*Assumptions!$C$53+K12771*Assumptions!$C$54+K12784*Assumptions!$C$55+K12797*Assumptions!$C$56</f>
        <v>0</v>
      </c>
    </row>
    <row r="12811" customFormat="false" ht="15" hidden="false" customHeight="false" outlineLevel="0" collapsed="false">
      <c r="A12811" s="23" t="s">
        <v>281</v>
      </c>
      <c r="B12811" s="24"/>
      <c r="C12811" s="24"/>
      <c r="D12811" s="24"/>
      <c r="E12811" s="24"/>
      <c r="F12811" s="24"/>
      <c r="G12811" s="24"/>
      <c r="H12811" s="24"/>
      <c r="I12811" s="24"/>
      <c r="J12811" s="24"/>
      <c r="K12811" s="24"/>
    </row>
    <row r="12812" customFormat="false" ht="15" hidden="false" customHeight="false" outlineLevel="0" collapsed="false">
      <c r="A12812" s="5" t="s">
        <v>282</v>
      </c>
      <c r="C12812" s="25" t="n">
        <f aca="false">SUMPRODUCT($G$12758:$K$12758,$G$12757:$K$12757-$G$12763:$K$12763+$G$12762:$K$12762)</f>
        <v>156.44</v>
      </c>
    </row>
    <row r="12813" customFormat="false" ht="15" hidden="false" customHeight="false" outlineLevel="0" collapsed="false">
      <c r="A12813" s="5" t="s">
        <v>283</v>
      </c>
      <c r="C12813" s="25" t="n">
        <f aca="false">SUMPRODUCT($G$12758:$K$12758,$G$12765:$K$12765)</f>
        <v>0</v>
      </c>
    </row>
    <row r="12814" customFormat="false" ht="15" hidden="false" customHeight="false" outlineLevel="0" collapsed="false">
      <c r="A12814" s="5" t="s">
        <v>284</v>
      </c>
      <c r="C12814" s="5" t="str">
        <f aca="false">IF(SUM($G$12758:$K$12758)=0,"n/a (beyond horizon)",IF(SUMPRODUCT($G$12758:$K$12758,$G$12755:$K$12755)&gt;0,"REFINANCING PASS","REFINANCING FAILURE"))</f>
        <v>REFINANCING FAILURE</v>
      </c>
    </row>
    <row r="12815" customFormat="false" ht="15" hidden="false" customHeight="false" outlineLevel="0" collapsed="false">
      <c r="A12815" s="5" t="s">
        <v>285</v>
      </c>
      <c r="C12815" s="5" t="str">
        <f aca="false">IF(SUM($G$12758:$K$12758)=0,"n/a",IF(C12813&gt;=C12812-0.001,"Repaid from cash",IF(SUMPRODUCT($G$12758:$K$12758,$G$12755:$K$12755)&gt;0,IF(C12813&gt;0,"Partly repaid; remainder refinanced","Refinanced"),IF(SUM($G$12767:$K$12767)&gt;0.001,IF(C12813&gt;0,"Partial repayment; PAYMENT DEFAULT","PAYMENT DEFAULT"),"Repaid from cash"))))</f>
        <v>PAYMENT DEFAULT</v>
      </c>
    </row>
    <row r="12816" customFormat="false" ht="15" hidden="false" customHeight="false" outlineLevel="0" collapsed="false">
      <c r="A12816" s="5" t="s">
        <v>286</v>
      </c>
      <c r="C12816" s="25" t="n">
        <f aca="false">SUMPRODUCT($G$12771:$K$12771,$G$12770:$K$12770-$G$12776:$K$12776+$G$12775:$K$12775)</f>
        <v>504.4</v>
      </c>
    </row>
    <row r="12817" customFormat="false" ht="15" hidden="false" customHeight="false" outlineLevel="0" collapsed="false">
      <c r="A12817" s="5" t="s">
        <v>287</v>
      </c>
      <c r="C12817" s="25" t="n">
        <f aca="false">SUMPRODUCT($G$12771:$K$12771,$G$12778:$K$12778)</f>
        <v>0</v>
      </c>
    </row>
    <row r="12818" customFormat="false" ht="15" hidden="false" customHeight="false" outlineLevel="0" collapsed="false">
      <c r="A12818" s="5" t="s">
        <v>288</v>
      </c>
      <c r="C12818" s="5" t="str">
        <f aca="false">IF(SUM($G$12771:$K$12771)=0,"n/a (beyond horizon)",IF(SUMPRODUCT($G$12771:$K$12771,$G$12755:$K$12755)&gt;0,"REFINANCING PASS","REFINANCING FAILURE"))</f>
        <v>REFINANCING PASS</v>
      </c>
    </row>
    <row r="12819" customFormat="false" ht="15" hidden="false" customHeight="false" outlineLevel="0" collapsed="false">
      <c r="A12819" s="5" t="s">
        <v>289</v>
      </c>
      <c r="C12819" s="5" t="str">
        <f aca="false">IF(SUM($G$12771:$K$12771)=0,"n/a",IF(C12817&gt;=C12816-0.001,"Repaid from cash",IF(SUMPRODUCT($G$12771:$K$12771,$G$12755:$K$12755)&gt;0,IF(C12817&gt;0,"Partly repaid; remainder refinanced","Refinanced"),IF(SUM($G$12780:$K$12780)&gt;0.001,IF(C12817&gt;0,"Partial repayment; PAYMENT DEFAULT","PAYMENT DEFAULT"),"Repaid from cash"))))</f>
        <v>Refinanced</v>
      </c>
    </row>
    <row r="12820" customFormat="false" ht="15" hidden="false" customHeight="false" outlineLevel="0" collapsed="false">
      <c r="A12820" s="5" t="s">
        <v>290</v>
      </c>
      <c r="C12820" s="25" t="n">
        <f aca="false">SUMPRODUCT($G$12784:$K$12784,$G$12783:$K$12783-$G$12789:$K$12789+$G$12788:$K$12788)</f>
        <v>250</v>
      </c>
    </row>
    <row r="12821" customFormat="false" ht="15" hidden="false" customHeight="false" outlineLevel="0" collapsed="false">
      <c r="A12821" s="5" t="s">
        <v>291</v>
      </c>
      <c r="C12821" s="25" t="n">
        <f aca="false">SUMPRODUCT($G$12784:$K$12784,$G$12791:$K$12791)</f>
        <v>0</v>
      </c>
    </row>
    <row r="12822" customFormat="false" ht="15" hidden="false" customHeight="false" outlineLevel="0" collapsed="false">
      <c r="A12822" s="5" t="s">
        <v>292</v>
      </c>
      <c r="C12822" s="5" t="str">
        <f aca="false">IF(SUM($G$12784:$K$12784)=0,"n/a (beyond horizon)",IF(SUMPRODUCT($G$12784:$K$12784,$G$12755:$K$12755)&gt;0,"REFINANCING PASS","REFINANCING FAILURE"))</f>
        <v>REFINANCING PASS</v>
      </c>
    </row>
    <row r="12823" customFormat="false" ht="15" hidden="false" customHeight="false" outlineLevel="0" collapsed="false">
      <c r="A12823" s="5" t="s">
        <v>293</v>
      </c>
      <c r="C12823" s="5" t="str">
        <f aca="false">IF(SUM($G$12784:$K$12784)=0,"n/a",IF(C12821&gt;=C12820-0.001,"Repaid from cash",IF(SUMPRODUCT($G$12784:$K$12784,$G$12755:$K$12755)&gt;0,IF(C12821&gt;0,"Partly repaid; remainder refinanced","Refinanced"),IF(SUM($G$12793:$K$12793)&gt;0.001,IF(C12821&gt;0,"Partial repayment; PAYMENT DEFAULT","PAYMENT DEFAULT"),"Repaid from cash"))))</f>
        <v>Refinanced</v>
      </c>
    </row>
    <row r="12824" customFormat="false" ht="15" hidden="false" customHeight="false" outlineLevel="0" collapsed="false">
      <c r="A12824" s="5" t="s">
        <v>294</v>
      </c>
      <c r="C12824" s="25" t="n">
        <f aca="false">SUMPRODUCT($G$12797:$K$12797,$G$12796:$K$12796-$G$12802:$K$12802+$G$12801:$K$12801)</f>
        <v>300</v>
      </c>
    </row>
    <row r="12825" customFormat="false" ht="15" hidden="false" customHeight="false" outlineLevel="0" collapsed="false">
      <c r="A12825" s="5" t="s">
        <v>295</v>
      </c>
      <c r="C12825" s="25" t="n">
        <f aca="false">SUMPRODUCT($G$12797:$K$12797,$G$12804:$K$12804)</f>
        <v>0</v>
      </c>
    </row>
    <row r="12826" customFormat="false" ht="15" hidden="false" customHeight="false" outlineLevel="0" collapsed="false">
      <c r="A12826" s="5" t="s">
        <v>296</v>
      </c>
      <c r="C12826" s="5" t="str">
        <f aca="false">IF(SUM($G$12797:$K$12797)=0,"n/a (beyond horizon)",IF(SUMPRODUCT($G$12797:$K$12797,$G$12755:$K$12755)&gt;0,"REFINANCING PASS","REFINANCING FAILURE"))</f>
        <v>REFINANCING FAILURE</v>
      </c>
    </row>
    <row r="12827" customFormat="false" ht="15" hidden="false" customHeight="false" outlineLevel="0" collapsed="false">
      <c r="A12827" s="5" t="s">
        <v>297</v>
      </c>
      <c r="C12827" s="5" t="str">
        <f aca="false">IF(SUM($G$12797:$K$12797)=0,"n/a",IF(C12825&gt;=C12824-0.001,"Repaid from cash",IF(SUMPRODUCT($G$12797:$K$12797,$G$12755:$K$12755)&gt;0,IF(C12825&gt;0,"Partly repaid; remainder refinanced","Refinanced"),IF(SUM($G$12806:$K$12806)&gt;0.001,IF(C12825&gt;0,"Partial repayment; PAYMENT DEFAULT","PAYMENT DEFAULT"),"Repaid from cash"))))</f>
        <v>PAYMENT DEFAULT</v>
      </c>
    </row>
    <row r="12828" customFormat="false" ht="15" hidden="false" customHeight="false" outlineLevel="0" collapsed="false">
      <c r="A12828" s="5" t="s">
        <v>298</v>
      </c>
      <c r="C12828" s="20" t="n">
        <f aca="false">IF(C12814="REFINANCING FAILURE",1,0)+IF(C12818="REFINANCING FAILURE",1,0)+IF(C12822="REFINANCING FAILURE",1,0)+IF(C12826="REFINANCING FAILURE",1,0)</f>
        <v>2</v>
      </c>
    </row>
    <row r="12830" customFormat="false" ht="15" hidden="false" customHeight="false" outlineLevel="0" collapsed="false">
      <c r="A12830" s="23" t="s">
        <v>300</v>
      </c>
      <c r="B12830" s="24"/>
      <c r="C12830" s="24"/>
      <c r="D12830" s="24"/>
      <c r="E12830" s="24"/>
      <c r="F12830" s="24"/>
      <c r="G12830" s="24"/>
      <c r="H12830" s="24"/>
      <c r="I12830" s="24"/>
      <c r="J12830" s="24"/>
      <c r="K12830" s="24"/>
    </row>
    <row r="12831" customFormat="false" ht="15" hidden="false" customHeight="false" outlineLevel="0" collapsed="false">
      <c r="A12831" s="5" t="s">
        <v>260</v>
      </c>
      <c r="G12831" s="25" t="n">
        <f aca="false">F12843</f>
        <v>45</v>
      </c>
      <c r="H12831" s="25" t="n">
        <f aca="false">G12843</f>
        <v>0</v>
      </c>
      <c r="I12831" s="25" t="n">
        <f aca="false">H12843</f>
        <v>-13.30606</v>
      </c>
      <c r="J12831" s="25" t="n">
        <f aca="false">I12843</f>
        <v>-20.8490496</v>
      </c>
      <c r="K12831" s="25" t="n">
        <f aca="false">J12843</f>
        <v>-25.397676856</v>
      </c>
    </row>
    <row r="12832" customFormat="false" ht="15" hidden="false" customHeight="false" outlineLevel="0" collapsed="false">
      <c r="A12832" s="5" t="s">
        <v>301</v>
      </c>
      <c r="G12832" s="25" t="n">
        <f aca="false">G12744</f>
        <v>-16.24</v>
      </c>
      <c r="H12832" s="25" t="n">
        <f aca="false">H12744</f>
        <v>-8.10605999999999</v>
      </c>
      <c r="I12832" s="25" t="n">
        <f aca="false">I12744</f>
        <v>-2.34298960000001</v>
      </c>
      <c r="J12832" s="25" t="n">
        <f aca="false">J12744</f>
        <v>0.651372743999998</v>
      </c>
      <c r="K12832" s="25" t="n">
        <f aca="false">K12744</f>
        <v>4.58441085608002</v>
      </c>
    </row>
    <row r="12833" customFormat="false" ht="15" hidden="false" customHeight="false" outlineLevel="0" collapsed="false">
      <c r="A12833" s="5" t="s">
        <v>302</v>
      </c>
      <c r="G12833" s="25" t="n">
        <f aca="false">CHOOSE($C$12714,Assumptions!$G$68,Assumptions!$G$87,Assumptions!$G$106)</f>
        <v>0</v>
      </c>
      <c r="H12833" s="25" t="n">
        <f aca="false">CHOOSE($C$12714,Assumptions!$H$68,Assumptions!$H$87,Assumptions!$H$106)</f>
        <v>0</v>
      </c>
      <c r="I12833" s="25" t="n">
        <f aca="false">CHOOSE($C$12714,Assumptions!$I$68,Assumptions!$I$87,Assumptions!$I$106)</f>
        <v>0</v>
      </c>
      <c r="J12833" s="25" t="n">
        <f aca="false">CHOOSE($C$12714,Assumptions!$J$68,Assumptions!$J$87,Assumptions!$J$106)</f>
        <v>0</v>
      </c>
      <c r="K12833" s="25" t="n">
        <f aca="false">CHOOSE($C$12714,Assumptions!$K$68,Assumptions!$K$87,Assumptions!$K$106)</f>
        <v>0</v>
      </c>
    </row>
    <row r="12834" customFormat="false" ht="15" hidden="false" customHeight="false" outlineLevel="0" collapsed="false">
      <c r="A12834" s="5" t="s">
        <v>303</v>
      </c>
      <c r="G12834" s="25" t="n">
        <f aca="false">G12763+G12776+G12789+G12802</f>
        <v>5.2</v>
      </c>
      <c r="H12834" s="25" t="n">
        <f aca="false">H12763+H12776+H12789+H12802</f>
        <v>5.2</v>
      </c>
      <c r="I12834" s="25" t="n">
        <f aca="false">I12763+I12776+I12789+I12802</f>
        <v>5.2</v>
      </c>
      <c r="J12834" s="25" t="n">
        <f aca="false">J12763+J12776+J12789+J12802</f>
        <v>5.2</v>
      </c>
      <c r="K12834" s="25" t="n">
        <f aca="false">K12763+K12776+K12789+K12802</f>
        <v>5.2</v>
      </c>
    </row>
    <row r="12835" customFormat="false" ht="15" hidden="false" customHeight="false" outlineLevel="0" collapsed="false">
      <c r="A12835" s="2" t="s">
        <v>304</v>
      </c>
      <c r="G12835" s="16" t="n">
        <f aca="false">G12831+G12832+G12833-G12834</f>
        <v>23.56</v>
      </c>
      <c r="H12835" s="16" t="n">
        <f aca="false">H12831+H12832+H12833-H12834</f>
        <v>-13.30606</v>
      </c>
      <c r="I12835" s="16" t="n">
        <f aca="false">I12831+I12832+I12833-I12834</f>
        <v>-20.8490496</v>
      </c>
      <c r="J12835" s="16" t="n">
        <f aca="false">J12831+J12832+J12833-J12834</f>
        <v>-25.397676856</v>
      </c>
      <c r="K12835" s="16" t="n">
        <f aca="false">K12831+K12832+K12833-K12834</f>
        <v>-26.01326599992</v>
      </c>
    </row>
    <row r="12836" customFormat="false" ht="15" hidden="false" customHeight="false" outlineLevel="0" collapsed="false">
      <c r="A12836" s="5" t="s">
        <v>305</v>
      </c>
      <c r="G12836" s="25" t="n">
        <f aca="false">G12764+G12777+G12790+G12803</f>
        <v>0</v>
      </c>
      <c r="H12836" s="25" t="n">
        <f aca="false">H12764+H12777+H12790+H12803</f>
        <v>0</v>
      </c>
      <c r="I12836" s="25" t="n">
        <f aca="false">I12764+I12777+I12790+I12803</f>
        <v>0</v>
      </c>
      <c r="J12836" s="25" t="n">
        <f aca="false">J12764+J12777+J12790+J12803</f>
        <v>0</v>
      </c>
      <c r="K12836" s="25" t="n">
        <f aca="false">K12764+K12777+K12790+K12803</f>
        <v>0</v>
      </c>
    </row>
    <row r="12837" customFormat="false" ht="15" hidden="false" customHeight="false" outlineLevel="0" collapsed="false">
      <c r="A12837" s="2" t="s">
        <v>306</v>
      </c>
      <c r="G12837" s="16" t="n">
        <f aca="false">G12835+G12836</f>
        <v>23.56</v>
      </c>
      <c r="H12837" s="16" t="n">
        <f aca="false">H12835+H12836</f>
        <v>-13.30606</v>
      </c>
      <c r="I12837" s="16" t="n">
        <f aca="false">I12835+I12836</f>
        <v>-20.8490496</v>
      </c>
      <c r="J12837" s="16" t="n">
        <f aca="false">J12835+J12836</f>
        <v>-25.397676856</v>
      </c>
      <c r="K12837" s="16" t="n">
        <f aca="false">K12835+K12836</f>
        <v>-26.01326599992</v>
      </c>
    </row>
    <row r="12838" customFormat="false" ht="15" hidden="false" customHeight="false" outlineLevel="0" collapsed="false">
      <c r="A12838" s="5" t="s">
        <v>307</v>
      </c>
      <c r="G12838" s="25" t="n">
        <f aca="false">G12765+G12778+G12791+G12804</f>
        <v>0</v>
      </c>
      <c r="H12838" s="25" t="n">
        <f aca="false">H12765+H12778+H12791+H12804</f>
        <v>0</v>
      </c>
      <c r="I12838" s="25" t="n">
        <f aca="false">I12765+I12778+I12791+I12804</f>
        <v>0</v>
      </c>
      <c r="J12838" s="25" t="n">
        <f aca="false">J12765+J12778+J12791+J12804</f>
        <v>0</v>
      </c>
      <c r="K12838" s="25" t="n">
        <f aca="false">K12765+K12778+K12791+K12804</f>
        <v>0</v>
      </c>
    </row>
    <row r="12839" customFormat="false" ht="15" hidden="false" customHeight="false" outlineLevel="0" collapsed="false">
      <c r="A12839" s="2" t="s">
        <v>308</v>
      </c>
      <c r="G12839" s="16" t="n">
        <f aca="false">G12837-G12838</f>
        <v>23.56</v>
      </c>
      <c r="H12839" s="16" t="n">
        <f aca="false">H12837-H12838</f>
        <v>-13.30606</v>
      </c>
      <c r="I12839" s="16" t="n">
        <f aca="false">I12837-I12838</f>
        <v>-20.8490496</v>
      </c>
      <c r="J12839" s="16" t="n">
        <f aca="false">J12837-J12838</f>
        <v>-25.397676856</v>
      </c>
      <c r="K12839" s="16" t="n">
        <f aca="false">K12837-K12838</f>
        <v>-26.01326599992</v>
      </c>
    </row>
    <row r="12840" customFormat="false" ht="15" hidden="false" customHeight="false" outlineLevel="0" collapsed="false">
      <c r="A12840" s="5" t="s">
        <v>309</v>
      </c>
      <c r="G12840" s="25" t="n">
        <f aca="false">MAX(0,-G12839)</f>
        <v>0</v>
      </c>
      <c r="H12840" s="25" t="n">
        <f aca="false">MAX(0,-H12839)</f>
        <v>13.30606</v>
      </c>
      <c r="I12840" s="25" t="n">
        <f aca="false">MAX(0,-I12839)</f>
        <v>20.8490496</v>
      </c>
      <c r="J12840" s="25" t="n">
        <f aca="false">MAX(0,-J12839)</f>
        <v>25.397676856</v>
      </c>
      <c r="K12840" s="25" t="n">
        <f aca="false">MAX(0,-K12839)</f>
        <v>26.01326599992</v>
      </c>
    </row>
    <row r="12841" customFormat="false" ht="15" hidden="false" customHeight="false" outlineLevel="0" collapsed="false">
      <c r="A12841" s="5" t="s">
        <v>310</v>
      </c>
      <c r="G12841" s="25" t="n">
        <f aca="false">MAX(0,G12839-Assumptions!$C$12)*Assumptions!$C$13</f>
        <v>23.56</v>
      </c>
      <c r="H12841" s="25" t="n">
        <f aca="false">MAX(0,H12839-Assumptions!$C$12)*Assumptions!$C$13</f>
        <v>0</v>
      </c>
      <c r="I12841" s="25" t="n">
        <f aca="false">MAX(0,I12839-Assumptions!$C$12)*Assumptions!$C$13</f>
        <v>0</v>
      </c>
      <c r="J12841" s="25" t="n">
        <f aca="false">MAX(0,J12839-Assumptions!$C$12)*Assumptions!$C$13</f>
        <v>0</v>
      </c>
      <c r="K12841" s="25" t="n">
        <f aca="false">MAX(0,K12839-Assumptions!$C$12)*Assumptions!$C$13</f>
        <v>0</v>
      </c>
    </row>
    <row r="12842" customFormat="false" ht="15" hidden="false" customHeight="false" outlineLevel="0" collapsed="false">
      <c r="A12842" s="5" t="s">
        <v>311</v>
      </c>
      <c r="G12842" s="25" t="n">
        <f aca="false">G12766+G12779+G12792+G12805</f>
        <v>23.56</v>
      </c>
      <c r="H12842" s="25" t="n">
        <f aca="false">H12766+H12779+H12792+H12805</f>
        <v>0</v>
      </c>
      <c r="I12842" s="25" t="n">
        <f aca="false">I12766+I12779+I12792+I12805</f>
        <v>0</v>
      </c>
      <c r="J12842" s="25" t="n">
        <f aca="false">J12766+J12779+J12792+J12805</f>
        <v>0</v>
      </c>
      <c r="K12842" s="25" t="n">
        <f aca="false">K12766+K12779+K12792+K12805</f>
        <v>0</v>
      </c>
    </row>
    <row r="12843" customFormat="false" ht="15" hidden="false" customHeight="false" outlineLevel="0" collapsed="false">
      <c r="A12843" s="2" t="s">
        <v>312</v>
      </c>
      <c r="F12843" s="27" t="n">
        <f aca="false">Assumptions!$C$11</f>
        <v>45</v>
      </c>
      <c r="G12843" s="16" t="n">
        <f aca="false">G12839-G12842</f>
        <v>0</v>
      </c>
      <c r="H12843" s="16" t="n">
        <f aca="false">H12839-H12842</f>
        <v>-13.30606</v>
      </c>
      <c r="I12843" s="16" t="n">
        <f aca="false">I12839-I12842</f>
        <v>-20.8490496</v>
      </c>
      <c r="J12843" s="16" t="n">
        <f aca="false">J12839-J12842</f>
        <v>-25.397676856</v>
      </c>
      <c r="K12843" s="16" t="n">
        <f aca="false">K12839-K12842</f>
        <v>-26.01326599992</v>
      </c>
    </row>
    <row r="12844" customFormat="false" ht="15" hidden="false" customHeight="false" outlineLevel="0" collapsed="false">
      <c r="A12844" s="5" t="s">
        <v>313</v>
      </c>
      <c r="G12844" s="25" t="n">
        <f aca="false">G12767+G12780+G12793+G12806</f>
        <v>0</v>
      </c>
      <c r="H12844" s="25" t="n">
        <f aca="false">H12767+H12780+H12793+H12806</f>
        <v>456.44</v>
      </c>
      <c r="I12844" s="25" t="n">
        <f aca="false">I12767+I12780+I12793+I12806</f>
        <v>0</v>
      </c>
      <c r="J12844" s="25" t="n">
        <f aca="false">J12767+J12780+J12793+J12806</f>
        <v>0</v>
      </c>
      <c r="K12844" s="25" t="n">
        <f aca="false">K12767+K12780+K12793+K12806</f>
        <v>0</v>
      </c>
    </row>
    <row r="12845" customFormat="false" ht="15" hidden="false" customHeight="false" outlineLevel="0" collapsed="false">
      <c r="A12845" s="5" t="s">
        <v>314</v>
      </c>
      <c r="G12845" s="20" t="n">
        <f aca="false">IF(OR(G12840&gt;0.001,G12844&gt;0.001),1,0)</f>
        <v>0</v>
      </c>
      <c r="H12845" s="20" t="n">
        <f aca="false">IF(OR(H12840&gt;0.001,H12844&gt;0.001),1,0)</f>
        <v>1</v>
      </c>
      <c r="I12845" s="20" t="n">
        <f aca="false">IF(OR(I12840&gt;0.001,I12844&gt;0.001),1,0)</f>
        <v>1</v>
      </c>
      <c r="J12845" s="20" t="n">
        <f aca="false">IF(OR(J12840&gt;0.001,J12844&gt;0.001),1,0)</f>
        <v>1</v>
      </c>
      <c r="K12845" s="20" t="n">
        <f aca="false">IF(OR(K12840&gt;0.001,K12844&gt;0.001),1,0)</f>
        <v>1</v>
      </c>
    </row>
    <row r="12846" customFormat="false" ht="15" hidden="false" customHeight="false" outlineLevel="0" collapsed="false">
      <c r="A12846" s="5" t="s">
        <v>315</v>
      </c>
      <c r="G12846" s="20" t="n">
        <f aca="false">IF(G12845=1,1,0)</f>
        <v>0</v>
      </c>
      <c r="H12846" s="20" t="n">
        <f aca="false">IF(AND(H12845=1,SUM($G$12845:G12845)=0),1,0)</f>
        <v>1</v>
      </c>
      <c r="I12846" s="20" t="n">
        <f aca="false">IF(AND(I12845=1,SUM($G$12845:H12845)=0),1,0)</f>
        <v>0</v>
      </c>
      <c r="J12846" s="20" t="n">
        <f aca="false">IF(AND(J12845=1,SUM($G$12845:I12845)=0),1,0)</f>
        <v>0</v>
      </c>
      <c r="K12846" s="20" t="n">
        <f aca="false">IF(AND(K12845=1,SUM($G$12845:J12845)=0),1,0)</f>
        <v>0</v>
      </c>
    </row>
    <row r="12847" customFormat="false" ht="15" hidden="false" customHeight="false" outlineLevel="0" collapsed="false">
      <c r="A12847" s="5" t="s">
        <v>316</v>
      </c>
      <c r="G12847" s="25" t="n">
        <f aca="false">(G12809-F12809)-(G12836+G12736-G12834-G12838-G12842)</f>
        <v>0</v>
      </c>
      <c r="H12847" s="25" t="n">
        <f aca="false">(H12809-G12809)-(H12836+H12736-H12834-H12838-H12842)</f>
        <v>-4.52970994047064E-014</v>
      </c>
      <c r="I12847" s="25" t="n">
        <f aca="false">(I12809-H12809)-(I12836+I12736-I12834-I12838-I12842)</f>
        <v>-4.52970994047064E-014</v>
      </c>
      <c r="J12847" s="25" t="n">
        <f aca="false">(J12809-I12809)-(J12836+J12736-J12834-J12838-J12842)</f>
        <v>-4.52970994047064E-014</v>
      </c>
      <c r="K12847" s="25" t="n">
        <f aca="false">(K12809-J12809)-(K12836+K12736-K12834-K12838-K12842)</f>
        <v>1.82076576038526E-013</v>
      </c>
    </row>
    <row r="12849" customFormat="false" ht="15" hidden="false" customHeight="false" outlineLevel="0" collapsed="false">
      <c r="A12849" s="23" t="s">
        <v>318</v>
      </c>
      <c r="B12849" s="24"/>
      <c r="C12849" s="24"/>
      <c r="D12849" s="24"/>
      <c r="E12849" s="24"/>
      <c r="F12849" s="24"/>
      <c r="G12849" s="24"/>
      <c r="H12849" s="24"/>
      <c r="I12849" s="24"/>
      <c r="J12849" s="24"/>
      <c r="K12849" s="24"/>
    </row>
    <row r="12850" customFormat="false" ht="15" hidden="false" customHeight="false" outlineLevel="0" collapsed="false">
      <c r="A12850" s="5" t="s">
        <v>319</v>
      </c>
      <c r="G12850" s="25" t="n">
        <f aca="false">G12809</f>
        <v>1221.24</v>
      </c>
      <c r="H12850" s="25" t="n">
        <f aca="false">H12809</f>
        <v>1216.04</v>
      </c>
      <c r="I12850" s="25" t="n">
        <f aca="false">I12809</f>
        <v>1210.84</v>
      </c>
      <c r="J12850" s="25" t="n">
        <f aca="false">J12809</f>
        <v>1205.64</v>
      </c>
      <c r="K12850" s="25" t="n">
        <f aca="false">K12809</f>
        <v>1200.44</v>
      </c>
    </row>
    <row r="12851" customFormat="false" ht="15" hidden="false" customHeight="false" outlineLevel="0" collapsed="false">
      <c r="A12851" s="5" t="s">
        <v>320</v>
      </c>
      <c r="G12851" s="25" t="n">
        <f aca="false">Assumptions!$O$53*G12768+Assumptions!$O$54*G12781+Assumptions!$O$55*G12794+Assumptions!$O$56*G12807</f>
        <v>921.24</v>
      </c>
      <c r="H12851" s="25" t="n">
        <f aca="false">Assumptions!$O$53*H12768+Assumptions!$O$54*H12781+Assumptions!$O$55*H12794+Assumptions!$O$56*H12807</f>
        <v>916.04</v>
      </c>
      <c r="I12851" s="25" t="n">
        <f aca="false">Assumptions!$O$53*I12768+Assumptions!$O$54*I12781+Assumptions!$O$55*I12794+Assumptions!$O$56*I12807</f>
        <v>910.84</v>
      </c>
      <c r="J12851" s="25" t="n">
        <f aca="false">Assumptions!$O$53*J12768+Assumptions!$O$54*J12781+Assumptions!$O$55*J12794+Assumptions!$O$56*J12807</f>
        <v>905.64</v>
      </c>
      <c r="K12851" s="25" t="n">
        <f aca="false">Assumptions!$O$53*K12768+Assumptions!$O$54*K12781+Assumptions!$O$55*K12794+Assumptions!$O$56*K12807</f>
        <v>900.44</v>
      </c>
    </row>
    <row r="12852" customFormat="false" ht="15" hidden="false" customHeight="false" outlineLevel="0" collapsed="false">
      <c r="A12852" s="5" t="s">
        <v>321</v>
      </c>
      <c r="G12852" s="25" t="n">
        <f aca="false">G12850-G12843</f>
        <v>1221.24</v>
      </c>
      <c r="H12852" s="25" t="n">
        <f aca="false">H12850-H12843</f>
        <v>1229.34606</v>
      </c>
      <c r="I12852" s="25" t="n">
        <f aca="false">I12850-I12843</f>
        <v>1231.6890496</v>
      </c>
      <c r="J12852" s="25" t="n">
        <f aca="false">J12850-J12843</f>
        <v>1231.037676856</v>
      </c>
      <c r="K12852" s="25" t="n">
        <f aca="false">K12850-K12843</f>
        <v>1226.45326599992</v>
      </c>
    </row>
    <row r="12853" customFormat="false" ht="15" hidden="false" customHeight="false" outlineLevel="0" collapsed="false">
      <c r="A12853" s="5" t="s">
        <v>322</v>
      </c>
      <c r="G12853" s="31" t="n">
        <f aca="false">IF(G12731&gt;0,G12850/G12731,0)</f>
        <v>7.90753690753691</v>
      </c>
      <c r="H12853" s="31" t="n">
        <f aca="false">IF(H12731&gt;0,H12850/H12731,0)</f>
        <v>7.71598593097161</v>
      </c>
      <c r="I12853" s="31" t="n">
        <f aca="false">IF(I12731&gt;0,I12850/I12731,0)</f>
        <v>7.53565215340042</v>
      </c>
      <c r="J12853" s="31" t="n">
        <f aca="false">IF(J12731&gt;0,J12850/J12731,0)</f>
        <v>7.36558557293618</v>
      </c>
      <c r="K12853" s="31" t="n">
        <f aca="false">IF(K12731&gt;0,K12850/K12731,0)</f>
        <v>7.20494024594554</v>
      </c>
    </row>
    <row r="12854" customFormat="false" ht="15" hidden="false" customHeight="false" outlineLevel="0" collapsed="false">
      <c r="A12854" s="5" t="s">
        <v>323</v>
      </c>
      <c r="G12854" s="31" t="n">
        <f aca="false">IF(G12731&gt;0,G12852/G12731,0)</f>
        <v>7.90753690753691</v>
      </c>
      <c r="H12854" s="31" t="n">
        <f aca="false">IF(H12731&gt;0,H12852/H12731,0)</f>
        <v>7.80041520283492</v>
      </c>
      <c r="I12854" s="31" t="n">
        <f aca="false">IF(I12731&gt;0,I12852/I12731,0)</f>
        <v>7.66540603129889</v>
      </c>
      <c r="J12854" s="31" t="n">
        <f aca="false">IF(J12731&gt;0,J12852/J12731,0)</f>
        <v>7.52074694966277</v>
      </c>
      <c r="K12854" s="31" t="n">
        <f aca="false">IF(K12731&gt;0,K12852/K12731,0)</f>
        <v>7.36106968775963</v>
      </c>
    </row>
    <row r="12855" customFormat="false" ht="15" hidden="false" customHeight="false" outlineLevel="0" collapsed="false">
      <c r="A12855" s="5" t="s">
        <v>324</v>
      </c>
      <c r="G12855" s="31" t="n">
        <f aca="false">IF(G12735&gt;0,G12731/G12735,0)</f>
        <v>1.2253252935576</v>
      </c>
      <c r="H12855" s="31" t="n">
        <f aca="false">IF(H12735&gt;0,H12731/H12735,0)</f>
        <v>1.2969861382208</v>
      </c>
      <c r="I12855" s="31" t="n">
        <f aca="false">IF(I12735&gt;0,I12731/I12735,0)</f>
        <v>1.3471760578519</v>
      </c>
      <c r="J12855" s="31" t="n">
        <f aca="false">IF(J12735&gt;0,J12731/J12735,0)</f>
        <v>1.367236096012</v>
      </c>
      <c r="K12855" s="31" t="n">
        <f aca="false">IF(K12735&gt;0,K12731/K12735,0)</f>
        <v>1.39837345828333</v>
      </c>
    </row>
    <row r="12856" customFormat="false" ht="15" hidden="false" customHeight="false" outlineLevel="0" collapsed="false">
      <c r="A12856" s="5" t="s">
        <v>325</v>
      </c>
      <c r="G12856" s="31" t="n">
        <f aca="false">IF(G12735&gt;0,G12734/G12735,0)</f>
        <v>0.810599809584259</v>
      </c>
      <c r="H12856" s="31" t="n">
        <f aca="false">IF(H12735&gt;0,H12734/H12735,0)</f>
        <v>0.871110092834863</v>
      </c>
      <c r="I12856" s="31" t="n">
        <f aca="false">IF(I12735&gt;0,I12734/I12735,0)</f>
        <v>0.91764166259477</v>
      </c>
      <c r="J12856" s="31" t="n">
        <f aca="false">IF(J12735&gt;0,J12734/J12735,0)</f>
        <v>0.943585474712504</v>
      </c>
      <c r="K12856" s="31" t="n">
        <f aca="false">IF(K12735&gt;0,K12734/K12735,0)</f>
        <v>0.976945840718488</v>
      </c>
    </row>
    <row r="12857" customFormat="false" ht="15" hidden="false" customHeight="false" outlineLevel="0" collapsed="false">
      <c r="A12857" s="5" t="s">
        <v>182</v>
      </c>
      <c r="G12857" s="21" t="n">
        <f aca="false">IF(G12850&gt;0,G12744/G12850,0)</f>
        <v>-0.0132979594510498</v>
      </c>
      <c r="H12857" s="21" t="n">
        <f aca="false">IF(H12850&gt;0,H12744/H12850,0)</f>
        <v>-0.00666594848853655</v>
      </c>
      <c r="I12857" s="21" t="n">
        <f aca="false">IF(I12850&gt;0,I12744/I12850,0)</f>
        <v>-0.00193501172739586</v>
      </c>
      <c r="J12857" s="21" t="n">
        <f aca="false">IF(J12850&gt;0,J12744/J12850,0)</f>
        <v>0.000540271344680002</v>
      </c>
      <c r="K12857" s="21" t="n">
        <f aca="false">IF(K12850&gt;0,K12744/K12850,0)</f>
        <v>0.00381894210129621</v>
      </c>
    </row>
    <row r="12858" customFormat="false" ht="15" hidden="false" customHeight="false" outlineLevel="0" collapsed="false">
      <c r="A12858" s="5" t="s">
        <v>326</v>
      </c>
      <c r="G12858" s="31" t="n">
        <f aca="false">IF(G12735+G12834&gt;0,(G12731-G12742-G12739)/(G12735+G12834),0)</f>
        <v>0.814690643096617</v>
      </c>
      <c r="H12858" s="31" t="n">
        <f aca="false">IF(H12735+H12834&gt;0,(H12731-H12742-H12739)/(H12735+H12834),0)</f>
        <v>0.872488863375322</v>
      </c>
      <c r="I12858" s="31" t="n">
        <f aca="false">IF(I12735+I12834&gt;0,(I12731-I12742-I12739)/(I12735+I12834),0)</f>
        <v>0.916723378369129</v>
      </c>
      <c r="J12858" s="31" t="n">
        <f aca="false">IF(J12735+J12834&gt;0,(J12731-J12742-J12739)/(J12735+J12834),0)</f>
        <v>0.941217691124659</v>
      </c>
      <c r="K12858" s="31" t="n">
        <f aca="false">IF(K12735+K12834&gt;0,(K12731-K12742-K12739)/(K12735+K12834),0)</f>
        <v>0.972801295036737</v>
      </c>
    </row>
    <row r="12859" customFormat="false" ht="15" hidden="false" customHeight="false" outlineLevel="0" collapsed="false">
      <c r="A12859" s="5" t="s">
        <v>327</v>
      </c>
      <c r="G12859" s="25" t="n">
        <f aca="false">MAX(0,G12843)+Assumptions!$P$53*MAX(0,Assumptions!$D$53-G12768)+Assumptions!$P$54*MAX(0,Assumptions!$D$54-G12781)+Assumptions!$P$55*MAX(0,Assumptions!$D$55-G12794)+Assumptions!$P$56*MAX(0,Assumptions!$D$56-G12807)</f>
        <v>143.56</v>
      </c>
      <c r="H12859" s="25" t="n">
        <f aca="false">MAX(0,H12843)+Assumptions!$P$53*MAX(0,Assumptions!$D$53-H12768)+Assumptions!$P$54*MAX(0,Assumptions!$D$54-H12781)+Assumptions!$P$55*MAX(0,Assumptions!$D$55-H12794)+Assumptions!$P$56*MAX(0,Assumptions!$D$56-H12807)</f>
        <v>143.56</v>
      </c>
      <c r="I12859" s="25" t="n">
        <f aca="false">MAX(0,I12843)+Assumptions!$P$53*MAX(0,Assumptions!$D$53-I12768)+Assumptions!$P$54*MAX(0,Assumptions!$D$54-I12781)+Assumptions!$P$55*MAX(0,Assumptions!$D$55-I12794)+Assumptions!$P$56*MAX(0,Assumptions!$D$56-I12807)</f>
        <v>143.56</v>
      </c>
      <c r="J12859" s="25" t="n">
        <f aca="false">MAX(0,J12843)+Assumptions!$P$53*MAX(0,Assumptions!$D$53-J12768)+Assumptions!$P$54*MAX(0,Assumptions!$D$54-J12781)+Assumptions!$P$55*MAX(0,Assumptions!$D$55-J12794)+Assumptions!$P$56*MAX(0,Assumptions!$D$56-J12807)</f>
        <v>143.56</v>
      </c>
      <c r="K12859" s="25" t="n">
        <f aca="false">MAX(0,K12843)+Assumptions!$P$53*MAX(0,Assumptions!$D$53-K12768)+Assumptions!$P$54*MAX(0,Assumptions!$D$54-K12781)+Assumptions!$P$55*MAX(0,Assumptions!$D$55-K12794)+Assumptions!$P$56*MAX(0,Assumptions!$D$56-K12807)</f>
        <v>143.56</v>
      </c>
    </row>
    <row r="12860" customFormat="false" ht="15" hidden="false" customHeight="false" outlineLevel="0" collapsed="false">
      <c r="A12860" s="5" t="s">
        <v>328</v>
      </c>
      <c r="G12860" s="21" t="n">
        <f aca="false">IF(G12850&gt;0,G12850/(G12850+MAX(0,G12731*CHOOSE($C$12714,Assumptions!$C$76,Assumptions!$C$95,Assumptions!$C$114)-G12852)),0)</f>
        <v>1</v>
      </c>
      <c r="H12860" s="21" t="n">
        <f aca="false">IF(H12850&gt;0,H12850/(H12850+MAX(0,H12731*CHOOSE($C$12714,Assumptions!$C$76,Assumptions!$C$95,Assumptions!$C$114)-H12852)),0)</f>
        <v>1</v>
      </c>
      <c r="I12860" s="21" t="n">
        <f aca="false">IF(I12850&gt;0,I12850/(I12850+MAX(0,I12731*CHOOSE($C$12714,Assumptions!$C$76,Assumptions!$C$95,Assumptions!$C$114)-I12852)),0)</f>
        <v>1</v>
      </c>
      <c r="J12860" s="21" t="n">
        <f aca="false">IF(J12850&gt;0,J12850/(J12850+MAX(0,J12731*CHOOSE($C$12714,Assumptions!$C$76,Assumptions!$C$95,Assumptions!$C$114)-J12852)),0)</f>
        <v>1</v>
      </c>
      <c r="K12860" s="21" t="n">
        <f aca="false">IF(K12850&gt;0,K12850/(K12850+MAX(0,K12731*CHOOSE($C$12714,Assumptions!$C$76,Assumptions!$C$95,Assumptions!$C$114)-K12852)),0)</f>
        <v>1</v>
      </c>
    </row>
    <row r="12861" customFormat="false" ht="15" hidden="false" customHeight="false" outlineLevel="0" collapsed="false">
      <c r="A12861" s="5" t="s">
        <v>329</v>
      </c>
      <c r="G12861" s="21" t="n">
        <f aca="false">IF(G12850&gt;0,MAX(0,G12843)/G12850,0)</f>
        <v>0</v>
      </c>
      <c r="H12861" s="21" t="n">
        <f aca="false">IF(H12850&gt;0,MAX(0,H12843)/H12850,0)</f>
        <v>0</v>
      </c>
      <c r="I12861" s="21" t="n">
        <f aca="false">IF(I12850&gt;0,MAX(0,I12843)/I12850,0)</f>
        <v>0</v>
      </c>
      <c r="J12861" s="21" t="n">
        <f aca="false">IF(J12850&gt;0,MAX(0,J12843)/J12850,0)</f>
        <v>0</v>
      </c>
      <c r="K12861" s="21" t="n">
        <f aca="false">IF(K12850&gt;0,MAX(0,K12843)/K12850,0)</f>
        <v>0</v>
      </c>
    </row>
    <row r="12862" customFormat="false" ht="15" hidden="false" customHeight="false" outlineLevel="0" collapsed="false">
      <c r="A12862" s="5" t="s">
        <v>330</v>
      </c>
      <c r="G12862" s="25" t="n">
        <f aca="false">Assumptions!$C$27*(1-CHOOSE($C$12714,Assumptions!$C$79,Assumptions!$C$98,Assumptions!$C$117))</f>
        <v>1040</v>
      </c>
      <c r="H12862" s="25" t="n">
        <f aca="false">Assumptions!$C$27*(1-CHOOSE($C$12714,Assumptions!$C$79,Assumptions!$C$98,Assumptions!$C$117))</f>
        <v>1040</v>
      </c>
      <c r="I12862" s="25" t="n">
        <f aca="false">Assumptions!$C$27*(1-CHOOSE($C$12714,Assumptions!$C$79,Assumptions!$C$98,Assumptions!$C$117))</f>
        <v>1040</v>
      </c>
      <c r="J12862" s="25" t="n">
        <f aca="false">Assumptions!$C$27*(1-CHOOSE($C$12714,Assumptions!$C$79,Assumptions!$C$98,Assumptions!$C$117))</f>
        <v>1040</v>
      </c>
      <c r="K12862" s="25" t="n">
        <f aca="false">Assumptions!$C$27*(1-CHOOSE($C$12714,Assumptions!$C$79,Assumptions!$C$98,Assumptions!$C$117))</f>
        <v>1040</v>
      </c>
    </row>
    <row r="12863" customFormat="false" ht="15" hidden="false" customHeight="false" outlineLevel="0" collapsed="false">
      <c r="A12863" s="23" t="s">
        <v>331</v>
      </c>
      <c r="B12863" s="24"/>
      <c r="C12863" s="24"/>
      <c r="D12863" s="24"/>
      <c r="E12863" s="24"/>
      <c r="F12863" s="24"/>
      <c r="G12863" s="24"/>
      <c r="H12863" s="24"/>
      <c r="I12863" s="24"/>
      <c r="J12863" s="24"/>
      <c r="K12863" s="24"/>
    </row>
    <row r="12864" customFormat="false" ht="15" hidden="false" customHeight="false" outlineLevel="0" collapsed="false">
      <c r="A12864" s="23" t="s">
        <v>332</v>
      </c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</row>
    <row r="12865" customFormat="false" ht="15" hidden="false" customHeight="false" outlineLevel="0" collapsed="false">
      <c r="A12865" s="5" t="s">
        <v>333</v>
      </c>
      <c r="G12865" s="31" t="n">
        <f aca="false">IF(G12731&gt;0,G12852/G12731,99)</f>
        <v>7.90753690753691</v>
      </c>
      <c r="H12865" s="31" t="n">
        <f aca="false">IF(H12731&gt;0,H12852/H12731,99)</f>
        <v>7.80041520283492</v>
      </c>
      <c r="I12865" s="31" t="n">
        <f aca="false">IF(I12731&gt;0,I12852/I12731,99)</f>
        <v>7.66540603129889</v>
      </c>
      <c r="J12865" s="31" t="n">
        <f aca="false">IF(J12731&gt;0,J12852/J12731,99)</f>
        <v>7.52074694966277</v>
      </c>
      <c r="K12865" s="31" t="n">
        <f aca="false">IF(K12731&gt;0,K12852/K12731,99)</f>
        <v>7.36106968775963</v>
      </c>
    </row>
    <row r="12866" customFormat="false" ht="15" hidden="false" customHeight="false" outlineLevel="0" collapsed="false">
      <c r="A12866" s="5" t="s">
        <v>334</v>
      </c>
      <c r="G12866" s="32" t="n">
        <f aca="false">Assumptions!$G$61</f>
        <v>8.5</v>
      </c>
      <c r="H12866" s="32" t="n">
        <f aca="false">Assumptions!$H$61</f>
        <v>8.5</v>
      </c>
      <c r="I12866" s="32" t="n">
        <f aca="false">Assumptions!$I$61</f>
        <v>8.5</v>
      </c>
      <c r="J12866" s="32" t="n">
        <f aca="false">Assumptions!$J$61</f>
        <v>8.5</v>
      </c>
      <c r="K12866" s="32" t="n">
        <f aca="false">Assumptions!$K$61</f>
        <v>8.5</v>
      </c>
    </row>
    <row r="12867" customFormat="false" ht="15" hidden="false" customHeight="false" outlineLevel="0" collapsed="false">
      <c r="A12867" s="5" t="s">
        <v>335</v>
      </c>
      <c r="G12867" s="31" t="n">
        <f aca="false">G12866-G12865</f>
        <v>0.592463092463093</v>
      </c>
      <c r="H12867" s="31" t="n">
        <f aca="false">H12866-H12865</f>
        <v>0.699584797165078</v>
      </c>
      <c r="I12867" s="31" t="n">
        <f aca="false">I12866-I12865</f>
        <v>0.834593968701108</v>
      </c>
      <c r="J12867" s="31" t="n">
        <f aca="false">J12866-J12865</f>
        <v>0.979253050337231</v>
      </c>
      <c r="K12867" s="31" t="n">
        <f aca="false">K12866-K12865</f>
        <v>1.13893031224037</v>
      </c>
    </row>
    <row r="12868" customFormat="false" ht="15" hidden="false" customHeight="false" outlineLevel="0" collapsed="false">
      <c r="A12868" s="5" t="s">
        <v>336</v>
      </c>
      <c r="G12868" s="21" t="n">
        <f aca="false">IF(G12866=0,0,G12867/ABS(G12866))</f>
        <v>0.0697015402897756</v>
      </c>
      <c r="H12868" s="21" t="n">
        <f aca="false">IF(H12866=0,0,H12867/ABS(H12866))</f>
        <v>0.0823040937841268</v>
      </c>
      <c r="I12868" s="21" t="n">
        <f aca="false">IF(I12866=0,0,I12867/ABS(I12866))</f>
        <v>0.0981875257295421</v>
      </c>
      <c r="J12868" s="21" t="n">
        <f aca="false">IF(J12866=0,0,J12867/ABS(J12866))</f>
        <v>0.115206241216145</v>
      </c>
      <c r="K12868" s="21" t="n">
        <f aca="false">IF(K12866=0,0,K12867/ABS(K12866))</f>
        <v>0.133991801440044</v>
      </c>
    </row>
    <row r="12869" customFormat="false" ht="15" hidden="false" customHeight="false" outlineLevel="0" collapsed="false">
      <c r="A12869" s="5" t="s">
        <v>337</v>
      </c>
      <c r="G12869" s="20" t="n">
        <f aca="false">IF(G12867&lt;0,1,0)</f>
        <v>0</v>
      </c>
      <c r="H12869" s="20" t="n">
        <f aca="false">IF(H12867&lt;0,1,0)</f>
        <v>0</v>
      </c>
      <c r="I12869" s="20" t="n">
        <f aca="false">IF(I12867&lt;0,1,0)</f>
        <v>0</v>
      </c>
      <c r="J12869" s="20" t="n">
        <f aca="false">IF(J12867&lt;0,1,0)</f>
        <v>0</v>
      </c>
      <c r="K12869" s="20" t="n">
        <f aca="false">IF(K12867&lt;0,1,0)</f>
        <v>0</v>
      </c>
    </row>
    <row r="12870" customFormat="false" ht="15" hidden="false" customHeight="false" outlineLevel="0" collapsed="false">
      <c r="A12870" s="5" t="s">
        <v>338</v>
      </c>
      <c r="C12870" s="20" t="n">
        <f aca="false">IFERROR(INDEX($G$12721:$K$12721,MATCH(1,$G$12869:$K$12869,0)),0)</f>
        <v>0</v>
      </c>
    </row>
    <row r="12871" customFormat="false" ht="15" hidden="false" customHeight="false" outlineLevel="0" collapsed="false">
      <c r="A12871" s="5" t="s">
        <v>339</v>
      </c>
      <c r="C12871" s="21" t="n">
        <f aca="false">MIN($G$12868:$K$12868)</f>
        <v>0.0697015402897756</v>
      </c>
    </row>
    <row r="12872" customFormat="false" ht="15" hidden="false" customHeight="false" outlineLevel="0" collapsed="false">
      <c r="A12872" s="5" t="s">
        <v>340</v>
      </c>
      <c r="G12872" s="20" t="n">
        <f aca="false">G12869</f>
        <v>0</v>
      </c>
      <c r="H12872" s="20" t="n">
        <f aca="false">H12869</f>
        <v>0</v>
      </c>
      <c r="I12872" s="20" t="n">
        <f aca="false">I12869</f>
        <v>0</v>
      </c>
      <c r="J12872" s="20" t="n">
        <f aca="false">J12869</f>
        <v>0</v>
      </c>
      <c r="K12872" s="20" t="n">
        <f aca="false">K12869</f>
        <v>0</v>
      </c>
    </row>
    <row r="12873" customFormat="false" ht="15" hidden="false" customHeight="false" outlineLevel="0" collapsed="false">
      <c r="A12873" s="5" t="s">
        <v>341</v>
      </c>
      <c r="C12873" s="20" t="n">
        <f aca="false">SUM($G$12872:$K$12872)</f>
        <v>0</v>
      </c>
    </row>
    <row r="12874" customFormat="false" ht="15" hidden="false" customHeight="false" outlineLevel="0" collapsed="false">
      <c r="A12874" s="5" t="s">
        <v>342</v>
      </c>
      <c r="C12874" s="21" t="n">
        <f aca="false">MIN(C12871)</f>
        <v>0.0697015402897756</v>
      </c>
    </row>
    <row r="12876" customFormat="false" ht="15" hidden="false" customHeight="false" outlineLevel="0" collapsed="false">
      <c r="A12876" s="23" t="s">
        <v>444</v>
      </c>
      <c r="B12876" s="24"/>
      <c r="C12876" s="24"/>
      <c r="D12876" s="24"/>
      <c r="E12876" s="24"/>
      <c r="F12876" s="24"/>
      <c r="G12876" s="24"/>
      <c r="H12876" s="24"/>
      <c r="I12876" s="24"/>
      <c r="J12876" s="24"/>
      <c r="K12876" s="24"/>
    </row>
    <row r="12877" customFormat="false" ht="15" hidden="false" customHeight="false" outlineLevel="0" collapsed="false">
      <c r="A12877" s="5" t="s">
        <v>445</v>
      </c>
      <c r="G12877" s="20" t="n">
        <f aca="false">IF($C$12878=1,G12846,IF(G12731=MIN($G$12731:$K$12731),1,0))</f>
        <v>0</v>
      </c>
      <c r="H12877" s="20" t="n">
        <f aca="false">IF($C$12878=1,H12846,IF(AND(H12731=MIN($G$12731:$K$12731),SUM($G$12877:G12877)=0),1,0))</f>
        <v>1</v>
      </c>
      <c r="I12877" s="20" t="n">
        <f aca="false">IF($C$12878=1,I12846,IF(AND(I12731=MIN($G$12731:$K$12731),SUM($G$12877:H12877)=0),1,0))</f>
        <v>0</v>
      </c>
      <c r="J12877" s="20" t="n">
        <f aca="false">IF($C$12878=1,J12846,IF(AND(J12731=MIN($G$12731:$K$12731),SUM($G$12877:I12877)=0),1,0))</f>
        <v>0</v>
      </c>
      <c r="K12877" s="20" t="n">
        <f aca="false">IF($C$12878=1,K12846,IF(AND(K12731=MIN($G$12731:$K$12731),SUM($G$12877:J12877)=0),1,0))</f>
        <v>0</v>
      </c>
    </row>
    <row r="12878" customFormat="false" ht="15" hidden="false" customHeight="false" outlineLevel="0" collapsed="false">
      <c r="A12878" s="5" t="s">
        <v>446</v>
      </c>
      <c r="C12878" s="20" t="n">
        <f aca="false">IF(SUM($G$12846:$K$12846)&gt;0,1,0)</f>
        <v>1</v>
      </c>
    </row>
    <row r="12879" customFormat="false" ht="15" hidden="false" customHeight="false" outlineLevel="0" collapsed="false">
      <c r="A12879" s="5" t="s">
        <v>447</v>
      </c>
      <c r="C12879" s="20" t="n">
        <f aca="false">SUMPRODUCT($G$12877:$K$12877,$G$12721:$K$12721)</f>
        <v>2027</v>
      </c>
    </row>
    <row r="12880" customFormat="false" ht="15" hidden="false" customHeight="false" outlineLevel="0" collapsed="false">
      <c r="A12880" s="5" t="s">
        <v>448</v>
      </c>
      <c r="C12880" s="25" t="n">
        <f aca="false">SUMPRODUCT($G$12877:$K$12877,$G$12731:$K$12731)</f>
        <v>157.60008</v>
      </c>
    </row>
    <row r="12881" customFormat="false" ht="15" hidden="false" customHeight="false" outlineLevel="0" collapsed="false">
      <c r="A12881" s="5" t="s">
        <v>449</v>
      </c>
      <c r="C12881" s="25" t="n">
        <f aca="false">MAX(0,SUMPRODUCT($G$12877:$K$12877,$G$12843:$K$12843))</f>
        <v>0</v>
      </c>
    </row>
    <row r="12882" customFormat="false" ht="15" hidden="false" customHeight="false" outlineLevel="0" collapsed="false">
      <c r="A12882" s="5" t="s">
        <v>450</v>
      </c>
      <c r="C12882" s="25" t="n">
        <f aca="false">(CHOOSE($C$12714,Assumptions!$C$78,Assumptions!$C$97,Assumptions!$C$116)+$C$12718)*C12880</f>
        <v>630.40032</v>
      </c>
    </row>
    <row r="12883" customFormat="false" ht="15" hidden="false" customHeight="false" outlineLevel="0" collapsed="false">
      <c r="A12883" s="5" t="s">
        <v>451</v>
      </c>
      <c r="C12883" s="25" t="n">
        <f aca="false">Assumptions!$C$27*(1-CHOOSE($C$12714,Assumptions!$C$79,Assumptions!$C$98,Assumptions!$C$117))*CHOOSE($C$12714,Assumptions!$C$80,Assumptions!$C$99,Assumptions!$C$118)</f>
        <v>624</v>
      </c>
    </row>
    <row r="12884" customFormat="false" ht="15" hidden="false" customHeight="false" outlineLevel="0" collapsed="false">
      <c r="A12884" s="5" t="s">
        <v>452</v>
      </c>
      <c r="C12884" s="25" t="n">
        <f aca="false">MAX(C12882,C12883)+C12881</f>
        <v>630.40032</v>
      </c>
    </row>
    <row r="12885" customFormat="false" ht="15" hidden="false" customHeight="false" outlineLevel="0" collapsed="false">
      <c r="A12885" s="2" t="s">
        <v>453</v>
      </c>
      <c r="C12885" s="16" t="n">
        <f aca="false">IF(ISNUMBER(Assumptions!$C$14),Assumptions!$C$14,C12884)</f>
        <v>630.40032</v>
      </c>
    </row>
    <row r="12886" customFormat="false" ht="15" hidden="false" customHeight="false" outlineLevel="0" collapsed="false">
      <c r="A12886" s="5" t="s">
        <v>454</v>
      </c>
      <c r="C12886" s="25" t="n">
        <f aca="false">C12885*Assumptions!$C$15</f>
        <v>25.2160128</v>
      </c>
    </row>
    <row r="12887" customFormat="false" ht="15" hidden="false" customHeight="false" outlineLevel="0" collapsed="false">
      <c r="A12887" s="2" t="s">
        <v>455</v>
      </c>
      <c r="C12887" s="16" t="n">
        <f aca="false">C12885-C12886</f>
        <v>605.1843072</v>
      </c>
    </row>
    <row r="12888" customFormat="false" ht="15" hidden="false" customHeight="false" outlineLevel="0" collapsed="false">
      <c r="A12888" s="23" t="s">
        <v>456</v>
      </c>
      <c r="B12888" s="24"/>
      <c r="C12888" s="24"/>
      <c r="D12888" s="24"/>
      <c r="E12888" s="24"/>
      <c r="F12888" s="24"/>
      <c r="G12888" s="24"/>
      <c r="H12888" s="24"/>
      <c r="I12888" s="24"/>
      <c r="J12888" s="24"/>
      <c r="K12888" s="24"/>
    </row>
    <row r="12889" customFormat="false" ht="15" hidden="false" customHeight="false" outlineLevel="0" collapsed="false">
      <c r="A12889" s="5" t="s">
        <v>457</v>
      </c>
      <c r="C12889" s="25" t="n">
        <f aca="false">SUMPRODUCT($G$12877:$K$12877,$G$12768:$K$12768)*(1+SUMPRODUCT($G$12877:$K$12877,$G$12760:$K$12760)*Assumptions!$C$16/12)</f>
        <v>160.096785</v>
      </c>
    </row>
    <row r="12890" customFormat="false" ht="15" hidden="false" customHeight="false" outlineLevel="0" collapsed="false">
      <c r="A12890" s="5" t="s">
        <v>458</v>
      </c>
      <c r="C12890" s="25" t="n">
        <f aca="false">SUMPRODUCT($G$12877:$K$12877,$G$12781:$K$12781)*(1+SUMPRODUCT($G$12877:$K$12877,$G$12773:$K$12773)*Assumptions!$C$16/12)</f>
        <v>523.6777</v>
      </c>
    </row>
    <row r="12891" customFormat="false" ht="15" hidden="false" customHeight="false" outlineLevel="0" collapsed="false">
      <c r="A12891" s="5" t="s">
        <v>459</v>
      </c>
      <c r="C12891" s="25" t="n">
        <f aca="false">SUMPRODUCT($G$12877:$K$12877,$G$12794:$K$12794)*(1+SUMPRODUCT($G$12877:$K$12877,$G$12786:$K$12786)*Assumptions!$C$16/12)</f>
        <v>256.875</v>
      </c>
    </row>
    <row r="12892" customFormat="false" ht="15" hidden="false" customHeight="false" outlineLevel="0" collapsed="false">
      <c r="A12892" s="5" t="s">
        <v>460</v>
      </c>
      <c r="C12892" s="25" t="n">
        <f aca="false">SUMPRODUCT($G$12877:$K$12877,$G$12807:$K$12807)*(1+SUMPRODUCT($G$12877:$K$12877,$G$12799:$K$12799)*Assumptions!$C$16/12)</f>
        <v>305.625</v>
      </c>
    </row>
    <row r="12893" customFormat="false" ht="15" hidden="false" customHeight="false" outlineLevel="0" collapsed="false">
      <c r="A12893" s="23" t="s">
        <v>461</v>
      </c>
      <c r="B12893" s="24"/>
      <c r="C12893" s="24"/>
      <c r="D12893" s="24"/>
      <c r="E12893" s="24"/>
      <c r="F12893" s="24"/>
      <c r="G12893" s="24"/>
      <c r="H12893" s="24"/>
      <c r="I12893" s="24"/>
      <c r="J12893" s="24"/>
      <c r="K12893" s="24"/>
    </row>
    <row r="12894" customFormat="false" ht="15" hidden="false" customHeight="false" outlineLevel="0" collapsed="false">
      <c r="A12894" s="5" t="s">
        <v>457</v>
      </c>
      <c r="C12894" s="26" t="n">
        <f aca="false">Assumptions!$M$53</f>
        <v>1</v>
      </c>
    </row>
    <row r="12895" customFormat="false" ht="15" hidden="false" customHeight="false" outlineLevel="0" collapsed="false">
      <c r="A12895" s="5" t="s">
        <v>458</v>
      </c>
      <c r="C12895" s="26" t="n">
        <f aca="false">Assumptions!$M$54</f>
        <v>2</v>
      </c>
    </row>
    <row r="12896" customFormat="false" ht="15" hidden="false" customHeight="false" outlineLevel="0" collapsed="false">
      <c r="A12896" s="5" t="s">
        <v>459</v>
      </c>
      <c r="C12896" s="26" t="n">
        <f aca="false">Assumptions!$M$55</f>
        <v>3</v>
      </c>
    </row>
    <row r="12897" customFormat="false" ht="15" hidden="false" customHeight="false" outlineLevel="0" collapsed="false">
      <c r="A12897" s="5" t="s">
        <v>460</v>
      </c>
      <c r="C12897" s="26" t="n">
        <f aca="false">Assumptions!$M$56</f>
        <v>4</v>
      </c>
    </row>
    <row r="12898" customFormat="false" ht="15" hidden="false" customHeight="false" outlineLevel="0" collapsed="false">
      <c r="A12898" s="23" t="s">
        <v>462</v>
      </c>
      <c r="B12898" s="24"/>
      <c r="C12898" s="24"/>
      <c r="D12898" s="24"/>
      <c r="E12898" s="24"/>
      <c r="F12898" s="24"/>
      <c r="G12898" s="24"/>
      <c r="H12898" s="24"/>
      <c r="I12898" s="24"/>
      <c r="J12898" s="24"/>
      <c r="K12898" s="24"/>
    </row>
    <row r="12899" customFormat="false" ht="15" hidden="false" customHeight="false" outlineLevel="0" collapsed="false">
      <c r="A12899" s="5" t="s">
        <v>457</v>
      </c>
      <c r="C12899" s="34" t="n">
        <f aca="false">Assumptions!$Q$53</f>
        <v>0</v>
      </c>
    </row>
    <row r="12900" customFormat="false" ht="15" hidden="false" customHeight="false" outlineLevel="0" collapsed="false">
      <c r="A12900" s="5" t="s">
        <v>458</v>
      </c>
      <c r="C12900" s="34" t="n">
        <f aca="false">Assumptions!$Q$54</f>
        <v>0</v>
      </c>
    </row>
    <row r="12901" customFormat="false" ht="15" hidden="false" customHeight="false" outlineLevel="0" collapsed="false">
      <c r="A12901" s="5" t="s">
        <v>459</v>
      </c>
      <c r="C12901" s="34" t="n">
        <f aca="false">Assumptions!$Q$55</f>
        <v>0</v>
      </c>
    </row>
    <row r="12902" customFormat="false" ht="15" hidden="false" customHeight="false" outlineLevel="0" collapsed="false">
      <c r="A12902" s="5" t="s">
        <v>460</v>
      </c>
      <c r="C12902" s="34" t="n">
        <f aca="false">Assumptions!$Q$56</f>
        <v>0</v>
      </c>
    </row>
    <row r="12903" customFormat="false" ht="15" hidden="false" customHeight="false" outlineLevel="0" collapsed="false">
      <c r="A12903" s="23" t="s">
        <v>463</v>
      </c>
      <c r="B12903" s="24"/>
      <c r="C12903" s="24"/>
      <c r="D12903" s="24"/>
      <c r="E12903" s="24"/>
      <c r="F12903" s="24"/>
      <c r="G12903" s="24"/>
      <c r="H12903" s="24"/>
      <c r="I12903" s="24"/>
      <c r="J12903" s="24"/>
      <c r="K12903" s="24"/>
    </row>
    <row r="12904" customFormat="false" ht="15" hidden="false" customHeight="false" outlineLevel="0" collapsed="false">
      <c r="A12904" s="5" t="s">
        <v>457</v>
      </c>
      <c r="C12904" s="25" t="n">
        <f aca="false">IF(C12899&gt;0,MIN(C12889,C12899*$C$12887),0)</f>
        <v>0</v>
      </c>
    </row>
    <row r="12905" customFormat="false" ht="15" hidden="false" customHeight="false" outlineLevel="0" collapsed="false">
      <c r="A12905" s="5" t="s">
        <v>458</v>
      </c>
      <c r="C12905" s="25" t="n">
        <f aca="false">IF(C12900&gt;0,MIN(C12890,C12900*$C$12887),0)</f>
        <v>0</v>
      </c>
    </row>
    <row r="12906" customFormat="false" ht="15" hidden="false" customHeight="false" outlineLevel="0" collapsed="false">
      <c r="A12906" s="5" t="s">
        <v>459</v>
      </c>
      <c r="C12906" s="25" t="n">
        <f aca="false">IF(C12901&gt;0,MIN(C12891,C12901*$C$12887),0)</f>
        <v>0</v>
      </c>
    </row>
    <row r="12907" customFormat="false" ht="15" hidden="false" customHeight="false" outlineLevel="0" collapsed="false">
      <c r="A12907" s="5" t="s">
        <v>460</v>
      </c>
      <c r="C12907" s="25" t="n">
        <f aca="false">IF(C12902&gt;0,MIN(C12892,C12902*$C$12887),0)</f>
        <v>0</v>
      </c>
    </row>
    <row r="12908" customFormat="false" ht="15" hidden="false" customHeight="false" outlineLevel="0" collapsed="false">
      <c r="A12908" s="23" t="s">
        <v>464</v>
      </c>
      <c r="B12908" s="24"/>
      <c r="C12908" s="24"/>
      <c r="D12908" s="24"/>
      <c r="E12908" s="24"/>
      <c r="F12908" s="24"/>
      <c r="G12908" s="24"/>
      <c r="H12908" s="24"/>
      <c r="I12908" s="24"/>
      <c r="J12908" s="24"/>
      <c r="K12908" s="24"/>
    </row>
    <row r="12909" customFormat="false" ht="15" hidden="false" customHeight="false" outlineLevel="0" collapsed="false">
      <c r="A12909" s="5" t="s">
        <v>457</v>
      </c>
      <c r="C12909" s="25" t="n">
        <f aca="false">IF(C12899&gt;0,C12889-C12904,0)</f>
        <v>0</v>
      </c>
      <c r="G12909" s="20" t="n">
        <f aca="false">IF(AND(G12758=1,G12755=1),1,0)</f>
        <v>0</v>
      </c>
      <c r="H12909" s="20" t="n">
        <f aca="false">IF(G12909=1,1,IF(AND(H12758=1,H12755=1),1,0))</f>
        <v>0</v>
      </c>
      <c r="I12909" s="20" t="n">
        <f aca="false">IF(H12909=1,1,IF(AND(I12758=1,I12755=1),1,0))</f>
        <v>0</v>
      </c>
      <c r="J12909" s="20" t="n">
        <f aca="false">IF(I12909=1,1,IF(AND(J12758=1,J12755=1),1,0))</f>
        <v>0</v>
      </c>
      <c r="K12909" s="20" t="n">
        <f aca="false">IF(J12909=1,1,IF(AND(K12758=1,K12755=1),1,0))</f>
        <v>0</v>
      </c>
    </row>
    <row r="12910" customFormat="false" ht="15" hidden="false" customHeight="false" outlineLevel="0" collapsed="false">
      <c r="A12910" s="5" t="s">
        <v>458</v>
      </c>
      <c r="C12910" s="25" t="n">
        <f aca="false">IF(C12900&gt;0,C12890-C12905,0)</f>
        <v>0</v>
      </c>
      <c r="G12910" s="20" t="n">
        <f aca="false">IF(AND(G12771=1,G12755=1),1,0)</f>
        <v>0</v>
      </c>
      <c r="H12910" s="20" t="n">
        <f aca="false">IF(G12910=1,1,IF(AND(H12771=1,H12755=1),1,0))</f>
        <v>0</v>
      </c>
      <c r="I12910" s="20" t="n">
        <f aca="false">IF(H12910=1,1,IF(AND(I12771=1,I12755=1),1,0))</f>
        <v>1</v>
      </c>
      <c r="J12910" s="20" t="n">
        <f aca="false">IF(I12910=1,1,IF(AND(J12771=1,J12755=1),1,0))</f>
        <v>1</v>
      </c>
      <c r="K12910" s="20" t="n">
        <f aca="false">IF(J12910=1,1,IF(AND(K12771=1,K12755=1),1,0))</f>
        <v>1</v>
      </c>
    </row>
    <row r="12911" customFormat="false" ht="15" hidden="false" customHeight="false" outlineLevel="0" collapsed="false">
      <c r="A12911" s="5" t="s">
        <v>459</v>
      </c>
      <c r="C12911" s="25" t="n">
        <f aca="false">IF(C12901&gt;0,C12891-C12906,0)</f>
        <v>0</v>
      </c>
      <c r="G12911" s="20" t="n">
        <f aca="false">IF(AND(G12784=1,G12755=1),1,0)</f>
        <v>0</v>
      </c>
      <c r="H12911" s="20" t="n">
        <f aca="false">IF(G12911=1,1,IF(AND(H12784=1,H12755=1),1,0))</f>
        <v>0</v>
      </c>
      <c r="I12911" s="20" t="n">
        <f aca="false">IF(H12911=1,1,IF(AND(I12784=1,I12755=1),1,0))</f>
        <v>0</v>
      </c>
      <c r="J12911" s="20" t="n">
        <f aca="false">IF(I12911=1,1,IF(AND(J12784=1,J12755=1),1,0))</f>
        <v>1</v>
      </c>
      <c r="K12911" s="20" t="n">
        <f aca="false">IF(J12911=1,1,IF(AND(K12784=1,K12755=1),1,0))</f>
        <v>1</v>
      </c>
    </row>
    <row r="12912" customFormat="false" ht="15" hidden="false" customHeight="false" outlineLevel="0" collapsed="false">
      <c r="A12912" s="5" t="s">
        <v>460</v>
      </c>
      <c r="C12912" s="25" t="n">
        <f aca="false">IF(C12902&gt;0,C12892-C12907,0)</f>
        <v>0</v>
      </c>
      <c r="G12912" s="20" t="n">
        <f aca="false">IF(AND(G12797=1,G12755=1),1,0)</f>
        <v>0</v>
      </c>
      <c r="H12912" s="20" t="n">
        <f aca="false">IF(G12912=1,1,IF(AND(H12797=1,H12755=1),1,0))</f>
        <v>0</v>
      </c>
      <c r="I12912" s="20" t="n">
        <f aca="false">IF(H12912=1,1,IF(AND(I12797=1,I12755=1),1,0))</f>
        <v>0</v>
      </c>
      <c r="J12912" s="20" t="n">
        <f aca="false">IF(I12912=1,1,IF(AND(J12797=1,J12755=1),1,0))</f>
        <v>0</v>
      </c>
      <c r="K12912" s="20" t="n">
        <f aca="false">IF(J12912=1,1,IF(AND(K12797=1,K12755=1),1,0))</f>
        <v>0</v>
      </c>
    </row>
    <row r="12913" customFormat="false" ht="15" hidden="false" customHeight="false" outlineLevel="0" collapsed="false">
      <c r="A12913" s="23" t="s">
        <v>465</v>
      </c>
      <c r="B12913" s="24"/>
      <c r="C12913" s="24"/>
      <c r="D12913" s="24"/>
      <c r="E12913" s="24"/>
      <c r="F12913" s="24"/>
      <c r="G12913" s="24"/>
      <c r="H12913" s="24"/>
      <c r="I12913" s="24"/>
      <c r="J12913" s="24"/>
      <c r="K12913" s="24"/>
    </row>
    <row r="12914" customFormat="false" ht="15" hidden="false" customHeight="false" outlineLevel="0" collapsed="false">
      <c r="A12914" s="5" t="s">
        <v>457</v>
      </c>
      <c r="C12914" s="25" t="n">
        <f aca="false">IF(C12899&gt;0,C12909,C12889)</f>
        <v>160.096785</v>
      </c>
    </row>
    <row r="12915" customFormat="false" ht="15" hidden="false" customHeight="false" outlineLevel="0" collapsed="false">
      <c r="A12915" s="5" t="s">
        <v>458</v>
      </c>
      <c r="C12915" s="25" t="n">
        <f aca="false">IF(C12900&gt;0,C12910,C12890)</f>
        <v>523.6777</v>
      </c>
    </row>
    <row r="12916" customFormat="false" ht="15" hidden="false" customHeight="false" outlineLevel="0" collapsed="false">
      <c r="A12916" s="5" t="s">
        <v>459</v>
      </c>
      <c r="C12916" s="25" t="n">
        <f aca="false">IF(C12901&gt;0,C12911,C12891)</f>
        <v>256.875</v>
      </c>
    </row>
    <row r="12917" customFormat="false" ht="15" hidden="false" customHeight="false" outlineLevel="0" collapsed="false">
      <c r="A12917" s="5" t="s">
        <v>460</v>
      </c>
      <c r="C12917" s="25" t="n">
        <f aca="false">IF(C12902&gt;0,C12912,C12892)</f>
        <v>305.625</v>
      </c>
    </row>
    <row r="12918" customFormat="false" ht="15" hidden="false" customHeight="false" outlineLevel="0" collapsed="false">
      <c r="A12918" s="23" t="s">
        <v>466</v>
      </c>
      <c r="B12918" s="24"/>
      <c r="C12918" s="24"/>
      <c r="D12918" s="24"/>
      <c r="E12918" s="24"/>
      <c r="F12918" s="24"/>
      <c r="G12918" s="24"/>
      <c r="H12918" s="24"/>
      <c r="I12918" s="24"/>
      <c r="J12918" s="24"/>
      <c r="K12918" s="24"/>
    </row>
    <row r="12919" customFormat="false" ht="15" hidden="false" customHeight="false" outlineLevel="0" collapsed="false">
      <c r="A12919" s="5" t="s">
        <v>457</v>
      </c>
      <c r="C12919" s="20" t="n">
        <f aca="false">IF(C12899&gt;0,Assumptions!$C$17,C12894)</f>
        <v>1</v>
      </c>
    </row>
    <row r="12920" customFormat="false" ht="15" hidden="false" customHeight="false" outlineLevel="0" collapsed="false">
      <c r="A12920" s="5" t="s">
        <v>458</v>
      </c>
      <c r="C12920" s="20" t="n">
        <f aca="false">IF(C12900&gt;0,Assumptions!$C$17,C12895)</f>
        <v>2</v>
      </c>
    </row>
    <row r="12921" customFormat="false" ht="15" hidden="false" customHeight="false" outlineLevel="0" collapsed="false">
      <c r="A12921" s="5" t="s">
        <v>459</v>
      </c>
      <c r="C12921" s="20" t="n">
        <f aca="false">IF(C12901&gt;0,Assumptions!$C$17,C12896)</f>
        <v>3</v>
      </c>
    </row>
    <row r="12922" customFormat="false" ht="15" hidden="false" customHeight="false" outlineLevel="0" collapsed="false">
      <c r="A12922" s="5" t="s">
        <v>460</v>
      </c>
      <c r="C12922" s="20" t="n">
        <f aca="false">IF(C12902&gt;0,Assumptions!$C$17,C12897)</f>
        <v>4</v>
      </c>
    </row>
    <row r="12923" customFormat="false" ht="15" hidden="false" customHeight="false" outlineLevel="0" collapsed="false">
      <c r="A12923" s="23" t="s">
        <v>467</v>
      </c>
      <c r="B12923" s="24"/>
      <c r="C12923" s="24"/>
      <c r="D12923" s="24"/>
      <c r="E12923" s="24"/>
      <c r="F12923" s="24"/>
      <c r="G12923" s="24"/>
      <c r="H12923" s="24"/>
      <c r="I12923" s="24"/>
      <c r="J12923" s="24"/>
      <c r="K12923" s="24"/>
    </row>
    <row r="12924" customFormat="false" ht="15" hidden="false" customHeight="false" outlineLevel="0" collapsed="false">
      <c r="A12924" s="5" t="s">
        <v>457</v>
      </c>
      <c r="C12924" s="25" t="n">
        <f aca="false">SUMPRODUCT(($C$12919:$C$12922&lt;C12919)*$C$12914:$C$12917)</f>
        <v>0</v>
      </c>
    </row>
    <row r="12925" customFormat="false" ht="15" hidden="false" customHeight="false" outlineLevel="0" collapsed="false">
      <c r="A12925" s="5" t="s">
        <v>458</v>
      </c>
      <c r="C12925" s="25" t="n">
        <f aca="false">SUMPRODUCT(($C$12919:$C$12922&lt;C12920)*$C$12914:$C$12917)</f>
        <v>160.096785</v>
      </c>
    </row>
    <row r="12926" customFormat="false" ht="15" hidden="false" customHeight="false" outlineLevel="0" collapsed="false">
      <c r="A12926" s="5" t="s">
        <v>459</v>
      </c>
      <c r="C12926" s="25" t="n">
        <f aca="false">SUMPRODUCT(($C$12919:$C$12922&lt;C12921)*$C$12914:$C$12917)</f>
        <v>683.774485</v>
      </c>
    </row>
    <row r="12927" customFormat="false" ht="15" hidden="false" customHeight="false" outlineLevel="0" collapsed="false">
      <c r="A12927" s="5" t="s">
        <v>460</v>
      </c>
      <c r="C12927" s="25" t="n">
        <f aca="false">SUMPRODUCT(($C$12919:$C$12922&lt;C12922)*$C$12914:$C$12917)</f>
        <v>940.649485</v>
      </c>
    </row>
    <row r="12928" customFormat="false" ht="15" hidden="false" customHeight="false" outlineLevel="0" collapsed="false">
      <c r="A12928" s="23" t="s">
        <v>468</v>
      </c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</row>
    <row r="12929" customFormat="false" ht="15" hidden="false" customHeight="false" outlineLevel="0" collapsed="false">
      <c r="A12929" s="5" t="s">
        <v>457</v>
      </c>
      <c r="C12929" s="25" t="n">
        <f aca="false">SUMPRODUCT(($C$12919:$C$12922=C12919)*$C$12914:$C$12917)</f>
        <v>160.096785</v>
      </c>
    </row>
    <row r="12930" customFormat="false" ht="15" hidden="false" customHeight="false" outlineLevel="0" collapsed="false">
      <c r="A12930" s="5" t="s">
        <v>458</v>
      </c>
      <c r="C12930" s="25" t="n">
        <f aca="false">SUMPRODUCT(($C$12919:$C$12922=C12920)*$C$12914:$C$12917)</f>
        <v>523.6777</v>
      </c>
    </row>
    <row r="12931" customFormat="false" ht="15" hidden="false" customHeight="false" outlineLevel="0" collapsed="false">
      <c r="A12931" s="5" t="s">
        <v>459</v>
      </c>
      <c r="C12931" s="25" t="n">
        <f aca="false">SUMPRODUCT(($C$12919:$C$12922=C12921)*$C$12914:$C$12917)</f>
        <v>256.875</v>
      </c>
    </row>
    <row r="12932" customFormat="false" ht="15" hidden="false" customHeight="false" outlineLevel="0" collapsed="false">
      <c r="A12932" s="5" t="s">
        <v>460</v>
      </c>
      <c r="C12932" s="25" t="n">
        <f aca="false">SUMPRODUCT(($C$12919:$C$12922=C12922)*$C$12914:$C$12917)</f>
        <v>305.625</v>
      </c>
    </row>
    <row r="12933" customFormat="false" ht="15" hidden="false" customHeight="false" outlineLevel="0" collapsed="false">
      <c r="A12933" s="23" t="s">
        <v>469</v>
      </c>
      <c r="B12933" s="24"/>
      <c r="C12933" s="24"/>
      <c r="D12933" s="24"/>
      <c r="E12933" s="24"/>
      <c r="F12933" s="24"/>
      <c r="G12933" s="24"/>
      <c r="H12933" s="24"/>
      <c r="I12933" s="24"/>
      <c r="J12933" s="24"/>
      <c r="K12933" s="24"/>
    </row>
    <row r="12934" customFormat="false" ht="15" hidden="false" customHeight="false" outlineLevel="0" collapsed="false">
      <c r="A12934" s="5" t="s">
        <v>457</v>
      </c>
      <c r="C12934" s="25" t="n">
        <f aca="false">IF(C12929=0,0,C12914/C12929*MAX(0,MIN(C12929,$C$12887-SUM($C$12904:$C$12907)-C12924)))</f>
        <v>160.096785</v>
      </c>
    </row>
    <row r="12935" customFormat="false" ht="15" hidden="false" customHeight="false" outlineLevel="0" collapsed="false">
      <c r="A12935" s="5" t="s">
        <v>458</v>
      </c>
      <c r="C12935" s="25" t="n">
        <f aca="false">IF(C12930=0,0,C12915/C12930*MAX(0,MIN(C12930,$C$12887-SUM($C$12904:$C$12907)-C12925)))</f>
        <v>445.0875222</v>
      </c>
    </row>
    <row r="12936" customFormat="false" ht="15" hidden="false" customHeight="false" outlineLevel="0" collapsed="false">
      <c r="A12936" s="5" t="s">
        <v>459</v>
      </c>
      <c r="C12936" s="25" t="n">
        <f aca="false">IF(C12931=0,0,C12916/C12931*MAX(0,MIN(C12931,$C$12887-SUM($C$12904:$C$12907)-C12926)))</f>
        <v>0</v>
      </c>
    </row>
    <row r="12937" customFormat="false" ht="15" hidden="false" customHeight="false" outlineLevel="0" collapsed="false">
      <c r="A12937" s="5" t="s">
        <v>460</v>
      </c>
      <c r="C12937" s="25" t="n">
        <f aca="false">IF(C12932=0,0,C12917/C12932*MAX(0,MIN(C12932,$C$12887-SUM($C$12904:$C$12907)-C12927)))</f>
        <v>0</v>
      </c>
    </row>
    <row r="12938" customFormat="false" ht="15" hidden="false" customHeight="false" outlineLevel="0" collapsed="false">
      <c r="A12938" s="23" t="s">
        <v>470</v>
      </c>
      <c r="B12938" s="24"/>
      <c r="C12938" s="24"/>
      <c r="D12938" s="24"/>
      <c r="E12938" s="24"/>
      <c r="F12938" s="24"/>
      <c r="G12938" s="24"/>
      <c r="H12938" s="24"/>
      <c r="I12938" s="24"/>
      <c r="J12938" s="24"/>
      <c r="K12938" s="24"/>
    </row>
    <row r="12939" customFormat="false" ht="15" hidden="false" customHeight="false" outlineLevel="0" collapsed="false">
      <c r="A12939" s="2" t="s">
        <v>457</v>
      </c>
      <c r="C12939" s="16" t="n">
        <f aca="false">C12904+C12934</f>
        <v>160.096785</v>
      </c>
    </row>
    <row r="12940" customFormat="false" ht="15" hidden="false" customHeight="false" outlineLevel="0" collapsed="false">
      <c r="A12940" s="2" t="s">
        <v>458</v>
      </c>
      <c r="C12940" s="16" t="n">
        <f aca="false">C12905+C12935</f>
        <v>445.0875222</v>
      </c>
    </row>
    <row r="12941" customFormat="false" ht="15" hidden="false" customHeight="false" outlineLevel="0" collapsed="false">
      <c r="A12941" s="2" t="s">
        <v>459</v>
      </c>
      <c r="C12941" s="16" t="n">
        <f aca="false">C12906+C12936</f>
        <v>0</v>
      </c>
    </row>
    <row r="12942" customFormat="false" ht="15" hidden="false" customHeight="false" outlineLevel="0" collapsed="false">
      <c r="A12942" s="2" t="s">
        <v>460</v>
      </c>
      <c r="C12942" s="16" t="n">
        <f aca="false">C12907+C12937</f>
        <v>0</v>
      </c>
    </row>
    <row r="12943" customFormat="false" ht="15" hidden="false" customHeight="false" outlineLevel="0" collapsed="false">
      <c r="A12943" s="23" t="s">
        <v>471</v>
      </c>
      <c r="B12943" s="24"/>
      <c r="C12943" s="24"/>
      <c r="D12943" s="24"/>
      <c r="E12943" s="24"/>
      <c r="F12943" s="24"/>
      <c r="G12943" s="24"/>
      <c r="H12943" s="24"/>
      <c r="I12943" s="24"/>
      <c r="J12943" s="24"/>
      <c r="K12943" s="24"/>
    </row>
    <row r="12944" customFormat="false" ht="15" hidden="false" customHeight="false" outlineLevel="0" collapsed="false">
      <c r="A12944" s="5" t="s">
        <v>457</v>
      </c>
      <c r="C12944" s="21" t="n">
        <f aca="false">IF(C12889=0,1,C12939/C12889)</f>
        <v>1</v>
      </c>
    </row>
    <row r="12945" customFormat="false" ht="15" hidden="false" customHeight="false" outlineLevel="0" collapsed="false">
      <c r="A12945" s="5" t="s">
        <v>458</v>
      </c>
      <c r="C12945" s="21" t="n">
        <f aca="false">IF(C12890=0,1,C12940/C12890)</f>
        <v>0.849926437959837</v>
      </c>
    </row>
    <row r="12946" customFormat="false" ht="15" hidden="false" customHeight="false" outlineLevel="0" collapsed="false">
      <c r="A12946" s="5" t="s">
        <v>459</v>
      </c>
      <c r="C12946" s="21" t="n">
        <f aca="false">IF(C12891=0,1,C12941/C12891)</f>
        <v>0</v>
      </c>
    </row>
    <row r="12947" customFormat="false" ht="15" hidden="false" customHeight="false" outlineLevel="0" collapsed="false">
      <c r="A12947" s="5" t="s">
        <v>460</v>
      </c>
      <c r="C12947" s="21" t="n">
        <f aca="false">IF(C12892=0,1,C12942/C12892)</f>
        <v>0</v>
      </c>
    </row>
    <row r="12948" customFormat="false" ht="15" hidden="false" customHeight="false" outlineLevel="0" collapsed="false">
      <c r="A12948" s="23" t="s">
        <v>472</v>
      </c>
      <c r="B12948" s="24"/>
      <c r="C12948" s="24"/>
      <c r="D12948" s="24"/>
      <c r="E12948" s="24"/>
      <c r="F12948" s="24"/>
      <c r="G12948" s="24"/>
      <c r="H12948" s="24"/>
      <c r="I12948" s="24"/>
      <c r="J12948" s="24"/>
      <c r="K12948" s="24"/>
    </row>
    <row r="12949" customFormat="false" ht="15" hidden="false" customHeight="false" outlineLevel="0" collapsed="false">
      <c r="A12949" s="5" t="s">
        <v>457</v>
      </c>
      <c r="C12949" s="25" t="n">
        <f aca="false">C12889-C12939</f>
        <v>0</v>
      </c>
    </row>
    <row r="12950" customFormat="false" ht="15" hidden="false" customHeight="false" outlineLevel="0" collapsed="false">
      <c r="A12950" s="5" t="s">
        <v>458</v>
      </c>
      <c r="C12950" s="25" t="n">
        <f aca="false">C12890-C12940</f>
        <v>78.5901778</v>
      </c>
    </row>
    <row r="12951" customFormat="false" ht="15" hidden="false" customHeight="false" outlineLevel="0" collapsed="false">
      <c r="A12951" s="5" t="s">
        <v>459</v>
      </c>
      <c r="C12951" s="25" t="n">
        <f aca="false">C12891-C12941</f>
        <v>256.875</v>
      </c>
    </row>
    <row r="12952" customFormat="false" ht="15" hidden="false" customHeight="false" outlineLevel="0" collapsed="false">
      <c r="A12952" s="5" t="s">
        <v>460</v>
      </c>
      <c r="C12952" s="25" t="n">
        <f aca="false">C12892-C12942</f>
        <v>305.625</v>
      </c>
    </row>
    <row r="12953" customFormat="false" ht="15" hidden="false" customHeight="false" outlineLevel="0" collapsed="false">
      <c r="A12953" s="23" t="s">
        <v>473</v>
      </c>
      <c r="B12953" s="24"/>
      <c r="C12953" s="24"/>
      <c r="D12953" s="24"/>
      <c r="E12953" s="24"/>
      <c r="F12953" s="24"/>
      <c r="G12953" s="24"/>
      <c r="H12953" s="24"/>
      <c r="I12953" s="24"/>
      <c r="J12953" s="24"/>
      <c r="K12953" s="24"/>
    </row>
    <row r="12954" customFormat="false" ht="15" hidden="false" customHeight="false" outlineLevel="0" collapsed="false">
      <c r="A12954" s="5" t="s">
        <v>457</v>
      </c>
      <c r="C12954" s="21" t="n">
        <f aca="false">IF(C12889=0,0,C12949/C12889)</f>
        <v>0</v>
      </c>
    </row>
    <row r="12955" customFormat="false" ht="15" hidden="false" customHeight="false" outlineLevel="0" collapsed="false">
      <c r="A12955" s="5" t="s">
        <v>458</v>
      </c>
      <c r="C12955" s="21" t="n">
        <f aca="false">IF(C12890=0,0,C12950/C12890)</f>
        <v>0.150073562040163</v>
      </c>
    </row>
    <row r="12956" customFormat="false" ht="15" hidden="false" customHeight="false" outlineLevel="0" collapsed="false">
      <c r="A12956" s="5" t="s">
        <v>459</v>
      </c>
      <c r="C12956" s="21" t="n">
        <f aca="false">IF(C12891=0,0,C12951/C12891)</f>
        <v>1</v>
      </c>
    </row>
    <row r="12957" customFormat="false" ht="15" hidden="false" customHeight="false" outlineLevel="0" collapsed="false">
      <c r="A12957" s="5" t="s">
        <v>460</v>
      </c>
      <c r="C12957" s="21" t="n">
        <f aca="false">IF(C12892=0,0,C12952/C12892)</f>
        <v>1</v>
      </c>
    </row>
    <row r="12958" customFormat="false" ht="15" hidden="false" customHeight="false" outlineLevel="0" collapsed="false">
      <c r="A12958" s="2" t="s">
        <v>474</v>
      </c>
      <c r="C12958" s="16" t="n">
        <f aca="false">MAX(0,$C$12887-SUM($C$12904:$C$12907)-SUM($C$12914:$C$12917))</f>
        <v>0</v>
      </c>
    </row>
    <row r="12959" customFormat="false" ht="15" hidden="false" customHeight="false" outlineLevel="0" collapsed="false">
      <c r="A12959" s="5" t="s">
        <v>475</v>
      </c>
      <c r="C12959" s="25" t="n">
        <f aca="false">SUM($C$12939:$C$12942)+C12958+C12886-C12885</f>
        <v>0</v>
      </c>
    </row>
    <row r="12961" customFormat="false" ht="15" hidden="false" customHeight="false" outlineLevel="0" collapsed="false">
      <c r="A12961" s="23" t="s">
        <v>478</v>
      </c>
      <c r="B12961" s="24"/>
      <c r="C12961" s="24"/>
      <c r="D12961" s="24"/>
      <c r="E12961" s="24"/>
      <c r="F12961" s="24"/>
      <c r="G12961" s="24"/>
      <c r="H12961" s="24"/>
      <c r="I12961" s="24"/>
      <c r="J12961" s="24"/>
      <c r="K12961" s="24"/>
    </row>
    <row r="12962" customFormat="false" ht="15" hidden="false" customHeight="false" outlineLevel="0" collapsed="false">
      <c r="A12962" s="5" t="s">
        <v>479</v>
      </c>
      <c r="C12962" s="26" t="n">
        <f aca="false">Assumptions!$C$30</f>
        <v>2</v>
      </c>
    </row>
    <row r="12963" customFormat="false" ht="15" hidden="false" customHeight="false" outlineLevel="0" collapsed="false">
      <c r="A12963" s="5" t="s">
        <v>480</v>
      </c>
      <c r="C12963" s="28" t="n">
        <f aca="false">Assumptions!$C$31</f>
        <v>100</v>
      </c>
    </row>
    <row r="12964" customFormat="false" ht="15" hidden="false" customHeight="false" outlineLevel="0" collapsed="false">
      <c r="A12964" s="5" t="s">
        <v>481</v>
      </c>
      <c r="C12964" s="39" t="n">
        <f aca="false">Assumptions!$C$32</f>
        <v>78</v>
      </c>
    </row>
    <row r="12965" customFormat="false" ht="15" hidden="false" customHeight="false" outlineLevel="0" collapsed="false">
      <c r="A12965" s="5" t="s">
        <v>482</v>
      </c>
      <c r="C12965" s="25" t="n">
        <f aca="false">C12963*C12964/100*(1+Assumptions!$C$33)</f>
        <v>78.39</v>
      </c>
    </row>
    <row r="12966" customFormat="false" ht="15" hidden="false" customHeight="false" outlineLevel="0" collapsed="false">
      <c r="A12966" s="5" t="s">
        <v>483</v>
      </c>
      <c r="C12966" s="26" t="n">
        <f aca="false">Assumptions!$C$34</f>
        <v>2</v>
      </c>
    </row>
    <row r="12967" customFormat="false" ht="15" hidden="false" customHeight="false" outlineLevel="0" collapsed="false">
      <c r="A12967" s="5" t="s">
        <v>484</v>
      </c>
      <c r="C12967" s="20" t="n">
        <f aca="false">IF(C12878=1,SUMPRODUCT($G$12846:$K$12846,$G$12722:$K$12722),0)</f>
        <v>2</v>
      </c>
    </row>
    <row r="12968" customFormat="false" ht="15" hidden="false" customHeight="false" outlineLevel="0" collapsed="false">
      <c r="A12968" s="5" t="s">
        <v>485</v>
      </c>
      <c r="C12968" s="21" t="n">
        <f aca="false">IFERROR(C12963/CHOOSE(C12962,SUMPRODUCT($G$12877:$K$12877,$G$12768:$K$12768),SUMPRODUCT($G$12877:$K$12877,$G$12781:$K$12781),SUMPRODUCT($G$12877:$K$12877,$G$12794:$K$12794),SUMPRODUCT($G$12877:$K$12877,$G$12807:$K$12807)),0)</f>
        <v>0.196232339089482</v>
      </c>
    </row>
    <row r="12969" customFormat="false" ht="15" hidden="false" customHeight="false" outlineLevel="0" collapsed="false">
      <c r="A12969" s="5" t="s">
        <v>486</v>
      </c>
      <c r="C12969" s="25" t="n">
        <f aca="false">CHOOSE(C12962,C12939,C12940,C12941,C12942)*C12968</f>
        <v>87.3405655808477</v>
      </c>
    </row>
    <row r="12970" customFormat="false" ht="15" hidden="false" customHeight="false" outlineLevel="0" collapsed="false">
      <c r="A12970" s="5" t="s">
        <v>487</v>
      </c>
      <c r="C12970" s="21" t="n">
        <f aca="false">CHOOSE(C12962,C12944,C12945,C12946,C12947)</f>
        <v>0.849926437959837</v>
      </c>
    </row>
    <row r="12971" customFormat="false" ht="15" hidden="false" customHeight="false" outlineLevel="0" collapsed="false">
      <c r="A12971" s="5" t="s">
        <v>488</v>
      </c>
      <c r="C12971" s="20" t="n">
        <f aca="false">IF(C12878=1,C12967,C12966)</f>
        <v>2</v>
      </c>
    </row>
    <row r="12972" customFormat="false" ht="15" hidden="false" customHeight="false" outlineLevel="0" collapsed="false">
      <c r="A12972" s="5" t="s">
        <v>489</v>
      </c>
      <c r="C12972" s="33" t="n">
        <f aca="false">CHOOSE($C$12714,Assumptions!$C$77,Assumptions!$C$96,Assumptions!$C$115)</f>
        <v>100</v>
      </c>
    </row>
    <row r="12973" customFormat="false" ht="15" hidden="false" customHeight="false" outlineLevel="0" collapsed="false">
      <c r="A12973" s="5" t="s">
        <v>490</v>
      </c>
      <c r="C12973" s="25" t="n">
        <f aca="false">INDEX($G$12731:$K$12731,C12966)*CHOOSE($C$12714,Assumptions!$C$76,Assumptions!$C$95,Assumptions!$C$114)+MAX(0,INDEX($G$12843:$K$12843,C12966))</f>
        <v>1024.40052</v>
      </c>
    </row>
    <row r="12974" customFormat="false" ht="15" hidden="false" customHeight="false" outlineLevel="0" collapsed="false">
      <c r="A12974" s="23" t="s">
        <v>491</v>
      </c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</row>
    <row r="12975" customFormat="false" ht="15" hidden="false" customHeight="false" outlineLevel="0" collapsed="false">
      <c r="A12975" s="5" t="s">
        <v>457</v>
      </c>
      <c r="C12975" s="25" t="n">
        <f aca="false">INDEX($G$12768:$K$12768,C12966)</f>
        <v>156.44</v>
      </c>
    </row>
    <row r="12976" customFormat="false" ht="15" hidden="false" customHeight="false" outlineLevel="0" collapsed="false">
      <c r="A12976" s="5" t="s">
        <v>458</v>
      </c>
      <c r="C12976" s="25" t="n">
        <f aca="false">INDEX($G$12781:$K$12781,C12966)</f>
        <v>509.6</v>
      </c>
    </row>
    <row r="12977" customFormat="false" ht="15" hidden="false" customHeight="false" outlineLevel="0" collapsed="false">
      <c r="A12977" s="5" t="s">
        <v>459</v>
      </c>
      <c r="C12977" s="25" t="n">
        <f aca="false">INDEX($G$12794:$K$12794,C12966)</f>
        <v>250</v>
      </c>
    </row>
    <row r="12978" customFormat="false" ht="15" hidden="false" customHeight="false" outlineLevel="0" collapsed="false">
      <c r="A12978" s="5" t="s">
        <v>460</v>
      </c>
      <c r="C12978" s="25" t="n">
        <f aca="false">INDEX($G$12807:$K$12807,C12966)</f>
        <v>300</v>
      </c>
    </row>
    <row r="12979" customFormat="false" ht="15" hidden="false" customHeight="false" outlineLevel="0" collapsed="false">
      <c r="A12979" s="23" t="s">
        <v>461</v>
      </c>
      <c r="B12979" s="24"/>
      <c r="C12979" s="24"/>
      <c r="D12979" s="24"/>
      <c r="E12979" s="24"/>
      <c r="F12979" s="24"/>
      <c r="G12979" s="24"/>
      <c r="H12979" s="24"/>
      <c r="I12979" s="24"/>
      <c r="J12979" s="24"/>
      <c r="K12979" s="24"/>
    </row>
    <row r="12980" customFormat="false" ht="15" hidden="false" customHeight="false" outlineLevel="0" collapsed="false">
      <c r="A12980" s="5" t="s">
        <v>457</v>
      </c>
      <c r="C12980" s="26" t="n">
        <f aca="false">Assumptions!$M$53</f>
        <v>1</v>
      </c>
    </row>
    <row r="12981" customFormat="false" ht="15" hidden="false" customHeight="false" outlineLevel="0" collapsed="false">
      <c r="A12981" s="5" t="s">
        <v>458</v>
      </c>
      <c r="C12981" s="26" t="n">
        <f aca="false">Assumptions!$M$54</f>
        <v>2</v>
      </c>
    </row>
    <row r="12982" customFormat="false" ht="15" hidden="false" customHeight="false" outlineLevel="0" collapsed="false">
      <c r="A12982" s="5" t="s">
        <v>459</v>
      </c>
      <c r="C12982" s="26" t="n">
        <f aca="false">Assumptions!$M$55</f>
        <v>3</v>
      </c>
    </row>
    <row r="12983" customFormat="false" ht="15" hidden="false" customHeight="false" outlineLevel="0" collapsed="false">
      <c r="A12983" s="5" t="s">
        <v>460</v>
      </c>
      <c r="C12983" s="26" t="n">
        <f aca="false">Assumptions!$M$56</f>
        <v>4</v>
      </c>
    </row>
    <row r="12984" customFormat="false" ht="15" hidden="false" customHeight="false" outlineLevel="0" collapsed="false">
      <c r="A12984" s="23" t="s">
        <v>462</v>
      </c>
      <c r="B12984" s="24"/>
      <c r="C12984" s="24"/>
      <c r="D12984" s="24"/>
      <c r="E12984" s="24"/>
      <c r="F12984" s="24"/>
      <c r="G12984" s="24"/>
      <c r="H12984" s="24"/>
      <c r="I12984" s="24"/>
      <c r="J12984" s="24"/>
      <c r="K12984" s="24"/>
    </row>
    <row r="12985" customFormat="false" ht="15" hidden="false" customHeight="false" outlineLevel="0" collapsed="false">
      <c r="A12985" s="5" t="s">
        <v>457</v>
      </c>
      <c r="C12985" s="34" t="n">
        <f aca="false">Assumptions!$Q$53</f>
        <v>0</v>
      </c>
    </row>
    <row r="12986" customFormat="false" ht="15" hidden="false" customHeight="false" outlineLevel="0" collapsed="false">
      <c r="A12986" s="5" t="s">
        <v>458</v>
      </c>
      <c r="C12986" s="34" t="n">
        <f aca="false">Assumptions!$Q$54</f>
        <v>0</v>
      </c>
    </row>
    <row r="12987" customFormat="false" ht="15" hidden="false" customHeight="false" outlineLevel="0" collapsed="false">
      <c r="A12987" s="5" t="s">
        <v>459</v>
      </c>
      <c r="C12987" s="34" t="n">
        <f aca="false">Assumptions!$Q$55</f>
        <v>0</v>
      </c>
    </row>
    <row r="12988" customFormat="false" ht="15" hidden="false" customHeight="false" outlineLevel="0" collapsed="false">
      <c r="A12988" s="5" t="s">
        <v>460</v>
      </c>
      <c r="C12988" s="34" t="n">
        <f aca="false">Assumptions!$Q$56</f>
        <v>0</v>
      </c>
    </row>
    <row r="12989" customFormat="false" ht="15" hidden="false" customHeight="false" outlineLevel="0" collapsed="false">
      <c r="A12989" s="23" t="s">
        <v>463</v>
      </c>
      <c r="B12989" s="24"/>
      <c r="C12989" s="24"/>
      <c r="D12989" s="24"/>
      <c r="E12989" s="24"/>
      <c r="F12989" s="24"/>
      <c r="G12989" s="24"/>
      <c r="H12989" s="24"/>
      <c r="I12989" s="24"/>
      <c r="J12989" s="24"/>
      <c r="K12989" s="24"/>
    </row>
    <row r="12990" customFormat="false" ht="15" hidden="false" customHeight="false" outlineLevel="0" collapsed="false">
      <c r="A12990" s="5" t="s">
        <v>457</v>
      </c>
      <c r="C12990" s="25" t="n">
        <f aca="false">IF(C12985&gt;0,MIN(C12975,C12985*$C$12973),0)</f>
        <v>0</v>
      </c>
    </row>
    <row r="12991" customFormat="false" ht="15" hidden="false" customHeight="false" outlineLevel="0" collapsed="false">
      <c r="A12991" s="5" t="s">
        <v>458</v>
      </c>
      <c r="C12991" s="25" t="n">
        <f aca="false">IF(C12986&gt;0,MIN(C12976,C12986*$C$12973),0)</f>
        <v>0</v>
      </c>
    </row>
    <row r="12992" customFormat="false" ht="15" hidden="false" customHeight="false" outlineLevel="0" collapsed="false">
      <c r="A12992" s="5" t="s">
        <v>459</v>
      </c>
      <c r="C12992" s="25" t="n">
        <f aca="false">IF(C12987&gt;0,MIN(C12977,C12987*$C$12973),0)</f>
        <v>0</v>
      </c>
    </row>
    <row r="12993" customFormat="false" ht="15" hidden="false" customHeight="false" outlineLevel="0" collapsed="false">
      <c r="A12993" s="5" t="s">
        <v>460</v>
      </c>
      <c r="C12993" s="25" t="n">
        <f aca="false">IF(C12988&gt;0,MIN(C12978,C12988*$C$12973),0)</f>
        <v>0</v>
      </c>
    </row>
    <row r="12994" customFormat="false" ht="15" hidden="false" customHeight="false" outlineLevel="0" collapsed="false">
      <c r="A12994" s="23" t="s">
        <v>464</v>
      </c>
      <c r="B12994" s="24"/>
      <c r="C12994" s="24"/>
      <c r="D12994" s="24"/>
      <c r="E12994" s="24"/>
      <c r="F12994" s="24"/>
      <c r="G12994" s="24"/>
      <c r="H12994" s="24"/>
      <c r="I12994" s="24"/>
      <c r="J12994" s="24"/>
      <c r="K12994" s="24"/>
    </row>
    <row r="12995" customFormat="false" ht="15" hidden="false" customHeight="false" outlineLevel="0" collapsed="false">
      <c r="A12995" s="5" t="s">
        <v>457</v>
      </c>
      <c r="C12995" s="25" t="n">
        <f aca="false">IF(C12985&gt;0,C12975-C12990,0)</f>
        <v>0</v>
      </c>
    </row>
    <row r="12996" customFormat="false" ht="15" hidden="false" customHeight="false" outlineLevel="0" collapsed="false">
      <c r="A12996" s="5" t="s">
        <v>458</v>
      </c>
      <c r="C12996" s="25" t="n">
        <f aca="false">IF(C12986&gt;0,C12976-C12991,0)</f>
        <v>0</v>
      </c>
    </row>
    <row r="12997" customFormat="false" ht="15" hidden="false" customHeight="false" outlineLevel="0" collapsed="false">
      <c r="A12997" s="5" t="s">
        <v>459</v>
      </c>
      <c r="C12997" s="25" t="n">
        <f aca="false">IF(C12987&gt;0,C12977-C12992,0)</f>
        <v>0</v>
      </c>
    </row>
    <row r="12998" customFormat="false" ht="15" hidden="false" customHeight="false" outlineLevel="0" collapsed="false">
      <c r="A12998" s="5" t="s">
        <v>460</v>
      </c>
      <c r="C12998" s="25" t="n">
        <f aca="false">IF(C12988&gt;0,C12978-C12993,0)</f>
        <v>0</v>
      </c>
    </row>
    <row r="12999" customFormat="false" ht="15" hidden="false" customHeight="false" outlineLevel="0" collapsed="false">
      <c r="A12999" s="23" t="s">
        <v>465</v>
      </c>
      <c r="B12999" s="24"/>
      <c r="C12999" s="24"/>
      <c r="D12999" s="24"/>
      <c r="E12999" s="24"/>
      <c r="F12999" s="24"/>
      <c r="G12999" s="24"/>
      <c r="H12999" s="24"/>
      <c r="I12999" s="24"/>
      <c r="J12999" s="24"/>
      <c r="K12999" s="24"/>
    </row>
    <row r="13000" customFormat="false" ht="15" hidden="false" customHeight="false" outlineLevel="0" collapsed="false">
      <c r="A13000" s="5" t="s">
        <v>457</v>
      </c>
      <c r="C13000" s="25" t="n">
        <f aca="false">IF(C12985&gt;0,C12995,C12975)</f>
        <v>156.44</v>
      </c>
    </row>
    <row r="13001" customFormat="false" ht="15" hidden="false" customHeight="false" outlineLevel="0" collapsed="false">
      <c r="A13001" s="5" t="s">
        <v>458</v>
      </c>
      <c r="C13001" s="25" t="n">
        <f aca="false">IF(C12986&gt;0,C12996,C12976)</f>
        <v>509.6</v>
      </c>
    </row>
    <row r="13002" customFormat="false" ht="15" hidden="false" customHeight="false" outlineLevel="0" collapsed="false">
      <c r="A13002" s="5" t="s">
        <v>459</v>
      </c>
      <c r="C13002" s="25" t="n">
        <f aca="false">IF(C12987&gt;0,C12997,C12977)</f>
        <v>250</v>
      </c>
    </row>
    <row r="13003" customFormat="false" ht="15" hidden="false" customHeight="false" outlineLevel="0" collapsed="false">
      <c r="A13003" s="5" t="s">
        <v>460</v>
      </c>
      <c r="C13003" s="25" t="n">
        <f aca="false">IF(C12988&gt;0,C12998,C12978)</f>
        <v>300</v>
      </c>
    </row>
    <row r="13004" customFormat="false" ht="15" hidden="false" customHeight="false" outlineLevel="0" collapsed="false">
      <c r="A13004" s="23" t="s">
        <v>466</v>
      </c>
      <c r="B13004" s="24"/>
      <c r="C13004" s="24"/>
      <c r="D13004" s="24"/>
      <c r="E13004" s="24"/>
      <c r="F13004" s="24"/>
      <c r="G13004" s="24"/>
      <c r="H13004" s="24"/>
      <c r="I13004" s="24"/>
      <c r="J13004" s="24"/>
      <c r="K13004" s="24"/>
    </row>
    <row r="13005" customFormat="false" ht="15" hidden="false" customHeight="false" outlineLevel="0" collapsed="false">
      <c r="A13005" s="5" t="s">
        <v>457</v>
      </c>
      <c r="C13005" s="20" t="n">
        <f aca="false">IF(C12985&gt;0,Assumptions!$C$17,C12980)</f>
        <v>1</v>
      </c>
    </row>
    <row r="13006" customFormat="false" ht="15" hidden="false" customHeight="false" outlineLevel="0" collapsed="false">
      <c r="A13006" s="5" t="s">
        <v>458</v>
      </c>
      <c r="C13006" s="20" t="n">
        <f aca="false">IF(C12986&gt;0,Assumptions!$C$17,C12981)</f>
        <v>2</v>
      </c>
    </row>
    <row r="13007" customFormat="false" ht="15" hidden="false" customHeight="false" outlineLevel="0" collapsed="false">
      <c r="A13007" s="5" t="s">
        <v>459</v>
      </c>
      <c r="C13007" s="20" t="n">
        <f aca="false">IF(C12987&gt;0,Assumptions!$C$17,C12982)</f>
        <v>3</v>
      </c>
    </row>
    <row r="13008" customFormat="false" ht="15" hidden="false" customHeight="false" outlineLevel="0" collapsed="false">
      <c r="A13008" s="5" t="s">
        <v>460</v>
      </c>
      <c r="C13008" s="20" t="n">
        <f aca="false">IF(C12988&gt;0,Assumptions!$C$17,C12983)</f>
        <v>4</v>
      </c>
    </row>
    <row r="13009" customFormat="false" ht="15" hidden="false" customHeight="false" outlineLevel="0" collapsed="false">
      <c r="A13009" s="23" t="s">
        <v>467</v>
      </c>
      <c r="B13009" s="24"/>
      <c r="C13009" s="24"/>
      <c r="D13009" s="24"/>
      <c r="E13009" s="24"/>
      <c r="F13009" s="24"/>
      <c r="G13009" s="24"/>
      <c r="H13009" s="24"/>
      <c r="I13009" s="24"/>
      <c r="J13009" s="24"/>
      <c r="K13009" s="24"/>
    </row>
    <row r="13010" customFormat="false" ht="15" hidden="false" customHeight="false" outlineLevel="0" collapsed="false">
      <c r="A13010" s="5" t="s">
        <v>457</v>
      </c>
      <c r="C13010" s="25" t="n">
        <f aca="false">SUMPRODUCT(($C$13005:$C$13008&lt;C13005)*$C$13000:$C$13003)</f>
        <v>0</v>
      </c>
    </row>
    <row r="13011" customFormat="false" ht="15" hidden="false" customHeight="false" outlineLevel="0" collapsed="false">
      <c r="A13011" s="5" t="s">
        <v>458</v>
      </c>
      <c r="C13011" s="25" t="n">
        <f aca="false">SUMPRODUCT(($C$13005:$C$13008&lt;C13006)*$C$13000:$C$13003)</f>
        <v>156.44</v>
      </c>
    </row>
    <row r="13012" customFormat="false" ht="15" hidden="false" customHeight="false" outlineLevel="0" collapsed="false">
      <c r="A13012" s="5" t="s">
        <v>459</v>
      </c>
      <c r="C13012" s="25" t="n">
        <f aca="false">SUMPRODUCT(($C$13005:$C$13008&lt;C13007)*$C$13000:$C$13003)</f>
        <v>666.04</v>
      </c>
    </row>
    <row r="13013" customFormat="false" ht="15" hidden="false" customHeight="false" outlineLevel="0" collapsed="false">
      <c r="A13013" s="5" t="s">
        <v>460</v>
      </c>
      <c r="C13013" s="25" t="n">
        <f aca="false">SUMPRODUCT(($C$13005:$C$13008&lt;C13008)*$C$13000:$C$13003)</f>
        <v>916.04</v>
      </c>
    </row>
    <row r="13014" customFormat="false" ht="15" hidden="false" customHeight="false" outlineLevel="0" collapsed="false">
      <c r="A13014" s="23" t="s">
        <v>468</v>
      </c>
      <c r="B13014" s="24"/>
      <c r="C13014" s="24"/>
      <c r="D13014" s="24"/>
      <c r="E13014" s="24"/>
      <c r="F13014" s="24"/>
      <c r="G13014" s="24"/>
      <c r="H13014" s="24"/>
      <c r="I13014" s="24"/>
      <c r="J13014" s="24"/>
      <c r="K13014" s="24"/>
    </row>
    <row r="13015" customFormat="false" ht="15" hidden="false" customHeight="false" outlineLevel="0" collapsed="false">
      <c r="A13015" s="5" t="s">
        <v>457</v>
      </c>
      <c r="C13015" s="25" t="n">
        <f aca="false">SUMPRODUCT(($C$13005:$C$13008=C13005)*$C$13000:$C$13003)</f>
        <v>156.44</v>
      </c>
    </row>
    <row r="13016" customFormat="false" ht="15" hidden="false" customHeight="false" outlineLevel="0" collapsed="false">
      <c r="A13016" s="5" t="s">
        <v>458</v>
      </c>
      <c r="C13016" s="25" t="n">
        <f aca="false">SUMPRODUCT(($C$13005:$C$13008=C13006)*$C$13000:$C$13003)</f>
        <v>509.6</v>
      </c>
    </row>
    <row r="13017" customFormat="false" ht="15" hidden="false" customHeight="false" outlineLevel="0" collapsed="false">
      <c r="A13017" s="5" t="s">
        <v>459</v>
      </c>
      <c r="C13017" s="25" t="n">
        <f aca="false">SUMPRODUCT(($C$13005:$C$13008=C13007)*$C$13000:$C$13003)</f>
        <v>250</v>
      </c>
    </row>
    <row r="13018" customFormat="false" ht="15" hidden="false" customHeight="false" outlineLevel="0" collapsed="false">
      <c r="A13018" s="5" t="s">
        <v>460</v>
      </c>
      <c r="C13018" s="25" t="n">
        <f aca="false">SUMPRODUCT(($C$13005:$C$13008=C13008)*$C$13000:$C$13003)</f>
        <v>300</v>
      </c>
    </row>
    <row r="13019" customFormat="false" ht="15" hidden="false" customHeight="false" outlineLevel="0" collapsed="false">
      <c r="A13019" s="23" t="s">
        <v>469</v>
      </c>
      <c r="B13019" s="24"/>
      <c r="C13019" s="24"/>
      <c r="D13019" s="24"/>
      <c r="E13019" s="24"/>
      <c r="F13019" s="24"/>
      <c r="G13019" s="24"/>
      <c r="H13019" s="24"/>
      <c r="I13019" s="24"/>
      <c r="J13019" s="24"/>
      <c r="K13019" s="24"/>
    </row>
    <row r="13020" customFormat="false" ht="15" hidden="false" customHeight="false" outlineLevel="0" collapsed="false">
      <c r="A13020" s="5" t="s">
        <v>457</v>
      </c>
      <c r="C13020" s="25" t="n">
        <f aca="false">IF(C13015=0,0,C13000/C13015*MAX(0,MIN(C13015,$C$12973-SUM($C$12990:$C$12993)-C13010)))</f>
        <v>156.44</v>
      </c>
    </row>
    <row r="13021" customFormat="false" ht="15" hidden="false" customHeight="false" outlineLevel="0" collapsed="false">
      <c r="A13021" s="5" t="s">
        <v>458</v>
      </c>
      <c r="C13021" s="25" t="n">
        <f aca="false">IF(C13016=0,0,C13001/C13016*MAX(0,MIN(C13016,$C$12973-SUM($C$12990:$C$12993)-C13011)))</f>
        <v>509.6</v>
      </c>
    </row>
    <row r="13022" customFormat="false" ht="15" hidden="false" customHeight="false" outlineLevel="0" collapsed="false">
      <c r="A13022" s="5" t="s">
        <v>459</v>
      </c>
      <c r="C13022" s="25" t="n">
        <f aca="false">IF(C13017=0,0,C13002/C13017*MAX(0,MIN(C13017,$C$12973-SUM($C$12990:$C$12993)-C13012)))</f>
        <v>250</v>
      </c>
    </row>
    <row r="13023" customFormat="false" ht="15" hidden="false" customHeight="false" outlineLevel="0" collapsed="false">
      <c r="A13023" s="5" t="s">
        <v>460</v>
      </c>
      <c r="C13023" s="25" t="n">
        <f aca="false">IF(C13018=0,0,C13003/C13018*MAX(0,MIN(C13018,$C$12973-SUM($C$12990:$C$12993)-C13013)))</f>
        <v>108.36052</v>
      </c>
    </row>
    <row r="13024" customFormat="false" ht="15" hidden="false" customHeight="false" outlineLevel="0" collapsed="false">
      <c r="A13024" s="23" t="s">
        <v>470</v>
      </c>
      <c r="B13024" s="24"/>
      <c r="C13024" s="24"/>
      <c r="D13024" s="24"/>
      <c r="E13024" s="24"/>
      <c r="F13024" s="24"/>
      <c r="G13024" s="24"/>
      <c r="H13024" s="24"/>
      <c r="I13024" s="24"/>
      <c r="J13024" s="24"/>
      <c r="K13024" s="24"/>
    </row>
    <row r="13025" customFormat="false" ht="15" hidden="false" customHeight="false" outlineLevel="0" collapsed="false">
      <c r="A13025" s="2" t="s">
        <v>457</v>
      </c>
      <c r="C13025" s="16" t="n">
        <f aca="false">C12990+C13020</f>
        <v>156.44</v>
      </c>
    </row>
    <row r="13026" customFormat="false" ht="15" hidden="false" customHeight="false" outlineLevel="0" collapsed="false">
      <c r="A13026" s="2" t="s">
        <v>458</v>
      </c>
      <c r="C13026" s="16" t="n">
        <f aca="false">C12991+C13021</f>
        <v>509.6</v>
      </c>
    </row>
    <row r="13027" customFormat="false" ht="15" hidden="false" customHeight="false" outlineLevel="0" collapsed="false">
      <c r="A13027" s="2" t="s">
        <v>459</v>
      </c>
      <c r="C13027" s="16" t="n">
        <f aca="false">C12992+C13022</f>
        <v>250</v>
      </c>
    </row>
    <row r="13028" customFormat="false" ht="15" hidden="false" customHeight="false" outlineLevel="0" collapsed="false">
      <c r="A13028" s="2" t="s">
        <v>460</v>
      </c>
      <c r="C13028" s="16" t="n">
        <f aca="false">C12993+C13023</f>
        <v>108.36052</v>
      </c>
    </row>
    <row r="13029" customFormat="false" ht="15" hidden="false" customHeight="false" outlineLevel="0" collapsed="false">
      <c r="A13029" s="23" t="s">
        <v>471</v>
      </c>
      <c r="B13029" s="24"/>
      <c r="C13029" s="24"/>
      <c r="D13029" s="24"/>
      <c r="E13029" s="24"/>
      <c r="F13029" s="24"/>
      <c r="G13029" s="24"/>
      <c r="H13029" s="24"/>
      <c r="I13029" s="24"/>
      <c r="J13029" s="24"/>
      <c r="K13029" s="24"/>
    </row>
    <row r="13030" customFormat="false" ht="15" hidden="false" customHeight="false" outlineLevel="0" collapsed="false">
      <c r="A13030" s="5" t="s">
        <v>457</v>
      </c>
      <c r="C13030" s="21" t="n">
        <f aca="false">IF(C12975=0,1,C13025/C12975)</f>
        <v>1</v>
      </c>
    </row>
    <row r="13031" customFormat="false" ht="15" hidden="false" customHeight="false" outlineLevel="0" collapsed="false">
      <c r="A13031" s="5" t="s">
        <v>458</v>
      </c>
      <c r="C13031" s="21" t="n">
        <f aca="false">IF(C12976=0,1,C13026/C12976)</f>
        <v>1</v>
      </c>
    </row>
    <row r="13032" customFormat="false" ht="15" hidden="false" customHeight="false" outlineLevel="0" collapsed="false">
      <c r="A13032" s="5" t="s">
        <v>459</v>
      </c>
      <c r="C13032" s="21" t="n">
        <f aca="false">IF(C12977=0,1,C13027/C12977)</f>
        <v>1</v>
      </c>
    </row>
    <row r="13033" customFormat="false" ht="15" hidden="false" customHeight="false" outlineLevel="0" collapsed="false">
      <c r="A13033" s="5" t="s">
        <v>460</v>
      </c>
      <c r="C13033" s="21" t="n">
        <f aca="false">IF(C12978=0,1,C13028/C12978)</f>
        <v>0.361201733333333</v>
      </c>
    </row>
    <row r="13034" customFormat="false" ht="15" hidden="false" customHeight="false" outlineLevel="0" collapsed="false">
      <c r="A13034" s="23" t="s">
        <v>472</v>
      </c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</row>
    <row r="13035" customFormat="false" ht="15" hidden="false" customHeight="false" outlineLevel="0" collapsed="false">
      <c r="A13035" s="5" t="s">
        <v>457</v>
      </c>
      <c r="C13035" s="25" t="n">
        <f aca="false">C12975-C13025</f>
        <v>0</v>
      </c>
    </row>
    <row r="13036" customFormat="false" ht="15" hidden="false" customHeight="false" outlineLevel="0" collapsed="false">
      <c r="A13036" s="5" t="s">
        <v>458</v>
      </c>
      <c r="C13036" s="25" t="n">
        <f aca="false">C12976-C13026</f>
        <v>0</v>
      </c>
    </row>
    <row r="13037" customFormat="false" ht="15" hidden="false" customHeight="false" outlineLevel="0" collapsed="false">
      <c r="A13037" s="5" t="s">
        <v>459</v>
      </c>
      <c r="C13037" s="25" t="n">
        <f aca="false">C12977-C13027</f>
        <v>0</v>
      </c>
    </row>
    <row r="13038" customFormat="false" ht="15" hidden="false" customHeight="false" outlineLevel="0" collapsed="false">
      <c r="A13038" s="5" t="s">
        <v>460</v>
      </c>
      <c r="C13038" s="25" t="n">
        <f aca="false">C12978-C13028</f>
        <v>191.63948</v>
      </c>
    </row>
    <row r="13039" customFormat="false" ht="15" hidden="false" customHeight="false" outlineLevel="0" collapsed="false">
      <c r="A13039" s="23" t="s">
        <v>473</v>
      </c>
      <c r="B13039" s="24"/>
      <c r="C13039" s="24"/>
      <c r="D13039" s="24"/>
      <c r="E13039" s="24"/>
      <c r="F13039" s="24"/>
      <c r="G13039" s="24"/>
      <c r="H13039" s="24"/>
      <c r="I13039" s="24"/>
      <c r="J13039" s="24"/>
      <c r="K13039" s="24"/>
    </row>
    <row r="13040" customFormat="false" ht="15" hidden="false" customHeight="false" outlineLevel="0" collapsed="false">
      <c r="A13040" s="5" t="s">
        <v>457</v>
      </c>
      <c r="C13040" s="21" t="n">
        <f aca="false">IF(C12975=0,0,C13035/C12975)</f>
        <v>0</v>
      </c>
    </row>
    <row r="13041" customFormat="false" ht="15" hidden="false" customHeight="false" outlineLevel="0" collapsed="false">
      <c r="A13041" s="5" t="s">
        <v>458</v>
      </c>
      <c r="C13041" s="21" t="n">
        <f aca="false">IF(C12976=0,0,C13036/C12976)</f>
        <v>0</v>
      </c>
    </row>
    <row r="13042" customFormat="false" ht="15" hidden="false" customHeight="false" outlineLevel="0" collapsed="false">
      <c r="A13042" s="5" t="s">
        <v>459</v>
      </c>
      <c r="C13042" s="21" t="n">
        <f aca="false">IF(C12977=0,0,C13037/C12977)</f>
        <v>0</v>
      </c>
    </row>
    <row r="13043" customFormat="false" ht="15" hidden="false" customHeight="false" outlineLevel="0" collapsed="false">
      <c r="A13043" s="5" t="s">
        <v>460</v>
      </c>
      <c r="C13043" s="21" t="n">
        <f aca="false">IF(C12978=0,0,C13038/C12978)</f>
        <v>0.638798266666667</v>
      </c>
    </row>
    <row r="13044" customFormat="false" ht="15" hidden="false" customHeight="false" outlineLevel="0" collapsed="false">
      <c r="A13044" s="2" t="s">
        <v>474</v>
      </c>
      <c r="C13044" s="16" t="n">
        <f aca="false">MAX(0,$C$12973-SUM($C$12990:$C$12993)-SUM($C$13000:$C$13003))</f>
        <v>0</v>
      </c>
    </row>
    <row r="13045" customFormat="false" ht="15" hidden="false" customHeight="false" outlineLevel="0" collapsed="false">
      <c r="A13045" s="5" t="s">
        <v>492</v>
      </c>
      <c r="C13045" s="33" t="n">
        <f aca="false">MIN(C12972,100*CHOOSE(C12962,C13030,C13031,C13032,C13033))</f>
        <v>100</v>
      </c>
    </row>
    <row r="13046" customFormat="false" ht="15" hidden="false" customHeight="false" outlineLevel="0" collapsed="false">
      <c r="A13046" s="5" t="s">
        <v>493</v>
      </c>
      <c r="C13046" s="20" t="n">
        <f aca="false">IF(C12878=1,C12967+Assumptions!$C$36,C12966)</f>
        <v>3</v>
      </c>
    </row>
    <row r="13047" customFormat="false" ht="15" hidden="false" customHeight="false" outlineLevel="0" collapsed="false">
      <c r="A13047" s="23" t="s">
        <v>494</v>
      </c>
      <c r="B13047" s="24"/>
      <c r="C13047" s="24"/>
      <c r="D13047" s="24"/>
      <c r="E13047" s="24"/>
      <c r="F13047" s="24"/>
      <c r="G13047" s="24"/>
      <c r="H13047" s="24"/>
      <c r="I13047" s="24"/>
      <c r="J13047" s="24"/>
      <c r="K13047" s="24"/>
    </row>
    <row r="13048" customFormat="false" ht="15" hidden="false" customHeight="false" outlineLevel="0" collapsed="false">
      <c r="A13048" s="5" t="s">
        <v>495</v>
      </c>
      <c r="C13048" s="20" t="n">
        <f aca="false">COLUMN()-COLUMN($C$1)</f>
        <v>0</v>
      </c>
      <c r="D13048" s="20" t="n">
        <f aca="false">COLUMN()-COLUMN($C$1)</f>
        <v>1</v>
      </c>
      <c r="E13048" s="20" t="n">
        <f aca="false">COLUMN()-COLUMN($C$1)</f>
        <v>2</v>
      </c>
      <c r="F13048" s="20" t="n">
        <f aca="false">COLUMN()-COLUMN($C$1)</f>
        <v>3</v>
      </c>
      <c r="G13048" s="20" t="n">
        <f aca="false">COLUMN()-COLUMN($C$1)</f>
        <v>4</v>
      </c>
      <c r="H13048" s="20" t="n">
        <f aca="false">COLUMN()-COLUMN($C$1)</f>
        <v>5</v>
      </c>
      <c r="I13048" s="20" t="n">
        <f aca="false">COLUMN()-COLUMN($C$1)</f>
        <v>6</v>
      </c>
    </row>
    <row r="13049" customFormat="false" ht="15" hidden="false" customHeight="false" outlineLevel="0" collapsed="false">
      <c r="A13049" s="5" t="s">
        <v>496</v>
      </c>
      <c r="D13049" s="30" t="n">
        <f aca="false">CHOOSE($C$12962,G12760,G12773,G12786,G12799)</f>
        <v>0.113</v>
      </c>
      <c r="E13049" s="30" t="n">
        <f aca="false">CHOOSE($C$12962,H12760,H12773,H12786,H12799)</f>
        <v>0.1105</v>
      </c>
      <c r="F13049" s="30" t="n">
        <f aca="false">CHOOSE($C$12962,I12760,I12773,I12786,I12799)</f>
        <v>0.108</v>
      </c>
      <c r="G13049" s="30" t="n">
        <f aca="false">CHOOSE($C$12962,J12760,J12773,J12786,J12799)</f>
        <v>0.11</v>
      </c>
      <c r="H13049" s="30" t="n">
        <f aca="false">CHOOSE($C$12962,K12760,K12773,K12786,K12799)</f>
        <v>0.11</v>
      </c>
    </row>
    <row r="13050" customFormat="false" ht="15" hidden="false" customHeight="false" outlineLevel="0" collapsed="false">
      <c r="A13050" s="5" t="s">
        <v>497</v>
      </c>
      <c r="D13050" s="25" t="n">
        <f aca="false">IF(D13048&lt;=$C$12971,$C$12963*D13049,0)</f>
        <v>11.3</v>
      </c>
      <c r="E13050" s="25" t="n">
        <f aca="false">IF(E13048&lt;=$C$12971,$C$12963*E13049,0)</f>
        <v>11.05</v>
      </c>
      <c r="F13050" s="25" t="n">
        <f aca="false">IF(F13048&lt;=$C$12971,$C$12963*F13049,0)</f>
        <v>0</v>
      </c>
      <c r="G13050" s="25" t="n">
        <f aca="false">IF(G13048&lt;=$C$12971,$C$12963*G13049,0)</f>
        <v>0</v>
      </c>
      <c r="H13050" s="25" t="n">
        <f aca="false">IF(H13048&lt;=$C$12971,$C$12963*H13049,0)</f>
        <v>0</v>
      </c>
    </row>
    <row r="13051" customFormat="false" ht="15" hidden="false" customHeight="false" outlineLevel="0" collapsed="false">
      <c r="A13051" s="5" t="s">
        <v>498</v>
      </c>
      <c r="D13051" s="25" t="n">
        <f aca="false">IF(AND($C$12878=0,D13048=$C$12966),$C$12963*$C$13045/100,0)+IF(AND($C$12878=1,D13048=$C$13046),$C$12969,0)</f>
        <v>0</v>
      </c>
      <c r="E13051" s="25" t="n">
        <f aca="false">IF(AND($C$12878=0,E13048=$C$12966),$C$12963*$C$13045/100,0)+IF(AND($C$12878=1,E13048=$C$13046),$C$12969,0)</f>
        <v>0</v>
      </c>
      <c r="F13051" s="25" t="n">
        <f aca="false">IF(AND($C$12878=0,F13048=$C$12966),$C$12963*$C$13045/100,0)+IF(AND($C$12878=1,F13048=$C$13046),$C$12969,0)</f>
        <v>87.3405655808477</v>
      </c>
      <c r="G13051" s="25" t="n">
        <f aca="false">IF(AND($C$12878=0,G13048=$C$12966),$C$12963*$C$13045/100,0)+IF(AND($C$12878=1,G13048=$C$13046),$C$12969,0)</f>
        <v>0</v>
      </c>
      <c r="H13051" s="25" t="n">
        <f aca="false">IF(AND($C$12878=0,H13048=$C$12966),$C$12963*$C$13045/100,0)+IF(AND($C$12878=1,H13048=$C$13046),$C$12969,0)</f>
        <v>0</v>
      </c>
      <c r="I13051" s="25" t="n">
        <f aca="false">IF(AND($C$12878=0,I13048=$C$12966),$C$12963*$C$13045/100,0)+IF(AND($C$12878=1,I13048=$C$13046),$C$12969,0)</f>
        <v>0</v>
      </c>
    </row>
    <row r="13052" customFormat="false" ht="15" hidden="false" customHeight="false" outlineLevel="0" collapsed="false">
      <c r="A13052" s="2" t="s">
        <v>499</v>
      </c>
      <c r="C13052" s="16" t="n">
        <f aca="false">-$C$12965</f>
        <v>-78.39</v>
      </c>
      <c r="D13052" s="16" t="n">
        <f aca="false">D13050+D13051</f>
        <v>11.3</v>
      </c>
      <c r="E13052" s="16" t="n">
        <f aca="false">E13050+E13051</f>
        <v>11.05</v>
      </c>
      <c r="F13052" s="16" t="n">
        <f aca="false">F13050+F13051</f>
        <v>87.3405655808477</v>
      </c>
      <c r="G13052" s="16" t="n">
        <f aca="false">G13050+G13051</f>
        <v>0</v>
      </c>
      <c r="H13052" s="16" t="n">
        <f aca="false">H13050+H13051</f>
        <v>0</v>
      </c>
      <c r="I13052" s="16" t="n">
        <f aca="false">I13050+I13051</f>
        <v>0</v>
      </c>
    </row>
    <row r="13053" customFormat="false" ht="15" hidden="false" customHeight="false" outlineLevel="0" collapsed="false">
      <c r="A13053" s="5" t="s">
        <v>500</v>
      </c>
      <c r="C13053" s="25" t="n">
        <f aca="false">SUM($C$13050:$I$13050)</f>
        <v>22.35</v>
      </c>
    </row>
    <row r="13054" customFormat="false" ht="15" hidden="false" customHeight="false" outlineLevel="0" collapsed="false">
      <c r="A13054" s="5" t="s">
        <v>501</v>
      </c>
      <c r="C13054" s="25" t="n">
        <f aca="false">SUM($C$13051:$I$13051)</f>
        <v>87.3405655808477</v>
      </c>
    </row>
    <row r="13055" customFormat="false" ht="15" hidden="false" customHeight="false" outlineLevel="0" collapsed="false">
      <c r="A13055" s="5" t="s">
        <v>502</v>
      </c>
      <c r="C13055" s="25" t="n">
        <f aca="false">C13053+C13054</f>
        <v>109.690565580848</v>
      </c>
    </row>
    <row r="13056" customFormat="false" ht="15" hidden="false" customHeight="false" outlineLevel="0" collapsed="false">
      <c r="A13056" s="5" t="s">
        <v>503</v>
      </c>
      <c r="C13056" s="25" t="n">
        <f aca="false">C13054-C12963*C12964/100</f>
        <v>9.34056558084772</v>
      </c>
    </row>
    <row r="13057" customFormat="false" ht="15" hidden="false" customHeight="false" outlineLevel="0" collapsed="false">
      <c r="A13057" s="5" t="s">
        <v>504</v>
      </c>
      <c r="C13057" s="25" t="n">
        <f aca="false">C13055-C12965</f>
        <v>31.3005655808477</v>
      </c>
    </row>
    <row r="13058" customFormat="false" ht="15" hidden="false" customHeight="false" outlineLevel="0" collapsed="false">
      <c r="A13058" s="2" t="s">
        <v>385</v>
      </c>
      <c r="C13058" s="43" t="n">
        <f aca="false">C13055/C12965</f>
        <v>1.39929283812792</v>
      </c>
    </row>
    <row r="13059" customFormat="false" ht="15" hidden="false" customHeight="false" outlineLevel="0" collapsed="false">
      <c r="A13059" s="2" t="s">
        <v>384</v>
      </c>
      <c r="C13059" s="41" t="n">
        <f aca="false">IF(C13055&lt;=0,-1,IFERROR(IRR($C$13052:$I$13052,MAX(-0.9,C13058^(1/C13046)-1)),IRR($C$13052:$I$13052,0.1)))</f>
        <v>0.134332780635128</v>
      </c>
    </row>
    <row r="13060" customFormat="false" ht="15" hidden="false" customHeight="false" outlineLevel="0" collapsed="false">
      <c r="A13060" s="5" t="s">
        <v>505</v>
      </c>
      <c r="C13060" s="31" t="n">
        <f aca="false">MAX($G$12854:$K$12854)</f>
        <v>7.90753690753691</v>
      </c>
    </row>
    <row r="13061" customFormat="false" ht="15" hidden="false" customHeight="false" outlineLevel="0" collapsed="false">
      <c r="A13061" s="5" t="s">
        <v>506</v>
      </c>
      <c r="C13061" s="31" t="n">
        <f aca="false">MIN($G$12855:$K$12855)</f>
        <v>1.2253252935576</v>
      </c>
    </row>
    <row r="13062" customFormat="false" ht="15" hidden="false" customHeight="false" outlineLevel="0" collapsed="false">
      <c r="A13062" s="5" t="s">
        <v>507</v>
      </c>
      <c r="C13062" s="25" t="n">
        <f aca="false">SUM($G$12744:$K$12744)</f>
        <v>-21.45326599992</v>
      </c>
    </row>
    <row r="13066" customFormat="false" ht="15" hidden="false" customHeight="false" outlineLevel="0" collapsed="false">
      <c r="A13066" s="9" t="s">
        <v>663</v>
      </c>
      <c r="B13066" s="10"/>
      <c r="C13066" s="10"/>
      <c r="D13066" s="10"/>
      <c r="E13066" s="10"/>
      <c r="F13066" s="10"/>
      <c r="G13066" s="10"/>
      <c r="H13066" s="10"/>
      <c r="I13066" s="10"/>
      <c r="J13066" s="10"/>
      <c r="K13066" s="10"/>
    </row>
    <row r="13067" customFormat="false" ht="15" hidden="false" customHeight="false" outlineLevel="0" collapsed="false">
      <c r="A13067" s="5" t="s">
        <v>622</v>
      </c>
      <c r="C13067" s="11" t="n">
        <v>1</v>
      </c>
    </row>
    <row r="13068" customFormat="false" ht="15" hidden="false" customHeight="false" outlineLevel="0" collapsed="false">
      <c r="A13068" s="5" t="s">
        <v>623</v>
      </c>
      <c r="C13068" s="18" t="n">
        <v>0</v>
      </c>
    </row>
    <row r="13069" customFormat="false" ht="15" hidden="false" customHeight="false" outlineLevel="0" collapsed="false">
      <c r="A13069" s="5" t="s">
        <v>624</v>
      </c>
      <c r="C13069" s="18" t="n">
        <v>0</v>
      </c>
    </row>
    <row r="13070" customFormat="false" ht="15" hidden="false" customHeight="false" outlineLevel="0" collapsed="false">
      <c r="A13070" s="5" t="s">
        <v>625</v>
      </c>
      <c r="C13070" s="29" t="n">
        <f aca="false">Sensitivities!$A$54</f>
        <v>0.02</v>
      </c>
    </row>
    <row r="13071" customFormat="false" ht="15" hidden="false" customHeight="false" outlineLevel="0" collapsed="false">
      <c r="A13071" s="5" t="s">
        <v>626</v>
      </c>
      <c r="C13071" s="15" t="n">
        <v>0</v>
      </c>
    </row>
    <row r="13073" customFormat="false" ht="15" hidden="false" customHeight="false" outlineLevel="0" collapsed="false">
      <c r="A13073" s="23" t="s">
        <v>237</v>
      </c>
      <c r="B13073" s="24"/>
      <c r="C13073" s="24"/>
      <c r="D13073" s="24"/>
      <c r="E13073" s="24"/>
      <c r="F13073" s="24"/>
      <c r="G13073" s="24"/>
      <c r="H13073" s="24"/>
      <c r="I13073" s="24"/>
      <c r="J13073" s="24"/>
      <c r="K13073" s="24"/>
    </row>
    <row r="13074" customFormat="false" ht="15" hidden="false" customHeight="false" outlineLevel="0" collapsed="false">
      <c r="A13074" s="5" t="s">
        <v>238</v>
      </c>
      <c r="F13074" s="26" t="n">
        <f aca="false">Assumptions!$C$6</f>
        <v>2025</v>
      </c>
      <c r="G13074" s="20" t="n">
        <f aca="false">F13074+1</f>
        <v>2026</v>
      </c>
      <c r="H13074" s="20" t="n">
        <f aca="false">G13074+1</f>
        <v>2027</v>
      </c>
      <c r="I13074" s="20" t="n">
        <f aca="false">H13074+1</f>
        <v>2028</v>
      </c>
      <c r="J13074" s="20" t="n">
        <f aca="false">I13074+1</f>
        <v>2029</v>
      </c>
      <c r="K13074" s="20" t="n">
        <f aca="false">J13074+1</f>
        <v>2030</v>
      </c>
    </row>
    <row r="13075" customFormat="false" ht="15" hidden="false" customHeight="false" outlineLevel="0" collapsed="false">
      <c r="A13075" s="5" t="s">
        <v>239</v>
      </c>
      <c r="G13075" s="20" t="n">
        <f aca="false">G13074-Assumptions!$C$6</f>
        <v>1</v>
      </c>
      <c r="H13075" s="20" t="n">
        <f aca="false">H13074-Assumptions!$C$6</f>
        <v>2</v>
      </c>
      <c r="I13075" s="20" t="n">
        <f aca="false">I13074-Assumptions!$C$6</f>
        <v>3</v>
      </c>
      <c r="J13075" s="20" t="n">
        <f aca="false">J13074-Assumptions!$C$6</f>
        <v>4</v>
      </c>
      <c r="K13075" s="20" t="n">
        <f aca="false">K13074-Assumptions!$C$6</f>
        <v>5</v>
      </c>
    </row>
    <row r="13076" customFormat="false" ht="15" hidden="false" customHeight="false" outlineLevel="0" collapsed="false">
      <c r="A13076" s="5" t="s">
        <v>149</v>
      </c>
      <c r="G13076" s="21" t="n">
        <f aca="false">CHOOSE($C$13067,Assumptions!$G$65,Assumptions!$G$84,Assumptions!$G$103)+$C$13068</f>
        <v>-0.01</v>
      </c>
      <c r="H13076" s="21" t="n">
        <f aca="false">CHOOSE($C$13067,Assumptions!$H$65,Assumptions!$H$84,Assumptions!$H$103)+$C$13068</f>
        <v>-0.01</v>
      </c>
      <c r="I13076" s="21" t="n">
        <f aca="false">CHOOSE($C$13067,Assumptions!$I$65,Assumptions!$I$84,Assumptions!$I$103)+$C$13068</f>
        <v>-0.01</v>
      </c>
      <c r="J13076" s="21" t="n">
        <f aca="false">CHOOSE($C$13067,Assumptions!$J$65,Assumptions!$J$84,Assumptions!$J$103)+$C$13068</f>
        <v>-0.01</v>
      </c>
      <c r="K13076" s="21" t="n">
        <f aca="false">CHOOSE($C$13067,Assumptions!$K$65,Assumptions!$K$84,Assumptions!$K$103)+$C$13068</f>
        <v>-0.01</v>
      </c>
    </row>
    <row r="13077" customFormat="false" ht="15" hidden="false" customHeight="false" outlineLevel="0" collapsed="false">
      <c r="A13077" s="5" t="s">
        <v>150</v>
      </c>
      <c r="G13077" s="21" t="n">
        <f aca="false">CHOOSE($C$13067,Assumptions!$G$66,Assumptions!$G$85,Assumptions!$G$104)</f>
        <v>0.36</v>
      </c>
      <c r="H13077" s="21" t="n">
        <f aca="false">CHOOSE($C$13067,Assumptions!$H$66,Assumptions!$H$85,Assumptions!$H$104)</f>
        <v>0.362</v>
      </c>
      <c r="I13077" s="21" t="n">
        <f aca="false">CHOOSE($C$13067,Assumptions!$I$66,Assumptions!$I$85,Assumptions!$I$104)</f>
        <v>0.364</v>
      </c>
      <c r="J13077" s="21" t="n">
        <f aca="false">CHOOSE($C$13067,Assumptions!$J$66,Assumptions!$J$85,Assumptions!$J$104)</f>
        <v>0.366</v>
      </c>
      <c r="K13077" s="21" t="n">
        <f aca="false">CHOOSE($C$13067,Assumptions!$K$66,Assumptions!$K$85,Assumptions!$K$104)</f>
        <v>0.368</v>
      </c>
    </row>
    <row r="13078" customFormat="false" ht="15" hidden="false" customHeight="false" outlineLevel="0" collapsed="false">
      <c r="A13078" s="5" t="s">
        <v>151</v>
      </c>
      <c r="G13078" s="21" t="n">
        <f aca="false">CHOOSE($C$13067,Assumptions!$G$67,Assumptions!$G$86,Assumptions!$G$105)+$C$13069</f>
        <v>0.065</v>
      </c>
      <c r="H13078" s="21" t="n">
        <f aca="false">CHOOSE($C$13067,Assumptions!$H$67,Assumptions!$H$86,Assumptions!$H$105)+$C$13069</f>
        <v>0.067</v>
      </c>
      <c r="I13078" s="21" t="n">
        <f aca="false">CHOOSE($C$13067,Assumptions!$I$67,Assumptions!$I$86,Assumptions!$I$105)+$C$13069</f>
        <v>0.069</v>
      </c>
      <c r="J13078" s="21" t="n">
        <f aca="false">CHOOSE($C$13067,Assumptions!$J$67,Assumptions!$J$86,Assumptions!$J$105)+$C$13069</f>
        <v>0.071</v>
      </c>
      <c r="K13078" s="21" t="n">
        <f aca="false">CHOOSE($C$13067,Assumptions!$K$67,Assumptions!$K$86,Assumptions!$K$105)+$C$13069</f>
        <v>0.073</v>
      </c>
    </row>
    <row r="13079" customFormat="false" ht="15" hidden="false" customHeight="false" outlineLevel="0" collapsed="false">
      <c r="A13079" s="23" t="s">
        <v>240</v>
      </c>
      <c r="B13079" s="24"/>
      <c r="C13079" s="24"/>
      <c r="D13079" s="24"/>
      <c r="E13079" s="24"/>
      <c r="F13079" s="24"/>
      <c r="G13079" s="24"/>
      <c r="H13079" s="24"/>
      <c r="I13079" s="24"/>
      <c r="J13079" s="24"/>
      <c r="K13079" s="24"/>
    </row>
    <row r="13080" customFormat="false" ht="15" hidden="false" customHeight="false" outlineLevel="0" collapsed="false">
      <c r="A13080" s="2" t="s">
        <v>207</v>
      </c>
      <c r="F13080" s="27" t="n">
        <f aca="false">'Historical Financials'!E17</f>
        <v>2400</v>
      </c>
      <c r="G13080" s="16" t="n">
        <f aca="false">F13080*(1+G13076)</f>
        <v>2376</v>
      </c>
      <c r="H13080" s="16" t="n">
        <f aca="false">G13080*(1+H13076)</f>
        <v>2352.24</v>
      </c>
      <c r="I13080" s="16" t="n">
        <f aca="false">H13080*(1+I13076)</f>
        <v>2328.7176</v>
      </c>
      <c r="J13080" s="16" t="n">
        <f aca="false">I13080*(1+J13076)</f>
        <v>2305.430424</v>
      </c>
      <c r="K13080" s="16" t="n">
        <f aca="false">J13080*(1+K13076)</f>
        <v>2282.37611976</v>
      </c>
    </row>
    <row r="13081" customFormat="false" ht="15" hidden="false" customHeight="false" outlineLevel="0" collapsed="false">
      <c r="A13081" s="5" t="s">
        <v>217</v>
      </c>
      <c r="G13081" s="25" t="n">
        <f aca="false">G13080*(1-G13077)</f>
        <v>1520.64</v>
      </c>
      <c r="H13081" s="25" t="n">
        <f aca="false">H13080*(1-H13077)</f>
        <v>1500.72912</v>
      </c>
      <c r="I13081" s="25" t="n">
        <f aca="false">I13080*(1-I13077)</f>
        <v>1481.0643936</v>
      </c>
      <c r="J13081" s="25" t="n">
        <f aca="false">J13080*(1-J13077)</f>
        <v>1461.642888816</v>
      </c>
      <c r="K13081" s="25" t="n">
        <f aca="false">K13080*(1-K13077)</f>
        <v>1442.46170768832</v>
      </c>
    </row>
    <row r="13082" customFormat="false" ht="15" hidden="false" customHeight="false" outlineLevel="0" collapsed="false">
      <c r="A13082" s="2" t="s">
        <v>218</v>
      </c>
      <c r="G13082" s="16" t="n">
        <f aca="false">G13080-G13081</f>
        <v>855.36</v>
      </c>
      <c r="H13082" s="16" t="n">
        <f aca="false">H13080-H13081</f>
        <v>851.51088</v>
      </c>
      <c r="I13082" s="16" t="n">
        <f aca="false">I13080-I13081</f>
        <v>847.6532064</v>
      </c>
      <c r="J13082" s="16" t="n">
        <f aca="false">J13080-J13081</f>
        <v>843.787535184</v>
      </c>
      <c r="K13082" s="16" t="n">
        <f aca="false">K13080-K13081</f>
        <v>839.91441207168</v>
      </c>
    </row>
    <row r="13083" customFormat="false" ht="15" hidden="false" customHeight="false" outlineLevel="0" collapsed="false">
      <c r="A13083" s="5" t="s">
        <v>241</v>
      </c>
      <c r="G13083" s="25" t="n">
        <f aca="false">G13082-G13084</f>
        <v>700.92</v>
      </c>
      <c r="H13083" s="25" t="n">
        <f aca="false">H13082-H13084</f>
        <v>693.9108</v>
      </c>
      <c r="I13083" s="25" t="n">
        <f aca="false">I13082-I13084</f>
        <v>686.971692</v>
      </c>
      <c r="J13083" s="25" t="n">
        <f aca="false">J13082-J13084</f>
        <v>680.10197508</v>
      </c>
      <c r="K13083" s="25" t="n">
        <f aca="false">K13082-K13084</f>
        <v>673.3009553292</v>
      </c>
    </row>
    <row r="13084" customFormat="false" ht="15" hidden="false" customHeight="false" outlineLevel="0" collapsed="false">
      <c r="A13084" s="2" t="s">
        <v>242</v>
      </c>
      <c r="G13084" s="16" t="n">
        <f aca="false">G13080*G13078</f>
        <v>154.44</v>
      </c>
      <c r="H13084" s="16" t="n">
        <f aca="false">H13080*H13078</f>
        <v>157.60008</v>
      </c>
      <c r="I13084" s="16" t="n">
        <f aca="false">I13080*I13078</f>
        <v>160.6815144</v>
      </c>
      <c r="J13084" s="16" t="n">
        <f aca="false">J13080*J13078</f>
        <v>163.685560104</v>
      </c>
      <c r="K13084" s="16" t="n">
        <f aca="false">K13080*K13078</f>
        <v>166.61345674248</v>
      </c>
    </row>
    <row r="13085" customFormat="false" ht="15" hidden="false" customHeight="false" outlineLevel="0" collapsed="false">
      <c r="A13085" s="5" t="s">
        <v>243</v>
      </c>
      <c r="G13085" s="25" t="n">
        <f aca="false">G13080*'Historical Financials'!E22/'Historical Financials'!E17</f>
        <v>52.272</v>
      </c>
      <c r="H13085" s="25" t="n">
        <f aca="false">H13080*'Historical Financials'!E22/'Historical Financials'!E17</f>
        <v>51.74928</v>
      </c>
      <c r="I13085" s="25" t="n">
        <f aca="false">I13080*'Historical Financials'!E22/'Historical Financials'!E17</f>
        <v>51.2317872</v>
      </c>
      <c r="J13085" s="25" t="n">
        <f aca="false">J13080*'Historical Financials'!E22/'Historical Financials'!E17</f>
        <v>50.719469328</v>
      </c>
      <c r="K13085" s="25" t="n">
        <f aca="false">K13080*'Historical Financials'!E22/'Historical Financials'!E17</f>
        <v>50.21227463472</v>
      </c>
    </row>
    <row r="13086" customFormat="false" ht="15" hidden="false" customHeight="false" outlineLevel="0" collapsed="false">
      <c r="A13086" s="5" t="s">
        <v>244</v>
      </c>
      <c r="G13086" s="25" t="n">
        <f aca="false">G13080*'Historical Financials'!E23/'Historical Financials'!E17</f>
        <v>0</v>
      </c>
      <c r="H13086" s="25" t="n">
        <f aca="false">H13080*'Historical Financials'!E23/'Historical Financials'!E17</f>
        <v>0</v>
      </c>
      <c r="I13086" s="25" t="n">
        <f aca="false">I13080*'Historical Financials'!E23/'Historical Financials'!E17</f>
        <v>0</v>
      </c>
      <c r="J13086" s="25" t="n">
        <f aca="false">J13080*'Historical Financials'!E23/'Historical Financials'!E17</f>
        <v>0</v>
      </c>
      <c r="K13086" s="25" t="n">
        <f aca="false">K13080*'Historical Financials'!E23/'Historical Financials'!E17</f>
        <v>0</v>
      </c>
    </row>
    <row r="13087" customFormat="false" ht="15" hidden="false" customHeight="false" outlineLevel="0" collapsed="false">
      <c r="A13087" s="2" t="s">
        <v>245</v>
      </c>
      <c r="G13087" s="16" t="n">
        <f aca="false">G13084-G13085-G13086</f>
        <v>102.168</v>
      </c>
      <c r="H13087" s="16" t="n">
        <f aca="false">H13084-H13085-H13086</f>
        <v>105.8508</v>
      </c>
      <c r="I13087" s="16" t="n">
        <f aca="false">I13084-I13085-I13086</f>
        <v>109.4497272</v>
      </c>
      <c r="J13087" s="16" t="n">
        <f aca="false">J13084-J13085-J13086</f>
        <v>112.966090776</v>
      </c>
      <c r="K13087" s="16" t="n">
        <f aca="false">K13084-K13085-K13086</f>
        <v>116.40118210776</v>
      </c>
    </row>
    <row r="13088" customFormat="false" ht="15" hidden="false" customHeight="false" outlineLevel="0" collapsed="false">
      <c r="A13088" s="5" t="s">
        <v>246</v>
      </c>
      <c r="G13088" s="25" t="n">
        <f aca="false">G13114+G13127+G13140+G13153</f>
        <v>133.04</v>
      </c>
      <c r="H13088" s="25" t="n">
        <f aca="false">H13114+H13127+H13140+H13153</f>
        <v>128.94944</v>
      </c>
      <c r="I13088" s="25" t="n">
        <f aca="false">I13114+I13127+I13140+I13153</f>
        <v>126.64024</v>
      </c>
      <c r="J13088" s="25" t="n">
        <f aca="false">J13114+J13127+J13140+J13153</f>
        <v>121.99144</v>
      </c>
      <c r="K13088" s="25" t="n">
        <f aca="false">K13114+K13127+K13140+K13153</f>
        <v>121.41944</v>
      </c>
    </row>
    <row r="13089" customFormat="false" ht="15" hidden="false" customHeight="false" outlineLevel="0" collapsed="false">
      <c r="A13089" s="5" t="s">
        <v>247</v>
      </c>
      <c r="G13089" s="25" t="n">
        <f aca="false">G13115+G13128+G13141+G13154</f>
        <v>0</v>
      </c>
      <c r="H13089" s="25" t="n">
        <f aca="false">H13115+H13128+H13141+H13154</f>
        <v>0</v>
      </c>
      <c r="I13089" s="25" t="n">
        <f aca="false">I13115+I13128+I13141+I13154</f>
        <v>0</v>
      </c>
      <c r="J13089" s="25" t="n">
        <f aca="false">J13115+J13128+J13141+J13154</f>
        <v>0</v>
      </c>
      <c r="K13089" s="25" t="n">
        <f aca="false">K13115+K13128+K13141+K13154</f>
        <v>0</v>
      </c>
    </row>
    <row r="13090" customFormat="false" ht="15" hidden="false" customHeight="false" outlineLevel="0" collapsed="false">
      <c r="A13090" s="5" t="s">
        <v>212</v>
      </c>
      <c r="G13090" s="25" t="n">
        <f aca="false">G13088+G13089</f>
        <v>133.04</v>
      </c>
      <c r="H13090" s="25" t="n">
        <f aca="false">H13088+H13089</f>
        <v>128.94944</v>
      </c>
      <c r="I13090" s="25" t="n">
        <f aca="false">I13088+I13089</f>
        <v>126.64024</v>
      </c>
      <c r="J13090" s="25" t="n">
        <f aca="false">J13088+J13089</f>
        <v>121.99144</v>
      </c>
      <c r="K13090" s="25" t="n">
        <f aca="false">K13088+K13089</f>
        <v>121.41944</v>
      </c>
    </row>
    <row r="13091" customFormat="false" ht="15" hidden="false" customHeight="false" outlineLevel="0" collapsed="false">
      <c r="A13091" s="2" t="s">
        <v>223</v>
      </c>
      <c r="G13091" s="16" t="n">
        <f aca="false">G13087-G13090</f>
        <v>-30.872</v>
      </c>
      <c r="H13091" s="16" t="n">
        <f aca="false">H13087-H13090</f>
        <v>-23.09864</v>
      </c>
      <c r="I13091" s="16" t="n">
        <f aca="false">I13087-I13090</f>
        <v>-17.1905128</v>
      </c>
      <c r="J13091" s="16" t="n">
        <f aca="false">J13087-J13090</f>
        <v>-9.02534922399998</v>
      </c>
      <c r="K13091" s="16" t="n">
        <f aca="false">K13087-K13090</f>
        <v>-5.01825789223999</v>
      </c>
    </row>
    <row r="13092" customFormat="false" ht="15" hidden="false" customHeight="false" outlineLevel="0" collapsed="false">
      <c r="A13092" s="5" t="s">
        <v>213</v>
      </c>
      <c r="G13092" s="25" t="n">
        <f aca="false">MAX(0,G13091)*Assumptions!$C$9</f>
        <v>0</v>
      </c>
      <c r="H13092" s="25" t="n">
        <f aca="false">MAX(0,H13091)*Assumptions!$C$9</f>
        <v>0</v>
      </c>
      <c r="I13092" s="25" t="n">
        <f aca="false">MAX(0,I13091)*Assumptions!$C$9</f>
        <v>0</v>
      </c>
      <c r="J13092" s="25" t="n">
        <f aca="false">MAX(0,J13091)*Assumptions!$C$9</f>
        <v>0</v>
      </c>
      <c r="K13092" s="25" t="n">
        <f aca="false">MAX(0,K13091)*Assumptions!$C$9</f>
        <v>0</v>
      </c>
    </row>
    <row r="13093" customFormat="false" ht="15" hidden="false" customHeight="false" outlineLevel="0" collapsed="false">
      <c r="A13093" s="2" t="s">
        <v>248</v>
      </c>
      <c r="G13093" s="16" t="n">
        <f aca="false">G13091-G13092</f>
        <v>-30.872</v>
      </c>
      <c r="H13093" s="16" t="n">
        <f aca="false">H13091-H13092</f>
        <v>-23.09864</v>
      </c>
      <c r="I13093" s="16" t="n">
        <f aca="false">I13091-I13092</f>
        <v>-17.1905128</v>
      </c>
      <c r="J13093" s="16" t="n">
        <f aca="false">J13091-J13092</f>
        <v>-9.02534922399998</v>
      </c>
      <c r="K13093" s="16" t="n">
        <f aca="false">K13091-K13092</f>
        <v>-5.01825789223999</v>
      </c>
    </row>
    <row r="13094" customFormat="false" ht="15" hidden="false" customHeight="false" outlineLevel="0" collapsed="false">
      <c r="A13094" s="23" t="s">
        <v>249</v>
      </c>
      <c r="B13094" s="24"/>
      <c r="C13094" s="24"/>
      <c r="D13094" s="24"/>
      <c r="E13094" s="24"/>
      <c r="F13094" s="24"/>
      <c r="G13094" s="24"/>
      <c r="H13094" s="24"/>
      <c r="I13094" s="24"/>
      <c r="J13094" s="24"/>
      <c r="K13094" s="24"/>
    </row>
    <row r="13095" customFormat="false" ht="15" hidden="false" customHeight="false" outlineLevel="0" collapsed="false">
      <c r="A13095" s="5" t="s">
        <v>153</v>
      </c>
      <c r="G13095" s="25" t="n">
        <f aca="false">G13080*CHOOSE($C$13067,Assumptions!$C$69,Assumptions!$C$88,Assumptions!$C$107)</f>
        <v>47.52</v>
      </c>
      <c r="H13095" s="25" t="n">
        <f aca="false">H13080*CHOOSE($C$13067,Assumptions!$C$69,Assumptions!$C$88,Assumptions!$C$107)</f>
        <v>47.0448</v>
      </c>
      <c r="I13095" s="25" t="n">
        <f aca="false">I13080*CHOOSE($C$13067,Assumptions!$C$69,Assumptions!$C$88,Assumptions!$C$107)</f>
        <v>46.574352</v>
      </c>
      <c r="J13095" s="25" t="n">
        <f aca="false">J13080*CHOOSE($C$13067,Assumptions!$C$69,Assumptions!$C$88,Assumptions!$C$107)</f>
        <v>46.10860848</v>
      </c>
      <c r="K13095" s="25" t="n">
        <f aca="false">K13080*CHOOSE($C$13067,Assumptions!$C$69,Assumptions!$C$88,Assumptions!$C$107)</f>
        <v>45.6475223952</v>
      </c>
    </row>
    <row r="13096" customFormat="false" ht="15" hidden="false" customHeight="false" outlineLevel="0" collapsed="false">
      <c r="A13096" s="5" t="s">
        <v>250</v>
      </c>
      <c r="G13096" s="25" t="n">
        <f aca="false">CHOOSE($C$13067,Assumptions!$C$70,Assumptions!$C$89,Assumptions!$C$108)*(G13080-F13080)+CHOOSE($C$13067,Assumptions!$C$71,Assumptions!$C$90,Assumptions!$C$109)*G13080</f>
        <v>-2.88</v>
      </c>
      <c r="H13096" s="25" t="n">
        <f aca="false">CHOOSE($C$13067,Assumptions!$C$70,Assumptions!$C$89,Assumptions!$C$108)*(H13080-G13080)+CHOOSE($C$13067,Assumptions!$C$71,Assumptions!$C$90,Assumptions!$C$109)*H13080</f>
        <v>-2.85120000000003</v>
      </c>
      <c r="I13096" s="25" t="n">
        <f aca="false">CHOOSE($C$13067,Assumptions!$C$70,Assumptions!$C$89,Assumptions!$C$108)*(I13080-H13080)+CHOOSE($C$13067,Assumptions!$C$71,Assumptions!$C$90,Assumptions!$C$109)*I13080</f>
        <v>-2.82268799999998</v>
      </c>
      <c r="J13096" s="25" t="n">
        <f aca="false">CHOOSE($C$13067,Assumptions!$C$70,Assumptions!$C$89,Assumptions!$C$108)*(J13080-I13080)+CHOOSE($C$13067,Assumptions!$C$71,Assumptions!$C$90,Assumptions!$C$109)*J13080</f>
        <v>-2.79446111999998</v>
      </c>
      <c r="K13096" s="25" t="n">
        <f aca="false">CHOOSE($C$13067,Assumptions!$C$70,Assumptions!$C$89,Assumptions!$C$108)*(K13080-J13080)+CHOOSE($C$13067,Assumptions!$C$71,Assumptions!$C$90,Assumptions!$C$109)*K13080</f>
        <v>-2.7665165088</v>
      </c>
    </row>
    <row r="13097" customFormat="false" ht="15" hidden="false" customHeight="false" outlineLevel="0" collapsed="false">
      <c r="A13097" s="2" t="s">
        <v>251</v>
      </c>
      <c r="G13097" s="16" t="n">
        <f aca="false">G13093+G13085+G13086+G13089-G13095-G13096</f>
        <v>-23.24</v>
      </c>
      <c r="H13097" s="16" t="n">
        <f aca="false">H13093+H13085+H13086+H13089-H13095-H13096</f>
        <v>-15.54296</v>
      </c>
      <c r="I13097" s="16" t="n">
        <f aca="false">I13093+I13085+I13086+I13089-I13095-I13096</f>
        <v>-9.71038960000003</v>
      </c>
      <c r="J13097" s="16" t="n">
        <f aca="false">J13093+J13085+J13086+J13089-J13095-J13096</f>
        <v>-1.620027256</v>
      </c>
      <c r="K13097" s="16" t="n">
        <f aca="false">K13093+K13085+K13086+K13089-K13095-K13096</f>
        <v>2.31301085608001</v>
      </c>
    </row>
    <row r="13099" customFormat="false" ht="15" hidden="false" customHeight="false" outlineLevel="0" collapsed="false">
      <c r="A13099" s="23" t="s">
        <v>253</v>
      </c>
      <c r="B13099" s="24"/>
      <c r="C13099" s="24"/>
      <c r="D13099" s="24"/>
      <c r="E13099" s="24"/>
      <c r="F13099" s="24"/>
      <c r="G13099" s="24"/>
      <c r="H13099" s="24"/>
      <c r="I13099" s="24"/>
      <c r="J13099" s="24"/>
      <c r="K13099" s="24"/>
    </row>
    <row r="13100" customFormat="false" ht="15" hidden="false" customHeight="false" outlineLevel="0" collapsed="false">
      <c r="A13100" s="5" t="s">
        <v>254</v>
      </c>
      <c r="G13100" s="29" t="n">
        <f aca="false">Assumptions!$G$49</f>
        <v>0.0425</v>
      </c>
      <c r="H13100" s="29" t="n">
        <f aca="false">Assumptions!$H$49</f>
        <v>0.04</v>
      </c>
      <c r="I13100" s="29" t="n">
        <f aca="false">Assumptions!$I$49</f>
        <v>0.0375</v>
      </c>
      <c r="J13100" s="29" t="n">
        <f aca="false">Assumptions!$J$49</f>
        <v>0.0375</v>
      </c>
      <c r="K13100" s="29" t="n">
        <f aca="false">Assumptions!$K$49</f>
        <v>0.0375</v>
      </c>
    </row>
    <row r="13101" customFormat="false" ht="15" hidden="false" customHeight="false" outlineLevel="0" collapsed="false">
      <c r="A13101" s="5" t="s">
        <v>255</v>
      </c>
      <c r="C13101" s="30" t="n">
        <f aca="false">CHOOSE($C$13067,Assumptions!$C$72,Assumptions!$C$91,Assumptions!$C$110)+$C$13070</f>
        <v>0.02</v>
      </c>
    </row>
    <row r="13102" customFormat="false" ht="15" hidden="false" customHeight="false" outlineLevel="0" collapsed="false">
      <c r="A13102" s="5" t="s">
        <v>256</v>
      </c>
      <c r="C13102" s="30" t="n">
        <f aca="false">CHOOSE($C$13067,Assumptions!$C$73,Assumptions!$C$92,Assumptions!$C$111)</f>
        <v>0.11</v>
      </c>
    </row>
    <row r="13103" customFormat="false" ht="15" hidden="false" customHeight="false" outlineLevel="0" collapsed="false">
      <c r="A13103" s="5" t="s">
        <v>257</v>
      </c>
      <c r="C13103" s="31" t="n">
        <f aca="false">CHOOSE($C$13067,Assumptions!$C$74,Assumptions!$C$93,Assumptions!$C$112)</f>
        <v>8.5</v>
      </c>
    </row>
    <row r="13104" customFormat="false" ht="15" hidden="false" customHeight="false" outlineLevel="0" collapsed="false">
      <c r="A13104" s="5" t="s">
        <v>258</v>
      </c>
      <c r="C13104" s="31" t="n">
        <f aca="false">CHOOSE($C$13067,Assumptions!$C$75,Assumptions!$C$94,Assumptions!$C$113)</f>
        <v>1.2</v>
      </c>
    </row>
    <row r="13105" customFormat="false" ht="15" hidden="false" customHeight="false" outlineLevel="0" collapsed="false">
      <c r="A13105" s="5" t="s">
        <v>259</v>
      </c>
      <c r="G13105" s="25" t="n">
        <f aca="false">G13110+G13123+G13136+G13149</f>
        <v>1250</v>
      </c>
      <c r="H13105" s="25" t="n">
        <f aca="false">H13110+H13123+H13136+H13149</f>
        <v>1228.24</v>
      </c>
      <c r="I13105" s="25" t="n">
        <f aca="false">I13110+I13123+I13136+I13149</f>
        <v>1223.04</v>
      </c>
      <c r="J13105" s="25" t="n">
        <f aca="false">J13110+J13123+J13136+J13149</f>
        <v>1217.84</v>
      </c>
      <c r="K13105" s="25" t="n">
        <f aca="false">K13110+K13123+K13136+K13149</f>
        <v>1212.64</v>
      </c>
    </row>
    <row r="13106" customFormat="false" ht="15" hidden="false" customHeight="false" outlineLevel="0" collapsed="false">
      <c r="A13106" s="5" t="s">
        <v>260</v>
      </c>
      <c r="G13106" s="25" t="n">
        <f aca="false">F13196</f>
        <v>45</v>
      </c>
      <c r="H13106" s="25" t="n">
        <f aca="false">G13196</f>
        <v>0</v>
      </c>
      <c r="I13106" s="25" t="n">
        <f aca="false">H13196</f>
        <v>-20.74296</v>
      </c>
      <c r="J13106" s="25" t="n">
        <f aca="false">I13196</f>
        <v>-35.6533496</v>
      </c>
      <c r="K13106" s="25" t="n">
        <f aca="false">J13196</f>
        <v>-42.473376856</v>
      </c>
    </row>
    <row r="13107" customFormat="false" ht="15" hidden="false" customHeight="false" outlineLevel="0" collapsed="false">
      <c r="A13107" s="5" t="s">
        <v>261</v>
      </c>
      <c r="G13107" s="25" t="n">
        <f aca="false">G13110*IF(G13111=1,$C$13102,IF(Assumptions!$I$53=1,MAX(G13100,Assumptions!$G$53)+Assumptions!$F$53+$C$13101,Assumptions!$E$53))+G13123*IF(G13124=1,$C$13102,IF(Assumptions!$I$54=1,MAX(G13100,Assumptions!$G$54)+Assumptions!$F$54+$C$13101,Assumptions!$E$54))+G13136*IF(G13137=1,$C$13102,IF(Assumptions!$I$55=1,MAX(G13100,Assumptions!$G$55)+Assumptions!$F$55+$C$13101,Assumptions!$E$55))+G13149*IF(G13150=1,$C$13102,IF(Assumptions!$I$56=1,MAX(G13100,Assumptions!$G$56)+Assumptions!$F$56+$C$13101,Assumptions!$E$56))</f>
        <v>133.04</v>
      </c>
      <c r="H13107" s="25" t="n">
        <f aca="false">H13110*IF(OR(H13111=1,G13262=1),$C$13102,IF(Assumptions!$I$53=1,MAX(H13100,Assumptions!$G$53)+Assumptions!$F$53+$C$13101,Assumptions!$E$53))+H13123*IF(OR(H13124=1,G13263=1),$C$13102,IF(Assumptions!$I$54=1,MAX(H13100,Assumptions!$G$54)+Assumptions!$F$54+$C$13101,Assumptions!$E$54))+H13136*IF(OR(H13137=1,G13264=1),$C$13102,IF(Assumptions!$I$55=1,MAX(H13100,Assumptions!$G$55)+Assumptions!$F$55+$C$13101,Assumptions!$E$55))+H13149*IF(OR(H13150=1,G13265=1),$C$13102,IF(Assumptions!$I$56=1,MAX(H13100,Assumptions!$G$56)+Assumptions!$F$56+$C$13101,Assumptions!$E$56))</f>
        <v>140.5118</v>
      </c>
      <c r="I13107" s="25" t="n">
        <f aca="false">I13110*IF(OR(I13111=1,H13262=1),$C$13102,IF(Assumptions!$I$53=1,MAX(I13100,Assumptions!$G$53)+Assumptions!$F$53+$C$13101,Assumptions!$E$53))+I13123*IF(OR(I13124=1,H13263=1),$C$13102,IF(Assumptions!$I$54=1,MAX(I13100,Assumptions!$G$54)+Assumptions!$F$54+$C$13101,Assumptions!$E$54))+I13136*IF(OR(I13137=1,H13264=1),$C$13102,IF(Assumptions!$I$55=1,MAX(I13100,Assumptions!$G$55)+Assumptions!$F$55+$C$13101,Assumptions!$E$55))+I13149*IF(OR(I13150=1,H13265=1),$C$13102,IF(Assumptions!$I$56=1,MAX(I13100,Assumptions!$G$56)+Assumptions!$F$56+$C$13101,Assumptions!$E$56))</f>
        <v>122.56344</v>
      </c>
      <c r="J13107" s="25" t="n">
        <f aca="false">J13110*IF(OR(J13111=1,I13262=1),$C$13102,IF(Assumptions!$I$53=1,MAX(J13100,Assumptions!$G$53)+Assumptions!$F$53+$C$13101,Assumptions!$E$53))+J13123*IF(OR(J13124=1,I13263=1),$C$13102,IF(Assumptions!$I$54=1,MAX(J13100,Assumptions!$G$54)+Assumptions!$F$54+$C$13101,Assumptions!$E$54))+J13136*IF(OR(J13137=1,I13264=1),$C$13102,IF(Assumptions!$I$55=1,MAX(J13100,Assumptions!$G$55)+Assumptions!$F$55+$C$13101,Assumptions!$E$55))+J13149*IF(OR(J13150=1,I13265=1),$C$13102,IF(Assumptions!$I$56=1,MAX(J13100,Assumptions!$G$56)+Assumptions!$F$56+$C$13101,Assumptions!$E$56))</f>
        <v>121.99144</v>
      </c>
      <c r="K13107" s="25" t="n">
        <f aca="false">K13110*IF(OR(K13111=1,J13262=1),$C$13102,IF(Assumptions!$I$53=1,MAX(K13100,Assumptions!$G$53)+Assumptions!$F$53+$C$13101,Assumptions!$E$53))+K13123*IF(OR(K13124=1,J13263=1),$C$13102,IF(Assumptions!$I$54=1,MAX(K13100,Assumptions!$G$54)+Assumptions!$F$54+$C$13101,Assumptions!$E$54))+K13136*IF(OR(K13137=1,J13264=1),$C$13102,IF(Assumptions!$I$55=1,MAX(K13100,Assumptions!$G$55)+Assumptions!$F$55+$C$13101,Assumptions!$E$55))+K13149*IF(OR(K13150=1,J13265=1),$C$13102,IF(Assumptions!$I$56=1,MAX(K13100,Assumptions!$G$56)+Assumptions!$F$56+$C$13101,Assumptions!$E$56))</f>
        <v>121.41944</v>
      </c>
    </row>
    <row r="13108" customFormat="false" ht="15" hidden="false" customHeight="false" outlineLevel="0" collapsed="false">
      <c r="A13108" s="5" t="s">
        <v>262</v>
      </c>
      <c r="G13108" s="20" t="n">
        <f aca="false">IF(G13084&lt;=0,0,IF(AND((G13105-G13106)/G13084&lt;=$C$13103,G13084/G13107&gt;=$C$13104),1,0))</f>
        <v>0</v>
      </c>
      <c r="H13108" s="20" t="n">
        <f aca="false">IF(H13084&lt;=0,0,IF(AND((H13105-H13106)/H13084&lt;=$C$13103,H13084/H13107&gt;=$C$13104),1,0))</f>
        <v>0</v>
      </c>
      <c r="I13108" s="20" t="n">
        <f aca="false">IF(I13084&lt;=0,0,IF(AND((I13105-I13106)/I13084&lt;=$C$13103,I13084/I13107&gt;=$C$13104),1,0))</f>
        <v>1</v>
      </c>
      <c r="J13108" s="20" t="n">
        <f aca="false">IF(J13084&lt;=0,0,IF(AND((J13105-J13106)/J13084&lt;=$C$13103,J13084/J13107&gt;=$C$13104),1,0))</f>
        <v>1</v>
      </c>
      <c r="K13108" s="20" t="n">
        <f aca="false">IF(K13084&lt;=0,0,IF(AND((K13105-K13106)/K13084&lt;=$C$13103,K13084/K13107&gt;=$C$13104),1,0))</f>
        <v>1</v>
      </c>
    </row>
    <row r="13109" customFormat="false" ht="15" hidden="false" customHeight="false" outlineLevel="0" collapsed="false">
      <c r="A13109" s="23" t="s">
        <v>263</v>
      </c>
      <c r="B13109" s="24"/>
      <c r="C13109" s="24"/>
      <c r="D13109" s="24"/>
      <c r="E13109" s="24"/>
      <c r="F13109" s="24"/>
      <c r="G13109" s="24"/>
      <c r="H13109" s="24"/>
      <c r="I13109" s="24"/>
      <c r="J13109" s="24"/>
      <c r="K13109" s="24"/>
    </row>
    <row r="13110" customFormat="false" ht="15" hidden="false" customHeight="false" outlineLevel="0" collapsed="false">
      <c r="A13110" s="5" t="s">
        <v>264</v>
      </c>
      <c r="G13110" s="25" t="n">
        <f aca="false">F13121</f>
        <v>180</v>
      </c>
      <c r="H13110" s="25" t="n">
        <f aca="false">G13121</f>
        <v>163.44</v>
      </c>
      <c r="I13110" s="25" t="n">
        <f aca="false">H13121</f>
        <v>163.44</v>
      </c>
      <c r="J13110" s="25" t="n">
        <f aca="false">I13121</f>
        <v>163.44</v>
      </c>
      <c r="K13110" s="25" t="n">
        <f aca="false">J13121</f>
        <v>163.44</v>
      </c>
    </row>
    <row r="13111" customFormat="false" ht="15" hidden="false" customHeight="false" outlineLevel="0" collapsed="false">
      <c r="A13111" s="5" t="s">
        <v>265</v>
      </c>
      <c r="G13111" s="20" t="n">
        <f aca="false">IF(G13074=Assumptions!$K$53,1,0)</f>
        <v>0</v>
      </c>
      <c r="H13111" s="20" t="n">
        <f aca="false">IF(H13074=Assumptions!$K$53,1,0)</f>
        <v>1</v>
      </c>
      <c r="I13111" s="20" t="n">
        <f aca="false">IF(I13074=Assumptions!$K$53,1,0)</f>
        <v>0</v>
      </c>
      <c r="J13111" s="20" t="n">
        <f aca="false">IF(J13074=Assumptions!$K$53,1,0)</f>
        <v>0</v>
      </c>
      <c r="K13111" s="20" t="n">
        <f aca="false">IF(K13074=Assumptions!$K$53,1,0)</f>
        <v>0</v>
      </c>
    </row>
    <row r="13113" customFormat="false" ht="15" hidden="false" customHeight="false" outlineLevel="0" collapsed="false">
      <c r="A13113" s="5" t="s">
        <v>266</v>
      </c>
      <c r="G13113" s="30" t="n">
        <f aca="false">IF(Assumptions!$I$53=1,MAX(G13100,Assumptions!$G$53)+Assumptions!$F$53+$C$13101,Assumptions!$E$53)</f>
        <v>0.106</v>
      </c>
      <c r="H13113" s="30" t="n">
        <f aca="false">IF(G13262=1,$C$13102,IF(Assumptions!$I$53=1,MAX(H13100,Assumptions!$G$53)+Assumptions!$F$53+$C$13101,Assumptions!$E$53))</f>
        <v>0.1035</v>
      </c>
      <c r="I13113" s="30" t="n">
        <f aca="false">IF(H13262=1,$C$13102,IF(Assumptions!$I$53=1,MAX(I13100,Assumptions!$G$53)+Assumptions!$F$53+$C$13101,Assumptions!$E$53))</f>
        <v>0.101</v>
      </c>
      <c r="J13113" s="30" t="n">
        <f aca="false">IF(I13262=1,$C$13102,IF(Assumptions!$I$53=1,MAX(J13100,Assumptions!$G$53)+Assumptions!$F$53+$C$13101,Assumptions!$E$53))</f>
        <v>0.101</v>
      </c>
      <c r="K13113" s="30" t="n">
        <f aca="false">IF(J13262=1,$C$13102,IF(Assumptions!$I$53=1,MAX(K13100,Assumptions!$G$53)+Assumptions!$F$53+$C$13101,Assumptions!$E$53))</f>
        <v>0.101</v>
      </c>
    </row>
    <row r="13114" customFormat="false" ht="15" hidden="false" customHeight="false" outlineLevel="0" collapsed="false">
      <c r="A13114" s="5" t="s">
        <v>267</v>
      </c>
      <c r="G13114" s="25" t="n">
        <f aca="false">G13110*G13113</f>
        <v>19.08</v>
      </c>
      <c r="H13114" s="25" t="n">
        <f aca="false">H13110*H13113</f>
        <v>16.91604</v>
      </c>
      <c r="I13114" s="25" t="n">
        <f aca="false">I13110*I13113</f>
        <v>16.50744</v>
      </c>
      <c r="J13114" s="25" t="n">
        <f aca="false">J13110*J13113</f>
        <v>16.50744</v>
      </c>
      <c r="K13114" s="25" t="n">
        <f aca="false">K13110*K13113</f>
        <v>16.50744</v>
      </c>
    </row>
    <row r="13115" customFormat="false" ht="15" hidden="false" customHeight="false" outlineLevel="0" collapsed="false">
      <c r="A13115" s="5" t="s">
        <v>268</v>
      </c>
      <c r="G13115" s="25" t="n">
        <f aca="false">G13110*Assumptions!$H$53</f>
        <v>0</v>
      </c>
      <c r="H13115" s="25" t="n">
        <f aca="false">H13110*Assumptions!$H$53</f>
        <v>0</v>
      </c>
      <c r="I13115" s="25" t="n">
        <f aca="false">I13110*Assumptions!$H$53</f>
        <v>0</v>
      </c>
      <c r="J13115" s="25" t="n">
        <f aca="false">J13110*Assumptions!$H$53</f>
        <v>0</v>
      </c>
      <c r="K13115" s="25" t="n">
        <f aca="false">K13110*Assumptions!$H$53</f>
        <v>0</v>
      </c>
    </row>
    <row r="13116" customFormat="false" ht="15" hidden="false" customHeight="false" outlineLevel="0" collapsed="false">
      <c r="A13116" s="5" t="s">
        <v>269</v>
      </c>
      <c r="G13116" s="25" t="n">
        <f aca="false">MIN(G13110,Assumptions!$L$53*Assumptions!$C$53)</f>
        <v>0</v>
      </c>
      <c r="H13116" s="25" t="n">
        <f aca="false">MIN(H13110,Assumptions!$L$53*Assumptions!$C$53)</f>
        <v>0</v>
      </c>
      <c r="I13116" s="25" t="n">
        <f aca="false">MIN(I13110,Assumptions!$L$53*Assumptions!$C$53)</f>
        <v>0</v>
      </c>
      <c r="J13116" s="25" t="n">
        <f aca="false">MIN(J13110,Assumptions!$L$53*Assumptions!$C$53)</f>
        <v>0</v>
      </c>
      <c r="K13116" s="25" t="n">
        <f aca="false">MIN(K13110,Assumptions!$L$53*Assumptions!$C$53)</f>
        <v>0</v>
      </c>
    </row>
    <row r="13117" customFormat="false" ht="15" hidden="false" customHeight="false" outlineLevel="0" collapsed="false">
      <c r="A13117" s="5" t="s">
        <v>270</v>
      </c>
      <c r="G13117" s="25" t="n">
        <f aca="false">IF(AND(Assumptions!$P$53=1,G13074&lt;Assumptions!$K$53),MIN(MAX(0,-G13188),MAX(0,Assumptions!$D$53-G13110)),0)</f>
        <v>0</v>
      </c>
      <c r="H13117" s="25" t="n">
        <f aca="false">IF(AND(Assumptions!$P$53=1,OR(H13074&lt;Assumptions!$K$53,G13262=1)),MIN(MAX(0,-H13188),MAX(0,Assumptions!$D$53-H13110)),0)</f>
        <v>0</v>
      </c>
      <c r="I13117" s="25" t="n">
        <f aca="false">IF(AND(Assumptions!$P$53=1,OR(I13074&lt;Assumptions!$K$53,H13262=1)),MIN(MAX(0,-I13188),MAX(0,Assumptions!$D$53-I13110)),0)</f>
        <v>0</v>
      </c>
      <c r="J13117" s="25" t="n">
        <f aca="false">IF(AND(Assumptions!$P$53=1,OR(J13074&lt;Assumptions!$K$53,I13262=1)),MIN(MAX(0,-J13188),MAX(0,Assumptions!$D$53-J13110)),0)</f>
        <v>0</v>
      </c>
      <c r="K13117" s="25" t="n">
        <f aca="false">IF(AND(Assumptions!$P$53=1,OR(K13074&lt;Assumptions!$K$53,J13262=1)),MIN(MAX(0,-K13188),MAX(0,Assumptions!$D$53-K13110)),0)</f>
        <v>0</v>
      </c>
    </row>
    <row r="13118" customFormat="false" ht="15" hidden="false" customHeight="false" outlineLevel="0" collapsed="false">
      <c r="A13118" s="5" t="s">
        <v>271</v>
      </c>
      <c r="G13118" s="25" t="n">
        <f aca="false">G13111*MIN(G13110-G13116+G13115,MAX(0,G13190-Assumptions!$C$12*G13108))</f>
        <v>0</v>
      </c>
      <c r="H13118" s="25" t="n">
        <f aca="false">H13111*MIN(H13110-H13116+H13115,MAX(0,H13190-Assumptions!$C$12*H13108))</f>
        <v>0</v>
      </c>
      <c r="I13118" s="25" t="n">
        <f aca="false">I13111*MIN(I13110-I13116+I13115,MAX(0,I13190-Assumptions!$C$12*I13108))</f>
        <v>0</v>
      </c>
      <c r="J13118" s="25" t="n">
        <f aca="false">J13111*MIN(J13110-J13116+J13115,MAX(0,J13190-Assumptions!$C$12*J13108))</f>
        <v>0</v>
      </c>
      <c r="K13118" s="25" t="n">
        <f aca="false">K13111*MIN(K13110-K13116+K13115,MAX(0,K13190-Assumptions!$C$12*K13108))</f>
        <v>0</v>
      </c>
    </row>
    <row r="13119" customFormat="false" ht="15" hidden="false" customHeight="false" outlineLevel="0" collapsed="false">
      <c r="A13119" s="5" t="s">
        <v>272</v>
      </c>
      <c r="G13119" s="25" t="n">
        <f aca="false">Assumptions!$N$53*MIN(G13110+G13117+G13115-G13116-G13118,MAX(0,G13194))</f>
        <v>16.56</v>
      </c>
      <c r="H13119" s="25" t="n">
        <f aca="false">Assumptions!$N$53*MIN(H13110+H13117+H13115-H13116-H13118,MAX(0,H13194))</f>
        <v>0</v>
      </c>
      <c r="I13119" s="25" t="n">
        <f aca="false">Assumptions!$N$53*MIN(I13110+I13117+I13115-I13116-I13118,MAX(0,I13194))</f>
        <v>0</v>
      </c>
      <c r="J13119" s="25" t="n">
        <f aca="false">Assumptions!$N$53*MIN(J13110+J13117+J13115-J13116-J13118,MAX(0,J13194))</f>
        <v>0</v>
      </c>
      <c r="K13119" s="25" t="n">
        <f aca="false">Assumptions!$N$53*MIN(K13110+K13117+K13115-K13116-K13118,MAX(0,K13194))</f>
        <v>0</v>
      </c>
    </row>
    <row r="13120" customFormat="false" ht="15" hidden="false" customHeight="false" outlineLevel="0" collapsed="false">
      <c r="A13120" s="5" t="s">
        <v>273</v>
      </c>
      <c r="G13120" s="25" t="n">
        <f aca="false">G13111*(1-G13108)*(G13110-G13116+G13115-G13118)</f>
        <v>0</v>
      </c>
      <c r="H13120" s="25" t="n">
        <f aca="false">H13111*(1-H13108)*(H13110-H13116+H13115-H13118)</f>
        <v>163.44</v>
      </c>
      <c r="I13120" s="25" t="n">
        <f aca="false">I13111*(1-I13108)*(I13110-I13116+I13115-I13118)</f>
        <v>0</v>
      </c>
      <c r="J13120" s="25" t="n">
        <f aca="false">J13111*(1-J13108)*(J13110-J13116+J13115-J13118)</f>
        <v>0</v>
      </c>
      <c r="K13120" s="25" t="n">
        <f aca="false">K13111*(1-K13108)*(K13110-K13116+K13115-K13118)</f>
        <v>0</v>
      </c>
    </row>
    <row r="13121" customFormat="false" ht="15" hidden="false" customHeight="false" outlineLevel="0" collapsed="false">
      <c r="A13121" s="2" t="s">
        <v>274</v>
      </c>
      <c r="F13121" s="27" t="n">
        <f aca="false">Assumptions!$C$53</f>
        <v>180</v>
      </c>
      <c r="G13121" s="16" t="n">
        <f aca="false">G13110+G13117+G13115-G13116-G13118-G13119</f>
        <v>163.44</v>
      </c>
      <c r="H13121" s="16" t="n">
        <f aca="false">H13110+H13117+H13115-H13116-H13118-H13119</f>
        <v>163.44</v>
      </c>
      <c r="I13121" s="16" t="n">
        <f aca="false">I13110+I13117+I13115-I13116-I13118-I13119</f>
        <v>163.44</v>
      </c>
      <c r="J13121" s="16" t="n">
        <f aca="false">J13110+J13117+J13115-J13116-J13118-J13119</f>
        <v>163.44</v>
      </c>
      <c r="K13121" s="16" t="n">
        <f aca="false">K13110+K13117+K13115-K13116-K13118-K13119</f>
        <v>163.44</v>
      </c>
    </row>
    <row r="13122" customFormat="false" ht="15" hidden="false" customHeight="false" outlineLevel="0" collapsed="false">
      <c r="A13122" s="23" t="s">
        <v>275</v>
      </c>
      <c r="B13122" s="24"/>
      <c r="C13122" s="24"/>
      <c r="D13122" s="24"/>
      <c r="E13122" s="24"/>
      <c r="F13122" s="24"/>
      <c r="G13122" s="24"/>
      <c r="H13122" s="24"/>
      <c r="I13122" s="24"/>
      <c r="J13122" s="24"/>
      <c r="K13122" s="24"/>
    </row>
    <row r="13123" customFormat="false" ht="15" hidden="false" customHeight="false" outlineLevel="0" collapsed="false">
      <c r="A13123" s="5" t="s">
        <v>264</v>
      </c>
      <c r="G13123" s="25" t="n">
        <f aca="false">F13134</f>
        <v>520</v>
      </c>
      <c r="H13123" s="25" t="n">
        <f aca="false">G13134</f>
        <v>514.8</v>
      </c>
      <c r="I13123" s="25" t="n">
        <f aca="false">H13134</f>
        <v>509.6</v>
      </c>
      <c r="J13123" s="25" t="n">
        <f aca="false">I13134</f>
        <v>504.4</v>
      </c>
      <c r="K13123" s="25" t="n">
        <f aca="false">J13134</f>
        <v>499.2</v>
      </c>
    </row>
    <row r="13124" customFormat="false" ht="15" hidden="false" customHeight="false" outlineLevel="0" collapsed="false">
      <c r="A13124" s="5" t="s">
        <v>265</v>
      </c>
      <c r="G13124" s="20" t="n">
        <f aca="false">IF(G13074=Assumptions!$K$54,1,0)</f>
        <v>0</v>
      </c>
      <c r="H13124" s="20" t="n">
        <f aca="false">IF(H13074=Assumptions!$K$54,1,0)</f>
        <v>0</v>
      </c>
      <c r="I13124" s="20" t="n">
        <f aca="false">IF(I13074=Assumptions!$K$54,1,0)</f>
        <v>1</v>
      </c>
      <c r="J13124" s="20" t="n">
        <f aca="false">IF(J13074=Assumptions!$K$54,1,0)</f>
        <v>0</v>
      </c>
      <c r="K13124" s="20" t="n">
        <f aca="false">IF(K13074=Assumptions!$K$54,1,0)</f>
        <v>0</v>
      </c>
    </row>
    <row r="13126" customFormat="false" ht="15" hidden="false" customHeight="false" outlineLevel="0" collapsed="false">
      <c r="A13126" s="5" t="s">
        <v>266</v>
      </c>
      <c r="G13126" s="30" t="n">
        <f aca="false">IF(Assumptions!$I$54=1,MAX(G13100,Assumptions!$G$54)+Assumptions!$F$54+$C$13101,Assumptions!$E$54)</f>
        <v>0.123</v>
      </c>
      <c r="H13126" s="30" t="n">
        <f aca="false">IF(G13263=1,$C$13102,IF(Assumptions!$I$54=1,MAX(H13100,Assumptions!$G$54)+Assumptions!$F$54+$C$13101,Assumptions!$E$54))</f>
        <v>0.1205</v>
      </c>
      <c r="I13126" s="30" t="n">
        <f aca="false">IF(H13263=1,$C$13102,IF(Assumptions!$I$54=1,MAX(I13100,Assumptions!$G$54)+Assumptions!$F$54+$C$13101,Assumptions!$E$54))</f>
        <v>0.118</v>
      </c>
      <c r="J13126" s="30" t="n">
        <f aca="false">IF(I13263=1,$C$13102,IF(Assumptions!$I$54=1,MAX(J13100,Assumptions!$G$54)+Assumptions!$F$54+$C$13101,Assumptions!$E$54))</f>
        <v>0.11</v>
      </c>
      <c r="K13126" s="30" t="n">
        <f aca="false">IF(J13263=1,$C$13102,IF(Assumptions!$I$54=1,MAX(K13100,Assumptions!$G$54)+Assumptions!$F$54+$C$13101,Assumptions!$E$54))</f>
        <v>0.11</v>
      </c>
    </row>
    <row r="13127" customFormat="false" ht="15" hidden="false" customHeight="false" outlineLevel="0" collapsed="false">
      <c r="A13127" s="5" t="s">
        <v>267</v>
      </c>
      <c r="G13127" s="25" t="n">
        <f aca="false">G13123*G13126</f>
        <v>63.96</v>
      </c>
      <c r="H13127" s="25" t="n">
        <f aca="false">H13123*H13126</f>
        <v>62.0334</v>
      </c>
      <c r="I13127" s="25" t="n">
        <f aca="false">I13123*I13126</f>
        <v>60.1328</v>
      </c>
      <c r="J13127" s="25" t="n">
        <f aca="false">J13123*J13126</f>
        <v>55.484</v>
      </c>
      <c r="K13127" s="25" t="n">
        <f aca="false">K13123*K13126</f>
        <v>54.912</v>
      </c>
    </row>
    <row r="13128" customFormat="false" ht="15" hidden="false" customHeight="false" outlineLevel="0" collapsed="false">
      <c r="A13128" s="5" t="s">
        <v>268</v>
      </c>
      <c r="G13128" s="25" t="n">
        <f aca="false">G13123*Assumptions!$H$54</f>
        <v>0</v>
      </c>
      <c r="H13128" s="25" t="n">
        <f aca="false">H13123*Assumptions!$H$54</f>
        <v>0</v>
      </c>
      <c r="I13128" s="25" t="n">
        <f aca="false">I13123*Assumptions!$H$54</f>
        <v>0</v>
      </c>
      <c r="J13128" s="25" t="n">
        <f aca="false">J13123*Assumptions!$H$54</f>
        <v>0</v>
      </c>
      <c r="K13128" s="25" t="n">
        <f aca="false">K13123*Assumptions!$H$54</f>
        <v>0</v>
      </c>
    </row>
    <row r="13129" customFormat="false" ht="15" hidden="false" customHeight="false" outlineLevel="0" collapsed="false">
      <c r="A13129" s="5" t="s">
        <v>269</v>
      </c>
      <c r="G13129" s="25" t="n">
        <f aca="false">MIN(G13123,Assumptions!$L$54*Assumptions!$C$54)</f>
        <v>5.2</v>
      </c>
      <c r="H13129" s="25" t="n">
        <f aca="false">MIN(H13123,Assumptions!$L$54*Assumptions!$C$54)</f>
        <v>5.2</v>
      </c>
      <c r="I13129" s="25" t="n">
        <f aca="false">MIN(I13123,Assumptions!$L$54*Assumptions!$C$54)</f>
        <v>5.2</v>
      </c>
      <c r="J13129" s="25" t="n">
        <f aca="false">MIN(J13123,Assumptions!$L$54*Assumptions!$C$54)</f>
        <v>5.2</v>
      </c>
      <c r="K13129" s="25" t="n">
        <f aca="false">MIN(K13123,Assumptions!$L$54*Assumptions!$C$54)</f>
        <v>5.2</v>
      </c>
    </row>
    <row r="13130" customFormat="false" ht="15" hidden="false" customHeight="false" outlineLevel="0" collapsed="false">
      <c r="A13130" s="5" t="s">
        <v>270</v>
      </c>
      <c r="G13130" s="25" t="n">
        <f aca="false">IF(AND(Assumptions!$P$54=1,G13074&lt;Assumptions!$K$54),MIN(MAX(0,-G13188),MAX(0,Assumptions!$D$54-G13123)),0)</f>
        <v>0</v>
      </c>
      <c r="H13130" s="25" t="n">
        <f aca="false">IF(AND(Assumptions!$P$54=1,OR(H13074&lt;Assumptions!$K$54,G13263=1)),MIN(MAX(0,-H13188),MAX(0,Assumptions!$D$54-H13123)),0)</f>
        <v>0</v>
      </c>
      <c r="I13130" s="25" t="n">
        <f aca="false">IF(AND(Assumptions!$P$54=1,OR(I13074&lt;Assumptions!$K$54,H13263=1)),MIN(MAX(0,-I13188),MAX(0,Assumptions!$D$54-I13123)),0)</f>
        <v>0</v>
      </c>
      <c r="J13130" s="25" t="n">
        <f aca="false">IF(AND(Assumptions!$P$54=1,OR(J13074&lt;Assumptions!$K$54,I13263=1)),MIN(MAX(0,-J13188),MAX(0,Assumptions!$D$54-J13123)),0)</f>
        <v>0</v>
      </c>
      <c r="K13130" s="25" t="n">
        <f aca="false">IF(AND(Assumptions!$P$54=1,OR(K13074&lt;Assumptions!$K$54,J13263=1)),MIN(MAX(0,-K13188),MAX(0,Assumptions!$D$54-K13123)),0)</f>
        <v>0</v>
      </c>
    </row>
    <row r="13131" customFormat="false" ht="15" hidden="false" customHeight="false" outlineLevel="0" collapsed="false">
      <c r="A13131" s="5" t="s">
        <v>271</v>
      </c>
      <c r="G13131" s="25" t="n">
        <f aca="false">G13124*MIN(G13123-G13129+G13128,MAX(0,G13190-Assumptions!$C$12*G13108-G13118))</f>
        <v>0</v>
      </c>
      <c r="H13131" s="25" t="n">
        <f aca="false">H13124*MIN(H13123-H13129+H13128,MAX(0,H13190-Assumptions!$C$12*H13108-H13118))</f>
        <v>0</v>
      </c>
      <c r="I13131" s="25" t="n">
        <f aca="false">I13124*MIN(I13123-I13129+I13128,MAX(0,I13190-Assumptions!$C$12*I13108-I13118))</f>
        <v>0</v>
      </c>
      <c r="J13131" s="25" t="n">
        <f aca="false">J13124*MIN(J13123-J13129+J13128,MAX(0,J13190-Assumptions!$C$12*J13108-J13118))</f>
        <v>0</v>
      </c>
      <c r="K13131" s="25" t="n">
        <f aca="false">K13124*MIN(K13123-K13129+K13128,MAX(0,K13190-Assumptions!$C$12*K13108-K13118))</f>
        <v>0</v>
      </c>
    </row>
    <row r="13132" customFormat="false" ht="15" hidden="false" customHeight="false" outlineLevel="0" collapsed="false">
      <c r="A13132" s="5" t="s">
        <v>272</v>
      </c>
      <c r="G13132" s="25" t="n">
        <f aca="false">Assumptions!$N$54*MIN(G13123+G13130+G13128-G13129-G13131,MAX(0,G13194-G13119))</f>
        <v>0</v>
      </c>
      <c r="H13132" s="25" t="n">
        <f aca="false">Assumptions!$N$54*MIN(H13123+H13130+H13128-H13129-H13131,MAX(0,H13194-H13119))</f>
        <v>0</v>
      </c>
      <c r="I13132" s="25" t="n">
        <f aca="false">Assumptions!$N$54*MIN(I13123+I13130+I13128-I13129-I13131,MAX(0,I13194-I13119))</f>
        <v>0</v>
      </c>
      <c r="J13132" s="25" t="n">
        <f aca="false">Assumptions!$N$54*MIN(J13123+J13130+J13128-J13129-J13131,MAX(0,J13194-J13119))</f>
        <v>0</v>
      </c>
      <c r="K13132" s="25" t="n">
        <f aca="false">Assumptions!$N$54*MIN(K13123+K13130+K13128-K13129-K13131,MAX(0,K13194-K13119))</f>
        <v>0</v>
      </c>
    </row>
    <row r="13133" customFormat="false" ht="15" hidden="false" customHeight="false" outlineLevel="0" collapsed="false">
      <c r="A13133" s="5" t="s">
        <v>273</v>
      </c>
      <c r="G13133" s="25" t="n">
        <f aca="false">G13124*(1-G13108)*(G13123-G13129+G13128-G13131)</f>
        <v>0</v>
      </c>
      <c r="H13133" s="25" t="n">
        <f aca="false">H13124*(1-H13108)*(H13123-H13129+H13128-H13131)</f>
        <v>0</v>
      </c>
      <c r="I13133" s="25" t="n">
        <f aca="false">I13124*(1-I13108)*(I13123-I13129+I13128-I13131)</f>
        <v>0</v>
      </c>
      <c r="J13133" s="25" t="n">
        <f aca="false">J13124*(1-J13108)*(J13123-J13129+J13128-J13131)</f>
        <v>0</v>
      </c>
      <c r="K13133" s="25" t="n">
        <f aca="false">K13124*(1-K13108)*(K13123-K13129+K13128-K13131)</f>
        <v>0</v>
      </c>
    </row>
    <row r="13134" customFormat="false" ht="15" hidden="false" customHeight="false" outlineLevel="0" collapsed="false">
      <c r="A13134" s="2" t="s">
        <v>274</v>
      </c>
      <c r="F13134" s="27" t="n">
        <f aca="false">Assumptions!$C$54</f>
        <v>520</v>
      </c>
      <c r="G13134" s="16" t="n">
        <f aca="false">G13123+G13130+G13128-G13129-G13131-G13132</f>
        <v>514.8</v>
      </c>
      <c r="H13134" s="16" t="n">
        <f aca="false">H13123+H13130+H13128-H13129-H13131-H13132</f>
        <v>509.6</v>
      </c>
      <c r="I13134" s="16" t="n">
        <f aca="false">I13123+I13130+I13128-I13129-I13131-I13132</f>
        <v>504.4</v>
      </c>
      <c r="J13134" s="16" t="n">
        <f aca="false">J13123+J13130+J13128-J13129-J13131-J13132</f>
        <v>499.2</v>
      </c>
      <c r="K13134" s="16" t="n">
        <f aca="false">K13123+K13130+K13128-K13129-K13131-K13132</f>
        <v>494</v>
      </c>
    </row>
    <row r="13135" customFormat="false" ht="15" hidden="false" customHeight="false" outlineLevel="0" collapsed="false">
      <c r="A13135" s="23" t="s">
        <v>276</v>
      </c>
      <c r="B13135" s="24"/>
      <c r="C13135" s="24"/>
      <c r="D13135" s="24"/>
      <c r="E13135" s="24"/>
      <c r="F13135" s="24"/>
      <c r="G13135" s="24"/>
      <c r="H13135" s="24"/>
      <c r="I13135" s="24"/>
      <c r="J13135" s="24"/>
      <c r="K13135" s="24"/>
    </row>
    <row r="13136" customFormat="false" ht="15" hidden="false" customHeight="false" outlineLevel="0" collapsed="false">
      <c r="A13136" s="5" t="s">
        <v>264</v>
      </c>
      <c r="G13136" s="25" t="n">
        <f aca="false">F13147</f>
        <v>250</v>
      </c>
      <c r="H13136" s="25" t="n">
        <f aca="false">G13147</f>
        <v>250</v>
      </c>
      <c r="I13136" s="25" t="n">
        <f aca="false">H13147</f>
        <v>250</v>
      </c>
      <c r="J13136" s="25" t="n">
        <f aca="false">I13147</f>
        <v>250</v>
      </c>
      <c r="K13136" s="25" t="n">
        <f aca="false">J13147</f>
        <v>250</v>
      </c>
    </row>
    <row r="13137" customFormat="false" ht="15" hidden="false" customHeight="false" outlineLevel="0" collapsed="false">
      <c r="A13137" s="5" t="s">
        <v>265</v>
      </c>
      <c r="G13137" s="20" t="n">
        <f aca="false">IF(G13074=Assumptions!$K$55,1,0)</f>
        <v>0</v>
      </c>
      <c r="H13137" s="20" t="n">
        <f aca="false">IF(H13074=Assumptions!$K$55,1,0)</f>
        <v>0</v>
      </c>
      <c r="I13137" s="20" t="n">
        <f aca="false">IF(I13074=Assumptions!$K$55,1,0)</f>
        <v>0</v>
      </c>
      <c r="J13137" s="20" t="n">
        <f aca="false">IF(J13074=Assumptions!$K$55,1,0)</f>
        <v>1</v>
      </c>
      <c r="K13137" s="20" t="n">
        <f aca="false">IF(K13074=Assumptions!$K$55,1,0)</f>
        <v>0</v>
      </c>
    </row>
    <row r="13139" customFormat="false" ht="15" hidden="false" customHeight="false" outlineLevel="0" collapsed="false">
      <c r="A13139" s="5" t="s">
        <v>266</v>
      </c>
      <c r="G13139" s="30" t="n">
        <f aca="false">IF(Assumptions!$I$55=1,MAX(G13100,Assumptions!$G$55)+Assumptions!$F$55+$C$13101,Assumptions!$E$55)</f>
        <v>0.11</v>
      </c>
      <c r="H13139" s="30" t="n">
        <f aca="false">IF(G13264=1,$C$13102,IF(Assumptions!$I$55=1,MAX(H13100,Assumptions!$G$55)+Assumptions!$F$55+$C$13101,Assumptions!$E$55))</f>
        <v>0.11</v>
      </c>
      <c r="I13139" s="30" t="n">
        <f aca="false">IF(H13264=1,$C$13102,IF(Assumptions!$I$55=1,MAX(I13100,Assumptions!$G$55)+Assumptions!$F$55+$C$13101,Assumptions!$E$55))</f>
        <v>0.11</v>
      </c>
      <c r="J13139" s="30" t="n">
        <f aca="false">IF(I13264=1,$C$13102,IF(Assumptions!$I$55=1,MAX(J13100,Assumptions!$G$55)+Assumptions!$F$55+$C$13101,Assumptions!$E$55))</f>
        <v>0.11</v>
      </c>
      <c r="K13139" s="30" t="n">
        <f aca="false">IF(J13264=1,$C$13102,IF(Assumptions!$I$55=1,MAX(K13100,Assumptions!$G$55)+Assumptions!$F$55+$C$13101,Assumptions!$E$55))</f>
        <v>0.11</v>
      </c>
    </row>
    <row r="13140" customFormat="false" ht="15" hidden="false" customHeight="false" outlineLevel="0" collapsed="false">
      <c r="A13140" s="5" t="s">
        <v>267</v>
      </c>
      <c r="G13140" s="25" t="n">
        <f aca="false">G13136*G13139</f>
        <v>27.5</v>
      </c>
      <c r="H13140" s="25" t="n">
        <f aca="false">H13136*H13139</f>
        <v>27.5</v>
      </c>
      <c r="I13140" s="25" t="n">
        <f aca="false">I13136*I13139</f>
        <v>27.5</v>
      </c>
      <c r="J13140" s="25" t="n">
        <f aca="false">J13136*J13139</f>
        <v>27.5</v>
      </c>
      <c r="K13140" s="25" t="n">
        <f aca="false">K13136*K13139</f>
        <v>27.5</v>
      </c>
    </row>
    <row r="13141" customFormat="false" ht="15" hidden="false" customHeight="false" outlineLevel="0" collapsed="false">
      <c r="A13141" s="5" t="s">
        <v>268</v>
      </c>
      <c r="G13141" s="25" t="n">
        <f aca="false">G13136*Assumptions!$H$55</f>
        <v>0</v>
      </c>
      <c r="H13141" s="25" t="n">
        <f aca="false">H13136*Assumptions!$H$55</f>
        <v>0</v>
      </c>
      <c r="I13141" s="25" t="n">
        <f aca="false">I13136*Assumptions!$H$55</f>
        <v>0</v>
      </c>
      <c r="J13141" s="25" t="n">
        <f aca="false">J13136*Assumptions!$H$55</f>
        <v>0</v>
      </c>
      <c r="K13141" s="25" t="n">
        <f aca="false">K13136*Assumptions!$H$55</f>
        <v>0</v>
      </c>
    </row>
    <row r="13142" customFormat="false" ht="15" hidden="false" customHeight="false" outlineLevel="0" collapsed="false">
      <c r="A13142" s="5" t="s">
        <v>269</v>
      </c>
      <c r="G13142" s="25" t="n">
        <f aca="false">MIN(G13136,Assumptions!$L$55*Assumptions!$C$55)</f>
        <v>0</v>
      </c>
      <c r="H13142" s="25" t="n">
        <f aca="false">MIN(H13136,Assumptions!$L$55*Assumptions!$C$55)</f>
        <v>0</v>
      </c>
      <c r="I13142" s="25" t="n">
        <f aca="false">MIN(I13136,Assumptions!$L$55*Assumptions!$C$55)</f>
        <v>0</v>
      </c>
      <c r="J13142" s="25" t="n">
        <f aca="false">MIN(J13136,Assumptions!$L$55*Assumptions!$C$55)</f>
        <v>0</v>
      </c>
      <c r="K13142" s="25" t="n">
        <f aca="false">MIN(K13136,Assumptions!$L$55*Assumptions!$C$55)</f>
        <v>0</v>
      </c>
    </row>
    <row r="13143" customFormat="false" ht="15" hidden="false" customHeight="false" outlineLevel="0" collapsed="false">
      <c r="A13143" s="5" t="s">
        <v>270</v>
      </c>
      <c r="G13143" s="25" t="n">
        <f aca="false">IF(AND(Assumptions!$P$55=1,G13074&lt;Assumptions!$K$55),MIN(MAX(0,-G13188),MAX(0,Assumptions!$D$55-G13136)),0)</f>
        <v>0</v>
      </c>
      <c r="H13143" s="25" t="n">
        <f aca="false">IF(AND(Assumptions!$P$55=1,OR(H13074&lt;Assumptions!$K$55,G13264=1)),MIN(MAX(0,-H13188),MAX(0,Assumptions!$D$55-H13136)),0)</f>
        <v>0</v>
      </c>
      <c r="I13143" s="25" t="n">
        <f aca="false">IF(AND(Assumptions!$P$55=1,OR(I13074&lt;Assumptions!$K$55,H13264=1)),MIN(MAX(0,-I13188),MAX(0,Assumptions!$D$55-I13136)),0)</f>
        <v>0</v>
      </c>
      <c r="J13143" s="25" t="n">
        <f aca="false">IF(AND(Assumptions!$P$55=1,OR(J13074&lt;Assumptions!$K$55,I13264=1)),MIN(MAX(0,-J13188),MAX(0,Assumptions!$D$55-J13136)),0)</f>
        <v>0</v>
      </c>
      <c r="K13143" s="25" t="n">
        <f aca="false">IF(AND(Assumptions!$P$55=1,OR(K13074&lt;Assumptions!$K$55,J13264=1)),MIN(MAX(0,-K13188),MAX(0,Assumptions!$D$55-K13136)),0)</f>
        <v>0</v>
      </c>
    </row>
    <row r="13144" customFormat="false" ht="15" hidden="false" customHeight="false" outlineLevel="0" collapsed="false">
      <c r="A13144" s="5" t="s">
        <v>271</v>
      </c>
      <c r="G13144" s="25" t="n">
        <f aca="false">G13137*MIN(G13136-G13142+G13141,MAX(0,G13190-Assumptions!$C$12*G13108-G13118-G13131))</f>
        <v>0</v>
      </c>
      <c r="H13144" s="25" t="n">
        <f aca="false">H13137*MIN(H13136-H13142+H13141,MAX(0,H13190-Assumptions!$C$12*H13108-H13118-H13131))</f>
        <v>0</v>
      </c>
      <c r="I13144" s="25" t="n">
        <f aca="false">I13137*MIN(I13136-I13142+I13141,MAX(0,I13190-Assumptions!$C$12*I13108-I13118-I13131))</f>
        <v>0</v>
      </c>
      <c r="J13144" s="25" t="n">
        <f aca="false">J13137*MIN(J13136-J13142+J13141,MAX(0,J13190-Assumptions!$C$12*J13108-J13118-J13131))</f>
        <v>0</v>
      </c>
      <c r="K13144" s="25" t="n">
        <f aca="false">K13137*MIN(K13136-K13142+K13141,MAX(0,K13190-Assumptions!$C$12*K13108-K13118-K13131))</f>
        <v>0</v>
      </c>
    </row>
    <row r="13145" customFormat="false" ht="15" hidden="false" customHeight="false" outlineLevel="0" collapsed="false">
      <c r="A13145" s="5" t="s">
        <v>272</v>
      </c>
      <c r="G13145" s="25" t="n">
        <f aca="false">Assumptions!$N$55*MIN(G13136+G13143+G13141-G13142-G13144,MAX(0,G13194-G13119-G13132))</f>
        <v>0</v>
      </c>
      <c r="H13145" s="25" t="n">
        <f aca="false">Assumptions!$N$55*MIN(H13136+H13143+H13141-H13142-H13144,MAX(0,H13194-H13119-H13132))</f>
        <v>0</v>
      </c>
      <c r="I13145" s="25" t="n">
        <f aca="false">Assumptions!$N$55*MIN(I13136+I13143+I13141-I13142-I13144,MAX(0,I13194-I13119-I13132))</f>
        <v>0</v>
      </c>
      <c r="J13145" s="25" t="n">
        <f aca="false">Assumptions!$N$55*MIN(J13136+J13143+J13141-J13142-J13144,MAX(0,J13194-J13119-J13132))</f>
        <v>0</v>
      </c>
      <c r="K13145" s="25" t="n">
        <f aca="false">Assumptions!$N$55*MIN(K13136+K13143+K13141-K13142-K13144,MAX(0,K13194-K13119-K13132))</f>
        <v>0</v>
      </c>
    </row>
    <row r="13146" customFormat="false" ht="15" hidden="false" customHeight="false" outlineLevel="0" collapsed="false">
      <c r="A13146" s="5" t="s">
        <v>273</v>
      </c>
      <c r="G13146" s="25" t="n">
        <f aca="false">G13137*(1-G13108)*(G13136-G13142+G13141-G13144)</f>
        <v>0</v>
      </c>
      <c r="H13146" s="25" t="n">
        <f aca="false">H13137*(1-H13108)*(H13136-H13142+H13141-H13144)</f>
        <v>0</v>
      </c>
      <c r="I13146" s="25" t="n">
        <f aca="false">I13137*(1-I13108)*(I13136-I13142+I13141-I13144)</f>
        <v>0</v>
      </c>
      <c r="J13146" s="25" t="n">
        <f aca="false">J13137*(1-J13108)*(J13136-J13142+J13141-J13144)</f>
        <v>0</v>
      </c>
      <c r="K13146" s="25" t="n">
        <f aca="false">K13137*(1-K13108)*(K13136-K13142+K13141-K13144)</f>
        <v>0</v>
      </c>
    </row>
    <row r="13147" customFormat="false" ht="15" hidden="false" customHeight="false" outlineLevel="0" collapsed="false">
      <c r="A13147" s="2" t="s">
        <v>274</v>
      </c>
      <c r="F13147" s="27" t="n">
        <f aca="false">Assumptions!$C$55</f>
        <v>250</v>
      </c>
      <c r="G13147" s="16" t="n">
        <f aca="false">G13136+G13143+G13141-G13142-G13144-G13145</f>
        <v>250</v>
      </c>
      <c r="H13147" s="16" t="n">
        <f aca="false">H13136+H13143+H13141-H13142-H13144-H13145</f>
        <v>250</v>
      </c>
      <c r="I13147" s="16" t="n">
        <f aca="false">I13136+I13143+I13141-I13142-I13144-I13145</f>
        <v>250</v>
      </c>
      <c r="J13147" s="16" t="n">
        <f aca="false">J13136+J13143+J13141-J13142-J13144-J13145</f>
        <v>250</v>
      </c>
      <c r="K13147" s="16" t="n">
        <f aca="false">K13136+K13143+K13141-K13142-K13144-K13145</f>
        <v>250</v>
      </c>
    </row>
    <row r="13148" customFormat="false" ht="15" hidden="false" customHeight="false" outlineLevel="0" collapsed="false">
      <c r="A13148" s="23" t="s">
        <v>277</v>
      </c>
      <c r="B13148" s="24"/>
      <c r="C13148" s="24"/>
      <c r="D13148" s="24"/>
      <c r="E13148" s="24"/>
      <c r="F13148" s="24"/>
      <c r="G13148" s="24"/>
      <c r="H13148" s="24"/>
      <c r="I13148" s="24"/>
      <c r="J13148" s="24"/>
      <c r="K13148" s="24"/>
    </row>
    <row r="13149" customFormat="false" ht="15" hidden="false" customHeight="false" outlineLevel="0" collapsed="false">
      <c r="A13149" s="5" t="s">
        <v>264</v>
      </c>
      <c r="G13149" s="25" t="n">
        <f aca="false">F13160</f>
        <v>300</v>
      </c>
      <c r="H13149" s="25" t="n">
        <f aca="false">G13160</f>
        <v>300</v>
      </c>
      <c r="I13149" s="25" t="n">
        <f aca="false">H13160</f>
        <v>300</v>
      </c>
      <c r="J13149" s="25" t="n">
        <f aca="false">I13160</f>
        <v>300</v>
      </c>
      <c r="K13149" s="25" t="n">
        <f aca="false">J13160</f>
        <v>300</v>
      </c>
    </row>
    <row r="13150" customFormat="false" ht="15" hidden="false" customHeight="false" outlineLevel="0" collapsed="false">
      <c r="A13150" s="5" t="s">
        <v>265</v>
      </c>
      <c r="G13150" s="20" t="n">
        <f aca="false">IF(G13074=Assumptions!$K$56,1,0)</f>
        <v>0</v>
      </c>
      <c r="H13150" s="20" t="n">
        <f aca="false">IF(H13074=Assumptions!$K$56,1,0)</f>
        <v>1</v>
      </c>
      <c r="I13150" s="20" t="n">
        <f aca="false">IF(I13074=Assumptions!$K$56,1,0)</f>
        <v>0</v>
      </c>
      <c r="J13150" s="20" t="n">
        <f aca="false">IF(J13074=Assumptions!$K$56,1,0)</f>
        <v>0</v>
      </c>
      <c r="K13150" s="20" t="n">
        <f aca="false">IF(K13074=Assumptions!$K$56,1,0)</f>
        <v>0</v>
      </c>
    </row>
    <row r="13152" customFormat="false" ht="15" hidden="false" customHeight="false" outlineLevel="0" collapsed="false">
      <c r="A13152" s="5" t="s">
        <v>266</v>
      </c>
      <c r="G13152" s="30" t="n">
        <f aca="false">IF(Assumptions!$I$56=1,MAX(G13100,Assumptions!$G$56)+Assumptions!$F$56+$C$13101,Assumptions!$E$56)</f>
        <v>0.075</v>
      </c>
      <c r="H13152" s="30" t="n">
        <f aca="false">IF(G13265=1,$C$13102,IF(Assumptions!$I$56=1,MAX(H13100,Assumptions!$G$56)+Assumptions!$F$56+$C$13101,Assumptions!$E$56))</f>
        <v>0.075</v>
      </c>
      <c r="I13152" s="30" t="n">
        <f aca="false">IF(H13265=1,$C$13102,IF(Assumptions!$I$56=1,MAX(I13100,Assumptions!$G$56)+Assumptions!$F$56+$C$13101,Assumptions!$E$56))</f>
        <v>0.075</v>
      </c>
      <c r="J13152" s="30" t="n">
        <f aca="false">IF(I13265=1,$C$13102,IF(Assumptions!$I$56=1,MAX(J13100,Assumptions!$G$56)+Assumptions!$F$56+$C$13101,Assumptions!$E$56))</f>
        <v>0.075</v>
      </c>
      <c r="K13152" s="30" t="n">
        <f aca="false">IF(J13265=1,$C$13102,IF(Assumptions!$I$56=1,MAX(K13100,Assumptions!$G$56)+Assumptions!$F$56+$C$13101,Assumptions!$E$56))</f>
        <v>0.075</v>
      </c>
    </row>
    <row r="13153" customFormat="false" ht="15" hidden="false" customHeight="false" outlineLevel="0" collapsed="false">
      <c r="A13153" s="5" t="s">
        <v>267</v>
      </c>
      <c r="G13153" s="25" t="n">
        <f aca="false">G13149*G13152</f>
        <v>22.5</v>
      </c>
      <c r="H13153" s="25" t="n">
        <f aca="false">H13149*H13152</f>
        <v>22.5</v>
      </c>
      <c r="I13153" s="25" t="n">
        <f aca="false">I13149*I13152</f>
        <v>22.5</v>
      </c>
      <c r="J13153" s="25" t="n">
        <f aca="false">J13149*J13152</f>
        <v>22.5</v>
      </c>
      <c r="K13153" s="25" t="n">
        <f aca="false">K13149*K13152</f>
        <v>22.5</v>
      </c>
    </row>
    <row r="13154" customFormat="false" ht="15" hidden="false" customHeight="false" outlineLevel="0" collapsed="false">
      <c r="A13154" s="5" t="s">
        <v>268</v>
      </c>
      <c r="G13154" s="25" t="n">
        <f aca="false">G13149*Assumptions!$H$56</f>
        <v>0</v>
      </c>
      <c r="H13154" s="25" t="n">
        <f aca="false">H13149*Assumptions!$H$56</f>
        <v>0</v>
      </c>
      <c r="I13154" s="25" t="n">
        <f aca="false">I13149*Assumptions!$H$56</f>
        <v>0</v>
      </c>
      <c r="J13154" s="25" t="n">
        <f aca="false">J13149*Assumptions!$H$56</f>
        <v>0</v>
      </c>
      <c r="K13154" s="25" t="n">
        <f aca="false">K13149*Assumptions!$H$56</f>
        <v>0</v>
      </c>
    </row>
    <row r="13155" customFormat="false" ht="15" hidden="false" customHeight="false" outlineLevel="0" collapsed="false">
      <c r="A13155" s="5" t="s">
        <v>269</v>
      </c>
      <c r="G13155" s="25" t="n">
        <f aca="false">MIN(G13149,Assumptions!$L$56*Assumptions!$C$56)</f>
        <v>0</v>
      </c>
      <c r="H13155" s="25" t="n">
        <f aca="false">MIN(H13149,Assumptions!$L$56*Assumptions!$C$56)</f>
        <v>0</v>
      </c>
      <c r="I13155" s="25" t="n">
        <f aca="false">MIN(I13149,Assumptions!$L$56*Assumptions!$C$56)</f>
        <v>0</v>
      </c>
      <c r="J13155" s="25" t="n">
        <f aca="false">MIN(J13149,Assumptions!$L$56*Assumptions!$C$56)</f>
        <v>0</v>
      </c>
      <c r="K13155" s="25" t="n">
        <f aca="false">MIN(K13149,Assumptions!$L$56*Assumptions!$C$56)</f>
        <v>0</v>
      </c>
    </row>
    <row r="13156" customFormat="false" ht="15" hidden="false" customHeight="false" outlineLevel="0" collapsed="false">
      <c r="A13156" s="5" t="s">
        <v>270</v>
      </c>
      <c r="G13156" s="25" t="n">
        <f aca="false">IF(AND(Assumptions!$P$56=1,G13074&lt;Assumptions!$K$56),MIN(MAX(0,-G13188),MAX(0,Assumptions!$D$56-G13149)),0)</f>
        <v>0</v>
      </c>
      <c r="H13156" s="25" t="n">
        <f aca="false">IF(AND(Assumptions!$P$56=1,OR(H13074&lt;Assumptions!$K$56,G13265=1)),MIN(MAX(0,-H13188),MAX(0,Assumptions!$D$56-H13149)),0)</f>
        <v>0</v>
      </c>
      <c r="I13156" s="25" t="n">
        <f aca="false">IF(AND(Assumptions!$P$56=1,OR(I13074&lt;Assumptions!$K$56,H13265=1)),MIN(MAX(0,-I13188),MAX(0,Assumptions!$D$56-I13149)),0)</f>
        <v>0</v>
      </c>
      <c r="J13156" s="25" t="n">
        <f aca="false">IF(AND(Assumptions!$P$56=1,OR(J13074&lt;Assumptions!$K$56,I13265=1)),MIN(MAX(0,-J13188),MAX(0,Assumptions!$D$56-J13149)),0)</f>
        <v>0</v>
      </c>
      <c r="K13156" s="25" t="n">
        <f aca="false">IF(AND(Assumptions!$P$56=1,OR(K13074&lt;Assumptions!$K$56,J13265=1)),MIN(MAX(0,-K13188),MAX(0,Assumptions!$D$56-K13149)),0)</f>
        <v>0</v>
      </c>
    </row>
    <row r="13157" customFormat="false" ht="15" hidden="false" customHeight="false" outlineLevel="0" collapsed="false">
      <c r="A13157" s="5" t="s">
        <v>271</v>
      </c>
      <c r="G13157" s="25" t="n">
        <f aca="false">G13150*MIN(G13149-G13155+G13154,MAX(0,G13190-Assumptions!$C$12*G13108-G13118-G13131-G13144))</f>
        <v>0</v>
      </c>
      <c r="H13157" s="25" t="n">
        <f aca="false">H13150*MIN(H13149-H13155+H13154,MAX(0,H13190-Assumptions!$C$12*H13108-H13118-H13131-H13144))</f>
        <v>0</v>
      </c>
      <c r="I13157" s="25" t="n">
        <f aca="false">I13150*MIN(I13149-I13155+I13154,MAX(0,I13190-Assumptions!$C$12*I13108-I13118-I13131-I13144))</f>
        <v>0</v>
      </c>
      <c r="J13157" s="25" t="n">
        <f aca="false">J13150*MIN(J13149-J13155+J13154,MAX(0,J13190-Assumptions!$C$12*J13108-J13118-J13131-J13144))</f>
        <v>0</v>
      </c>
      <c r="K13157" s="25" t="n">
        <f aca="false">K13150*MIN(K13149-K13155+K13154,MAX(0,K13190-Assumptions!$C$12*K13108-K13118-K13131-K13144))</f>
        <v>0</v>
      </c>
    </row>
    <row r="13158" customFormat="false" ht="15" hidden="false" customHeight="false" outlineLevel="0" collapsed="false">
      <c r="A13158" s="5" t="s">
        <v>272</v>
      </c>
      <c r="G13158" s="25" t="n">
        <f aca="false">Assumptions!$N$56*MIN(G13149+G13156+G13154-G13155-G13157,MAX(0,G13194-G13119-G13132-G13145))</f>
        <v>0</v>
      </c>
      <c r="H13158" s="25" t="n">
        <f aca="false">Assumptions!$N$56*MIN(H13149+H13156+H13154-H13155-H13157,MAX(0,H13194-H13119-H13132-H13145))</f>
        <v>0</v>
      </c>
      <c r="I13158" s="25" t="n">
        <f aca="false">Assumptions!$N$56*MIN(I13149+I13156+I13154-I13155-I13157,MAX(0,I13194-I13119-I13132-I13145))</f>
        <v>0</v>
      </c>
      <c r="J13158" s="25" t="n">
        <f aca="false">Assumptions!$N$56*MIN(J13149+J13156+J13154-J13155-J13157,MAX(0,J13194-J13119-J13132-J13145))</f>
        <v>0</v>
      </c>
      <c r="K13158" s="25" t="n">
        <f aca="false">Assumptions!$N$56*MIN(K13149+K13156+K13154-K13155-K13157,MAX(0,K13194-K13119-K13132-K13145))</f>
        <v>0</v>
      </c>
    </row>
    <row r="13159" customFormat="false" ht="15" hidden="false" customHeight="false" outlineLevel="0" collapsed="false">
      <c r="A13159" s="5" t="s">
        <v>273</v>
      </c>
      <c r="G13159" s="25" t="n">
        <f aca="false">G13150*(1-G13108)*(G13149-G13155+G13154-G13157)</f>
        <v>0</v>
      </c>
      <c r="H13159" s="25" t="n">
        <f aca="false">H13150*(1-H13108)*(H13149-H13155+H13154-H13157)</f>
        <v>300</v>
      </c>
      <c r="I13159" s="25" t="n">
        <f aca="false">I13150*(1-I13108)*(I13149-I13155+I13154-I13157)</f>
        <v>0</v>
      </c>
      <c r="J13159" s="25" t="n">
        <f aca="false">J13150*(1-J13108)*(J13149-J13155+J13154-J13157)</f>
        <v>0</v>
      </c>
      <c r="K13159" s="25" t="n">
        <f aca="false">K13150*(1-K13108)*(K13149-K13155+K13154-K13157)</f>
        <v>0</v>
      </c>
    </row>
    <row r="13160" customFormat="false" ht="15" hidden="false" customHeight="false" outlineLevel="0" collapsed="false">
      <c r="A13160" s="2" t="s">
        <v>274</v>
      </c>
      <c r="F13160" s="27" t="n">
        <f aca="false">Assumptions!$C$56</f>
        <v>300</v>
      </c>
      <c r="G13160" s="16" t="n">
        <f aca="false">G13149+G13156+G13154-G13155-G13157-G13158</f>
        <v>300</v>
      </c>
      <c r="H13160" s="16" t="n">
        <f aca="false">H13149+H13156+H13154-H13155-H13157-H13158</f>
        <v>300</v>
      </c>
      <c r="I13160" s="16" t="n">
        <f aca="false">I13149+I13156+I13154-I13155-I13157-I13158</f>
        <v>300</v>
      </c>
      <c r="J13160" s="16" t="n">
        <f aca="false">J13149+J13156+J13154-J13155-J13157-J13158</f>
        <v>300</v>
      </c>
      <c r="K13160" s="16" t="n">
        <f aca="false">K13149+K13156+K13154-K13155-K13157-K13158</f>
        <v>300</v>
      </c>
    </row>
    <row r="13161" customFormat="false" ht="15" hidden="false" customHeight="false" outlineLevel="0" collapsed="false">
      <c r="A13161" s="23" t="s">
        <v>278</v>
      </c>
      <c r="B13161" s="24"/>
      <c r="C13161" s="24"/>
      <c r="D13161" s="24"/>
      <c r="E13161" s="24"/>
      <c r="F13161" s="24"/>
      <c r="G13161" s="24"/>
      <c r="H13161" s="24"/>
      <c r="I13161" s="24"/>
      <c r="J13161" s="24"/>
      <c r="K13161" s="24"/>
    </row>
    <row r="13162" customFormat="false" ht="15" hidden="false" customHeight="false" outlineLevel="0" collapsed="false">
      <c r="A13162" s="2" t="s">
        <v>279</v>
      </c>
      <c r="F13162" s="16" t="n">
        <f aca="false">F13121+F13134+F13147+F13160</f>
        <v>1250</v>
      </c>
      <c r="G13162" s="16" t="n">
        <f aca="false">G13121+G13134+G13147+G13160</f>
        <v>1228.24</v>
      </c>
      <c r="H13162" s="16" t="n">
        <f aca="false">H13121+H13134+H13147+H13160</f>
        <v>1223.04</v>
      </c>
      <c r="I13162" s="16" t="n">
        <f aca="false">I13121+I13134+I13147+I13160</f>
        <v>1217.84</v>
      </c>
      <c r="J13162" s="16" t="n">
        <f aca="false">J13121+J13134+J13147+J13160</f>
        <v>1212.64</v>
      </c>
      <c r="K13162" s="16" t="n">
        <f aca="false">K13121+K13134+K13147+K13160</f>
        <v>1207.44</v>
      </c>
    </row>
    <row r="13163" customFormat="false" ht="15" hidden="false" customHeight="false" outlineLevel="0" collapsed="false">
      <c r="A13163" s="5" t="s">
        <v>280</v>
      </c>
      <c r="G13163" s="25" t="n">
        <f aca="false">G13111*Assumptions!$C$53+G13124*Assumptions!$C$54+G13137*Assumptions!$C$55+G13150*Assumptions!$C$56</f>
        <v>0</v>
      </c>
      <c r="H13163" s="25" t="n">
        <f aca="false">H13111*Assumptions!$C$53+H13124*Assumptions!$C$54+H13137*Assumptions!$C$55+H13150*Assumptions!$C$56</f>
        <v>480</v>
      </c>
      <c r="I13163" s="25" t="n">
        <f aca="false">I13111*Assumptions!$C$53+I13124*Assumptions!$C$54+I13137*Assumptions!$C$55+I13150*Assumptions!$C$56</f>
        <v>520</v>
      </c>
      <c r="J13163" s="25" t="n">
        <f aca="false">J13111*Assumptions!$C$53+J13124*Assumptions!$C$54+J13137*Assumptions!$C$55+J13150*Assumptions!$C$56</f>
        <v>250</v>
      </c>
      <c r="K13163" s="25" t="n">
        <f aca="false">K13111*Assumptions!$C$53+K13124*Assumptions!$C$54+K13137*Assumptions!$C$55+K13150*Assumptions!$C$56</f>
        <v>0</v>
      </c>
    </row>
    <row r="13164" customFormat="false" ht="15" hidden="false" customHeight="false" outlineLevel="0" collapsed="false">
      <c r="A13164" s="23" t="s">
        <v>281</v>
      </c>
      <c r="B13164" s="24"/>
      <c r="C13164" s="24"/>
      <c r="D13164" s="24"/>
      <c r="E13164" s="24"/>
      <c r="F13164" s="24"/>
      <c r="G13164" s="24"/>
      <c r="H13164" s="24"/>
      <c r="I13164" s="24"/>
      <c r="J13164" s="24"/>
      <c r="K13164" s="24"/>
    </row>
    <row r="13165" customFormat="false" ht="15" hidden="false" customHeight="false" outlineLevel="0" collapsed="false">
      <c r="A13165" s="5" t="s">
        <v>282</v>
      </c>
      <c r="C13165" s="25" t="n">
        <f aca="false">SUMPRODUCT($G$13111:$K$13111,$G$13110:$K$13110-$G$13116:$K$13116+$G$13115:$K$13115)</f>
        <v>163.44</v>
      </c>
    </row>
    <row r="13166" customFormat="false" ht="15" hidden="false" customHeight="false" outlineLevel="0" collapsed="false">
      <c r="A13166" s="5" t="s">
        <v>283</v>
      </c>
      <c r="C13166" s="25" t="n">
        <f aca="false">SUMPRODUCT($G$13111:$K$13111,$G$13118:$K$13118)</f>
        <v>0</v>
      </c>
    </row>
    <row r="13167" customFormat="false" ht="15" hidden="false" customHeight="false" outlineLevel="0" collapsed="false">
      <c r="A13167" s="5" t="s">
        <v>284</v>
      </c>
      <c r="C13167" s="5" t="str">
        <f aca="false">IF(SUM($G$13111:$K$13111)=0,"n/a (beyond horizon)",IF(SUMPRODUCT($G$13111:$K$13111,$G$13108:$K$13108)&gt;0,"REFINANCING PASS","REFINANCING FAILURE"))</f>
        <v>REFINANCING FAILURE</v>
      </c>
    </row>
    <row r="13168" customFormat="false" ht="15" hidden="false" customHeight="false" outlineLevel="0" collapsed="false">
      <c r="A13168" s="5" t="s">
        <v>285</v>
      </c>
      <c r="C13168" s="5" t="str">
        <f aca="false">IF(SUM($G$13111:$K$13111)=0,"n/a",IF(C13166&gt;=C13165-0.001,"Repaid from cash",IF(SUMPRODUCT($G$13111:$K$13111,$G$13108:$K$13108)&gt;0,IF(C13166&gt;0,"Partly repaid; remainder refinanced","Refinanced"),IF(SUM($G$13120:$K$13120)&gt;0.001,IF(C13166&gt;0,"Partial repayment; PAYMENT DEFAULT","PAYMENT DEFAULT"),"Repaid from cash"))))</f>
        <v>PAYMENT DEFAULT</v>
      </c>
    </row>
    <row r="13169" customFormat="false" ht="15" hidden="false" customHeight="false" outlineLevel="0" collapsed="false">
      <c r="A13169" s="5" t="s">
        <v>286</v>
      </c>
      <c r="C13169" s="25" t="n">
        <f aca="false">SUMPRODUCT($G$13124:$K$13124,$G$13123:$K$13123-$G$13129:$K$13129+$G$13128:$K$13128)</f>
        <v>504.4</v>
      </c>
    </row>
    <row r="13170" customFormat="false" ht="15" hidden="false" customHeight="false" outlineLevel="0" collapsed="false">
      <c r="A13170" s="5" t="s">
        <v>287</v>
      </c>
      <c r="C13170" s="25" t="n">
        <f aca="false">SUMPRODUCT($G$13124:$K$13124,$G$13131:$K$13131)</f>
        <v>0</v>
      </c>
    </row>
    <row r="13171" customFormat="false" ht="15" hidden="false" customHeight="false" outlineLevel="0" collapsed="false">
      <c r="A13171" s="5" t="s">
        <v>288</v>
      </c>
      <c r="C13171" s="5" t="str">
        <f aca="false">IF(SUM($G$13124:$K$13124)=0,"n/a (beyond horizon)",IF(SUMPRODUCT($G$13124:$K$13124,$G$13108:$K$13108)&gt;0,"REFINANCING PASS","REFINANCING FAILURE"))</f>
        <v>REFINANCING PASS</v>
      </c>
    </row>
    <row r="13172" customFormat="false" ht="15" hidden="false" customHeight="false" outlineLevel="0" collapsed="false">
      <c r="A13172" s="5" t="s">
        <v>289</v>
      </c>
      <c r="C13172" s="5" t="str">
        <f aca="false">IF(SUM($G$13124:$K$13124)=0,"n/a",IF(C13170&gt;=C13169-0.001,"Repaid from cash",IF(SUMPRODUCT($G$13124:$K$13124,$G$13108:$K$13108)&gt;0,IF(C13170&gt;0,"Partly repaid; remainder refinanced","Refinanced"),IF(SUM($G$13133:$K$13133)&gt;0.001,IF(C13170&gt;0,"Partial repayment; PAYMENT DEFAULT","PAYMENT DEFAULT"),"Repaid from cash"))))</f>
        <v>Refinanced</v>
      </c>
    </row>
    <row r="13173" customFormat="false" ht="15" hidden="false" customHeight="false" outlineLevel="0" collapsed="false">
      <c r="A13173" s="5" t="s">
        <v>290</v>
      </c>
      <c r="C13173" s="25" t="n">
        <f aca="false">SUMPRODUCT($G$13137:$K$13137,$G$13136:$K$13136-$G$13142:$K$13142+$G$13141:$K$13141)</f>
        <v>250</v>
      </c>
    </row>
    <row r="13174" customFormat="false" ht="15" hidden="false" customHeight="false" outlineLevel="0" collapsed="false">
      <c r="A13174" s="5" t="s">
        <v>291</v>
      </c>
      <c r="C13174" s="25" t="n">
        <f aca="false">SUMPRODUCT($G$13137:$K$13137,$G$13144:$K$13144)</f>
        <v>0</v>
      </c>
    </row>
    <row r="13175" customFormat="false" ht="15" hidden="false" customHeight="false" outlineLevel="0" collapsed="false">
      <c r="A13175" s="5" t="s">
        <v>292</v>
      </c>
      <c r="C13175" s="5" t="str">
        <f aca="false">IF(SUM($G$13137:$K$13137)=0,"n/a (beyond horizon)",IF(SUMPRODUCT($G$13137:$K$13137,$G$13108:$K$13108)&gt;0,"REFINANCING PASS","REFINANCING FAILURE"))</f>
        <v>REFINANCING PASS</v>
      </c>
    </row>
    <row r="13176" customFormat="false" ht="15" hidden="false" customHeight="false" outlineLevel="0" collapsed="false">
      <c r="A13176" s="5" t="s">
        <v>293</v>
      </c>
      <c r="C13176" s="5" t="str">
        <f aca="false">IF(SUM($G$13137:$K$13137)=0,"n/a",IF(C13174&gt;=C13173-0.001,"Repaid from cash",IF(SUMPRODUCT($G$13137:$K$13137,$G$13108:$K$13108)&gt;0,IF(C13174&gt;0,"Partly repaid; remainder refinanced","Refinanced"),IF(SUM($G$13146:$K$13146)&gt;0.001,IF(C13174&gt;0,"Partial repayment; PAYMENT DEFAULT","PAYMENT DEFAULT"),"Repaid from cash"))))</f>
        <v>Refinanced</v>
      </c>
    </row>
    <row r="13177" customFormat="false" ht="15" hidden="false" customHeight="false" outlineLevel="0" collapsed="false">
      <c r="A13177" s="5" t="s">
        <v>294</v>
      </c>
      <c r="C13177" s="25" t="n">
        <f aca="false">SUMPRODUCT($G$13150:$K$13150,$G$13149:$K$13149-$G$13155:$K$13155+$G$13154:$K$13154)</f>
        <v>300</v>
      </c>
    </row>
    <row r="13178" customFormat="false" ht="15" hidden="false" customHeight="false" outlineLevel="0" collapsed="false">
      <c r="A13178" s="5" t="s">
        <v>295</v>
      </c>
      <c r="C13178" s="25" t="n">
        <f aca="false">SUMPRODUCT($G$13150:$K$13150,$G$13157:$K$13157)</f>
        <v>0</v>
      </c>
    </row>
    <row r="13179" customFormat="false" ht="15" hidden="false" customHeight="false" outlineLevel="0" collapsed="false">
      <c r="A13179" s="5" t="s">
        <v>296</v>
      </c>
      <c r="C13179" s="5" t="str">
        <f aca="false">IF(SUM($G$13150:$K$13150)=0,"n/a (beyond horizon)",IF(SUMPRODUCT($G$13150:$K$13150,$G$13108:$K$13108)&gt;0,"REFINANCING PASS","REFINANCING FAILURE"))</f>
        <v>REFINANCING FAILURE</v>
      </c>
    </row>
    <row r="13180" customFormat="false" ht="15" hidden="false" customHeight="false" outlineLevel="0" collapsed="false">
      <c r="A13180" s="5" t="s">
        <v>297</v>
      </c>
      <c r="C13180" s="5" t="str">
        <f aca="false">IF(SUM($G$13150:$K$13150)=0,"n/a",IF(C13178&gt;=C13177-0.001,"Repaid from cash",IF(SUMPRODUCT($G$13150:$K$13150,$G$13108:$K$13108)&gt;0,IF(C13178&gt;0,"Partly repaid; remainder refinanced","Refinanced"),IF(SUM($G$13159:$K$13159)&gt;0.001,IF(C13178&gt;0,"Partial repayment; PAYMENT DEFAULT","PAYMENT DEFAULT"),"Repaid from cash"))))</f>
        <v>PAYMENT DEFAULT</v>
      </c>
    </row>
    <row r="13181" customFormat="false" ht="15" hidden="false" customHeight="false" outlineLevel="0" collapsed="false">
      <c r="A13181" s="5" t="s">
        <v>298</v>
      </c>
      <c r="C13181" s="20" t="n">
        <f aca="false">IF(C13167="REFINANCING FAILURE",1,0)+IF(C13171="REFINANCING FAILURE",1,0)+IF(C13175="REFINANCING FAILURE",1,0)+IF(C13179="REFINANCING FAILURE",1,0)</f>
        <v>2</v>
      </c>
    </row>
    <row r="13183" customFormat="false" ht="15" hidden="false" customHeight="false" outlineLevel="0" collapsed="false">
      <c r="A13183" s="23" t="s">
        <v>300</v>
      </c>
      <c r="B13183" s="24"/>
      <c r="C13183" s="24"/>
      <c r="D13183" s="24"/>
      <c r="E13183" s="24"/>
      <c r="F13183" s="24"/>
      <c r="G13183" s="24"/>
      <c r="H13183" s="24"/>
      <c r="I13183" s="24"/>
      <c r="J13183" s="24"/>
      <c r="K13183" s="24"/>
    </row>
    <row r="13184" customFormat="false" ht="15" hidden="false" customHeight="false" outlineLevel="0" collapsed="false">
      <c r="A13184" s="5" t="s">
        <v>260</v>
      </c>
      <c r="G13184" s="25" t="n">
        <f aca="false">F13196</f>
        <v>45</v>
      </c>
      <c r="H13184" s="25" t="n">
        <f aca="false">G13196</f>
        <v>0</v>
      </c>
      <c r="I13184" s="25" t="n">
        <f aca="false">H13196</f>
        <v>-20.74296</v>
      </c>
      <c r="J13184" s="25" t="n">
        <f aca="false">I13196</f>
        <v>-35.6533496</v>
      </c>
      <c r="K13184" s="25" t="n">
        <f aca="false">J13196</f>
        <v>-42.473376856</v>
      </c>
    </row>
    <row r="13185" customFormat="false" ht="15" hidden="false" customHeight="false" outlineLevel="0" collapsed="false">
      <c r="A13185" s="5" t="s">
        <v>301</v>
      </c>
      <c r="G13185" s="25" t="n">
        <f aca="false">G13097</f>
        <v>-23.24</v>
      </c>
      <c r="H13185" s="25" t="n">
        <f aca="false">H13097</f>
        <v>-15.54296</v>
      </c>
      <c r="I13185" s="25" t="n">
        <f aca="false">I13097</f>
        <v>-9.71038960000003</v>
      </c>
      <c r="J13185" s="25" t="n">
        <f aca="false">J13097</f>
        <v>-1.620027256</v>
      </c>
      <c r="K13185" s="25" t="n">
        <f aca="false">K13097</f>
        <v>2.31301085608001</v>
      </c>
    </row>
    <row r="13186" customFormat="false" ht="15" hidden="false" customHeight="false" outlineLevel="0" collapsed="false">
      <c r="A13186" s="5" t="s">
        <v>302</v>
      </c>
      <c r="G13186" s="25" t="n">
        <f aca="false">CHOOSE($C$13067,Assumptions!$G$68,Assumptions!$G$87,Assumptions!$G$106)</f>
        <v>0</v>
      </c>
      <c r="H13186" s="25" t="n">
        <f aca="false">CHOOSE($C$13067,Assumptions!$H$68,Assumptions!$H$87,Assumptions!$H$106)</f>
        <v>0</v>
      </c>
      <c r="I13186" s="25" t="n">
        <f aca="false">CHOOSE($C$13067,Assumptions!$I$68,Assumptions!$I$87,Assumptions!$I$106)</f>
        <v>0</v>
      </c>
      <c r="J13186" s="25" t="n">
        <f aca="false">CHOOSE($C$13067,Assumptions!$J$68,Assumptions!$J$87,Assumptions!$J$106)</f>
        <v>0</v>
      </c>
      <c r="K13186" s="25" t="n">
        <f aca="false">CHOOSE($C$13067,Assumptions!$K$68,Assumptions!$K$87,Assumptions!$K$106)</f>
        <v>0</v>
      </c>
    </row>
    <row r="13187" customFormat="false" ht="15" hidden="false" customHeight="false" outlineLevel="0" collapsed="false">
      <c r="A13187" s="5" t="s">
        <v>303</v>
      </c>
      <c r="G13187" s="25" t="n">
        <f aca="false">G13116+G13129+G13142+G13155</f>
        <v>5.2</v>
      </c>
      <c r="H13187" s="25" t="n">
        <f aca="false">H13116+H13129+H13142+H13155</f>
        <v>5.2</v>
      </c>
      <c r="I13187" s="25" t="n">
        <f aca="false">I13116+I13129+I13142+I13155</f>
        <v>5.2</v>
      </c>
      <c r="J13187" s="25" t="n">
        <f aca="false">J13116+J13129+J13142+J13155</f>
        <v>5.2</v>
      </c>
      <c r="K13187" s="25" t="n">
        <f aca="false">K13116+K13129+K13142+K13155</f>
        <v>5.2</v>
      </c>
    </row>
    <row r="13188" customFormat="false" ht="15" hidden="false" customHeight="false" outlineLevel="0" collapsed="false">
      <c r="A13188" s="2" t="s">
        <v>304</v>
      </c>
      <c r="G13188" s="16" t="n">
        <f aca="false">G13184+G13185+G13186-G13187</f>
        <v>16.56</v>
      </c>
      <c r="H13188" s="16" t="n">
        <f aca="false">H13184+H13185+H13186-H13187</f>
        <v>-20.74296</v>
      </c>
      <c r="I13188" s="16" t="n">
        <f aca="false">I13184+I13185+I13186-I13187</f>
        <v>-35.6533496</v>
      </c>
      <c r="J13188" s="16" t="n">
        <f aca="false">J13184+J13185+J13186-J13187</f>
        <v>-42.473376856</v>
      </c>
      <c r="K13188" s="16" t="n">
        <f aca="false">K13184+K13185+K13186-K13187</f>
        <v>-45.36036599992</v>
      </c>
    </row>
    <row r="13189" customFormat="false" ht="15" hidden="false" customHeight="false" outlineLevel="0" collapsed="false">
      <c r="A13189" s="5" t="s">
        <v>305</v>
      </c>
      <c r="G13189" s="25" t="n">
        <f aca="false">G13117+G13130+G13143+G13156</f>
        <v>0</v>
      </c>
      <c r="H13189" s="25" t="n">
        <f aca="false">H13117+H13130+H13143+H13156</f>
        <v>0</v>
      </c>
      <c r="I13189" s="25" t="n">
        <f aca="false">I13117+I13130+I13143+I13156</f>
        <v>0</v>
      </c>
      <c r="J13189" s="25" t="n">
        <f aca="false">J13117+J13130+J13143+J13156</f>
        <v>0</v>
      </c>
      <c r="K13189" s="25" t="n">
        <f aca="false">K13117+K13130+K13143+K13156</f>
        <v>0</v>
      </c>
    </row>
    <row r="13190" customFormat="false" ht="15" hidden="false" customHeight="false" outlineLevel="0" collapsed="false">
      <c r="A13190" s="2" t="s">
        <v>306</v>
      </c>
      <c r="G13190" s="16" t="n">
        <f aca="false">G13188+G13189</f>
        <v>16.56</v>
      </c>
      <c r="H13190" s="16" t="n">
        <f aca="false">H13188+H13189</f>
        <v>-20.74296</v>
      </c>
      <c r="I13190" s="16" t="n">
        <f aca="false">I13188+I13189</f>
        <v>-35.6533496</v>
      </c>
      <c r="J13190" s="16" t="n">
        <f aca="false">J13188+J13189</f>
        <v>-42.473376856</v>
      </c>
      <c r="K13190" s="16" t="n">
        <f aca="false">K13188+K13189</f>
        <v>-45.36036599992</v>
      </c>
    </row>
    <row r="13191" customFormat="false" ht="15" hidden="false" customHeight="false" outlineLevel="0" collapsed="false">
      <c r="A13191" s="5" t="s">
        <v>307</v>
      </c>
      <c r="G13191" s="25" t="n">
        <f aca="false">G13118+G13131+G13144+G13157</f>
        <v>0</v>
      </c>
      <c r="H13191" s="25" t="n">
        <f aca="false">H13118+H13131+H13144+H13157</f>
        <v>0</v>
      </c>
      <c r="I13191" s="25" t="n">
        <f aca="false">I13118+I13131+I13144+I13157</f>
        <v>0</v>
      </c>
      <c r="J13191" s="25" t="n">
        <f aca="false">J13118+J13131+J13144+J13157</f>
        <v>0</v>
      </c>
      <c r="K13191" s="25" t="n">
        <f aca="false">K13118+K13131+K13144+K13157</f>
        <v>0</v>
      </c>
    </row>
    <row r="13192" customFormat="false" ht="15" hidden="false" customHeight="false" outlineLevel="0" collapsed="false">
      <c r="A13192" s="2" t="s">
        <v>308</v>
      </c>
      <c r="G13192" s="16" t="n">
        <f aca="false">G13190-G13191</f>
        <v>16.56</v>
      </c>
      <c r="H13192" s="16" t="n">
        <f aca="false">H13190-H13191</f>
        <v>-20.74296</v>
      </c>
      <c r="I13192" s="16" t="n">
        <f aca="false">I13190-I13191</f>
        <v>-35.6533496</v>
      </c>
      <c r="J13192" s="16" t="n">
        <f aca="false">J13190-J13191</f>
        <v>-42.473376856</v>
      </c>
      <c r="K13192" s="16" t="n">
        <f aca="false">K13190-K13191</f>
        <v>-45.36036599992</v>
      </c>
    </row>
    <row r="13193" customFormat="false" ht="15" hidden="false" customHeight="false" outlineLevel="0" collapsed="false">
      <c r="A13193" s="5" t="s">
        <v>309</v>
      </c>
      <c r="G13193" s="25" t="n">
        <f aca="false">MAX(0,-G13192)</f>
        <v>0</v>
      </c>
      <c r="H13193" s="25" t="n">
        <f aca="false">MAX(0,-H13192)</f>
        <v>20.74296</v>
      </c>
      <c r="I13193" s="25" t="n">
        <f aca="false">MAX(0,-I13192)</f>
        <v>35.6533496</v>
      </c>
      <c r="J13193" s="25" t="n">
        <f aca="false">MAX(0,-J13192)</f>
        <v>42.473376856</v>
      </c>
      <c r="K13193" s="25" t="n">
        <f aca="false">MAX(0,-K13192)</f>
        <v>45.36036599992</v>
      </c>
    </row>
    <row r="13194" customFormat="false" ht="15" hidden="false" customHeight="false" outlineLevel="0" collapsed="false">
      <c r="A13194" s="5" t="s">
        <v>310</v>
      </c>
      <c r="G13194" s="25" t="n">
        <f aca="false">MAX(0,G13192-Assumptions!$C$12)*Assumptions!$C$13</f>
        <v>16.56</v>
      </c>
      <c r="H13194" s="25" t="n">
        <f aca="false">MAX(0,H13192-Assumptions!$C$12)*Assumptions!$C$13</f>
        <v>0</v>
      </c>
      <c r="I13194" s="25" t="n">
        <f aca="false">MAX(0,I13192-Assumptions!$C$12)*Assumptions!$C$13</f>
        <v>0</v>
      </c>
      <c r="J13194" s="25" t="n">
        <f aca="false">MAX(0,J13192-Assumptions!$C$12)*Assumptions!$C$13</f>
        <v>0</v>
      </c>
      <c r="K13194" s="25" t="n">
        <f aca="false">MAX(0,K13192-Assumptions!$C$12)*Assumptions!$C$13</f>
        <v>0</v>
      </c>
    </row>
    <row r="13195" customFormat="false" ht="15" hidden="false" customHeight="false" outlineLevel="0" collapsed="false">
      <c r="A13195" s="5" t="s">
        <v>311</v>
      </c>
      <c r="G13195" s="25" t="n">
        <f aca="false">G13119+G13132+G13145+G13158</f>
        <v>16.56</v>
      </c>
      <c r="H13195" s="25" t="n">
        <f aca="false">H13119+H13132+H13145+H13158</f>
        <v>0</v>
      </c>
      <c r="I13195" s="25" t="n">
        <f aca="false">I13119+I13132+I13145+I13158</f>
        <v>0</v>
      </c>
      <c r="J13195" s="25" t="n">
        <f aca="false">J13119+J13132+J13145+J13158</f>
        <v>0</v>
      </c>
      <c r="K13195" s="25" t="n">
        <f aca="false">K13119+K13132+K13145+K13158</f>
        <v>0</v>
      </c>
    </row>
    <row r="13196" customFormat="false" ht="15" hidden="false" customHeight="false" outlineLevel="0" collapsed="false">
      <c r="A13196" s="2" t="s">
        <v>312</v>
      </c>
      <c r="F13196" s="27" t="n">
        <f aca="false">Assumptions!$C$11</f>
        <v>45</v>
      </c>
      <c r="G13196" s="16" t="n">
        <f aca="false">G13192-G13195</f>
        <v>0</v>
      </c>
      <c r="H13196" s="16" t="n">
        <f aca="false">H13192-H13195</f>
        <v>-20.74296</v>
      </c>
      <c r="I13196" s="16" t="n">
        <f aca="false">I13192-I13195</f>
        <v>-35.6533496</v>
      </c>
      <c r="J13196" s="16" t="n">
        <f aca="false">J13192-J13195</f>
        <v>-42.473376856</v>
      </c>
      <c r="K13196" s="16" t="n">
        <f aca="false">K13192-K13195</f>
        <v>-45.36036599992</v>
      </c>
    </row>
    <row r="13197" customFormat="false" ht="15" hidden="false" customHeight="false" outlineLevel="0" collapsed="false">
      <c r="A13197" s="5" t="s">
        <v>313</v>
      </c>
      <c r="G13197" s="25" t="n">
        <f aca="false">G13120+G13133+G13146+G13159</f>
        <v>0</v>
      </c>
      <c r="H13197" s="25" t="n">
        <f aca="false">H13120+H13133+H13146+H13159</f>
        <v>463.44</v>
      </c>
      <c r="I13197" s="25" t="n">
        <f aca="false">I13120+I13133+I13146+I13159</f>
        <v>0</v>
      </c>
      <c r="J13197" s="25" t="n">
        <f aca="false">J13120+J13133+J13146+J13159</f>
        <v>0</v>
      </c>
      <c r="K13197" s="25" t="n">
        <f aca="false">K13120+K13133+K13146+K13159</f>
        <v>0</v>
      </c>
    </row>
    <row r="13198" customFormat="false" ht="15" hidden="false" customHeight="false" outlineLevel="0" collapsed="false">
      <c r="A13198" s="5" t="s">
        <v>314</v>
      </c>
      <c r="G13198" s="20" t="n">
        <f aca="false">IF(OR(G13193&gt;0.001,G13197&gt;0.001),1,0)</f>
        <v>0</v>
      </c>
      <c r="H13198" s="20" t="n">
        <f aca="false">IF(OR(H13193&gt;0.001,H13197&gt;0.001),1,0)</f>
        <v>1</v>
      </c>
      <c r="I13198" s="20" t="n">
        <f aca="false">IF(OR(I13193&gt;0.001,I13197&gt;0.001),1,0)</f>
        <v>1</v>
      </c>
      <c r="J13198" s="20" t="n">
        <f aca="false">IF(OR(J13193&gt;0.001,J13197&gt;0.001),1,0)</f>
        <v>1</v>
      </c>
      <c r="K13198" s="20" t="n">
        <f aca="false">IF(OR(K13193&gt;0.001,K13197&gt;0.001),1,0)</f>
        <v>1</v>
      </c>
    </row>
    <row r="13199" customFormat="false" ht="15" hidden="false" customHeight="false" outlineLevel="0" collapsed="false">
      <c r="A13199" s="5" t="s">
        <v>315</v>
      </c>
      <c r="G13199" s="20" t="n">
        <f aca="false">IF(G13198=1,1,0)</f>
        <v>0</v>
      </c>
      <c r="H13199" s="20" t="n">
        <f aca="false">IF(AND(H13198=1,SUM($G$13198:G13198)=0),1,0)</f>
        <v>1</v>
      </c>
      <c r="I13199" s="20" t="n">
        <f aca="false">IF(AND(I13198=1,SUM($G$13198:H13198)=0),1,0)</f>
        <v>0</v>
      </c>
      <c r="J13199" s="20" t="n">
        <f aca="false">IF(AND(J13198=1,SUM($G$13198:I13198)=0),1,0)</f>
        <v>0</v>
      </c>
      <c r="K13199" s="20" t="n">
        <f aca="false">IF(AND(K13198=1,SUM($G$13198:J13198)=0),1,0)</f>
        <v>0</v>
      </c>
    </row>
    <row r="13200" customFormat="false" ht="15" hidden="false" customHeight="false" outlineLevel="0" collapsed="false">
      <c r="A13200" s="5" t="s">
        <v>316</v>
      </c>
      <c r="G13200" s="25" t="n">
        <f aca="false">(G13162-F13162)-(G13189+G13089-G13187-G13191-G13195)</f>
        <v>0</v>
      </c>
      <c r="H13200" s="25" t="n">
        <f aca="false">(H13162-G13162)-(H13189+H13089-H13187-H13191-H13195)</f>
        <v>-4.52970994047064E-014</v>
      </c>
      <c r="I13200" s="25" t="n">
        <f aca="false">(I13162-H13162)-(I13189+I13089-I13187-I13191-I13195)</f>
        <v>1.82076576038526E-013</v>
      </c>
      <c r="J13200" s="25" t="n">
        <f aca="false">(J13162-I13162)-(J13189+J13089-J13187-J13191-J13195)</f>
        <v>-2.72670774847938E-013</v>
      </c>
      <c r="K13200" s="25" t="n">
        <f aca="false">(K13162-J13162)-(K13189+K13089-K13187-K13191-K13195)</f>
        <v>1.82076576038526E-013</v>
      </c>
    </row>
    <row r="13202" customFormat="false" ht="15" hidden="false" customHeight="false" outlineLevel="0" collapsed="false">
      <c r="A13202" s="23" t="s">
        <v>318</v>
      </c>
      <c r="B13202" s="24"/>
      <c r="C13202" s="24"/>
      <c r="D13202" s="24"/>
      <c r="E13202" s="24"/>
      <c r="F13202" s="24"/>
      <c r="G13202" s="24"/>
      <c r="H13202" s="24"/>
      <c r="I13202" s="24"/>
      <c r="J13202" s="24"/>
      <c r="K13202" s="24"/>
    </row>
    <row r="13203" customFormat="false" ht="15" hidden="false" customHeight="false" outlineLevel="0" collapsed="false">
      <c r="A13203" s="5" t="s">
        <v>319</v>
      </c>
      <c r="G13203" s="25" t="n">
        <f aca="false">G13162</f>
        <v>1228.24</v>
      </c>
      <c r="H13203" s="25" t="n">
        <f aca="false">H13162</f>
        <v>1223.04</v>
      </c>
      <c r="I13203" s="25" t="n">
        <f aca="false">I13162</f>
        <v>1217.84</v>
      </c>
      <c r="J13203" s="25" t="n">
        <f aca="false">J13162</f>
        <v>1212.64</v>
      </c>
      <c r="K13203" s="25" t="n">
        <f aca="false">K13162</f>
        <v>1207.44</v>
      </c>
    </row>
    <row r="13204" customFormat="false" ht="15" hidden="false" customHeight="false" outlineLevel="0" collapsed="false">
      <c r="A13204" s="5" t="s">
        <v>320</v>
      </c>
      <c r="G13204" s="25" t="n">
        <f aca="false">Assumptions!$O$53*G13121+Assumptions!$O$54*G13134+Assumptions!$O$55*G13147+Assumptions!$O$56*G13160</f>
        <v>928.24</v>
      </c>
      <c r="H13204" s="25" t="n">
        <f aca="false">Assumptions!$O$53*H13121+Assumptions!$O$54*H13134+Assumptions!$O$55*H13147+Assumptions!$O$56*H13160</f>
        <v>923.04</v>
      </c>
      <c r="I13204" s="25" t="n">
        <f aca="false">Assumptions!$O$53*I13121+Assumptions!$O$54*I13134+Assumptions!$O$55*I13147+Assumptions!$O$56*I13160</f>
        <v>917.84</v>
      </c>
      <c r="J13204" s="25" t="n">
        <f aca="false">Assumptions!$O$53*J13121+Assumptions!$O$54*J13134+Assumptions!$O$55*J13147+Assumptions!$O$56*J13160</f>
        <v>912.64</v>
      </c>
      <c r="K13204" s="25" t="n">
        <f aca="false">Assumptions!$O$53*K13121+Assumptions!$O$54*K13134+Assumptions!$O$55*K13147+Assumptions!$O$56*K13160</f>
        <v>907.44</v>
      </c>
    </row>
    <row r="13205" customFormat="false" ht="15" hidden="false" customHeight="false" outlineLevel="0" collapsed="false">
      <c r="A13205" s="5" t="s">
        <v>321</v>
      </c>
      <c r="G13205" s="25" t="n">
        <f aca="false">G13203-G13196</f>
        <v>1228.24</v>
      </c>
      <c r="H13205" s="25" t="n">
        <f aca="false">H13203-H13196</f>
        <v>1243.78296</v>
      </c>
      <c r="I13205" s="25" t="n">
        <f aca="false">I13203-I13196</f>
        <v>1253.4933496</v>
      </c>
      <c r="J13205" s="25" t="n">
        <f aca="false">J13203-J13196</f>
        <v>1255.113376856</v>
      </c>
      <c r="K13205" s="25" t="n">
        <f aca="false">K13203-K13196</f>
        <v>1252.80036599992</v>
      </c>
    </row>
    <row r="13206" customFormat="false" ht="15" hidden="false" customHeight="false" outlineLevel="0" collapsed="false">
      <c r="A13206" s="5" t="s">
        <v>322</v>
      </c>
      <c r="G13206" s="31" t="n">
        <f aca="false">IF(G13084&gt;0,G13203/G13084,0)</f>
        <v>7.95286195286195</v>
      </c>
      <c r="H13206" s="31" t="n">
        <f aca="false">IF(H13084&gt;0,H13203/H13084,0)</f>
        <v>7.76040215208013</v>
      </c>
      <c r="I13206" s="31" t="n">
        <f aca="false">IF(I13084&gt;0,I13203/I13084,0)</f>
        <v>7.57921659219811</v>
      </c>
      <c r="J13206" s="31" t="n">
        <f aca="false">IF(J13084&gt;0,J13203/J13084,0)</f>
        <v>7.40835049365095</v>
      </c>
      <c r="K13206" s="31" t="n">
        <f aca="false">IF(K13084&gt;0,K13203/K13084,0)</f>
        <v>7.24695365912872</v>
      </c>
    </row>
    <row r="13207" customFormat="false" ht="15" hidden="false" customHeight="false" outlineLevel="0" collapsed="false">
      <c r="A13207" s="5" t="s">
        <v>323</v>
      </c>
      <c r="G13207" s="31" t="n">
        <f aca="false">IF(G13084&gt;0,G13205/G13084,0)</f>
        <v>7.95286195286195</v>
      </c>
      <c r="H13207" s="31" t="n">
        <f aca="false">IF(H13084&gt;0,H13205/H13084,0)</f>
        <v>7.89201985176657</v>
      </c>
      <c r="I13207" s="31" t="n">
        <f aca="false">IF(I13084&gt;0,I13205/I13084,0)</f>
        <v>7.80110490170984</v>
      </c>
      <c r="J13207" s="31" t="n">
        <f aca="false">IF(J13084&gt;0,J13205/J13084,0)</f>
        <v>7.6678320070417</v>
      </c>
      <c r="K13207" s="31" t="n">
        <f aca="false">IF(K13084&gt;0,K13205/K13084,0)</f>
        <v>7.51920277325657</v>
      </c>
    </row>
    <row r="13208" customFormat="false" ht="15" hidden="false" customHeight="false" outlineLevel="0" collapsed="false">
      <c r="A13208" s="5" t="s">
        <v>324</v>
      </c>
      <c r="G13208" s="31" t="n">
        <f aca="false">IF(G13088&gt;0,G13084/G13088,0)</f>
        <v>1.16085387853277</v>
      </c>
      <c r="H13208" s="31" t="n">
        <f aca="false">IF(H13088&gt;0,H13084/H13088,0)</f>
        <v>1.22218506726357</v>
      </c>
      <c r="I13208" s="31" t="n">
        <f aca="false">IF(I13088&gt;0,I13084/I13088,0)</f>
        <v>1.26880298394886</v>
      </c>
      <c r="J13208" s="31" t="n">
        <f aca="false">IF(J13088&gt;0,J13084/J13088,0)</f>
        <v>1.34177906338346</v>
      </c>
      <c r="K13208" s="31" t="n">
        <f aca="false">IF(K13088&gt;0,K13084/K13088,0)</f>
        <v>1.3722140107258</v>
      </c>
    </row>
    <row r="13209" customFormat="false" ht="15" hidden="false" customHeight="false" outlineLevel="0" collapsed="false">
      <c r="A13209" s="5" t="s">
        <v>325</v>
      </c>
      <c r="G13209" s="31" t="n">
        <f aca="false">IF(G13088&gt;0,G13087/G13088,0)</f>
        <v>0.767949488875526</v>
      </c>
      <c r="H13209" s="31" t="n">
        <f aca="false">IF(H13088&gt;0,H13087/H13088,0)</f>
        <v>0.820870567565086</v>
      </c>
      <c r="I13209" s="31" t="n">
        <f aca="false">IF(I13088&gt;0,I13087/I13088,0)</f>
        <v>0.864257105008645</v>
      </c>
      <c r="J13209" s="31" t="n">
        <f aca="false">IF(J13088&gt;0,J13087/J13088,0)</f>
        <v>0.926016536701264</v>
      </c>
      <c r="K13209" s="31" t="n">
        <f aca="false">IF(K13088&gt;0,K13087/K13088,0)</f>
        <v>0.958670062287884</v>
      </c>
    </row>
    <row r="13210" customFormat="false" ht="15" hidden="false" customHeight="false" outlineLevel="0" collapsed="false">
      <c r="A13210" s="5" t="s">
        <v>182</v>
      </c>
      <c r="G13210" s="21" t="n">
        <f aca="false">IF(G13203&gt;0,G13097/G13203,0)</f>
        <v>-0.0189213834429753</v>
      </c>
      <c r="H13210" s="21" t="n">
        <f aca="false">IF(H13203&gt;0,H13097/H13203,0)</f>
        <v>-0.0127084641548927</v>
      </c>
      <c r="I13210" s="21" t="n">
        <f aca="false">IF(I13203&gt;0,I13097/I13203,0)</f>
        <v>-0.00797345267030154</v>
      </c>
      <c r="J13210" s="21" t="n">
        <f aca="false">IF(J13203&gt;0,J13097/J13203,0)</f>
        <v>-0.0013359506993007</v>
      </c>
      <c r="K13210" s="21" t="n">
        <f aca="false">IF(K13203&gt;0,K13097/K13203,0)</f>
        <v>0.00191563212754257</v>
      </c>
    </row>
    <row r="13211" customFormat="false" ht="15" hidden="false" customHeight="false" outlineLevel="0" collapsed="false">
      <c r="A13211" s="5" t="s">
        <v>326</v>
      </c>
      <c r="G13211" s="31" t="n">
        <f aca="false">IF(G13088+G13187&gt;0,(G13084-G13095-G13092)/(G13088+G13187),0)</f>
        <v>0.7734375</v>
      </c>
      <c r="H13211" s="31" t="n">
        <f aca="false">IF(H13088+H13187&gt;0,(H13084-H13095-H13092)/(H13088+H13187),0)</f>
        <v>0.824120324318909</v>
      </c>
      <c r="I13211" s="31" t="n">
        <f aca="false">IF(I13088+I13187&gt;0,(I13084-I13095-I13092)/(I13088+I13187),0)</f>
        <v>0.865495712083048</v>
      </c>
      <c r="J13211" s="31" t="n">
        <f aca="false">IF(J13088+J13187&gt;0,(J13084-J13095-J13092)/(J13088+J13187),0)</f>
        <v>0.924409312639278</v>
      </c>
      <c r="K13211" s="31" t="n">
        <f aca="false">IF(K13088+K13187&gt;0,(K13084-K13095-K13092)/(K13088+K13187),0)</f>
        <v>0.955350413390551</v>
      </c>
    </row>
    <row r="13212" customFormat="false" ht="15" hidden="false" customHeight="false" outlineLevel="0" collapsed="false">
      <c r="A13212" s="5" t="s">
        <v>327</v>
      </c>
      <c r="G13212" s="25" t="n">
        <f aca="false">MAX(0,G13196)+Assumptions!$P$53*MAX(0,Assumptions!$D$53-G13121)+Assumptions!$P$54*MAX(0,Assumptions!$D$54-G13134)+Assumptions!$P$55*MAX(0,Assumptions!$D$55-G13147)+Assumptions!$P$56*MAX(0,Assumptions!$D$56-G13160)</f>
        <v>136.56</v>
      </c>
      <c r="H13212" s="25" t="n">
        <f aca="false">MAX(0,H13196)+Assumptions!$P$53*MAX(0,Assumptions!$D$53-H13121)+Assumptions!$P$54*MAX(0,Assumptions!$D$54-H13134)+Assumptions!$P$55*MAX(0,Assumptions!$D$55-H13147)+Assumptions!$P$56*MAX(0,Assumptions!$D$56-H13160)</f>
        <v>136.56</v>
      </c>
      <c r="I13212" s="25" t="n">
        <f aca="false">MAX(0,I13196)+Assumptions!$P$53*MAX(0,Assumptions!$D$53-I13121)+Assumptions!$P$54*MAX(0,Assumptions!$D$54-I13134)+Assumptions!$P$55*MAX(0,Assumptions!$D$55-I13147)+Assumptions!$P$56*MAX(0,Assumptions!$D$56-I13160)</f>
        <v>136.56</v>
      </c>
      <c r="J13212" s="25" t="n">
        <f aca="false">MAX(0,J13196)+Assumptions!$P$53*MAX(0,Assumptions!$D$53-J13121)+Assumptions!$P$54*MAX(0,Assumptions!$D$54-J13134)+Assumptions!$P$55*MAX(0,Assumptions!$D$55-J13147)+Assumptions!$P$56*MAX(0,Assumptions!$D$56-J13160)</f>
        <v>136.56</v>
      </c>
      <c r="K13212" s="25" t="n">
        <f aca="false">MAX(0,K13196)+Assumptions!$P$53*MAX(0,Assumptions!$D$53-K13121)+Assumptions!$P$54*MAX(0,Assumptions!$D$54-K13134)+Assumptions!$P$55*MAX(0,Assumptions!$D$55-K13147)+Assumptions!$P$56*MAX(0,Assumptions!$D$56-K13160)</f>
        <v>136.56</v>
      </c>
    </row>
    <row r="13213" customFormat="false" ht="15" hidden="false" customHeight="false" outlineLevel="0" collapsed="false">
      <c r="A13213" s="5" t="s">
        <v>328</v>
      </c>
      <c r="G13213" s="21" t="n">
        <f aca="false">IF(G13203&gt;0,G13203/(G13203+MAX(0,G13084*CHOOSE($C$13067,Assumptions!$C$76,Assumptions!$C$95,Assumptions!$C$114)-G13205)),0)</f>
        <v>1</v>
      </c>
      <c r="H13213" s="21" t="n">
        <f aca="false">IF(H13203&gt;0,H13203/(H13203+MAX(0,H13084*CHOOSE($C$13067,Assumptions!$C$76,Assumptions!$C$95,Assumptions!$C$114)-H13205)),0)</f>
        <v>1</v>
      </c>
      <c r="I13213" s="21" t="n">
        <f aca="false">IF(I13203&gt;0,I13203/(I13203+MAX(0,I13084*CHOOSE($C$13067,Assumptions!$C$76,Assumptions!$C$95,Assumptions!$C$114)-I13205)),0)</f>
        <v>1</v>
      </c>
      <c r="J13213" s="21" t="n">
        <f aca="false">IF(J13203&gt;0,J13203/(J13203+MAX(0,J13084*CHOOSE($C$13067,Assumptions!$C$76,Assumptions!$C$95,Assumptions!$C$114)-J13205)),0)</f>
        <v>1</v>
      </c>
      <c r="K13213" s="21" t="n">
        <f aca="false">IF(K13203&gt;0,K13203/(K13203+MAX(0,K13084*CHOOSE($C$13067,Assumptions!$C$76,Assumptions!$C$95,Assumptions!$C$114)-K13205)),0)</f>
        <v>1</v>
      </c>
    </row>
    <row r="13214" customFormat="false" ht="15" hidden="false" customHeight="false" outlineLevel="0" collapsed="false">
      <c r="A13214" s="5" t="s">
        <v>329</v>
      </c>
      <c r="G13214" s="21" t="n">
        <f aca="false">IF(G13203&gt;0,MAX(0,G13196)/G13203,0)</f>
        <v>0</v>
      </c>
      <c r="H13214" s="21" t="n">
        <f aca="false">IF(H13203&gt;0,MAX(0,H13196)/H13203,0)</f>
        <v>0</v>
      </c>
      <c r="I13214" s="21" t="n">
        <f aca="false">IF(I13203&gt;0,MAX(0,I13196)/I13203,0)</f>
        <v>0</v>
      </c>
      <c r="J13214" s="21" t="n">
        <f aca="false">IF(J13203&gt;0,MAX(0,J13196)/J13203,0)</f>
        <v>0</v>
      </c>
      <c r="K13214" s="21" t="n">
        <f aca="false">IF(K13203&gt;0,MAX(0,K13196)/K13203,0)</f>
        <v>0</v>
      </c>
    </row>
    <row r="13215" customFormat="false" ht="15" hidden="false" customHeight="false" outlineLevel="0" collapsed="false">
      <c r="A13215" s="5" t="s">
        <v>330</v>
      </c>
      <c r="G13215" s="25" t="n">
        <f aca="false">Assumptions!$C$27*(1-CHOOSE($C$13067,Assumptions!$C$79,Assumptions!$C$98,Assumptions!$C$117))</f>
        <v>1040</v>
      </c>
      <c r="H13215" s="25" t="n">
        <f aca="false">Assumptions!$C$27*(1-CHOOSE($C$13067,Assumptions!$C$79,Assumptions!$C$98,Assumptions!$C$117))</f>
        <v>1040</v>
      </c>
      <c r="I13215" s="25" t="n">
        <f aca="false">Assumptions!$C$27*(1-CHOOSE($C$13067,Assumptions!$C$79,Assumptions!$C$98,Assumptions!$C$117))</f>
        <v>1040</v>
      </c>
      <c r="J13215" s="25" t="n">
        <f aca="false">Assumptions!$C$27*(1-CHOOSE($C$13067,Assumptions!$C$79,Assumptions!$C$98,Assumptions!$C$117))</f>
        <v>1040</v>
      </c>
      <c r="K13215" s="25" t="n">
        <f aca="false">Assumptions!$C$27*(1-CHOOSE($C$13067,Assumptions!$C$79,Assumptions!$C$98,Assumptions!$C$117))</f>
        <v>1040</v>
      </c>
    </row>
    <row r="13216" customFormat="false" ht="15" hidden="false" customHeight="false" outlineLevel="0" collapsed="false">
      <c r="A13216" s="23" t="s">
        <v>331</v>
      </c>
      <c r="B13216" s="24"/>
      <c r="C13216" s="24"/>
      <c r="D13216" s="24"/>
      <c r="E13216" s="24"/>
      <c r="F13216" s="24"/>
      <c r="G13216" s="24"/>
      <c r="H13216" s="24"/>
      <c r="I13216" s="24"/>
      <c r="J13216" s="24"/>
      <c r="K13216" s="24"/>
    </row>
    <row r="13217" customFormat="false" ht="15" hidden="false" customHeight="false" outlineLevel="0" collapsed="false">
      <c r="A13217" s="23" t="s">
        <v>332</v>
      </c>
      <c r="B13217" s="24"/>
      <c r="C13217" s="24"/>
      <c r="D13217" s="24"/>
      <c r="E13217" s="24"/>
      <c r="F13217" s="24"/>
      <c r="G13217" s="24"/>
      <c r="H13217" s="24"/>
      <c r="I13217" s="24"/>
      <c r="J13217" s="24"/>
      <c r="K13217" s="24"/>
    </row>
    <row r="13218" customFormat="false" ht="15" hidden="false" customHeight="false" outlineLevel="0" collapsed="false">
      <c r="A13218" s="5" t="s">
        <v>333</v>
      </c>
      <c r="G13218" s="31" t="n">
        <f aca="false">IF(G13084&gt;0,G13205/G13084,99)</f>
        <v>7.95286195286195</v>
      </c>
      <c r="H13218" s="31" t="n">
        <f aca="false">IF(H13084&gt;0,H13205/H13084,99)</f>
        <v>7.89201985176657</v>
      </c>
      <c r="I13218" s="31" t="n">
        <f aca="false">IF(I13084&gt;0,I13205/I13084,99)</f>
        <v>7.80110490170984</v>
      </c>
      <c r="J13218" s="31" t="n">
        <f aca="false">IF(J13084&gt;0,J13205/J13084,99)</f>
        <v>7.6678320070417</v>
      </c>
      <c r="K13218" s="31" t="n">
        <f aca="false">IF(K13084&gt;0,K13205/K13084,99)</f>
        <v>7.51920277325657</v>
      </c>
    </row>
    <row r="13219" customFormat="false" ht="15" hidden="false" customHeight="false" outlineLevel="0" collapsed="false">
      <c r="A13219" s="5" t="s">
        <v>334</v>
      </c>
      <c r="G13219" s="32" t="n">
        <f aca="false">Assumptions!$G$61</f>
        <v>8.5</v>
      </c>
      <c r="H13219" s="32" t="n">
        <f aca="false">Assumptions!$H$61</f>
        <v>8.5</v>
      </c>
      <c r="I13219" s="32" t="n">
        <f aca="false">Assumptions!$I$61</f>
        <v>8.5</v>
      </c>
      <c r="J13219" s="32" t="n">
        <f aca="false">Assumptions!$J$61</f>
        <v>8.5</v>
      </c>
      <c r="K13219" s="32" t="n">
        <f aca="false">Assumptions!$K$61</f>
        <v>8.5</v>
      </c>
    </row>
    <row r="13220" customFormat="false" ht="15" hidden="false" customHeight="false" outlineLevel="0" collapsed="false">
      <c r="A13220" s="5" t="s">
        <v>335</v>
      </c>
      <c r="G13220" s="31" t="n">
        <f aca="false">G13219-G13218</f>
        <v>0.547138047138047</v>
      </c>
      <c r="H13220" s="31" t="n">
        <f aca="false">H13219-H13218</f>
        <v>0.607980148233427</v>
      </c>
      <c r="I13220" s="31" t="n">
        <f aca="false">I13219-I13218</f>
        <v>0.698895098290161</v>
      </c>
      <c r="J13220" s="31" t="n">
        <f aca="false">J13219-J13218</f>
        <v>0.832167992958297</v>
      </c>
      <c r="K13220" s="31" t="n">
        <f aca="false">K13219-K13218</f>
        <v>0.980797226743426</v>
      </c>
    </row>
    <row r="13221" customFormat="false" ht="15" hidden="false" customHeight="false" outlineLevel="0" collapsed="false">
      <c r="A13221" s="5" t="s">
        <v>336</v>
      </c>
      <c r="G13221" s="21" t="n">
        <f aca="false">IF(G13219=0,0,G13220/ABS(G13219))</f>
        <v>0.0643691820162408</v>
      </c>
      <c r="H13221" s="21" t="n">
        <f aca="false">IF(H13219=0,0,H13220/ABS(H13219))</f>
        <v>0.0715270762627561</v>
      </c>
      <c r="I13221" s="21" t="n">
        <f aca="false">IF(I13219=0,0,I13220/ABS(I13219))</f>
        <v>0.082222952740019</v>
      </c>
      <c r="J13221" s="21" t="n">
        <f aca="false">IF(J13219=0,0,J13220/ABS(J13219))</f>
        <v>0.0979021168186232</v>
      </c>
      <c r="K13221" s="21" t="n">
        <f aca="false">IF(K13219=0,0,K13220/ABS(K13219))</f>
        <v>0.115387909028638</v>
      </c>
    </row>
    <row r="13222" customFormat="false" ht="15" hidden="false" customHeight="false" outlineLevel="0" collapsed="false">
      <c r="A13222" s="5" t="s">
        <v>337</v>
      </c>
      <c r="G13222" s="20" t="n">
        <f aca="false">IF(G13220&lt;0,1,0)</f>
        <v>0</v>
      </c>
      <c r="H13222" s="20" t="n">
        <f aca="false">IF(H13220&lt;0,1,0)</f>
        <v>0</v>
      </c>
      <c r="I13222" s="20" t="n">
        <f aca="false">IF(I13220&lt;0,1,0)</f>
        <v>0</v>
      </c>
      <c r="J13222" s="20" t="n">
        <f aca="false">IF(J13220&lt;0,1,0)</f>
        <v>0</v>
      </c>
      <c r="K13222" s="20" t="n">
        <f aca="false">IF(K13220&lt;0,1,0)</f>
        <v>0</v>
      </c>
    </row>
    <row r="13223" customFormat="false" ht="15" hidden="false" customHeight="false" outlineLevel="0" collapsed="false">
      <c r="A13223" s="5" t="s">
        <v>338</v>
      </c>
      <c r="C13223" s="20" t="n">
        <f aca="false">IFERROR(INDEX($G$13074:$K$13074,MATCH(1,$G$13222:$K$13222,0)),0)</f>
        <v>0</v>
      </c>
    </row>
    <row r="13224" customFormat="false" ht="15" hidden="false" customHeight="false" outlineLevel="0" collapsed="false">
      <c r="A13224" s="5" t="s">
        <v>339</v>
      </c>
      <c r="C13224" s="21" t="n">
        <f aca="false">MIN($G$13221:$K$13221)</f>
        <v>0.0643691820162408</v>
      </c>
    </row>
    <row r="13225" customFormat="false" ht="15" hidden="false" customHeight="false" outlineLevel="0" collapsed="false">
      <c r="A13225" s="5" t="s">
        <v>340</v>
      </c>
      <c r="G13225" s="20" t="n">
        <f aca="false">G13222</f>
        <v>0</v>
      </c>
      <c r="H13225" s="20" t="n">
        <f aca="false">H13222</f>
        <v>0</v>
      </c>
      <c r="I13225" s="20" t="n">
        <f aca="false">I13222</f>
        <v>0</v>
      </c>
      <c r="J13225" s="20" t="n">
        <f aca="false">J13222</f>
        <v>0</v>
      </c>
      <c r="K13225" s="20" t="n">
        <f aca="false">K13222</f>
        <v>0</v>
      </c>
    </row>
    <row r="13226" customFormat="false" ht="15" hidden="false" customHeight="false" outlineLevel="0" collapsed="false">
      <c r="A13226" s="5" t="s">
        <v>341</v>
      </c>
      <c r="C13226" s="20" t="n">
        <f aca="false">SUM($G$13225:$K$13225)</f>
        <v>0</v>
      </c>
    </row>
    <row r="13227" customFormat="false" ht="15" hidden="false" customHeight="false" outlineLevel="0" collapsed="false">
      <c r="A13227" s="5" t="s">
        <v>342</v>
      </c>
      <c r="C13227" s="21" t="n">
        <f aca="false">MIN(C13224)</f>
        <v>0.0643691820162408</v>
      </c>
    </row>
    <row r="13229" customFormat="false" ht="15" hidden="false" customHeight="false" outlineLevel="0" collapsed="false">
      <c r="A13229" s="23" t="s">
        <v>444</v>
      </c>
      <c r="B13229" s="24"/>
      <c r="C13229" s="24"/>
      <c r="D13229" s="24"/>
      <c r="E13229" s="24"/>
      <c r="F13229" s="24"/>
      <c r="G13229" s="24"/>
      <c r="H13229" s="24"/>
      <c r="I13229" s="24"/>
      <c r="J13229" s="24"/>
      <c r="K13229" s="24"/>
    </row>
    <row r="13230" customFormat="false" ht="15" hidden="false" customHeight="false" outlineLevel="0" collapsed="false">
      <c r="A13230" s="5" t="s">
        <v>445</v>
      </c>
      <c r="G13230" s="20" t="n">
        <f aca="false">IF($C$13231=1,G13199,IF(G13084=MIN($G$13084:$K$13084),1,0))</f>
        <v>0</v>
      </c>
      <c r="H13230" s="20" t="n">
        <f aca="false">IF($C$13231=1,H13199,IF(AND(H13084=MIN($G$13084:$K$13084),SUM($G$13230:G13230)=0),1,0))</f>
        <v>1</v>
      </c>
      <c r="I13230" s="20" t="n">
        <f aca="false">IF($C$13231=1,I13199,IF(AND(I13084=MIN($G$13084:$K$13084),SUM($G$13230:H13230)=0),1,0))</f>
        <v>0</v>
      </c>
      <c r="J13230" s="20" t="n">
        <f aca="false">IF($C$13231=1,J13199,IF(AND(J13084=MIN($G$13084:$K$13084),SUM($G$13230:I13230)=0),1,0))</f>
        <v>0</v>
      </c>
      <c r="K13230" s="20" t="n">
        <f aca="false">IF($C$13231=1,K13199,IF(AND(K13084=MIN($G$13084:$K$13084),SUM($G$13230:J13230)=0),1,0))</f>
        <v>0</v>
      </c>
    </row>
    <row r="13231" customFormat="false" ht="15" hidden="false" customHeight="false" outlineLevel="0" collapsed="false">
      <c r="A13231" s="5" t="s">
        <v>446</v>
      </c>
      <c r="C13231" s="20" t="n">
        <f aca="false">IF(SUM($G$13199:$K$13199)&gt;0,1,0)</f>
        <v>1</v>
      </c>
    </row>
    <row r="13232" customFormat="false" ht="15" hidden="false" customHeight="false" outlineLevel="0" collapsed="false">
      <c r="A13232" s="5" t="s">
        <v>447</v>
      </c>
      <c r="C13232" s="20" t="n">
        <f aca="false">SUMPRODUCT($G$13230:$K$13230,$G$13074:$K$13074)</f>
        <v>2027</v>
      </c>
    </row>
    <row r="13233" customFormat="false" ht="15" hidden="false" customHeight="false" outlineLevel="0" collapsed="false">
      <c r="A13233" s="5" t="s">
        <v>448</v>
      </c>
      <c r="C13233" s="25" t="n">
        <f aca="false">SUMPRODUCT($G$13230:$K$13230,$G$13084:$K$13084)</f>
        <v>157.60008</v>
      </c>
    </row>
    <row r="13234" customFormat="false" ht="15" hidden="false" customHeight="false" outlineLevel="0" collapsed="false">
      <c r="A13234" s="5" t="s">
        <v>449</v>
      </c>
      <c r="C13234" s="25" t="n">
        <f aca="false">MAX(0,SUMPRODUCT($G$13230:$K$13230,$G$13196:$K$13196))</f>
        <v>0</v>
      </c>
    </row>
    <row r="13235" customFormat="false" ht="15" hidden="false" customHeight="false" outlineLevel="0" collapsed="false">
      <c r="A13235" s="5" t="s">
        <v>450</v>
      </c>
      <c r="C13235" s="25" t="n">
        <f aca="false">(CHOOSE($C$13067,Assumptions!$C$78,Assumptions!$C$97,Assumptions!$C$116)+$C$13071)*C13233</f>
        <v>630.40032</v>
      </c>
    </row>
    <row r="13236" customFormat="false" ht="15" hidden="false" customHeight="false" outlineLevel="0" collapsed="false">
      <c r="A13236" s="5" t="s">
        <v>451</v>
      </c>
      <c r="C13236" s="25" t="n">
        <f aca="false">Assumptions!$C$27*(1-CHOOSE($C$13067,Assumptions!$C$79,Assumptions!$C$98,Assumptions!$C$117))*CHOOSE($C$13067,Assumptions!$C$80,Assumptions!$C$99,Assumptions!$C$118)</f>
        <v>624</v>
      </c>
    </row>
    <row r="13237" customFormat="false" ht="15" hidden="false" customHeight="false" outlineLevel="0" collapsed="false">
      <c r="A13237" s="5" t="s">
        <v>452</v>
      </c>
      <c r="C13237" s="25" t="n">
        <f aca="false">MAX(C13235,C13236)+C13234</f>
        <v>630.40032</v>
      </c>
    </row>
    <row r="13238" customFormat="false" ht="15" hidden="false" customHeight="false" outlineLevel="0" collapsed="false">
      <c r="A13238" s="2" t="s">
        <v>453</v>
      </c>
      <c r="C13238" s="16" t="n">
        <f aca="false">IF(ISNUMBER(Assumptions!$C$14),Assumptions!$C$14,C13237)</f>
        <v>630.40032</v>
      </c>
    </row>
    <row r="13239" customFormat="false" ht="15" hidden="false" customHeight="false" outlineLevel="0" collapsed="false">
      <c r="A13239" s="5" t="s">
        <v>454</v>
      </c>
      <c r="C13239" s="25" t="n">
        <f aca="false">C13238*Assumptions!$C$15</f>
        <v>25.2160128</v>
      </c>
    </row>
    <row r="13240" customFormat="false" ht="15" hidden="false" customHeight="false" outlineLevel="0" collapsed="false">
      <c r="A13240" s="2" t="s">
        <v>455</v>
      </c>
      <c r="C13240" s="16" t="n">
        <f aca="false">C13238-C13239</f>
        <v>605.1843072</v>
      </c>
    </row>
    <row r="13241" customFormat="false" ht="15" hidden="false" customHeight="false" outlineLevel="0" collapsed="false">
      <c r="A13241" s="23" t="s">
        <v>456</v>
      </c>
      <c r="B13241" s="24"/>
      <c r="C13241" s="24"/>
      <c r="D13241" s="24"/>
      <c r="E13241" s="24"/>
      <c r="F13241" s="24"/>
      <c r="G13241" s="24"/>
      <c r="H13241" s="24"/>
      <c r="I13241" s="24"/>
      <c r="J13241" s="24"/>
      <c r="K13241" s="24"/>
    </row>
    <row r="13242" customFormat="false" ht="15" hidden="false" customHeight="false" outlineLevel="0" collapsed="false">
      <c r="A13242" s="5" t="s">
        <v>457</v>
      </c>
      <c r="C13242" s="25" t="n">
        <f aca="false">SUMPRODUCT($G$13230:$K$13230,$G$13121:$K$13121)*(1+SUMPRODUCT($G$13230:$K$13230,$G$13113:$K$13113)*Assumptions!$C$16/12)</f>
        <v>167.66901</v>
      </c>
    </row>
    <row r="13243" customFormat="false" ht="15" hidden="false" customHeight="false" outlineLevel="0" collapsed="false">
      <c r="A13243" s="5" t="s">
        <v>458</v>
      </c>
      <c r="C13243" s="25" t="n">
        <f aca="false">SUMPRODUCT($G$13230:$K$13230,$G$13134:$K$13134)*(1+SUMPRODUCT($G$13230:$K$13230,$G$13126:$K$13126)*Assumptions!$C$16/12)</f>
        <v>524.9517</v>
      </c>
    </row>
    <row r="13244" customFormat="false" ht="15" hidden="false" customHeight="false" outlineLevel="0" collapsed="false">
      <c r="A13244" s="5" t="s">
        <v>459</v>
      </c>
      <c r="C13244" s="25" t="n">
        <f aca="false">SUMPRODUCT($G$13230:$K$13230,$G$13147:$K$13147)*(1+SUMPRODUCT($G$13230:$K$13230,$G$13139:$K$13139)*Assumptions!$C$16/12)</f>
        <v>256.875</v>
      </c>
    </row>
    <row r="13245" customFormat="false" ht="15" hidden="false" customHeight="false" outlineLevel="0" collapsed="false">
      <c r="A13245" s="5" t="s">
        <v>460</v>
      </c>
      <c r="C13245" s="25" t="n">
        <f aca="false">SUMPRODUCT($G$13230:$K$13230,$G$13160:$K$13160)*(1+SUMPRODUCT($G$13230:$K$13230,$G$13152:$K$13152)*Assumptions!$C$16/12)</f>
        <v>305.625</v>
      </c>
    </row>
    <row r="13246" customFormat="false" ht="15" hidden="false" customHeight="false" outlineLevel="0" collapsed="false">
      <c r="A13246" s="23" t="s">
        <v>461</v>
      </c>
      <c r="B13246" s="24"/>
      <c r="C13246" s="24"/>
      <c r="D13246" s="24"/>
      <c r="E13246" s="24"/>
      <c r="F13246" s="24"/>
      <c r="G13246" s="24"/>
      <c r="H13246" s="24"/>
      <c r="I13246" s="24"/>
      <c r="J13246" s="24"/>
      <c r="K13246" s="24"/>
    </row>
    <row r="13247" customFormat="false" ht="15" hidden="false" customHeight="false" outlineLevel="0" collapsed="false">
      <c r="A13247" s="5" t="s">
        <v>457</v>
      </c>
      <c r="C13247" s="26" t="n">
        <f aca="false">Assumptions!$M$53</f>
        <v>1</v>
      </c>
    </row>
    <row r="13248" customFormat="false" ht="15" hidden="false" customHeight="false" outlineLevel="0" collapsed="false">
      <c r="A13248" s="5" t="s">
        <v>458</v>
      </c>
      <c r="C13248" s="26" t="n">
        <f aca="false">Assumptions!$M$54</f>
        <v>2</v>
      </c>
    </row>
    <row r="13249" customFormat="false" ht="15" hidden="false" customHeight="false" outlineLevel="0" collapsed="false">
      <c r="A13249" s="5" t="s">
        <v>459</v>
      </c>
      <c r="C13249" s="26" t="n">
        <f aca="false">Assumptions!$M$55</f>
        <v>3</v>
      </c>
    </row>
    <row r="13250" customFormat="false" ht="15" hidden="false" customHeight="false" outlineLevel="0" collapsed="false">
      <c r="A13250" s="5" t="s">
        <v>460</v>
      </c>
      <c r="C13250" s="26" t="n">
        <f aca="false">Assumptions!$M$56</f>
        <v>4</v>
      </c>
    </row>
    <row r="13251" customFormat="false" ht="15" hidden="false" customHeight="false" outlineLevel="0" collapsed="false">
      <c r="A13251" s="23" t="s">
        <v>462</v>
      </c>
      <c r="B13251" s="24"/>
      <c r="C13251" s="24"/>
      <c r="D13251" s="24"/>
      <c r="E13251" s="24"/>
      <c r="F13251" s="24"/>
      <c r="G13251" s="24"/>
      <c r="H13251" s="24"/>
      <c r="I13251" s="24"/>
      <c r="J13251" s="24"/>
      <c r="K13251" s="24"/>
    </row>
    <row r="13252" customFormat="false" ht="15" hidden="false" customHeight="false" outlineLevel="0" collapsed="false">
      <c r="A13252" s="5" t="s">
        <v>457</v>
      </c>
      <c r="C13252" s="34" t="n">
        <f aca="false">Assumptions!$Q$53</f>
        <v>0</v>
      </c>
    </row>
    <row r="13253" customFormat="false" ht="15" hidden="false" customHeight="false" outlineLevel="0" collapsed="false">
      <c r="A13253" s="5" t="s">
        <v>458</v>
      </c>
      <c r="C13253" s="34" t="n">
        <f aca="false">Assumptions!$Q$54</f>
        <v>0</v>
      </c>
    </row>
    <row r="13254" customFormat="false" ht="15" hidden="false" customHeight="false" outlineLevel="0" collapsed="false">
      <c r="A13254" s="5" t="s">
        <v>459</v>
      </c>
      <c r="C13254" s="34" t="n">
        <f aca="false">Assumptions!$Q$55</f>
        <v>0</v>
      </c>
    </row>
    <row r="13255" customFormat="false" ht="15" hidden="false" customHeight="false" outlineLevel="0" collapsed="false">
      <c r="A13255" s="5" t="s">
        <v>460</v>
      </c>
      <c r="C13255" s="34" t="n">
        <f aca="false">Assumptions!$Q$56</f>
        <v>0</v>
      </c>
    </row>
    <row r="13256" customFormat="false" ht="15" hidden="false" customHeight="false" outlineLevel="0" collapsed="false">
      <c r="A13256" s="23" t="s">
        <v>463</v>
      </c>
      <c r="B13256" s="24"/>
      <c r="C13256" s="24"/>
      <c r="D13256" s="24"/>
      <c r="E13256" s="24"/>
      <c r="F13256" s="24"/>
      <c r="G13256" s="24"/>
      <c r="H13256" s="24"/>
      <c r="I13256" s="24"/>
      <c r="J13256" s="24"/>
      <c r="K13256" s="24"/>
    </row>
    <row r="13257" customFormat="false" ht="15" hidden="false" customHeight="false" outlineLevel="0" collapsed="false">
      <c r="A13257" s="5" t="s">
        <v>457</v>
      </c>
      <c r="C13257" s="25" t="n">
        <f aca="false">IF(C13252&gt;0,MIN(C13242,C13252*$C$13240),0)</f>
        <v>0</v>
      </c>
    </row>
    <row r="13258" customFormat="false" ht="15" hidden="false" customHeight="false" outlineLevel="0" collapsed="false">
      <c r="A13258" s="5" t="s">
        <v>458</v>
      </c>
      <c r="C13258" s="25" t="n">
        <f aca="false">IF(C13253&gt;0,MIN(C13243,C13253*$C$13240),0)</f>
        <v>0</v>
      </c>
    </row>
    <row r="13259" customFormat="false" ht="15" hidden="false" customHeight="false" outlineLevel="0" collapsed="false">
      <c r="A13259" s="5" t="s">
        <v>459</v>
      </c>
      <c r="C13259" s="25" t="n">
        <f aca="false">IF(C13254&gt;0,MIN(C13244,C13254*$C$13240),0)</f>
        <v>0</v>
      </c>
    </row>
    <row r="13260" customFormat="false" ht="15" hidden="false" customHeight="false" outlineLevel="0" collapsed="false">
      <c r="A13260" s="5" t="s">
        <v>460</v>
      </c>
      <c r="C13260" s="25" t="n">
        <f aca="false">IF(C13255&gt;0,MIN(C13245,C13255*$C$13240),0)</f>
        <v>0</v>
      </c>
    </row>
    <row r="13261" customFormat="false" ht="15" hidden="false" customHeight="false" outlineLevel="0" collapsed="false">
      <c r="A13261" s="23" t="s">
        <v>464</v>
      </c>
      <c r="B13261" s="24"/>
      <c r="C13261" s="24"/>
      <c r="D13261" s="24"/>
      <c r="E13261" s="24"/>
      <c r="F13261" s="24"/>
      <c r="G13261" s="24"/>
      <c r="H13261" s="24"/>
      <c r="I13261" s="24"/>
      <c r="J13261" s="24"/>
      <c r="K13261" s="24"/>
    </row>
    <row r="13262" customFormat="false" ht="15" hidden="false" customHeight="false" outlineLevel="0" collapsed="false">
      <c r="A13262" s="5" t="s">
        <v>457</v>
      </c>
      <c r="C13262" s="25" t="n">
        <f aca="false">IF(C13252&gt;0,C13242-C13257,0)</f>
        <v>0</v>
      </c>
      <c r="G13262" s="20" t="n">
        <f aca="false">IF(AND(G13111=1,G13108=1),1,0)</f>
        <v>0</v>
      </c>
      <c r="H13262" s="20" t="n">
        <f aca="false">IF(G13262=1,1,IF(AND(H13111=1,H13108=1),1,0))</f>
        <v>0</v>
      </c>
      <c r="I13262" s="20" t="n">
        <f aca="false">IF(H13262=1,1,IF(AND(I13111=1,I13108=1),1,0))</f>
        <v>0</v>
      </c>
      <c r="J13262" s="20" t="n">
        <f aca="false">IF(I13262=1,1,IF(AND(J13111=1,J13108=1),1,0))</f>
        <v>0</v>
      </c>
      <c r="K13262" s="20" t="n">
        <f aca="false">IF(J13262=1,1,IF(AND(K13111=1,K13108=1),1,0))</f>
        <v>0</v>
      </c>
    </row>
    <row r="13263" customFormat="false" ht="15" hidden="false" customHeight="false" outlineLevel="0" collapsed="false">
      <c r="A13263" s="5" t="s">
        <v>458</v>
      </c>
      <c r="C13263" s="25" t="n">
        <f aca="false">IF(C13253&gt;0,C13243-C13258,0)</f>
        <v>0</v>
      </c>
      <c r="G13263" s="20" t="n">
        <f aca="false">IF(AND(G13124=1,G13108=1),1,0)</f>
        <v>0</v>
      </c>
      <c r="H13263" s="20" t="n">
        <f aca="false">IF(G13263=1,1,IF(AND(H13124=1,H13108=1),1,0))</f>
        <v>0</v>
      </c>
      <c r="I13263" s="20" t="n">
        <f aca="false">IF(H13263=1,1,IF(AND(I13124=1,I13108=1),1,0))</f>
        <v>1</v>
      </c>
      <c r="J13263" s="20" t="n">
        <f aca="false">IF(I13263=1,1,IF(AND(J13124=1,J13108=1),1,0))</f>
        <v>1</v>
      </c>
      <c r="K13263" s="20" t="n">
        <f aca="false">IF(J13263=1,1,IF(AND(K13124=1,K13108=1),1,0))</f>
        <v>1</v>
      </c>
    </row>
    <row r="13264" customFormat="false" ht="15" hidden="false" customHeight="false" outlineLevel="0" collapsed="false">
      <c r="A13264" s="5" t="s">
        <v>459</v>
      </c>
      <c r="C13264" s="25" t="n">
        <f aca="false">IF(C13254&gt;0,C13244-C13259,0)</f>
        <v>0</v>
      </c>
      <c r="G13264" s="20" t="n">
        <f aca="false">IF(AND(G13137=1,G13108=1),1,0)</f>
        <v>0</v>
      </c>
      <c r="H13264" s="20" t="n">
        <f aca="false">IF(G13264=1,1,IF(AND(H13137=1,H13108=1),1,0))</f>
        <v>0</v>
      </c>
      <c r="I13264" s="20" t="n">
        <f aca="false">IF(H13264=1,1,IF(AND(I13137=1,I13108=1),1,0))</f>
        <v>0</v>
      </c>
      <c r="J13264" s="20" t="n">
        <f aca="false">IF(I13264=1,1,IF(AND(J13137=1,J13108=1),1,0))</f>
        <v>1</v>
      </c>
      <c r="K13264" s="20" t="n">
        <f aca="false">IF(J13264=1,1,IF(AND(K13137=1,K13108=1),1,0))</f>
        <v>1</v>
      </c>
    </row>
    <row r="13265" customFormat="false" ht="15" hidden="false" customHeight="false" outlineLevel="0" collapsed="false">
      <c r="A13265" s="5" t="s">
        <v>460</v>
      </c>
      <c r="C13265" s="25" t="n">
        <f aca="false">IF(C13255&gt;0,C13245-C13260,0)</f>
        <v>0</v>
      </c>
      <c r="G13265" s="20" t="n">
        <f aca="false">IF(AND(G13150=1,G13108=1),1,0)</f>
        <v>0</v>
      </c>
      <c r="H13265" s="20" t="n">
        <f aca="false">IF(G13265=1,1,IF(AND(H13150=1,H13108=1),1,0))</f>
        <v>0</v>
      </c>
      <c r="I13265" s="20" t="n">
        <f aca="false">IF(H13265=1,1,IF(AND(I13150=1,I13108=1),1,0))</f>
        <v>0</v>
      </c>
      <c r="J13265" s="20" t="n">
        <f aca="false">IF(I13265=1,1,IF(AND(J13150=1,J13108=1),1,0))</f>
        <v>0</v>
      </c>
      <c r="K13265" s="20" t="n">
        <f aca="false">IF(J13265=1,1,IF(AND(K13150=1,K13108=1),1,0))</f>
        <v>0</v>
      </c>
    </row>
    <row r="13266" customFormat="false" ht="15" hidden="false" customHeight="false" outlineLevel="0" collapsed="false">
      <c r="A13266" s="23" t="s">
        <v>465</v>
      </c>
      <c r="B13266" s="24"/>
      <c r="C13266" s="24"/>
      <c r="D13266" s="24"/>
      <c r="E13266" s="24"/>
      <c r="F13266" s="24"/>
      <c r="G13266" s="24"/>
      <c r="H13266" s="24"/>
      <c r="I13266" s="24"/>
      <c r="J13266" s="24"/>
      <c r="K13266" s="24"/>
    </row>
    <row r="13267" customFormat="false" ht="15" hidden="false" customHeight="false" outlineLevel="0" collapsed="false">
      <c r="A13267" s="5" t="s">
        <v>457</v>
      </c>
      <c r="C13267" s="25" t="n">
        <f aca="false">IF(C13252&gt;0,C13262,C13242)</f>
        <v>167.66901</v>
      </c>
    </row>
    <row r="13268" customFormat="false" ht="15" hidden="false" customHeight="false" outlineLevel="0" collapsed="false">
      <c r="A13268" s="5" t="s">
        <v>458</v>
      </c>
      <c r="C13268" s="25" t="n">
        <f aca="false">IF(C13253&gt;0,C13263,C13243)</f>
        <v>524.9517</v>
      </c>
    </row>
    <row r="13269" customFormat="false" ht="15" hidden="false" customHeight="false" outlineLevel="0" collapsed="false">
      <c r="A13269" s="5" t="s">
        <v>459</v>
      </c>
      <c r="C13269" s="25" t="n">
        <f aca="false">IF(C13254&gt;0,C13264,C13244)</f>
        <v>256.875</v>
      </c>
    </row>
    <row r="13270" customFormat="false" ht="15" hidden="false" customHeight="false" outlineLevel="0" collapsed="false">
      <c r="A13270" s="5" t="s">
        <v>460</v>
      </c>
      <c r="C13270" s="25" t="n">
        <f aca="false">IF(C13255&gt;0,C13265,C13245)</f>
        <v>305.625</v>
      </c>
    </row>
    <row r="13271" customFormat="false" ht="15" hidden="false" customHeight="false" outlineLevel="0" collapsed="false">
      <c r="A13271" s="23" t="s">
        <v>466</v>
      </c>
      <c r="B13271" s="24"/>
      <c r="C13271" s="24"/>
      <c r="D13271" s="24"/>
      <c r="E13271" s="24"/>
      <c r="F13271" s="24"/>
      <c r="G13271" s="24"/>
      <c r="H13271" s="24"/>
      <c r="I13271" s="24"/>
      <c r="J13271" s="24"/>
      <c r="K13271" s="24"/>
    </row>
    <row r="13272" customFormat="false" ht="15" hidden="false" customHeight="false" outlineLevel="0" collapsed="false">
      <c r="A13272" s="5" t="s">
        <v>457</v>
      </c>
      <c r="C13272" s="20" t="n">
        <f aca="false">IF(C13252&gt;0,Assumptions!$C$17,C13247)</f>
        <v>1</v>
      </c>
    </row>
    <row r="13273" customFormat="false" ht="15" hidden="false" customHeight="false" outlineLevel="0" collapsed="false">
      <c r="A13273" s="5" t="s">
        <v>458</v>
      </c>
      <c r="C13273" s="20" t="n">
        <f aca="false">IF(C13253&gt;0,Assumptions!$C$17,C13248)</f>
        <v>2</v>
      </c>
    </row>
    <row r="13274" customFormat="false" ht="15" hidden="false" customHeight="false" outlineLevel="0" collapsed="false">
      <c r="A13274" s="5" t="s">
        <v>459</v>
      </c>
      <c r="C13274" s="20" t="n">
        <f aca="false">IF(C13254&gt;0,Assumptions!$C$17,C13249)</f>
        <v>3</v>
      </c>
    </row>
    <row r="13275" customFormat="false" ht="15" hidden="false" customHeight="false" outlineLevel="0" collapsed="false">
      <c r="A13275" s="5" t="s">
        <v>460</v>
      </c>
      <c r="C13275" s="20" t="n">
        <f aca="false">IF(C13255&gt;0,Assumptions!$C$17,C13250)</f>
        <v>4</v>
      </c>
    </row>
    <row r="13276" customFormat="false" ht="15" hidden="false" customHeight="false" outlineLevel="0" collapsed="false">
      <c r="A13276" s="23" t="s">
        <v>467</v>
      </c>
      <c r="B13276" s="24"/>
      <c r="C13276" s="24"/>
      <c r="D13276" s="24"/>
      <c r="E13276" s="24"/>
      <c r="F13276" s="24"/>
      <c r="G13276" s="24"/>
      <c r="H13276" s="24"/>
      <c r="I13276" s="24"/>
      <c r="J13276" s="24"/>
      <c r="K13276" s="24"/>
    </row>
    <row r="13277" customFormat="false" ht="15" hidden="false" customHeight="false" outlineLevel="0" collapsed="false">
      <c r="A13277" s="5" t="s">
        <v>457</v>
      </c>
      <c r="C13277" s="25" t="n">
        <f aca="false">SUMPRODUCT(($C$13272:$C$13275&lt;C13272)*$C$13267:$C$13270)</f>
        <v>0</v>
      </c>
    </row>
    <row r="13278" customFormat="false" ht="15" hidden="false" customHeight="false" outlineLevel="0" collapsed="false">
      <c r="A13278" s="5" t="s">
        <v>458</v>
      </c>
      <c r="C13278" s="25" t="n">
        <f aca="false">SUMPRODUCT(($C$13272:$C$13275&lt;C13273)*$C$13267:$C$13270)</f>
        <v>167.66901</v>
      </c>
    </row>
    <row r="13279" customFormat="false" ht="15" hidden="false" customHeight="false" outlineLevel="0" collapsed="false">
      <c r="A13279" s="5" t="s">
        <v>459</v>
      </c>
      <c r="C13279" s="25" t="n">
        <f aca="false">SUMPRODUCT(($C$13272:$C$13275&lt;C13274)*$C$13267:$C$13270)</f>
        <v>692.62071</v>
      </c>
    </row>
    <row r="13280" customFormat="false" ht="15" hidden="false" customHeight="false" outlineLevel="0" collapsed="false">
      <c r="A13280" s="5" t="s">
        <v>460</v>
      </c>
      <c r="C13280" s="25" t="n">
        <f aca="false">SUMPRODUCT(($C$13272:$C$13275&lt;C13275)*$C$13267:$C$13270)</f>
        <v>949.49571</v>
      </c>
    </row>
    <row r="13281" customFormat="false" ht="15" hidden="false" customHeight="false" outlineLevel="0" collapsed="false">
      <c r="A13281" s="23" t="s">
        <v>468</v>
      </c>
      <c r="B13281" s="24"/>
      <c r="C13281" s="24"/>
      <c r="D13281" s="24"/>
      <c r="E13281" s="24"/>
      <c r="F13281" s="24"/>
      <c r="G13281" s="24"/>
      <c r="H13281" s="24"/>
      <c r="I13281" s="24"/>
      <c r="J13281" s="24"/>
      <c r="K13281" s="24"/>
    </row>
    <row r="13282" customFormat="false" ht="15" hidden="false" customHeight="false" outlineLevel="0" collapsed="false">
      <c r="A13282" s="5" t="s">
        <v>457</v>
      </c>
      <c r="C13282" s="25" t="n">
        <f aca="false">SUMPRODUCT(($C$13272:$C$13275=C13272)*$C$13267:$C$13270)</f>
        <v>167.66901</v>
      </c>
    </row>
    <row r="13283" customFormat="false" ht="15" hidden="false" customHeight="false" outlineLevel="0" collapsed="false">
      <c r="A13283" s="5" t="s">
        <v>458</v>
      </c>
      <c r="C13283" s="25" t="n">
        <f aca="false">SUMPRODUCT(($C$13272:$C$13275=C13273)*$C$13267:$C$13270)</f>
        <v>524.9517</v>
      </c>
    </row>
    <row r="13284" customFormat="false" ht="15" hidden="false" customHeight="false" outlineLevel="0" collapsed="false">
      <c r="A13284" s="5" t="s">
        <v>459</v>
      </c>
      <c r="C13284" s="25" t="n">
        <f aca="false">SUMPRODUCT(($C$13272:$C$13275=C13274)*$C$13267:$C$13270)</f>
        <v>256.875</v>
      </c>
    </row>
    <row r="13285" customFormat="false" ht="15" hidden="false" customHeight="false" outlineLevel="0" collapsed="false">
      <c r="A13285" s="5" t="s">
        <v>460</v>
      </c>
      <c r="C13285" s="25" t="n">
        <f aca="false">SUMPRODUCT(($C$13272:$C$13275=C13275)*$C$13267:$C$13270)</f>
        <v>305.625</v>
      </c>
    </row>
    <row r="13286" customFormat="false" ht="15" hidden="false" customHeight="false" outlineLevel="0" collapsed="false">
      <c r="A13286" s="23" t="s">
        <v>469</v>
      </c>
      <c r="B13286" s="24"/>
      <c r="C13286" s="24"/>
      <c r="D13286" s="24"/>
      <c r="E13286" s="24"/>
      <c r="F13286" s="24"/>
      <c r="G13286" s="24"/>
      <c r="H13286" s="24"/>
      <c r="I13286" s="24"/>
      <c r="J13286" s="24"/>
      <c r="K13286" s="24"/>
    </row>
    <row r="13287" customFormat="false" ht="15" hidden="false" customHeight="false" outlineLevel="0" collapsed="false">
      <c r="A13287" s="5" t="s">
        <v>457</v>
      </c>
      <c r="C13287" s="25" t="n">
        <f aca="false">IF(C13282=0,0,C13267/C13282*MAX(0,MIN(C13282,$C$13240-SUM($C$13257:$C$13260)-C13277)))</f>
        <v>167.66901</v>
      </c>
    </row>
    <row r="13288" customFormat="false" ht="15" hidden="false" customHeight="false" outlineLevel="0" collapsed="false">
      <c r="A13288" s="5" t="s">
        <v>458</v>
      </c>
      <c r="C13288" s="25" t="n">
        <f aca="false">IF(C13283=0,0,C13268/C13283*MAX(0,MIN(C13283,$C$13240-SUM($C$13257:$C$13260)-C13278)))</f>
        <v>437.5152972</v>
      </c>
    </row>
    <row r="13289" customFormat="false" ht="15" hidden="false" customHeight="false" outlineLevel="0" collapsed="false">
      <c r="A13289" s="5" t="s">
        <v>459</v>
      </c>
      <c r="C13289" s="25" t="n">
        <f aca="false">IF(C13284=0,0,C13269/C13284*MAX(0,MIN(C13284,$C$13240-SUM($C$13257:$C$13260)-C13279)))</f>
        <v>0</v>
      </c>
    </row>
    <row r="13290" customFormat="false" ht="15" hidden="false" customHeight="false" outlineLevel="0" collapsed="false">
      <c r="A13290" s="5" t="s">
        <v>460</v>
      </c>
      <c r="C13290" s="25" t="n">
        <f aca="false">IF(C13285=0,0,C13270/C13285*MAX(0,MIN(C13285,$C$13240-SUM($C$13257:$C$13260)-C13280)))</f>
        <v>0</v>
      </c>
    </row>
    <row r="13291" customFormat="false" ht="15" hidden="false" customHeight="false" outlineLevel="0" collapsed="false">
      <c r="A13291" s="23" t="s">
        <v>470</v>
      </c>
      <c r="B13291" s="24"/>
      <c r="C13291" s="24"/>
      <c r="D13291" s="24"/>
      <c r="E13291" s="24"/>
      <c r="F13291" s="24"/>
      <c r="G13291" s="24"/>
      <c r="H13291" s="24"/>
      <c r="I13291" s="24"/>
      <c r="J13291" s="24"/>
      <c r="K13291" s="24"/>
    </row>
    <row r="13292" customFormat="false" ht="15" hidden="false" customHeight="false" outlineLevel="0" collapsed="false">
      <c r="A13292" s="2" t="s">
        <v>457</v>
      </c>
      <c r="C13292" s="16" t="n">
        <f aca="false">C13257+C13287</f>
        <v>167.66901</v>
      </c>
    </row>
    <row r="13293" customFormat="false" ht="15" hidden="false" customHeight="false" outlineLevel="0" collapsed="false">
      <c r="A13293" s="2" t="s">
        <v>458</v>
      </c>
      <c r="C13293" s="16" t="n">
        <f aca="false">C13258+C13288</f>
        <v>437.5152972</v>
      </c>
    </row>
    <row r="13294" customFormat="false" ht="15" hidden="false" customHeight="false" outlineLevel="0" collapsed="false">
      <c r="A13294" s="2" t="s">
        <v>459</v>
      </c>
      <c r="C13294" s="16" t="n">
        <f aca="false">C13259+C13289</f>
        <v>0</v>
      </c>
    </row>
    <row r="13295" customFormat="false" ht="15" hidden="false" customHeight="false" outlineLevel="0" collapsed="false">
      <c r="A13295" s="2" t="s">
        <v>460</v>
      </c>
      <c r="C13295" s="16" t="n">
        <f aca="false">C13260+C13290</f>
        <v>0</v>
      </c>
    </row>
    <row r="13296" customFormat="false" ht="15" hidden="false" customHeight="false" outlineLevel="0" collapsed="false">
      <c r="A13296" s="23" t="s">
        <v>471</v>
      </c>
      <c r="B13296" s="24"/>
      <c r="C13296" s="24"/>
      <c r="D13296" s="24"/>
      <c r="E13296" s="24"/>
      <c r="F13296" s="24"/>
      <c r="G13296" s="24"/>
      <c r="H13296" s="24"/>
      <c r="I13296" s="24"/>
      <c r="J13296" s="24"/>
      <c r="K13296" s="24"/>
    </row>
    <row r="13297" customFormat="false" ht="15" hidden="false" customHeight="false" outlineLevel="0" collapsed="false">
      <c r="A13297" s="5" t="s">
        <v>457</v>
      </c>
      <c r="C13297" s="21" t="n">
        <f aca="false">IF(C13242=0,1,C13292/C13242)</f>
        <v>1</v>
      </c>
    </row>
    <row r="13298" customFormat="false" ht="15" hidden="false" customHeight="false" outlineLevel="0" collapsed="false">
      <c r="A13298" s="5" t="s">
        <v>458</v>
      </c>
      <c r="C13298" s="21" t="n">
        <f aca="false">IF(C13243=0,1,C13293/C13243)</f>
        <v>0.83343914725869</v>
      </c>
    </row>
    <row r="13299" customFormat="false" ht="15" hidden="false" customHeight="false" outlineLevel="0" collapsed="false">
      <c r="A13299" s="5" t="s">
        <v>459</v>
      </c>
      <c r="C13299" s="21" t="n">
        <f aca="false">IF(C13244=0,1,C13294/C13244)</f>
        <v>0</v>
      </c>
    </row>
    <row r="13300" customFormat="false" ht="15" hidden="false" customHeight="false" outlineLevel="0" collapsed="false">
      <c r="A13300" s="5" t="s">
        <v>460</v>
      </c>
      <c r="C13300" s="21" t="n">
        <f aca="false">IF(C13245=0,1,C13295/C13245)</f>
        <v>0</v>
      </c>
    </row>
    <row r="13301" customFormat="false" ht="15" hidden="false" customHeight="false" outlineLevel="0" collapsed="false">
      <c r="A13301" s="23" t="s">
        <v>472</v>
      </c>
      <c r="B13301" s="24"/>
      <c r="C13301" s="24"/>
      <c r="D13301" s="24"/>
      <c r="E13301" s="24"/>
      <c r="F13301" s="24"/>
      <c r="G13301" s="24"/>
      <c r="H13301" s="24"/>
      <c r="I13301" s="24"/>
      <c r="J13301" s="24"/>
      <c r="K13301" s="24"/>
    </row>
    <row r="13302" customFormat="false" ht="15" hidden="false" customHeight="false" outlineLevel="0" collapsed="false">
      <c r="A13302" s="5" t="s">
        <v>457</v>
      </c>
      <c r="C13302" s="25" t="n">
        <f aca="false">C13242-C13292</f>
        <v>0</v>
      </c>
    </row>
    <row r="13303" customFormat="false" ht="15" hidden="false" customHeight="false" outlineLevel="0" collapsed="false">
      <c r="A13303" s="5" t="s">
        <v>458</v>
      </c>
      <c r="C13303" s="25" t="n">
        <f aca="false">C13243-C13293</f>
        <v>87.4364028000001</v>
      </c>
    </row>
    <row r="13304" customFormat="false" ht="15" hidden="false" customHeight="false" outlineLevel="0" collapsed="false">
      <c r="A13304" s="5" t="s">
        <v>459</v>
      </c>
      <c r="C13304" s="25" t="n">
        <f aca="false">C13244-C13294</f>
        <v>256.875</v>
      </c>
    </row>
    <row r="13305" customFormat="false" ht="15" hidden="false" customHeight="false" outlineLevel="0" collapsed="false">
      <c r="A13305" s="5" t="s">
        <v>460</v>
      </c>
      <c r="C13305" s="25" t="n">
        <f aca="false">C13245-C13295</f>
        <v>305.625</v>
      </c>
    </row>
    <row r="13306" customFormat="false" ht="15" hidden="false" customHeight="false" outlineLevel="0" collapsed="false">
      <c r="A13306" s="23" t="s">
        <v>473</v>
      </c>
      <c r="B13306" s="24"/>
      <c r="C13306" s="24"/>
      <c r="D13306" s="24"/>
      <c r="E13306" s="24"/>
      <c r="F13306" s="24"/>
      <c r="G13306" s="24"/>
      <c r="H13306" s="24"/>
      <c r="I13306" s="24"/>
      <c r="J13306" s="24"/>
      <c r="K13306" s="24"/>
    </row>
    <row r="13307" customFormat="false" ht="15" hidden="false" customHeight="false" outlineLevel="0" collapsed="false">
      <c r="A13307" s="5" t="s">
        <v>457</v>
      </c>
      <c r="C13307" s="21" t="n">
        <f aca="false">IF(C13242=0,0,C13302/C13242)</f>
        <v>0</v>
      </c>
    </row>
    <row r="13308" customFormat="false" ht="15" hidden="false" customHeight="false" outlineLevel="0" collapsed="false">
      <c r="A13308" s="5" t="s">
        <v>458</v>
      </c>
      <c r="C13308" s="21" t="n">
        <f aca="false">IF(C13243=0,0,C13303/C13243)</f>
        <v>0.16656085274131</v>
      </c>
    </row>
    <row r="13309" customFormat="false" ht="15" hidden="false" customHeight="false" outlineLevel="0" collapsed="false">
      <c r="A13309" s="5" t="s">
        <v>459</v>
      </c>
      <c r="C13309" s="21" t="n">
        <f aca="false">IF(C13244=0,0,C13304/C13244)</f>
        <v>1</v>
      </c>
    </row>
    <row r="13310" customFormat="false" ht="15" hidden="false" customHeight="false" outlineLevel="0" collapsed="false">
      <c r="A13310" s="5" t="s">
        <v>460</v>
      </c>
      <c r="C13310" s="21" t="n">
        <f aca="false">IF(C13245=0,0,C13305/C13245)</f>
        <v>1</v>
      </c>
    </row>
    <row r="13311" customFormat="false" ht="15" hidden="false" customHeight="false" outlineLevel="0" collapsed="false">
      <c r="A13311" s="2" t="s">
        <v>474</v>
      </c>
      <c r="C13311" s="16" t="n">
        <f aca="false">MAX(0,$C$13240-SUM($C$13257:$C$13260)-SUM($C$13267:$C$13270))</f>
        <v>0</v>
      </c>
    </row>
    <row r="13312" customFormat="false" ht="15" hidden="false" customHeight="false" outlineLevel="0" collapsed="false">
      <c r="A13312" s="5" t="s">
        <v>475</v>
      </c>
      <c r="C13312" s="25" t="n">
        <f aca="false">SUM($C$13292:$C$13295)+C13311+C13239-C13238</f>
        <v>0</v>
      </c>
    </row>
    <row r="13314" customFormat="false" ht="15" hidden="false" customHeight="false" outlineLevel="0" collapsed="false">
      <c r="A13314" s="23" t="s">
        <v>478</v>
      </c>
      <c r="B13314" s="24"/>
      <c r="C13314" s="24"/>
      <c r="D13314" s="24"/>
      <c r="E13314" s="24"/>
      <c r="F13314" s="24"/>
      <c r="G13314" s="24"/>
      <c r="H13314" s="24"/>
      <c r="I13314" s="24"/>
      <c r="J13314" s="24"/>
      <c r="K13314" s="24"/>
    </row>
    <row r="13315" customFormat="false" ht="15" hidden="false" customHeight="false" outlineLevel="0" collapsed="false">
      <c r="A13315" s="5" t="s">
        <v>479</v>
      </c>
      <c r="C13315" s="26" t="n">
        <f aca="false">Assumptions!$C$30</f>
        <v>2</v>
      </c>
    </row>
    <row r="13316" customFormat="false" ht="15" hidden="false" customHeight="false" outlineLevel="0" collapsed="false">
      <c r="A13316" s="5" t="s">
        <v>480</v>
      </c>
      <c r="C13316" s="28" t="n">
        <f aca="false">Assumptions!$C$31</f>
        <v>100</v>
      </c>
    </row>
    <row r="13317" customFormat="false" ht="15" hidden="false" customHeight="false" outlineLevel="0" collapsed="false">
      <c r="A13317" s="5" t="s">
        <v>481</v>
      </c>
      <c r="C13317" s="39" t="n">
        <f aca="false">Assumptions!$C$32</f>
        <v>78</v>
      </c>
    </row>
    <row r="13318" customFormat="false" ht="15" hidden="false" customHeight="false" outlineLevel="0" collapsed="false">
      <c r="A13318" s="5" t="s">
        <v>482</v>
      </c>
      <c r="C13318" s="25" t="n">
        <f aca="false">C13316*C13317/100*(1+Assumptions!$C$33)</f>
        <v>78.39</v>
      </c>
    </row>
    <row r="13319" customFormat="false" ht="15" hidden="false" customHeight="false" outlineLevel="0" collapsed="false">
      <c r="A13319" s="5" t="s">
        <v>483</v>
      </c>
      <c r="C13319" s="26" t="n">
        <f aca="false">Assumptions!$C$34</f>
        <v>2</v>
      </c>
    </row>
    <row r="13320" customFormat="false" ht="15" hidden="false" customHeight="false" outlineLevel="0" collapsed="false">
      <c r="A13320" s="5" t="s">
        <v>484</v>
      </c>
      <c r="C13320" s="20" t="n">
        <f aca="false">IF(C13231=1,SUMPRODUCT($G$13199:$K$13199,$G$13075:$K$13075),0)</f>
        <v>2</v>
      </c>
    </row>
    <row r="13321" customFormat="false" ht="15" hidden="false" customHeight="false" outlineLevel="0" collapsed="false">
      <c r="A13321" s="5" t="s">
        <v>485</v>
      </c>
      <c r="C13321" s="21" t="n">
        <f aca="false">IFERROR(C13316/CHOOSE(C13315,SUMPRODUCT($G$13230:$K$13230,$G$13121:$K$13121),SUMPRODUCT($G$13230:$K$13230,$G$13134:$K$13134),SUMPRODUCT($G$13230:$K$13230,$G$13147:$K$13147),SUMPRODUCT($G$13230:$K$13230,$G$13160:$K$13160)),0)</f>
        <v>0.196232339089482</v>
      </c>
    </row>
    <row r="13322" customFormat="false" ht="15" hidden="false" customHeight="false" outlineLevel="0" collapsed="false">
      <c r="A13322" s="5" t="s">
        <v>486</v>
      </c>
      <c r="C13322" s="25" t="n">
        <f aca="false">CHOOSE(C13315,C13292,C13293,C13294,C13295)*C13321</f>
        <v>85.8546501569858</v>
      </c>
    </row>
    <row r="13323" customFormat="false" ht="15" hidden="false" customHeight="false" outlineLevel="0" collapsed="false">
      <c r="A13323" s="5" t="s">
        <v>487</v>
      </c>
      <c r="C13323" s="21" t="n">
        <f aca="false">CHOOSE(C13315,C13297,C13298,C13299,C13300)</f>
        <v>0.83343914725869</v>
      </c>
    </row>
    <row r="13324" customFormat="false" ht="15" hidden="false" customHeight="false" outlineLevel="0" collapsed="false">
      <c r="A13324" s="5" t="s">
        <v>488</v>
      </c>
      <c r="C13324" s="20" t="n">
        <f aca="false">IF(C13231=1,C13320,C13319)</f>
        <v>2</v>
      </c>
    </row>
    <row r="13325" customFormat="false" ht="15" hidden="false" customHeight="false" outlineLevel="0" collapsed="false">
      <c r="A13325" s="5" t="s">
        <v>489</v>
      </c>
      <c r="C13325" s="33" t="n">
        <f aca="false">CHOOSE($C$13067,Assumptions!$C$77,Assumptions!$C$96,Assumptions!$C$115)</f>
        <v>100</v>
      </c>
    </row>
    <row r="13326" customFormat="false" ht="15" hidden="false" customHeight="false" outlineLevel="0" collapsed="false">
      <c r="A13326" s="5" t="s">
        <v>490</v>
      </c>
      <c r="C13326" s="25" t="n">
        <f aca="false">INDEX($G$13084:$K$13084,C13319)*CHOOSE($C$13067,Assumptions!$C$76,Assumptions!$C$95,Assumptions!$C$114)+MAX(0,INDEX($G$13196:$K$13196,C13319))</f>
        <v>1024.40052</v>
      </c>
    </row>
    <row r="13327" customFormat="false" ht="15" hidden="false" customHeight="false" outlineLevel="0" collapsed="false">
      <c r="A13327" s="23" t="s">
        <v>491</v>
      </c>
      <c r="B13327" s="24"/>
      <c r="C13327" s="24"/>
      <c r="D13327" s="24"/>
      <c r="E13327" s="24"/>
      <c r="F13327" s="24"/>
      <c r="G13327" s="24"/>
      <c r="H13327" s="24"/>
      <c r="I13327" s="24"/>
      <c r="J13327" s="24"/>
      <c r="K13327" s="24"/>
    </row>
    <row r="13328" customFormat="false" ht="15" hidden="false" customHeight="false" outlineLevel="0" collapsed="false">
      <c r="A13328" s="5" t="s">
        <v>457</v>
      </c>
      <c r="C13328" s="25" t="n">
        <f aca="false">INDEX($G$13121:$K$13121,C13319)</f>
        <v>163.44</v>
      </c>
    </row>
    <row r="13329" customFormat="false" ht="15" hidden="false" customHeight="false" outlineLevel="0" collapsed="false">
      <c r="A13329" s="5" t="s">
        <v>458</v>
      </c>
      <c r="C13329" s="25" t="n">
        <f aca="false">INDEX($G$13134:$K$13134,C13319)</f>
        <v>509.6</v>
      </c>
    </row>
    <row r="13330" customFormat="false" ht="15" hidden="false" customHeight="false" outlineLevel="0" collapsed="false">
      <c r="A13330" s="5" t="s">
        <v>459</v>
      </c>
      <c r="C13330" s="25" t="n">
        <f aca="false">INDEX($G$13147:$K$13147,C13319)</f>
        <v>250</v>
      </c>
    </row>
    <row r="13331" customFormat="false" ht="15" hidden="false" customHeight="false" outlineLevel="0" collapsed="false">
      <c r="A13331" s="5" t="s">
        <v>460</v>
      </c>
      <c r="C13331" s="25" t="n">
        <f aca="false">INDEX($G$13160:$K$13160,C13319)</f>
        <v>300</v>
      </c>
    </row>
    <row r="13332" customFormat="false" ht="15" hidden="false" customHeight="false" outlineLevel="0" collapsed="false">
      <c r="A13332" s="23" t="s">
        <v>461</v>
      </c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</row>
    <row r="13333" customFormat="false" ht="15" hidden="false" customHeight="false" outlineLevel="0" collapsed="false">
      <c r="A13333" s="5" t="s">
        <v>457</v>
      </c>
      <c r="C13333" s="26" t="n">
        <f aca="false">Assumptions!$M$53</f>
        <v>1</v>
      </c>
    </row>
    <row r="13334" customFormat="false" ht="15" hidden="false" customHeight="false" outlineLevel="0" collapsed="false">
      <c r="A13334" s="5" t="s">
        <v>458</v>
      </c>
      <c r="C13334" s="26" t="n">
        <f aca="false">Assumptions!$M$54</f>
        <v>2</v>
      </c>
    </row>
    <row r="13335" customFormat="false" ht="15" hidden="false" customHeight="false" outlineLevel="0" collapsed="false">
      <c r="A13335" s="5" t="s">
        <v>459</v>
      </c>
      <c r="C13335" s="26" t="n">
        <f aca="false">Assumptions!$M$55</f>
        <v>3</v>
      </c>
    </row>
    <row r="13336" customFormat="false" ht="15" hidden="false" customHeight="false" outlineLevel="0" collapsed="false">
      <c r="A13336" s="5" t="s">
        <v>460</v>
      </c>
      <c r="C13336" s="26" t="n">
        <f aca="false">Assumptions!$M$56</f>
        <v>4</v>
      </c>
    </row>
    <row r="13337" customFormat="false" ht="15" hidden="false" customHeight="false" outlineLevel="0" collapsed="false">
      <c r="A13337" s="23" t="s">
        <v>462</v>
      </c>
      <c r="B13337" s="24"/>
      <c r="C13337" s="24"/>
      <c r="D13337" s="24"/>
      <c r="E13337" s="24"/>
      <c r="F13337" s="24"/>
      <c r="G13337" s="24"/>
      <c r="H13337" s="24"/>
      <c r="I13337" s="24"/>
      <c r="J13337" s="24"/>
      <c r="K13337" s="24"/>
    </row>
    <row r="13338" customFormat="false" ht="15" hidden="false" customHeight="false" outlineLevel="0" collapsed="false">
      <c r="A13338" s="5" t="s">
        <v>457</v>
      </c>
      <c r="C13338" s="34" t="n">
        <f aca="false">Assumptions!$Q$53</f>
        <v>0</v>
      </c>
    </row>
    <row r="13339" customFormat="false" ht="15" hidden="false" customHeight="false" outlineLevel="0" collapsed="false">
      <c r="A13339" s="5" t="s">
        <v>458</v>
      </c>
      <c r="C13339" s="34" t="n">
        <f aca="false">Assumptions!$Q$54</f>
        <v>0</v>
      </c>
    </row>
    <row r="13340" customFormat="false" ht="15" hidden="false" customHeight="false" outlineLevel="0" collapsed="false">
      <c r="A13340" s="5" t="s">
        <v>459</v>
      </c>
      <c r="C13340" s="34" t="n">
        <f aca="false">Assumptions!$Q$55</f>
        <v>0</v>
      </c>
    </row>
    <row r="13341" customFormat="false" ht="15" hidden="false" customHeight="false" outlineLevel="0" collapsed="false">
      <c r="A13341" s="5" t="s">
        <v>460</v>
      </c>
      <c r="C13341" s="34" t="n">
        <f aca="false">Assumptions!$Q$56</f>
        <v>0</v>
      </c>
    </row>
    <row r="13342" customFormat="false" ht="15" hidden="false" customHeight="false" outlineLevel="0" collapsed="false">
      <c r="A13342" s="23" t="s">
        <v>463</v>
      </c>
      <c r="B13342" s="24"/>
      <c r="C13342" s="24"/>
      <c r="D13342" s="24"/>
      <c r="E13342" s="24"/>
      <c r="F13342" s="24"/>
      <c r="G13342" s="24"/>
      <c r="H13342" s="24"/>
      <c r="I13342" s="24"/>
      <c r="J13342" s="24"/>
      <c r="K13342" s="24"/>
    </row>
    <row r="13343" customFormat="false" ht="15" hidden="false" customHeight="false" outlineLevel="0" collapsed="false">
      <c r="A13343" s="5" t="s">
        <v>457</v>
      </c>
      <c r="C13343" s="25" t="n">
        <f aca="false">IF(C13338&gt;0,MIN(C13328,C13338*$C$13326),0)</f>
        <v>0</v>
      </c>
    </row>
    <row r="13344" customFormat="false" ht="15" hidden="false" customHeight="false" outlineLevel="0" collapsed="false">
      <c r="A13344" s="5" t="s">
        <v>458</v>
      </c>
      <c r="C13344" s="25" t="n">
        <f aca="false">IF(C13339&gt;0,MIN(C13329,C13339*$C$13326),0)</f>
        <v>0</v>
      </c>
    </row>
    <row r="13345" customFormat="false" ht="15" hidden="false" customHeight="false" outlineLevel="0" collapsed="false">
      <c r="A13345" s="5" t="s">
        <v>459</v>
      </c>
      <c r="C13345" s="25" t="n">
        <f aca="false">IF(C13340&gt;0,MIN(C13330,C13340*$C$13326),0)</f>
        <v>0</v>
      </c>
    </row>
    <row r="13346" customFormat="false" ht="15" hidden="false" customHeight="false" outlineLevel="0" collapsed="false">
      <c r="A13346" s="5" t="s">
        <v>460</v>
      </c>
      <c r="C13346" s="25" t="n">
        <f aca="false">IF(C13341&gt;0,MIN(C13331,C13341*$C$13326),0)</f>
        <v>0</v>
      </c>
    </row>
    <row r="13347" customFormat="false" ht="15" hidden="false" customHeight="false" outlineLevel="0" collapsed="false">
      <c r="A13347" s="23" t="s">
        <v>464</v>
      </c>
      <c r="B13347" s="24"/>
      <c r="C13347" s="24"/>
      <c r="D13347" s="24"/>
      <c r="E13347" s="24"/>
      <c r="F13347" s="24"/>
      <c r="G13347" s="24"/>
      <c r="H13347" s="24"/>
      <c r="I13347" s="24"/>
      <c r="J13347" s="24"/>
      <c r="K13347" s="24"/>
    </row>
    <row r="13348" customFormat="false" ht="15" hidden="false" customHeight="false" outlineLevel="0" collapsed="false">
      <c r="A13348" s="5" t="s">
        <v>457</v>
      </c>
      <c r="C13348" s="25" t="n">
        <f aca="false">IF(C13338&gt;0,C13328-C13343,0)</f>
        <v>0</v>
      </c>
    </row>
    <row r="13349" customFormat="false" ht="15" hidden="false" customHeight="false" outlineLevel="0" collapsed="false">
      <c r="A13349" s="5" t="s">
        <v>458</v>
      </c>
      <c r="C13349" s="25" t="n">
        <f aca="false">IF(C13339&gt;0,C13329-C13344,0)</f>
        <v>0</v>
      </c>
    </row>
    <row r="13350" customFormat="false" ht="15" hidden="false" customHeight="false" outlineLevel="0" collapsed="false">
      <c r="A13350" s="5" t="s">
        <v>459</v>
      </c>
      <c r="C13350" s="25" t="n">
        <f aca="false">IF(C13340&gt;0,C13330-C13345,0)</f>
        <v>0</v>
      </c>
    </row>
    <row r="13351" customFormat="false" ht="15" hidden="false" customHeight="false" outlineLevel="0" collapsed="false">
      <c r="A13351" s="5" t="s">
        <v>460</v>
      </c>
      <c r="C13351" s="25" t="n">
        <f aca="false">IF(C13341&gt;0,C13331-C13346,0)</f>
        <v>0</v>
      </c>
    </row>
    <row r="13352" customFormat="false" ht="15" hidden="false" customHeight="false" outlineLevel="0" collapsed="false">
      <c r="A13352" s="23" t="s">
        <v>465</v>
      </c>
      <c r="B13352" s="24"/>
      <c r="C13352" s="24"/>
      <c r="D13352" s="24"/>
      <c r="E13352" s="24"/>
      <c r="F13352" s="24"/>
      <c r="G13352" s="24"/>
      <c r="H13352" s="24"/>
      <c r="I13352" s="24"/>
      <c r="J13352" s="24"/>
      <c r="K13352" s="24"/>
    </row>
    <row r="13353" customFormat="false" ht="15" hidden="false" customHeight="false" outlineLevel="0" collapsed="false">
      <c r="A13353" s="5" t="s">
        <v>457</v>
      </c>
      <c r="C13353" s="25" t="n">
        <f aca="false">IF(C13338&gt;0,C13348,C13328)</f>
        <v>163.44</v>
      </c>
    </row>
    <row r="13354" customFormat="false" ht="15" hidden="false" customHeight="false" outlineLevel="0" collapsed="false">
      <c r="A13354" s="5" t="s">
        <v>458</v>
      </c>
      <c r="C13354" s="25" t="n">
        <f aca="false">IF(C13339&gt;0,C13349,C13329)</f>
        <v>509.6</v>
      </c>
    </row>
    <row r="13355" customFormat="false" ht="15" hidden="false" customHeight="false" outlineLevel="0" collapsed="false">
      <c r="A13355" s="5" t="s">
        <v>459</v>
      </c>
      <c r="C13355" s="25" t="n">
        <f aca="false">IF(C13340&gt;0,C13350,C13330)</f>
        <v>250</v>
      </c>
    </row>
    <row r="13356" customFormat="false" ht="15" hidden="false" customHeight="false" outlineLevel="0" collapsed="false">
      <c r="A13356" s="5" t="s">
        <v>460</v>
      </c>
      <c r="C13356" s="25" t="n">
        <f aca="false">IF(C13341&gt;0,C13351,C13331)</f>
        <v>300</v>
      </c>
    </row>
    <row r="13357" customFormat="false" ht="15" hidden="false" customHeight="false" outlineLevel="0" collapsed="false">
      <c r="A13357" s="23" t="s">
        <v>466</v>
      </c>
      <c r="B13357" s="24"/>
      <c r="C13357" s="24"/>
      <c r="D13357" s="24"/>
      <c r="E13357" s="24"/>
      <c r="F13357" s="24"/>
      <c r="G13357" s="24"/>
      <c r="H13357" s="24"/>
      <c r="I13357" s="24"/>
      <c r="J13357" s="24"/>
      <c r="K13357" s="24"/>
    </row>
    <row r="13358" customFormat="false" ht="15" hidden="false" customHeight="false" outlineLevel="0" collapsed="false">
      <c r="A13358" s="5" t="s">
        <v>457</v>
      </c>
      <c r="C13358" s="20" t="n">
        <f aca="false">IF(C13338&gt;0,Assumptions!$C$17,C13333)</f>
        <v>1</v>
      </c>
    </row>
    <row r="13359" customFormat="false" ht="15" hidden="false" customHeight="false" outlineLevel="0" collapsed="false">
      <c r="A13359" s="5" t="s">
        <v>458</v>
      </c>
      <c r="C13359" s="20" t="n">
        <f aca="false">IF(C13339&gt;0,Assumptions!$C$17,C13334)</f>
        <v>2</v>
      </c>
    </row>
    <row r="13360" customFormat="false" ht="15" hidden="false" customHeight="false" outlineLevel="0" collapsed="false">
      <c r="A13360" s="5" t="s">
        <v>459</v>
      </c>
      <c r="C13360" s="20" t="n">
        <f aca="false">IF(C13340&gt;0,Assumptions!$C$17,C13335)</f>
        <v>3</v>
      </c>
    </row>
    <row r="13361" customFormat="false" ht="15" hidden="false" customHeight="false" outlineLevel="0" collapsed="false">
      <c r="A13361" s="5" t="s">
        <v>460</v>
      </c>
      <c r="C13361" s="20" t="n">
        <f aca="false">IF(C13341&gt;0,Assumptions!$C$17,C13336)</f>
        <v>4</v>
      </c>
    </row>
    <row r="13362" customFormat="false" ht="15" hidden="false" customHeight="false" outlineLevel="0" collapsed="false">
      <c r="A13362" s="23" t="s">
        <v>467</v>
      </c>
      <c r="B13362" s="24"/>
      <c r="C13362" s="24"/>
      <c r="D13362" s="24"/>
      <c r="E13362" s="24"/>
      <c r="F13362" s="24"/>
      <c r="G13362" s="24"/>
      <c r="H13362" s="24"/>
      <c r="I13362" s="24"/>
      <c r="J13362" s="24"/>
      <c r="K13362" s="24"/>
    </row>
    <row r="13363" customFormat="false" ht="15" hidden="false" customHeight="false" outlineLevel="0" collapsed="false">
      <c r="A13363" s="5" t="s">
        <v>457</v>
      </c>
      <c r="C13363" s="25" t="n">
        <f aca="false">SUMPRODUCT(($C$13358:$C$13361&lt;C13358)*$C$13353:$C$13356)</f>
        <v>0</v>
      </c>
    </row>
    <row r="13364" customFormat="false" ht="15" hidden="false" customHeight="false" outlineLevel="0" collapsed="false">
      <c r="A13364" s="5" t="s">
        <v>458</v>
      </c>
      <c r="C13364" s="25" t="n">
        <f aca="false">SUMPRODUCT(($C$13358:$C$13361&lt;C13359)*$C$13353:$C$13356)</f>
        <v>163.44</v>
      </c>
    </row>
    <row r="13365" customFormat="false" ht="15" hidden="false" customHeight="false" outlineLevel="0" collapsed="false">
      <c r="A13365" s="5" t="s">
        <v>459</v>
      </c>
      <c r="C13365" s="25" t="n">
        <f aca="false">SUMPRODUCT(($C$13358:$C$13361&lt;C13360)*$C$13353:$C$13356)</f>
        <v>673.04</v>
      </c>
    </row>
    <row r="13366" customFormat="false" ht="15" hidden="false" customHeight="false" outlineLevel="0" collapsed="false">
      <c r="A13366" s="5" t="s">
        <v>460</v>
      </c>
      <c r="C13366" s="25" t="n">
        <f aca="false">SUMPRODUCT(($C$13358:$C$13361&lt;C13361)*$C$13353:$C$13356)</f>
        <v>923.04</v>
      </c>
    </row>
    <row r="13367" customFormat="false" ht="15" hidden="false" customHeight="false" outlineLevel="0" collapsed="false">
      <c r="A13367" s="23" t="s">
        <v>468</v>
      </c>
      <c r="B13367" s="24"/>
      <c r="C13367" s="24"/>
      <c r="D13367" s="24"/>
      <c r="E13367" s="24"/>
      <c r="F13367" s="24"/>
      <c r="G13367" s="24"/>
      <c r="H13367" s="24"/>
      <c r="I13367" s="24"/>
      <c r="J13367" s="24"/>
      <c r="K13367" s="24"/>
    </row>
    <row r="13368" customFormat="false" ht="15" hidden="false" customHeight="false" outlineLevel="0" collapsed="false">
      <c r="A13368" s="5" t="s">
        <v>457</v>
      </c>
      <c r="C13368" s="25" t="n">
        <f aca="false">SUMPRODUCT(($C$13358:$C$13361=C13358)*$C$13353:$C$13356)</f>
        <v>163.44</v>
      </c>
    </row>
    <row r="13369" customFormat="false" ht="15" hidden="false" customHeight="false" outlineLevel="0" collapsed="false">
      <c r="A13369" s="5" t="s">
        <v>458</v>
      </c>
      <c r="C13369" s="25" t="n">
        <f aca="false">SUMPRODUCT(($C$13358:$C$13361=C13359)*$C$13353:$C$13356)</f>
        <v>509.6</v>
      </c>
    </row>
    <row r="13370" customFormat="false" ht="15" hidden="false" customHeight="false" outlineLevel="0" collapsed="false">
      <c r="A13370" s="5" t="s">
        <v>459</v>
      </c>
      <c r="C13370" s="25" t="n">
        <f aca="false">SUMPRODUCT(($C$13358:$C$13361=C13360)*$C$13353:$C$13356)</f>
        <v>250</v>
      </c>
    </row>
    <row r="13371" customFormat="false" ht="15" hidden="false" customHeight="false" outlineLevel="0" collapsed="false">
      <c r="A13371" s="5" t="s">
        <v>460</v>
      </c>
      <c r="C13371" s="25" t="n">
        <f aca="false">SUMPRODUCT(($C$13358:$C$13361=C13361)*$C$13353:$C$13356)</f>
        <v>300</v>
      </c>
    </row>
    <row r="13372" customFormat="false" ht="15" hidden="false" customHeight="false" outlineLevel="0" collapsed="false">
      <c r="A13372" s="23" t="s">
        <v>469</v>
      </c>
      <c r="B13372" s="24"/>
      <c r="C13372" s="24"/>
      <c r="D13372" s="24"/>
      <c r="E13372" s="24"/>
      <c r="F13372" s="24"/>
      <c r="G13372" s="24"/>
      <c r="H13372" s="24"/>
      <c r="I13372" s="24"/>
      <c r="J13372" s="24"/>
      <c r="K13372" s="24"/>
    </row>
    <row r="13373" customFormat="false" ht="15" hidden="false" customHeight="false" outlineLevel="0" collapsed="false">
      <c r="A13373" s="5" t="s">
        <v>457</v>
      </c>
      <c r="C13373" s="25" t="n">
        <f aca="false">IF(C13368=0,0,C13353/C13368*MAX(0,MIN(C13368,$C$13326-SUM($C$13343:$C$13346)-C13363)))</f>
        <v>163.44</v>
      </c>
    </row>
    <row r="13374" customFormat="false" ht="15" hidden="false" customHeight="false" outlineLevel="0" collapsed="false">
      <c r="A13374" s="5" t="s">
        <v>458</v>
      </c>
      <c r="C13374" s="25" t="n">
        <f aca="false">IF(C13369=0,0,C13354/C13369*MAX(0,MIN(C13369,$C$13326-SUM($C$13343:$C$13346)-C13364)))</f>
        <v>509.6</v>
      </c>
    </row>
    <row r="13375" customFormat="false" ht="15" hidden="false" customHeight="false" outlineLevel="0" collapsed="false">
      <c r="A13375" s="5" t="s">
        <v>459</v>
      </c>
      <c r="C13375" s="25" t="n">
        <f aca="false">IF(C13370=0,0,C13355/C13370*MAX(0,MIN(C13370,$C$13326-SUM($C$13343:$C$13346)-C13365)))</f>
        <v>250</v>
      </c>
    </row>
    <row r="13376" customFormat="false" ht="15" hidden="false" customHeight="false" outlineLevel="0" collapsed="false">
      <c r="A13376" s="5" t="s">
        <v>460</v>
      </c>
      <c r="C13376" s="25" t="n">
        <f aca="false">IF(C13371=0,0,C13356/C13371*MAX(0,MIN(C13371,$C$13326-SUM($C$13343:$C$13346)-C13366)))</f>
        <v>101.36052</v>
      </c>
    </row>
    <row r="13377" customFormat="false" ht="15" hidden="false" customHeight="false" outlineLevel="0" collapsed="false">
      <c r="A13377" s="23" t="s">
        <v>470</v>
      </c>
      <c r="B13377" s="24"/>
      <c r="C13377" s="24"/>
      <c r="D13377" s="24"/>
      <c r="E13377" s="24"/>
      <c r="F13377" s="24"/>
      <c r="G13377" s="24"/>
      <c r="H13377" s="24"/>
      <c r="I13377" s="24"/>
      <c r="J13377" s="24"/>
      <c r="K13377" s="24"/>
    </row>
    <row r="13378" customFormat="false" ht="15" hidden="false" customHeight="false" outlineLevel="0" collapsed="false">
      <c r="A13378" s="2" t="s">
        <v>457</v>
      </c>
      <c r="C13378" s="16" t="n">
        <f aca="false">C13343+C13373</f>
        <v>163.44</v>
      </c>
    </row>
    <row r="13379" customFormat="false" ht="15" hidden="false" customHeight="false" outlineLevel="0" collapsed="false">
      <c r="A13379" s="2" t="s">
        <v>458</v>
      </c>
      <c r="C13379" s="16" t="n">
        <f aca="false">C13344+C13374</f>
        <v>509.6</v>
      </c>
    </row>
    <row r="13380" customFormat="false" ht="15" hidden="false" customHeight="false" outlineLevel="0" collapsed="false">
      <c r="A13380" s="2" t="s">
        <v>459</v>
      </c>
      <c r="C13380" s="16" t="n">
        <f aca="false">C13345+C13375</f>
        <v>250</v>
      </c>
    </row>
    <row r="13381" customFormat="false" ht="15" hidden="false" customHeight="false" outlineLevel="0" collapsed="false">
      <c r="A13381" s="2" t="s">
        <v>460</v>
      </c>
      <c r="C13381" s="16" t="n">
        <f aca="false">C13346+C13376</f>
        <v>101.36052</v>
      </c>
    </row>
    <row r="13382" customFormat="false" ht="15" hidden="false" customHeight="false" outlineLevel="0" collapsed="false">
      <c r="A13382" s="23" t="s">
        <v>471</v>
      </c>
      <c r="B13382" s="24"/>
      <c r="C13382" s="24"/>
      <c r="D13382" s="24"/>
      <c r="E13382" s="24"/>
      <c r="F13382" s="24"/>
      <c r="G13382" s="24"/>
      <c r="H13382" s="24"/>
      <c r="I13382" s="24"/>
      <c r="J13382" s="24"/>
      <c r="K13382" s="24"/>
    </row>
    <row r="13383" customFormat="false" ht="15" hidden="false" customHeight="false" outlineLevel="0" collapsed="false">
      <c r="A13383" s="5" t="s">
        <v>457</v>
      </c>
      <c r="C13383" s="21" t="n">
        <f aca="false">IF(C13328=0,1,C13378/C13328)</f>
        <v>1</v>
      </c>
    </row>
    <row r="13384" customFormat="false" ht="15" hidden="false" customHeight="false" outlineLevel="0" collapsed="false">
      <c r="A13384" s="5" t="s">
        <v>458</v>
      </c>
      <c r="C13384" s="21" t="n">
        <f aca="false">IF(C13329=0,1,C13379/C13329)</f>
        <v>1</v>
      </c>
    </row>
    <row r="13385" customFormat="false" ht="15" hidden="false" customHeight="false" outlineLevel="0" collapsed="false">
      <c r="A13385" s="5" t="s">
        <v>459</v>
      </c>
      <c r="C13385" s="21" t="n">
        <f aca="false">IF(C13330=0,1,C13380/C13330)</f>
        <v>1</v>
      </c>
    </row>
    <row r="13386" customFormat="false" ht="15" hidden="false" customHeight="false" outlineLevel="0" collapsed="false">
      <c r="A13386" s="5" t="s">
        <v>460</v>
      </c>
      <c r="C13386" s="21" t="n">
        <f aca="false">IF(C13331=0,1,C13381/C13331)</f>
        <v>0.3378684</v>
      </c>
    </row>
    <row r="13387" customFormat="false" ht="15" hidden="false" customHeight="false" outlineLevel="0" collapsed="false">
      <c r="A13387" s="23" t="s">
        <v>472</v>
      </c>
      <c r="B13387" s="24"/>
      <c r="C13387" s="24"/>
      <c r="D13387" s="24"/>
      <c r="E13387" s="24"/>
      <c r="F13387" s="24"/>
      <c r="G13387" s="24"/>
      <c r="H13387" s="24"/>
      <c r="I13387" s="24"/>
      <c r="J13387" s="24"/>
      <c r="K13387" s="24"/>
    </row>
    <row r="13388" customFormat="false" ht="15" hidden="false" customHeight="false" outlineLevel="0" collapsed="false">
      <c r="A13388" s="5" t="s">
        <v>457</v>
      </c>
      <c r="C13388" s="25" t="n">
        <f aca="false">C13328-C13378</f>
        <v>0</v>
      </c>
    </row>
    <row r="13389" customFormat="false" ht="15" hidden="false" customHeight="false" outlineLevel="0" collapsed="false">
      <c r="A13389" s="5" t="s">
        <v>458</v>
      </c>
      <c r="C13389" s="25" t="n">
        <f aca="false">C13329-C13379</f>
        <v>0</v>
      </c>
    </row>
    <row r="13390" customFormat="false" ht="15" hidden="false" customHeight="false" outlineLevel="0" collapsed="false">
      <c r="A13390" s="5" t="s">
        <v>459</v>
      </c>
      <c r="C13390" s="25" t="n">
        <f aca="false">C13330-C13380</f>
        <v>0</v>
      </c>
    </row>
    <row r="13391" customFormat="false" ht="15" hidden="false" customHeight="false" outlineLevel="0" collapsed="false">
      <c r="A13391" s="5" t="s">
        <v>460</v>
      </c>
      <c r="C13391" s="25" t="n">
        <f aca="false">C13331-C13381</f>
        <v>198.63948</v>
      </c>
    </row>
    <row r="13392" customFormat="false" ht="15" hidden="false" customHeight="false" outlineLevel="0" collapsed="false">
      <c r="A13392" s="23" t="s">
        <v>473</v>
      </c>
      <c r="B13392" s="24"/>
      <c r="C13392" s="24"/>
      <c r="D13392" s="24"/>
      <c r="E13392" s="24"/>
      <c r="F13392" s="24"/>
      <c r="G13392" s="24"/>
      <c r="H13392" s="24"/>
      <c r="I13392" s="24"/>
      <c r="J13392" s="24"/>
      <c r="K13392" s="24"/>
    </row>
    <row r="13393" customFormat="false" ht="15" hidden="false" customHeight="false" outlineLevel="0" collapsed="false">
      <c r="A13393" s="5" t="s">
        <v>457</v>
      </c>
      <c r="C13393" s="21" t="n">
        <f aca="false">IF(C13328=0,0,C13388/C13328)</f>
        <v>0</v>
      </c>
    </row>
    <row r="13394" customFormat="false" ht="15" hidden="false" customHeight="false" outlineLevel="0" collapsed="false">
      <c r="A13394" s="5" t="s">
        <v>458</v>
      </c>
      <c r="C13394" s="21" t="n">
        <f aca="false">IF(C13329=0,0,C13389/C13329)</f>
        <v>0</v>
      </c>
    </row>
    <row r="13395" customFormat="false" ht="15" hidden="false" customHeight="false" outlineLevel="0" collapsed="false">
      <c r="A13395" s="5" t="s">
        <v>459</v>
      </c>
      <c r="C13395" s="21" t="n">
        <f aca="false">IF(C13330=0,0,C13390/C13330)</f>
        <v>0</v>
      </c>
    </row>
    <row r="13396" customFormat="false" ht="15" hidden="false" customHeight="false" outlineLevel="0" collapsed="false">
      <c r="A13396" s="5" t="s">
        <v>460</v>
      </c>
      <c r="C13396" s="21" t="n">
        <f aca="false">IF(C13331=0,0,C13391/C13331)</f>
        <v>0.6621316</v>
      </c>
    </row>
    <row r="13397" customFormat="false" ht="15" hidden="false" customHeight="false" outlineLevel="0" collapsed="false">
      <c r="A13397" s="2" t="s">
        <v>474</v>
      </c>
      <c r="C13397" s="16" t="n">
        <f aca="false">MAX(0,$C$13326-SUM($C$13343:$C$13346)-SUM($C$13353:$C$13356))</f>
        <v>0</v>
      </c>
    </row>
    <row r="13398" customFormat="false" ht="15" hidden="false" customHeight="false" outlineLevel="0" collapsed="false">
      <c r="A13398" s="5" t="s">
        <v>492</v>
      </c>
      <c r="C13398" s="33" t="n">
        <f aca="false">MIN(C13325,100*CHOOSE(C13315,C13383,C13384,C13385,C13386))</f>
        <v>100</v>
      </c>
    </row>
    <row r="13399" customFormat="false" ht="15" hidden="false" customHeight="false" outlineLevel="0" collapsed="false">
      <c r="A13399" s="5" t="s">
        <v>493</v>
      </c>
      <c r="C13399" s="20" t="n">
        <f aca="false">IF(C13231=1,C13320+Assumptions!$C$36,C13319)</f>
        <v>3</v>
      </c>
    </row>
    <row r="13400" customFormat="false" ht="15" hidden="false" customHeight="false" outlineLevel="0" collapsed="false">
      <c r="A13400" s="23" t="s">
        <v>494</v>
      </c>
      <c r="B13400" s="24"/>
      <c r="C13400" s="24"/>
      <c r="D13400" s="24"/>
      <c r="E13400" s="24"/>
      <c r="F13400" s="24"/>
      <c r="G13400" s="24"/>
      <c r="H13400" s="24"/>
      <c r="I13400" s="24"/>
      <c r="J13400" s="24"/>
      <c r="K13400" s="24"/>
    </row>
    <row r="13401" customFormat="false" ht="15" hidden="false" customHeight="false" outlineLevel="0" collapsed="false">
      <c r="A13401" s="5" t="s">
        <v>495</v>
      </c>
      <c r="C13401" s="20" t="n">
        <f aca="false">COLUMN()-COLUMN($C$1)</f>
        <v>0</v>
      </c>
      <c r="D13401" s="20" t="n">
        <f aca="false">COLUMN()-COLUMN($C$1)</f>
        <v>1</v>
      </c>
      <c r="E13401" s="20" t="n">
        <f aca="false">COLUMN()-COLUMN($C$1)</f>
        <v>2</v>
      </c>
      <c r="F13401" s="20" t="n">
        <f aca="false">COLUMN()-COLUMN($C$1)</f>
        <v>3</v>
      </c>
      <c r="G13401" s="20" t="n">
        <f aca="false">COLUMN()-COLUMN($C$1)</f>
        <v>4</v>
      </c>
      <c r="H13401" s="20" t="n">
        <f aca="false">COLUMN()-COLUMN($C$1)</f>
        <v>5</v>
      </c>
      <c r="I13401" s="20" t="n">
        <f aca="false">COLUMN()-COLUMN($C$1)</f>
        <v>6</v>
      </c>
    </row>
    <row r="13402" customFormat="false" ht="15" hidden="false" customHeight="false" outlineLevel="0" collapsed="false">
      <c r="A13402" s="5" t="s">
        <v>496</v>
      </c>
      <c r="D13402" s="30" t="n">
        <f aca="false">CHOOSE($C$13315,G13113,G13126,G13139,G13152)</f>
        <v>0.123</v>
      </c>
      <c r="E13402" s="30" t="n">
        <f aca="false">CHOOSE($C$13315,H13113,H13126,H13139,H13152)</f>
        <v>0.1205</v>
      </c>
      <c r="F13402" s="30" t="n">
        <f aca="false">CHOOSE($C$13315,I13113,I13126,I13139,I13152)</f>
        <v>0.118</v>
      </c>
      <c r="G13402" s="30" t="n">
        <f aca="false">CHOOSE($C$13315,J13113,J13126,J13139,J13152)</f>
        <v>0.11</v>
      </c>
      <c r="H13402" s="30" t="n">
        <f aca="false">CHOOSE($C$13315,K13113,K13126,K13139,K13152)</f>
        <v>0.11</v>
      </c>
    </row>
    <row r="13403" customFormat="false" ht="15" hidden="false" customHeight="false" outlineLevel="0" collapsed="false">
      <c r="A13403" s="5" t="s">
        <v>497</v>
      </c>
      <c r="D13403" s="25" t="n">
        <f aca="false">IF(D13401&lt;=$C$13324,$C$13316*D13402,0)</f>
        <v>12.3</v>
      </c>
      <c r="E13403" s="25" t="n">
        <f aca="false">IF(E13401&lt;=$C$13324,$C$13316*E13402,0)</f>
        <v>12.05</v>
      </c>
      <c r="F13403" s="25" t="n">
        <f aca="false">IF(F13401&lt;=$C$13324,$C$13316*F13402,0)</f>
        <v>0</v>
      </c>
      <c r="G13403" s="25" t="n">
        <f aca="false">IF(G13401&lt;=$C$13324,$C$13316*G13402,0)</f>
        <v>0</v>
      </c>
      <c r="H13403" s="25" t="n">
        <f aca="false">IF(H13401&lt;=$C$13324,$C$13316*H13402,0)</f>
        <v>0</v>
      </c>
    </row>
    <row r="13404" customFormat="false" ht="15" hidden="false" customHeight="false" outlineLevel="0" collapsed="false">
      <c r="A13404" s="5" t="s">
        <v>498</v>
      </c>
      <c r="D13404" s="25" t="n">
        <f aca="false">IF(AND($C$13231=0,D13401=$C$13319),$C$13316*$C$13398/100,0)+IF(AND($C$13231=1,D13401=$C$13399),$C$13322,0)</f>
        <v>0</v>
      </c>
      <c r="E13404" s="25" t="n">
        <f aca="false">IF(AND($C$13231=0,E13401=$C$13319),$C$13316*$C$13398/100,0)+IF(AND($C$13231=1,E13401=$C$13399),$C$13322,0)</f>
        <v>0</v>
      </c>
      <c r="F13404" s="25" t="n">
        <f aca="false">IF(AND($C$13231=0,F13401=$C$13319),$C$13316*$C$13398/100,0)+IF(AND($C$13231=1,F13401=$C$13399),$C$13322,0)</f>
        <v>85.8546501569858</v>
      </c>
      <c r="G13404" s="25" t="n">
        <f aca="false">IF(AND($C$13231=0,G13401=$C$13319),$C$13316*$C$13398/100,0)+IF(AND($C$13231=1,G13401=$C$13399),$C$13322,0)</f>
        <v>0</v>
      </c>
      <c r="H13404" s="25" t="n">
        <f aca="false">IF(AND($C$13231=0,H13401=$C$13319),$C$13316*$C$13398/100,0)+IF(AND($C$13231=1,H13401=$C$13399),$C$13322,0)</f>
        <v>0</v>
      </c>
      <c r="I13404" s="25" t="n">
        <f aca="false">IF(AND($C$13231=0,I13401=$C$13319),$C$13316*$C$13398/100,0)+IF(AND($C$13231=1,I13401=$C$13399),$C$13322,0)</f>
        <v>0</v>
      </c>
    </row>
    <row r="13405" customFormat="false" ht="15" hidden="false" customHeight="false" outlineLevel="0" collapsed="false">
      <c r="A13405" s="2" t="s">
        <v>499</v>
      </c>
      <c r="C13405" s="16" t="n">
        <f aca="false">-$C$13318</f>
        <v>-78.39</v>
      </c>
      <c r="D13405" s="16" t="n">
        <f aca="false">D13403+D13404</f>
        <v>12.3</v>
      </c>
      <c r="E13405" s="16" t="n">
        <f aca="false">E13403+E13404</f>
        <v>12.05</v>
      </c>
      <c r="F13405" s="16" t="n">
        <f aca="false">F13403+F13404</f>
        <v>85.8546501569858</v>
      </c>
      <c r="G13405" s="16" t="n">
        <f aca="false">G13403+G13404</f>
        <v>0</v>
      </c>
      <c r="H13405" s="16" t="n">
        <f aca="false">H13403+H13404</f>
        <v>0</v>
      </c>
      <c r="I13405" s="16" t="n">
        <f aca="false">I13403+I13404</f>
        <v>0</v>
      </c>
    </row>
    <row r="13406" customFormat="false" ht="15" hidden="false" customHeight="false" outlineLevel="0" collapsed="false">
      <c r="A13406" s="5" t="s">
        <v>500</v>
      </c>
      <c r="C13406" s="25" t="n">
        <f aca="false">SUM($C$13403:$I$13403)</f>
        <v>24.35</v>
      </c>
    </row>
    <row r="13407" customFormat="false" ht="15" hidden="false" customHeight="false" outlineLevel="0" collapsed="false">
      <c r="A13407" s="5" t="s">
        <v>501</v>
      </c>
      <c r="C13407" s="25" t="n">
        <f aca="false">SUM($C$13404:$I$13404)</f>
        <v>85.8546501569858</v>
      </c>
    </row>
    <row r="13408" customFormat="false" ht="15" hidden="false" customHeight="false" outlineLevel="0" collapsed="false">
      <c r="A13408" s="5" t="s">
        <v>502</v>
      </c>
      <c r="C13408" s="25" t="n">
        <f aca="false">C13406+C13407</f>
        <v>110.204650156986</v>
      </c>
    </row>
    <row r="13409" customFormat="false" ht="15" hidden="false" customHeight="false" outlineLevel="0" collapsed="false">
      <c r="A13409" s="5" t="s">
        <v>503</v>
      </c>
      <c r="C13409" s="25" t="n">
        <f aca="false">C13407-C13316*C13317/100</f>
        <v>7.85465015698584</v>
      </c>
    </row>
    <row r="13410" customFormat="false" ht="15" hidden="false" customHeight="false" outlineLevel="0" collapsed="false">
      <c r="A13410" s="5" t="s">
        <v>504</v>
      </c>
      <c r="C13410" s="25" t="n">
        <f aca="false">C13408-C13318</f>
        <v>31.8146501569859</v>
      </c>
    </row>
    <row r="13411" customFormat="false" ht="15" hidden="false" customHeight="false" outlineLevel="0" collapsed="false">
      <c r="A13411" s="2" t="s">
        <v>385</v>
      </c>
      <c r="C13411" s="43" t="n">
        <f aca="false">C13408/C13318</f>
        <v>1.40585087583857</v>
      </c>
    </row>
    <row r="13412" customFormat="false" ht="15" hidden="false" customHeight="false" outlineLevel="0" collapsed="false">
      <c r="A13412" s="2" t="s">
        <v>384</v>
      </c>
      <c r="C13412" s="41" t="n">
        <f aca="false">IF(C13408&lt;=0,-1,IFERROR(IRR($C$13405:$I$13405,MAX(-0.9,C13411^(1/C13399)-1)),IRR($C$13405:$I$13405,0.1)))</f>
        <v>0.137881047156003</v>
      </c>
    </row>
    <row r="13413" customFormat="false" ht="15" hidden="false" customHeight="false" outlineLevel="0" collapsed="false">
      <c r="A13413" s="5" t="s">
        <v>505</v>
      </c>
      <c r="C13413" s="31" t="n">
        <f aca="false">MAX($G$13207:$K$13207)</f>
        <v>7.95286195286195</v>
      </c>
    </row>
    <row r="13414" customFormat="false" ht="15" hidden="false" customHeight="false" outlineLevel="0" collapsed="false">
      <c r="A13414" s="5" t="s">
        <v>506</v>
      </c>
      <c r="C13414" s="31" t="n">
        <f aca="false">MIN($G$13208:$K$13208)</f>
        <v>1.16085387853277</v>
      </c>
    </row>
    <row r="13415" customFormat="false" ht="15" hidden="false" customHeight="false" outlineLevel="0" collapsed="false">
      <c r="A13415" s="5" t="s">
        <v>507</v>
      </c>
      <c r="C13415" s="25" t="n">
        <f aca="false">SUM($G$13097:$K$13097)</f>
        <v>-47.80036599992</v>
      </c>
    </row>
    <row r="13419" customFormat="false" ht="15" hidden="false" customHeight="false" outlineLevel="0" collapsed="false">
      <c r="A13419" s="9" t="s">
        <v>664</v>
      </c>
      <c r="B13419" s="10"/>
      <c r="C13419" s="10"/>
      <c r="D13419" s="10"/>
      <c r="E13419" s="10"/>
      <c r="F13419" s="10"/>
      <c r="G13419" s="10"/>
      <c r="H13419" s="10"/>
      <c r="I13419" s="10"/>
      <c r="J13419" s="10"/>
      <c r="K13419" s="10"/>
    </row>
    <row r="13420" customFormat="false" ht="15" hidden="false" customHeight="false" outlineLevel="0" collapsed="false">
      <c r="A13420" s="5" t="s">
        <v>622</v>
      </c>
      <c r="C13420" s="11" t="n">
        <v>2</v>
      </c>
    </row>
    <row r="13421" customFormat="false" ht="15" hidden="false" customHeight="false" outlineLevel="0" collapsed="false">
      <c r="A13421" s="5" t="s">
        <v>623</v>
      </c>
      <c r="C13421" s="18" t="n">
        <v>0</v>
      </c>
    </row>
    <row r="13422" customFormat="false" ht="15" hidden="false" customHeight="false" outlineLevel="0" collapsed="false">
      <c r="A13422" s="5" t="s">
        <v>624</v>
      </c>
      <c r="C13422" s="18" t="n">
        <v>0</v>
      </c>
    </row>
    <row r="13423" customFormat="false" ht="15" hidden="false" customHeight="false" outlineLevel="0" collapsed="false">
      <c r="A13423" s="5" t="s">
        <v>625</v>
      </c>
      <c r="C13423" s="29" t="n">
        <f aca="false">Sensitivities!$A$50</f>
        <v>-0.01</v>
      </c>
    </row>
    <row r="13424" customFormat="false" ht="15" hidden="false" customHeight="false" outlineLevel="0" collapsed="false">
      <c r="A13424" s="5" t="s">
        <v>626</v>
      </c>
      <c r="C13424" s="15" t="n">
        <v>0</v>
      </c>
    </row>
    <row r="13426" customFormat="false" ht="15" hidden="false" customHeight="false" outlineLevel="0" collapsed="false">
      <c r="A13426" s="23" t="s">
        <v>237</v>
      </c>
      <c r="B13426" s="24"/>
      <c r="C13426" s="24"/>
      <c r="D13426" s="24"/>
      <c r="E13426" s="24"/>
      <c r="F13426" s="24"/>
      <c r="G13426" s="24"/>
      <c r="H13426" s="24"/>
      <c r="I13426" s="24"/>
      <c r="J13426" s="24"/>
      <c r="K13426" s="24"/>
    </row>
    <row r="13427" customFormat="false" ht="15" hidden="false" customHeight="false" outlineLevel="0" collapsed="false">
      <c r="A13427" s="5" t="s">
        <v>238</v>
      </c>
      <c r="F13427" s="26" t="n">
        <f aca="false">Assumptions!$C$6</f>
        <v>2025</v>
      </c>
      <c r="G13427" s="20" t="n">
        <f aca="false">F13427+1</f>
        <v>2026</v>
      </c>
      <c r="H13427" s="20" t="n">
        <f aca="false">G13427+1</f>
        <v>2027</v>
      </c>
      <c r="I13427" s="20" t="n">
        <f aca="false">H13427+1</f>
        <v>2028</v>
      </c>
      <c r="J13427" s="20" t="n">
        <f aca="false">I13427+1</f>
        <v>2029</v>
      </c>
      <c r="K13427" s="20" t="n">
        <f aca="false">J13427+1</f>
        <v>2030</v>
      </c>
    </row>
    <row r="13428" customFormat="false" ht="15" hidden="false" customHeight="false" outlineLevel="0" collapsed="false">
      <c r="A13428" s="5" t="s">
        <v>239</v>
      </c>
      <c r="G13428" s="20" t="n">
        <f aca="false">G13427-Assumptions!$C$6</f>
        <v>1</v>
      </c>
      <c r="H13428" s="20" t="n">
        <f aca="false">H13427-Assumptions!$C$6</f>
        <v>2</v>
      </c>
      <c r="I13428" s="20" t="n">
        <f aca="false">I13427-Assumptions!$C$6</f>
        <v>3</v>
      </c>
      <c r="J13428" s="20" t="n">
        <f aca="false">J13427-Assumptions!$C$6</f>
        <v>4</v>
      </c>
      <c r="K13428" s="20" t="n">
        <f aca="false">K13427-Assumptions!$C$6</f>
        <v>5</v>
      </c>
    </row>
    <row r="13429" customFormat="false" ht="15" hidden="false" customHeight="false" outlineLevel="0" collapsed="false">
      <c r="A13429" s="5" t="s">
        <v>149</v>
      </c>
      <c r="G13429" s="21" t="n">
        <f aca="false">CHOOSE($C$13420,Assumptions!$G$65,Assumptions!$G$84,Assumptions!$G$103)+$C$13421</f>
        <v>-0.078</v>
      </c>
      <c r="H13429" s="21" t="n">
        <f aca="false">CHOOSE($C$13420,Assumptions!$H$65,Assumptions!$H$84,Assumptions!$H$103)+$C$13421</f>
        <v>-0.039</v>
      </c>
      <c r="I13429" s="21" t="n">
        <f aca="false">CHOOSE($C$13420,Assumptions!$I$65,Assumptions!$I$84,Assumptions!$I$103)+$C$13421</f>
        <v>-0.005</v>
      </c>
      <c r="J13429" s="21" t="n">
        <f aca="false">CHOOSE($C$13420,Assumptions!$J$65,Assumptions!$J$84,Assumptions!$J$103)+$C$13421</f>
        <v>-0.01</v>
      </c>
      <c r="K13429" s="21" t="n">
        <f aca="false">CHOOSE($C$13420,Assumptions!$K$65,Assumptions!$K$84,Assumptions!$K$103)+$C$13421</f>
        <v>-0.01</v>
      </c>
    </row>
    <row r="13430" customFormat="false" ht="15" hidden="false" customHeight="false" outlineLevel="0" collapsed="false">
      <c r="A13430" s="5" t="s">
        <v>150</v>
      </c>
      <c r="G13430" s="21" t="n">
        <f aca="false">CHOOSE($C$13420,Assumptions!$G$66,Assumptions!$G$85,Assumptions!$G$104)</f>
        <v>0.33</v>
      </c>
      <c r="H13430" s="21" t="n">
        <f aca="false">CHOOSE($C$13420,Assumptions!$H$66,Assumptions!$H$85,Assumptions!$H$104)</f>
        <v>0.318</v>
      </c>
      <c r="I13430" s="21" t="n">
        <f aca="false">CHOOSE($C$13420,Assumptions!$I$66,Assumptions!$I$85,Assumptions!$I$104)</f>
        <v>0.324</v>
      </c>
      <c r="J13430" s="21" t="n">
        <f aca="false">CHOOSE($C$13420,Assumptions!$J$66,Assumptions!$J$85,Assumptions!$J$104)</f>
        <v>0.33</v>
      </c>
      <c r="K13430" s="21" t="n">
        <f aca="false">CHOOSE($C$13420,Assumptions!$K$66,Assumptions!$K$85,Assumptions!$K$104)</f>
        <v>0.336</v>
      </c>
    </row>
    <row r="13431" customFormat="false" ht="15" hidden="false" customHeight="false" outlineLevel="0" collapsed="false">
      <c r="A13431" s="5" t="s">
        <v>151</v>
      </c>
      <c r="G13431" s="21" t="n">
        <f aca="false">CHOOSE($C$13420,Assumptions!$G$67,Assumptions!$G$86,Assumptions!$G$105)+$C$13422</f>
        <v>0.035</v>
      </c>
      <c r="H13431" s="21" t="n">
        <f aca="false">CHOOSE($C$13420,Assumptions!$H$67,Assumptions!$H$86,Assumptions!$H$105)+$C$13422</f>
        <v>0.023</v>
      </c>
      <c r="I13431" s="21" t="n">
        <f aca="false">CHOOSE($C$13420,Assumptions!$I$67,Assumptions!$I$86,Assumptions!$I$105)+$C$13422</f>
        <v>0.029</v>
      </c>
      <c r="J13431" s="21" t="n">
        <f aca="false">CHOOSE($C$13420,Assumptions!$J$67,Assumptions!$J$86,Assumptions!$J$105)+$C$13422</f>
        <v>0.035</v>
      </c>
      <c r="K13431" s="21" t="n">
        <f aca="false">CHOOSE($C$13420,Assumptions!$K$67,Assumptions!$K$86,Assumptions!$K$105)+$C$13422</f>
        <v>0.041</v>
      </c>
    </row>
    <row r="13432" customFormat="false" ht="15" hidden="false" customHeight="false" outlineLevel="0" collapsed="false">
      <c r="A13432" s="23" t="s">
        <v>240</v>
      </c>
      <c r="B13432" s="24"/>
      <c r="C13432" s="24"/>
      <c r="D13432" s="24"/>
      <c r="E13432" s="24"/>
      <c r="F13432" s="24"/>
      <c r="G13432" s="24"/>
      <c r="H13432" s="24"/>
      <c r="I13432" s="24"/>
      <c r="J13432" s="24"/>
      <c r="K13432" s="24"/>
    </row>
    <row r="13433" customFormat="false" ht="15" hidden="false" customHeight="false" outlineLevel="0" collapsed="false">
      <c r="A13433" s="2" t="s">
        <v>207</v>
      </c>
      <c r="F13433" s="27" t="n">
        <f aca="false">'Historical Financials'!E17</f>
        <v>2400</v>
      </c>
      <c r="G13433" s="16" t="n">
        <f aca="false">F13433*(1+G13429)</f>
        <v>2212.8</v>
      </c>
      <c r="H13433" s="16" t="n">
        <f aca="false">G13433*(1+H13429)</f>
        <v>2126.5008</v>
      </c>
      <c r="I13433" s="16" t="n">
        <f aca="false">H13433*(1+I13429)</f>
        <v>2115.868296</v>
      </c>
      <c r="J13433" s="16" t="n">
        <f aca="false">I13433*(1+J13429)</f>
        <v>2094.70961304</v>
      </c>
      <c r="K13433" s="16" t="n">
        <f aca="false">J13433*(1+K13429)</f>
        <v>2073.7625169096</v>
      </c>
    </row>
    <row r="13434" customFormat="false" ht="15" hidden="false" customHeight="false" outlineLevel="0" collapsed="false">
      <c r="A13434" s="5" t="s">
        <v>217</v>
      </c>
      <c r="G13434" s="25" t="n">
        <f aca="false">G13433*(1-G13430)</f>
        <v>1482.576</v>
      </c>
      <c r="H13434" s="25" t="n">
        <f aca="false">H13433*(1-H13430)</f>
        <v>1450.2735456</v>
      </c>
      <c r="I13434" s="25" t="n">
        <f aca="false">I13433*(1-I13430)</f>
        <v>1430.326968096</v>
      </c>
      <c r="J13434" s="25" t="n">
        <f aca="false">J13433*(1-J13430)</f>
        <v>1403.4554407368</v>
      </c>
      <c r="K13434" s="25" t="n">
        <f aca="false">K13433*(1-K13430)</f>
        <v>1376.97831122797</v>
      </c>
    </row>
    <row r="13435" customFormat="false" ht="15" hidden="false" customHeight="false" outlineLevel="0" collapsed="false">
      <c r="A13435" s="2" t="s">
        <v>218</v>
      </c>
      <c r="G13435" s="16" t="n">
        <f aca="false">G13433-G13434</f>
        <v>730.224</v>
      </c>
      <c r="H13435" s="16" t="n">
        <f aca="false">H13433-H13434</f>
        <v>676.2272544</v>
      </c>
      <c r="I13435" s="16" t="n">
        <f aca="false">I13433-I13434</f>
        <v>685.541327904</v>
      </c>
      <c r="J13435" s="16" t="n">
        <f aca="false">J13433-J13434</f>
        <v>691.2541723032</v>
      </c>
      <c r="K13435" s="16" t="n">
        <f aca="false">K13433-K13434</f>
        <v>696.784205681626</v>
      </c>
    </row>
    <row r="13436" customFormat="false" ht="15" hidden="false" customHeight="false" outlineLevel="0" collapsed="false">
      <c r="A13436" s="5" t="s">
        <v>241</v>
      </c>
      <c r="G13436" s="25" t="n">
        <f aca="false">G13435-G13437</f>
        <v>652.776</v>
      </c>
      <c r="H13436" s="25" t="n">
        <f aca="false">H13435-H13437</f>
        <v>627.317736</v>
      </c>
      <c r="I13436" s="25" t="n">
        <f aca="false">I13435-I13437</f>
        <v>624.18114732</v>
      </c>
      <c r="J13436" s="25" t="n">
        <f aca="false">J13435-J13437</f>
        <v>617.9393358468</v>
      </c>
      <c r="K13436" s="25" t="n">
        <f aca="false">K13435-K13437</f>
        <v>611.759942488332</v>
      </c>
    </row>
    <row r="13437" customFormat="false" ht="15" hidden="false" customHeight="false" outlineLevel="0" collapsed="false">
      <c r="A13437" s="2" t="s">
        <v>242</v>
      </c>
      <c r="G13437" s="16" t="n">
        <f aca="false">G13433*G13431</f>
        <v>77.448</v>
      </c>
      <c r="H13437" s="16" t="n">
        <f aca="false">H13433*H13431</f>
        <v>48.9095184</v>
      </c>
      <c r="I13437" s="16" t="n">
        <f aca="false">I13433*I13431</f>
        <v>61.360180584</v>
      </c>
      <c r="J13437" s="16" t="n">
        <f aca="false">J13433*J13431</f>
        <v>73.3148364564</v>
      </c>
      <c r="K13437" s="16" t="n">
        <f aca="false">K13433*K13431</f>
        <v>85.0242631932936</v>
      </c>
    </row>
    <row r="13438" customFormat="false" ht="15" hidden="false" customHeight="false" outlineLevel="0" collapsed="false">
      <c r="A13438" s="5" t="s">
        <v>243</v>
      </c>
      <c r="G13438" s="25" t="n">
        <f aca="false">G13433*'Historical Financials'!E22/'Historical Financials'!E17</f>
        <v>48.6816</v>
      </c>
      <c r="H13438" s="25" t="n">
        <f aca="false">H13433*'Historical Financials'!E22/'Historical Financials'!E17</f>
        <v>46.7830176</v>
      </c>
      <c r="I13438" s="25" t="n">
        <f aca="false">I13433*'Historical Financials'!E22/'Historical Financials'!E17</f>
        <v>46.549102512</v>
      </c>
      <c r="J13438" s="25" t="n">
        <f aca="false">J13433*'Historical Financials'!E22/'Historical Financials'!E17</f>
        <v>46.08361148688</v>
      </c>
      <c r="K13438" s="25" t="n">
        <f aca="false">K13433*'Historical Financials'!E22/'Historical Financials'!E17</f>
        <v>45.6227753720112</v>
      </c>
    </row>
    <row r="13439" customFormat="false" ht="15" hidden="false" customHeight="false" outlineLevel="0" collapsed="false">
      <c r="A13439" s="5" t="s">
        <v>244</v>
      </c>
      <c r="G13439" s="25" t="n">
        <f aca="false">G13433*'Historical Financials'!E23/'Historical Financials'!E17</f>
        <v>0</v>
      </c>
      <c r="H13439" s="25" t="n">
        <f aca="false">H13433*'Historical Financials'!E23/'Historical Financials'!E17</f>
        <v>0</v>
      </c>
      <c r="I13439" s="25" t="n">
        <f aca="false">I13433*'Historical Financials'!E23/'Historical Financials'!E17</f>
        <v>0</v>
      </c>
      <c r="J13439" s="25" t="n">
        <f aca="false">J13433*'Historical Financials'!E23/'Historical Financials'!E17</f>
        <v>0</v>
      </c>
      <c r="K13439" s="25" t="n">
        <f aca="false">K13433*'Historical Financials'!E23/'Historical Financials'!E17</f>
        <v>0</v>
      </c>
    </row>
    <row r="13440" customFormat="false" ht="15" hidden="false" customHeight="false" outlineLevel="0" collapsed="false">
      <c r="A13440" s="2" t="s">
        <v>245</v>
      </c>
      <c r="G13440" s="16" t="n">
        <f aca="false">G13437-G13438-G13439</f>
        <v>28.7664</v>
      </c>
      <c r="H13440" s="16" t="n">
        <f aca="false">H13437-H13438-H13439</f>
        <v>2.12650079999998</v>
      </c>
      <c r="I13440" s="16" t="n">
        <f aca="false">I13437-I13438-I13439</f>
        <v>14.811078072</v>
      </c>
      <c r="J13440" s="16" t="n">
        <f aca="false">J13437-J13438-J13439</f>
        <v>27.23122496952</v>
      </c>
      <c r="K13440" s="16" t="n">
        <f aca="false">K13437-K13438-K13439</f>
        <v>39.4014878212824</v>
      </c>
    </row>
    <row r="13441" customFormat="false" ht="15" hidden="false" customHeight="false" outlineLevel="0" collapsed="false">
      <c r="A13441" s="5" t="s">
        <v>246</v>
      </c>
      <c r="G13441" s="25" t="n">
        <f aca="false">G13467+G13480+G13493+G13506</f>
        <v>122.54</v>
      </c>
      <c r="H13441" s="25" t="n">
        <f aca="false">H13467+H13480+H13493+H13506</f>
        <v>122.8341668</v>
      </c>
      <c r="I13441" s="25" t="n">
        <f aca="false">I13467+I13480+I13493+I13506</f>
        <v>120.4883248</v>
      </c>
      <c r="J13441" s="25" t="n">
        <f aca="false">J13467+J13480+J13493+J13506</f>
        <v>119.9527248</v>
      </c>
      <c r="K13441" s="25" t="n">
        <f aca="false">K13467+K13480+K13493+K13506</f>
        <v>119.4171248</v>
      </c>
    </row>
    <row r="13442" customFormat="false" ht="15" hidden="false" customHeight="false" outlineLevel="0" collapsed="false">
      <c r="A13442" s="5" t="s">
        <v>247</v>
      </c>
      <c r="G13442" s="25" t="n">
        <f aca="false">G13468+G13481+G13494+G13507</f>
        <v>0</v>
      </c>
      <c r="H13442" s="25" t="n">
        <f aca="false">H13468+H13481+H13494+H13507</f>
        <v>0</v>
      </c>
      <c r="I13442" s="25" t="n">
        <f aca="false">I13468+I13481+I13494+I13507</f>
        <v>0</v>
      </c>
      <c r="J13442" s="25" t="n">
        <f aca="false">J13468+J13481+J13494+J13507</f>
        <v>0</v>
      </c>
      <c r="K13442" s="25" t="n">
        <f aca="false">K13468+K13481+K13494+K13507</f>
        <v>0</v>
      </c>
    </row>
    <row r="13443" customFormat="false" ht="15" hidden="false" customHeight="false" outlineLevel="0" collapsed="false">
      <c r="A13443" s="5" t="s">
        <v>212</v>
      </c>
      <c r="G13443" s="25" t="n">
        <f aca="false">G13441+G13442</f>
        <v>122.54</v>
      </c>
      <c r="H13443" s="25" t="n">
        <f aca="false">H13441+H13442</f>
        <v>122.8341668</v>
      </c>
      <c r="I13443" s="25" t="n">
        <f aca="false">I13441+I13442</f>
        <v>120.4883248</v>
      </c>
      <c r="J13443" s="25" t="n">
        <f aca="false">J13441+J13442</f>
        <v>119.9527248</v>
      </c>
      <c r="K13443" s="25" t="n">
        <f aca="false">K13441+K13442</f>
        <v>119.4171248</v>
      </c>
    </row>
    <row r="13444" customFormat="false" ht="15" hidden="false" customHeight="false" outlineLevel="0" collapsed="false">
      <c r="A13444" s="2" t="s">
        <v>223</v>
      </c>
      <c r="G13444" s="16" t="n">
        <f aca="false">G13440-G13443</f>
        <v>-93.7736</v>
      </c>
      <c r="H13444" s="16" t="n">
        <f aca="false">H13440-H13443</f>
        <v>-120.707666</v>
      </c>
      <c r="I13444" s="16" t="n">
        <f aca="false">I13440-I13443</f>
        <v>-105.677246728</v>
      </c>
      <c r="J13444" s="16" t="n">
        <f aca="false">J13440-J13443</f>
        <v>-92.72149983048</v>
      </c>
      <c r="K13444" s="16" t="n">
        <f aca="false">K13440-K13443</f>
        <v>-80.0156369787176</v>
      </c>
    </row>
    <row r="13445" customFormat="false" ht="15" hidden="false" customHeight="false" outlineLevel="0" collapsed="false">
      <c r="A13445" s="5" t="s">
        <v>213</v>
      </c>
      <c r="G13445" s="25" t="n">
        <f aca="false">MAX(0,G13444)*Assumptions!$C$9</f>
        <v>0</v>
      </c>
      <c r="H13445" s="25" t="n">
        <f aca="false">MAX(0,H13444)*Assumptions!$C$9</f>
        <v>0</v>
      </c>
      <c r="I13445" s="25" t="n">
        <f aca="false">MAX(0,I13444)*Assumptions!$C$9</f>
        <v>0</v>
      </c>
      <c r="J13445" s="25" t="n">
        <f aca="false">MAX(0,J13444)*Assumptions!$C$9</f>
        <v>0</v>
      </c>
      <c r="K13445" s="25" t="n">
        <f aca="false">MAX(0,K13444)*Assumptions!$C$9</f>
        <v>0</v>
      </c>
    </row>
    <row r="13446" customFormat="false" ht="15" hidden="false" customHeight="false" outlineLevel="0" collapsed="false">
      <c r="A13446" s="2" t="s">
        <v>248</v>
      </c>
      <c r="G13446" s="16" t="n">
        <f aca="false">G13444-G13445</f>
        <v>-93.7736</v>
      </c>
      <c r="H13446" s="16" t="n">
        <f aca="false">H13444-H13445</f>
        <v>-120.707666</v>
      </c>
      <c r="I13446" s="16" t="n">
        <f aca="false">I13444-I13445</f>
        <v>-105.677246728</v>
      </c>
      <c r="J13446" s="16" t="n">
        <f aca="false">J13444-J13445</f>
        <v>-92.72149983048</v>
      </c>
      <c r="K13446" s="16" t="n">
        <f aca="false">K13444-K13445</f>
        <v>-80.0156369787176</v>
      </c>
    </row>
    <row r="13447" customFormat="false" ht="15" hidden="false" customHeight="false" outlineLevel="0" collapsed="false">
      <c r="A13447" s="23" t="s">
        <v>249</v>
      </c>
      <c r="B13447" s="24"/>
      <c r="C13447" s="24"/>
      <c r="D13447" s="24"/>
      <c r="E13447" s="24"/>
      <c r="F13447" s="24"/>
      <c r="G13447" s="24"/>
      <c r="H13447" s="24"/>
      <c r="I13447" s="24"/>
      <c r="J13447" s="24"/>
      <c r="K13447" s="24"/>
    </row>
    <row r="13448" customFormat="false" ht="15" hidden="false" customHeight="false" outlineLevel="0" collapsed="false">
      <c r="A13448" s="5" t="s">
        <v>153</v>
      </c>
      <c r="G13448" s="25" t="n">
        <f aca="false">G13433*CHOOSE($C$13420,Assumptions!$C$69,Assumptions!$C$88,Assumptions!$C$107)</f>
        <v>42.0432</v>
      </c>
      <c r="H13448" s="25" t="n">
        <f aca="false">H13433*CHOOSE($C$13420,Assumptions!$C$69,Assumptions!$C$88,Assumptions!$C$107)</f>
        <v>40.4035152</v>
      </c>
      <c r="I13448" s="25" t="n">
        <f aca="false">I13433*CHOOSE($C$13420,Assumptions!$C$69,Assumptions!$C$88,Assumptions!$C$107)</f>
        <v>40.201497624</v>
      </c>
      <c r="J13448" s="25" t="n">
        <f aca="false">J13433*CHOOSE($C$13420,Assumptions!$C$69,Assumptions!$C$88,Assumptions!$C$107)</f>
        <v>39.79948264776</v>
      </c>
      <c r="K13448" s="25" t="n">
        <f aca="false">K13433*CHOOSE($C$13420,Assumptions!$C$69,Assumptions!$C$88,Assumptions!$C$107)</f>
        <v>39.4014878212824</v>
      </c>
    </row>
    <row r="13449" customFormat="false" ht="15" hidden="false" customHeight="false" outlineLevel="0" collapsed="false">
      <c r="A13449" s="5" t="s">
        <v>250</v>
      </c>
      <c r="G13449" s="25" t="n">
        <f aca="false">CHOOSE($C$13420,Assumptions!$C$70,Assumptions!$C$89,Assumptions!$C$108)*(G13433-F13433)+CHOOSE($C$13420,Assumptions!$C$71,Assumptions!$C$90,Assumptions!$C$109)*G13433</f>
        <v>-18.0384</v>
      </c>
      <c r="H13449" s="25" t="n">
        <f aca="false">CHOOSE($C$13420,Assumptions!$C$70,Assumptions!$C$89,Assumptions!$C$108)*(H13433-G13433)+CHOOSE($C$13420,Assumptions!$C$71,Assumptions!$C$90,Assumptions!$C$109)*H13433</f>
        <v>-6.10290239999999</v>
      </c>
      <c r="I13449" s="25" t="n">
        <f aca="false">CHOOSE($C$13420,Assumptions!$C$70,Assumptions!$C$89,Assumptions!$C$108)*(I13433-H13433)+CHOOSE($C$13420,Assumptions!$C$71,Assumptions!$C$90,Assumptions!$C$109)*I13433</f>
        <v>2.95583611199998</v>
      </c>
      <c r="J13449" s="25" t="n">
        <f aca="false">CHOOSE($C$13420,Assumptions!$C$70,Assumptions!$C$89,Assumptions!$C$108)*(J13433-I13433)+CHOOSE($C$13420,Assumptions!$C$71,Assumptions!$C$90,Assumptions!$C$109)*J13433</f>
        <v>1.65037727087999</v>
      </c>
      <c r="K13449" s="25" t="n">
        <f aca="false">CHOOSE($C$13420,Assumptions!$C$70,Assumptions!$C$89,Assumptions!$C$108)*(K13433-J13433)+CHOOSE($C$13420,Assumptions!$C$71,Assumptions!$C$90,Assumptions!$C$109)*K13433</f>
        <v>1.63387349817119</v>
      </c>
    </row>
    <row r="13450" customFormat="false" ht="15" hidden="false" customHeight="false" outlineLevel="0" collapsed="false">
      <c r="A13450" s="2" t="s">
        <v>251</v>
      </c>
      <c r="G13450" s="16" t="n">
        <f aca="false">G13446+G13438+G13439+G13442-G13448-G13449</f>
        <v>-69.0968</v>
      </c>
      <c r="H13450" s="16" t="n">
        <f aca="false">H13446+H13438+H13439+H13442-H13448-H13449</f>
        <v>-108.2252612</v>
      </c>
      <c r="I13450" s="16" t="n">
        <f aca="false">I13446+I13438+I13439+I13442-I13448-I13449</f>
        <v>-102.285477952</v>
      </c>
      <c r="J13450" s="16" t="n">
        <f aca="false">J13446+J13438+J13439+J13442-J13448-J13449</f>
        <v>-88.08774826224</v>
      </c>
      <c r="K13450" s="16" t="n">
        <f aca="false">K13446+K13438+K13439+K13442-K13448-K13449</f>
        <v>-75.42822292616</v>
      </c>
    </row>
    <row r="13452" customFormat="false" ht="15" hidden="false" customHeight="false" outlineLevel="0" collapsed="false">
      <c r="A13452" s="23" t="s">
        <v>253</v>
      </c>
      <c r="B13452" s="24"/>
      <c r="C13452" s="24"/>
      <c r="D13452" s="24"/>
      <c r="E13452" s="24"/>
      <c r="F13452" s="24"/>
      <c r="G13452" s="24"/>
      <c r="H13452" s="24"/>
      <c r="I13452" s="24"/>
      <c r="J13452" s="24"/>
      <c r="K13452" s="24"/>
    </row>
    <row r="13453" customFormat="false" ht="15" hidden="false" customHeight="false" outlineLevel="0" collapsed="false">
      <c r="A13453" s="5" t="s">
        <v>254</v>
      </c>
      <c r="G13453" s="29" t="n">
        <f aca="false">Assumptions!$G$49</f>
        <v>0.0425</v>
      </c>
      <c r="H13453" s="29" t="n">
        <f aca="false">Assumptions!$H$49</f>
        <v>0.04</v>
      </c>
      <c r="I13453" s="29" t="n">
        <f aca="false">Assumptions!$I$49</f>
        <v>0.0375</v>
      </c>
      <c r="J13453" s="29" t="n">
        <f aca="false">Assumptions!$J$49</f>
        <v>0.0375</v>
      </c>
      <c r="K13453" s="29" t="n">
        <f aca="false">Assumptions!$K$49</f>
        <v>0.0375</v>
      </c>
    </row>
    <row r="13454" customFormat="false" ht="15" hidden="false" customHeight="false" outlineLevel="0" collapsed="false">
      <c r="A13454" s="5" t="s">
        <v>255</v>
      </c>
      <c r="C13454" s="30" t="n">
        <f aca="false">CHOOSE($C$13420,Assumptions!$C$72,Assumptions!$C$91,Assumptions!$C$110)+$C$13423</f>
        <v>0.005</v>
      </c>
    </row>
    <row r="13455" customFormat="false" ht="15" hidden="false" customHeight="false" outlineLevel="0" collapsed="false">
      <c r="A13455" s="5" t="s">
        <v>256</v>
      </c>
      <c r="C13455" s="30" t="n">
        <f aca="false">CHOOSE($C$13420,Assumptions!$C$73,Assumptions!$C$92,Assumptions!$C$111)</f>
        <v>0.135</v>
      </c>
    </row>
    <row r="13456" customFormat="false" ht="15" hidden="false" customHeight="false" outlineLevel="0" collapsed="false">
      <c r="A13456" s="5" t="s">
        <v>257</v>
      </c>
      <c r="C13456" s="31" t="n">
        <f aca="false">CHOOSE($C$13420,Assumptions!$C$74,Assumptions!$C$93,Assumptions!$C$112)</f>
        <v>5.5</v>
      </c>
    </row>
    <row r="13457" customFormat="false" ht="15" hidden="false" customHeight="false" outlineLevel="0" collapsed="false">
      <c r="A13457" s="5" t="s">
        <v>258</v>
      </c>
      <c r="C13457" s="31" t="n">
        <f aca="false">CHOOSE($C$13420,Assumptions!$C$75,Assumptions!$C$94,Assumptions!$C$113)</f>
        <v>1.8</v>
      </c>
    </row>
    <row r="13458" customFormat="false" ht="15" hidden="false" customHeight="false" outlineLevel="0" collapsed="false">
      <c r="A13458" s="5" t="s">
        <v>259</v>
      </c>
      <c r="G13458" s="25" t="n">
        <f aca="false">G13463+G13476+G13489+G13502</f>
        <v>1250</v>
      </c>
      <c r="H13458" s="25" t="n">
        <f aca="false">H13463+H13476+H13489+H13502</f>
        <v>1274.0968</v>
      </c>
      <c r="I13458" s="25" t="n">
        <f aca="false">I13463+I13476+I13489+I13502</f>
        <v>1268.8968</v>
      </c>
      <c r="J13458" s="25" t="n">
        <f aca="false">J13463+J13476+J13489+J13502</f>
        <v>1263.6968</v>
      </c>
      <c r="K13458" s="25" t="n">
        <f aca="false">K13463+K13476+K13489+K13502</f>
        <v>1258.4968</v>
      </c>
    </row>
    <row r="13459" customFormat="false" ht="15" hidden="false" customHeight="false" outlineLevel="0" collapsed="false">
      <c r="A13459" s="5" t="s">
        <v>260</v>
      </c>
      <c r="G13459" s="25" t="n">
        <f aca="false">F13549</f>
        <v>45</v>
      </c>
      <c r="H13459" s="25" t="n">
        <f aca="false">G13549</f>
        <v>0</v>
      </c>
      <c r="I13459" s="25" t="n">
        <f aca="false">H13549</f>
        <v>-113.4252612</v>
      </c>
      <c r="J13459" s="25" t="n">
        <f aca="false">I13549</f>
        <v>-220.910739152</v>
      </c>
      <c r="K13459" s="25" t="n">
        <f aca="false">J13549</f>
        <v>-314.19848741424</v>
      </c>
    </row>
    <row r="13460" customFormat="false" ht="15" hidden="false" customHeight="false" outlineLevel="0" collapsed="false">
      <c r="A13460" s="5" t="s">
        <v>261</v>
      </c>
      <c r="G13460" s="25" t="n">
        <f aca="false">G13463*IF(G13464=1,$C$13455,IF(Assumptions!$I$53=1,MAX(G13453,Assumptions!$G$53)+Assumptions!$F$53+$C$13454,Assumptions!$E$53))+G13476*IF(G13477=1,$C$13455,IF(Assumptions!$I$54=1,MAX(G13453,Assumptions!$G$54)+Assumptions!$F$54+$C$13454,Assumptions!$E$54))+G13489*IF(G13490=1,$C$13455,IF(Assumptions!$I$55=1,MAX(G13453,Assumptions!$G$55)+Assumptions!$F$55+$C$13454,Assumptions!$E$55))+G13502*IF(G13503=1,$C$13455,IF(Assumptions!$I$56=1,MAX(G13453,Assumptions!$G$56)+Assumptions!$F$56+$C$13454,Assumptions!$E$56))</f>
        <v>122.54</v>
      </c>
      <c r="H13460" s="25" t="n">
        <f aca="false">H13463*IF(OR(H13464=1,G13615=1),$C$13455,IF(Assumptions!$I$53=1,MAX(H13453,Assumptions!$G$53)+Assumptions!$F$53+$C$13454,Assumptions!$E$53))+H13476*IF(OR(H13477=1,G13616=1),$C$13455,IF(Assumptions!$I$54=1,MAX(H13453,Assumptions!$G$54)+Assumptions!$F$54+$C$13454,Assumptions!$E$54))+H13489*IF(OR(H13490=1,G13617=1),$C$13455,IF(Assumptions!$I$55=1,MAX(H13453,Assumptions!$G$55)+Assumptions!$F$55+$C$13454,Assumptions!$E$55))+H13502*IF(OR(H13503=1,G13618=1),$C$13455,IF(Assumptions!$I$56=1,MAX(H13453,Assumptions!$G$56)+Assumptions!$F$56+$C$13454,Assumptions!$E$56))</f>
        <v>150.566468</v>
      </c>
      <c r="I13460" s="25" t="n">
        <f aca="false">I13463*IF(OR(I13464=1,H13615=1),$C$13455,IF(Assumptions!$I$53=1,MAX(I13453,Assumptions!$G$53)+Assumptions!$F$53+$C$13454,Assumptions!$E$53))+I13476*IF(OR(I13477=1,H13616=1),$C$13455,IF(Assumptions!$I$54=1,MAX(I13453,Assumptions!$G$54)+Assumptions!$F$54+$C$13454,Assumptions!$E$54))+I13489*IF(OR(I13490=1,H13617=1),$C$13455,IF(Assumptions!$I$55=1,MAX(I13453,Assumptions!$G$55)+Assumptions!$F$55+$C$13454,Assumptions!$E$55))+I13502*IF(OR(I13503=1,H13618=1),$C$13455,IF(Assumptions!$I$56=1,MAX(I13453,Assumptions!$G$56)+Assumptions!$F$56+$C$13454,Assumptions!$E$56))</f>
        <v>136.7955248</v>
      </c>
      <c r="J13460" s="25" t="n">
        <f aca="false">J13463*IF(OR(J13464=1,I13615=1),$C$13455,IF(Assumptions!$I$53=1,MAX(J13453,Assumptions!$G$53)+Assumptions!$F$53+$C$13454,Assumptions!$E$53))+J13476*IF(OR(J13477=1,I13616=1),$C$13455,IF(Assumptions!$I$54=1,MAX(J13453,Assumptions!$G$54)+Assumptions!$F$54+$C$13454,Assumptions!$E$54))+J13489*IF(OR(J13490=1,I13617=1),$C$13455,IF(Assumptions!$I$55=1,MAX(J13453,Assumptions!$G$55)+Assumptions!$F$55+$C$13454,Assumptions!$E$55))+J13502*IF(OR(J13503=1,I13618=1),$C$13455,IF(Assumptions!$I$56=1,MAX(J13453,Assumptions!$G$56)+Assumptions!$F$56+$C$13454,Assumptions!$E$56))</f>
        <v>126.2027248</v>
      </c>
      <c r="K13460" s="25" t="n">
        <f aca="false">K13463*IF(OR(K13464=1,J13615=1),$C$13455,IF(Assumptions!$I$53=1,MAX(K13453,Assumptions!$G$53)+Assumptions!$F$53+$C$13454,Assumptions!$E$53))+K13476*IF(OR(K13477=1,J13616=1),$C$13455,IF(Assumptions!$I$54=1,MAX(K13453,Assumptions!$G$54)+Assumptions!$F$54+$C$13454,Assumptions!$E$54))+K13489*IF(OR(K13490=1,J13617=1),$C$13455,IF(Assumptions!$I$55=1,MAX(K13453,Assumptions!$G$55)+Assumptions!$F$55+$C$13454,Assumptions!$E$55))+K13502*IF(OR(K13503=1,J13618=1),$C$13455,IF(Assumptions!$I$56=1,MAX(K13453,Assumptions!$G$56)+Assumptions!$F$56+$C$13454,Assumptions!$E$56))</f>
        <v>119.4171248</v>
      </c>
    </row>
    <row r="13461" customFormat="false" ht="15" hidden="false" customHeight="false" outlineLevel="0" collapsed="false">
      <c r="A13461" s="5" t="s">
        <v>262</v>
      </c>
      <c r="G13461" s="20" t="n">
        <f aca="false">IF(G13437&lt;=0,0,IF(AND((G13458-G13459)/G13437&lt;=$C$13456,G13437/G13460&gt;=$C$13457),1,0))</f>
        <v>0</v>
      </c>
      <c r="H13461" s="20" t="n">
        <f aca="false">IF(H13437&lt;=0,0,IF(AND((H13458-H13459)/H13437&lt;=$C$13456,H13437/H13460&gt;=$C$13457),1,0))</f>
        <v>0</v>
      </c>
      <c r="I13461" s="20" t="n">
        <f aca="false">IF(I13437&lt;=0,0,IF(AND((I13458-I13459)/I13437&lt;=$C$13456,I13437/I13460&gt;=$C$13457),1,0))</f>
        <v>0</v>
      </c>
      <c r="J13461" s="20" t="n">
        <f aca="false">IF(J13437&lt;=0,0,IF(AND((J13458-J13459)/J13437&lt;=$C$13456,J13437/J13460&gt;=$C$13457),1,0))</f>
        <v>0</v>
      </c>
      <c r="K13461" s="20" t="n">
        <f aca="false">IF(K13437&lt;=0,0,IF(AND((K13458-K13459)/K13437&lt;=$C$13456,K13437/K13460&gt;=$C$13457),1,0))</f>
        <v>0</v>
      </c>
    </row>
    <row r="13462" customFormat="false" ht="15" hidden="false" customHeight="false" outlineLevel="0" collapsed="false">
      <c r="A13462" s="23" t="s">
        <v>263</v>
      </c>
      <c r="B13462" s="24"/>
      <c r="C13462" s="24"/>
      <c r="D13462" s="24"/>
      <c r="E13462" s="24"/>
      <c r="F13462" s="24"/>
      <c r="G13462" s="24"/>
      <c r="H13462" s="24"/>
      <c r="I13462" s="24"/>
      <c r="J13462" s="24"/>
      <c r="K13462" s="24"/>
    </row>
    <row r="13463" customFormat="false" ht="15" hidden="false" customHeight="false" outlineLevel="0" collapsed="false">
      <c r="A13463" s="5" t="s">
        <v>264</v>
      </c>
      <c r="G13463" s="25" t="n">
        <f aca="false">F13474</f>
        <v>180</v>
      </c>
      <c r="H13463" s="25" t="n">
        <f aca="false">G13474</f>
        <v>209.2968</v>
      </c>
      <c r="I13463" s="25" t="n">
        <f aca="false">H13474</f>
        <v>209.2968</v>
      </c>
      <c r="J13463" s="25" t="n">
        <f aca="false">I13474</f>
        <v>209.2968</v>
      </c>
      <c r="K13463" s="25" t="n">
        <f aca="false">J13474</f>
        <v>209.2968</v>
      </c>
    </row>
    <row r="13464" customFormat="false" ht="15" hidden="false" customHeight="false" outlineLevel="0" collapsed="false">
      <c r="A13464" s="5" t="s">
        <v>265</v>
      </c>
      <c r="G13464" s="20" t="n">
        <f aca="false">IF(G13427=Assumptions!$K$53,1,0)</f>
        <v>0</v>
      </c>
      <c r="H13464" s="20" t="n">
        <f aca="false">IF(H13427=Assumptions!$K$53,1,0)</f>
        <v>1</v>
      </c>
      <c r="I13464" s="20" t="n">
        <f aca="false">IF(I13427=Assumptions!$K$53,1,0)</f>
        <v>0</v>
      </c>
      <c r="J13464" s="20" t="n">
        <f aca="false">IF(J13427=Assumptions!$K$53,1,0)</f>
        <v>0</v>
      </c>
      <c r="K13464" s="20" t="n">
        <f aca="false">IF(K13427=Assumptions!$K$53,1,0)</f>
        <v>0</v>
      </c>
    </row>
    <row r="13466" customFormat="false" ht="15" hidden="false" customHeight="false" outlineLevel="0" collapsed="false">
      <c r="A13466" s="5" t="s">
        <v>266</v>
      </c>
      <c r="G13466" s="30" t="n">
        <f aca="false">IF(Assumptions!$I$53=1,MAX(G13453,Assumptions!$G$53)+Assumptions!$F$53+$C$13454,Assumptions!$E$53)</f>
        <v>0.091</v>
      </c>
      <c r="H13466" s="30" t="n">
        <f aca="false">IF(G13615=1,$C$13455,IF(Assumptions!$I$53=1,MAX(H13453,Assumptions!$G$53)+Assumptions!$F$53+$C$13454,Assumptions!$E$53))</f>
        <v>0.0885</v>
      </c>
      <c r="I13466" s="30" t="n">
        <f aca="false">IF(H13615=1,$C$13455,IF(Assumptions!$I$53=1,MAX(I13453,Assumptions!$G$53)+Assumptions!$F$53+$C$13454,Assumptions!$E$53))</f>
        <v>0.086</v>
      </c>
      <c r="J13466" s="30" t="n">
        <f aca="false">IF(I13615=1,$C$13455,IF(Assumptions!$I$53=1,MAX(J13453,Assumptions!$G$53)+Assumptions!$F$53+$C$13454,Assumptions!$E$53))</f>
        <v>0.086</v>
      </c>
      <c r="K13466" s="30" t="n">
        <f aca="false">IF(J13615=1,$C$13455,IF(Assumptions!$I$53=1,MAX(K13453,Assumptions!$G$53)+Assumptions!$F$53+$C$13454,Assumptions!$E$53))</f>
        <v>0.086</v>
      </c>
    </row>
    <row r="13467" customFormat="false" ht="15" hidden="false" customHeight="false" outlineLevel="0" collapsed="false">
      <c r="A13467" s="5" t="s">
        <v>267</v>
      </c>
      <c r="G13467" s="25" t="n">
        <f aca="false">G13463*G13466</f>
        <v>16.38</v>
      </c>
      <c r="H13467" s="25" t="n">
        <f aca="false">H13463*H13466</f>
        <v>18.5227668</v>
      </c>
      <c r="I13467" s="25" t="n">
        <f aca="false">I13463*I13466</f>
        <v>17.9995248</v>
      </c>
      <c r="J13467" s="25" t="n">
        <f aca="false">J13463*J13466</f>
        <v>17.9995248</v>
      </c>
      <c r="K13467" s="25" t="n">
        <f aca="false">K13463*K13466</f>
        <v>17.9995248</v>
      </c>
    </row>
    <row r="13468" customFormat="false" ht="15" hidden="false" customHeight="false" outlineLevel="0" collapsed="false">
      <c r="A13468" s="5" t="s">
        <v>268</v>
      </c>
      <c r="G13468" s="25" t="n">
        <f aca="false">G13463*Assumptions!$H$53</f>
        <v>0</v>
      </c>
      <c r="H13468" s="25" t="n">
        <f aca="false">H13463*Assumptions!$H$53</f>
        <v>0</v>
      </c>
      <c r="I13468" s="25" t="n">
        <f aca="false">I13463*Assumptions!$H$53</f>
        <v>0</v>
      </c>
      <c r="J13468" s="25" t="n">
        <f aca="false">J13463*Assumptions!$H$53</f>
        <v>0</v>
      </c>
      <c r="K13468" s="25" t="n">
        <f aca="false">K13463*Assumptions!$H$53</f>
        <v>0</v>
      </c>
    </row>
    <row r="13469" customFormat="false" ht="15" hidden="false" customHeight="false" outlineLevel="0" collapsed="false">
      <c r="A13469" s="5" t="s">
        <v>269</v>
      </c>
      <c r="G13469" s="25" t="n">
        <f aca="false">MIN(G13463,Assumptions!$L$53*Assumptions!$C$53)</f>
        <v>0</v>
      </c>
      <c r="H13469" s="25" t="n">
        <f aca="false">MIN(H13463,Assumptions!$L$53*Assumptions!$C$53)</f>
        <v>0</v>
      </c>
      <c r="I13469" s="25" t="n">
        <f aca="false">MIN(I13463,Assumptions!$L$53*Assumptions!$C$53)</f>
        <v>0</v>
      </c>
      <c r="J13469" s="25" t="n">
        <f aca="false">MIN(J13463,Assumptions!$L$53*Assumptions!$C$53)</f>
        <v>0</v>
      </c>
      <c r="K13469" s="25" t="n">
        <f aca="false">MIN(K13463,Assumptions!$L$53*Assumptions!$C$53)</f>
        <v>0</v>
      </c>
    </row>
    <row r="13470" customFormat="false" ht="15" hidden="false" customHeight="false" outlineLevel="0" collapsed="false">
      <c r="A13470" s="5" t="s">
        <v>270</v>
      </c>
      <c r="G13470" s="25" t="n">
        <f aca="false">IF(AND(Assumptions!$P$53=1,G13427&lt;Assumptions!$K$53),MIN(MAX(0,-G13541),MAX(0,Assumptions!$D$53-G13463)),0)</f>
        <v>29.2968</v>
      </c>
      <c r="H13470" s="25" t="n">
        <f aca="false">IF(AND(Assumptions!$P$53=1,OR(H13427&lt;Assumptions!$K$53,G13615=1)),MIN(MAX(0,-H13541),MAX(0,Assumptions!$D$53-H13463)),0)</f>
        <v>0</v>
      </c>
      <c r="I13470" s="25" t="n">
        <f aca="false">IF(AND(Assumptions!$P$53=1,OR(I13427&lt;Assumptions!$K$53,H13615=1)),MIN(MAX(0,-I13541),MAX(0,Assumptions!$D$53-I13463)),0)</f>
        <v>0</v>
      </c>
      <c r="J13470" s="25" t="n">
        <f aca="false">IF(AND(Assumptions!$P$53=1,OR(J13427&lt;Assumptions!$K$53,I13615=1)),MIN(MAX(0,-J13541),MAX(0,Assumptions!$D$53-J13463)),0)</f>
        <v>0</v>
      </c>
      <c r="K13470" s="25" t="n">
        <f aca="false">IF(AND(Assumptions!$P$53=1,OR(K13427&lt;Assumptions!$K$53,J13615=1)),MIN(MAX(0,-K13541),MAX(0,Assumptions!$D$53-K13463)),0)</f>
        <v>0</v>
      </c>
    </row>
    <row r="13471" customFormat="false" ht="15" hidden="false" customHeight="false" outlineLevel="0" collapsed="false">
      <c r="A13471" s="5" t="s">
        <v>271</v>
      </c>
      <c r="G13471" s="25" t="n">
        <f aca="false">G13464*MIN(G13463-G13469+G13468,MAX(0,G13543-Assumptions!$C$12*G13461))</f>
        <v>0</v>
      </c>
      <c r="H13471" s="25" t="n">
        <f aca="false">H13464*MIN(H13463-H13469+H13468,MAX(0,H13543-Assumptions!$C$12*H13461))</f>
        <v>0</v>
      </c>
      <c r="I13471" s="25" t="n">
        <f aca="false">I13464*MIN(I13463-I13469+I13468,MAX(0,I13543-Assumptions!$C$12*I13461))</f>
        <v>0</v>
      </c>
      <c r="J13471" s="25" t="n">
        <f aca="false">J13464*MIN(J13463-J13469+J13468,MAX(0,J13543-Assumptions!$C$12*J13461))</f>
        <v>0</v>
      </c>
      <c r="K13471" s="25" t="n">
        <f aca="false">K13464*MIN(K13463-K13469+K13468,MAX(0,K13543-Assumptions!$C$12*K13461))</f>
        <v>0</v>
      </c>
    </row>
    <row r="13472" customFormat="false" ht="15" hidden="false" customHeight="false" outlineLevel="0" collapsed="false">
      <c r="A13472" s="5" t="s">
        <v>272</v>
      </c>
      <c r="G13472" s="25" t="n">
        <f aca="false">Assumptions!$N$53*MIN(G13463+G13470+G13468-G13469-G13471,MAX(0,G13547))</f>
        <v>0</v>
      </c>
      <c r="H13472" s="25" t="n">
        <f aca="false">Assumptions!$N$53*MIN(H13463+H13470+H13468-H13469-H13471,MAX(0,H13547))</f>
        <v>0</v>
      </c>
      <c r="I13472" s="25" t="n">
        <f aca="false">Assumptions!$N$53*MIN(I13463+I13470+I13468-I13469-I13471,MAX(0,I13547))</f>
        <v>0</v>
      </c>
      <c r="J13472" s="25" t="n">
        <f aca="false">Assumptions!$N$53*MIN(J13463+J13470+J13468-J13469-J13471,MAX(0,J13547))</f>
        <v>0</v>
      </c>
      <c r="K13472" s="25" t="n">
        <f aca="false">Assumptions!$N$53*MIN(K13463+K13470+K13468-K13469-K13471,MAX(0,K13547))</f>
        <v>0</v>
      </c>
    </row>
    <row r="13473" customFormat="false" ht="15" hidden="false" customHeight="false" outlineLevel="0" collapsed="false">
      <c r="A13473" s="5" t="s">
        <v>273</v>
      </c>
      <c r="G13473" s="25" t="n">
        <f aca="false">G13464*(1-G13461)*(G13463-G13469+G13468-G13471)</f>
        <v>0</v>
      </c>
      <c r="H13473" s="25" t="n">
        <f aca="false">H13464*(1-H13461)*(H13463-H13469+H13468-H13471)</f>
        <v>209.2968</v>
      </c>
      <c r="I13473" s="25" t="n">
        <f aca="false">I13464*(1-I13461)*(I13463-I13469+I13468-I13471)</f>
        <v>0</v>
      </c>
      <c r="J13473" s="25" t="n">
        <f aca="false">J13464*(1-J13461)*(J13463-J13469+J13468-J13471)</f>
        <v>0</v>
      </c>
      <c r="K13473" s="25" t="n">
        <f aca="false">K13464*(1-K13461)*(K13463-K13469+K13468-K13471)</f>
        <v>0</v>
      </c>
    </row>
    <row r="13474" customFormat="false" ht="15" hidden="false" customHeight="false" outlineLevel="0" collapsed="false">
      <c r="A13474" s="2" t="s">
        <v>274</v>
      </c>
      <c r="F13474" s="27" t="n">
        <f aca="false">Assumptions!$C$53</f>
        <v>180</v>
      </c>
      <c r="G13474" s="16" t="n">
        <f aca="false">G13463+G13470+G13468-G13469-G13471-G13472</f>
        <v>209.2968</v>
      </c>
      <c r="H13474" s="16" t="n">
        <f aca="false">H13463+H13470+H13468-H13469-H13471-H13472</f>
        <v>209.2968</v>
      </c>
      <c r="I13474" s="16" t="n">
        <f aca="false">I13463+I13470+I13468-I13469-I13471-I13472</f>
        <v>209.2968</v>
      </c>
      <c r="J13474" s="16" t="n">
        <f aca="false">J13463+J13470+J13468-J13469-J13471-J13472</f>
        <v>209.2968</v>
      </c>
      <c r="K13474" s="16" t="n">
        <f aca="false">K13463+K13470+K13468-K13469-K13471-K13472</f>
        <v>209.2968</v>
      </c>
    </row>
    <row r="13475" customFormat="false" ht="15" hidden="false" customHeight="false" outlineLevel="0" collapsed="false">
      <c r="A13475" s="23" t="s">
        <v>275</v>
      </c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</row>
    <row r="13476" customFormat="false" ht="15" hidden="false" customHeight="false" outlineLevel="0" collapsed="false">
      <c r="A13476" s="5" t="s">
        <v>264</v>
      </c>
      <c r="G13476" s="25" t="n">
        <f aca="false">F13487</f>
        <v>520</v>
      </c>
      <c r="H13476" s="25" t="n">
        <f aca="false">G13487</f>
        <v>514.8</v>
      </c>
      <c r="I13476" s="25" t="n">
        <f aca="false">H13487</f>
        <v>509.6</v>
      </c>
      <c r="J13476" s="25" t="n">
        <f aca="false">I13487</f>
        <v>504.4</v>
      </c>
      <c r="K13476" s="25" t="n">
        <f aca="false">J13487</f>
        <v>499.2</v>
      </c>
    </row>
    <row r="13477" customFormat="false" ht="15" hidden="false" customHeight="false" outlineLevel="0" collapsed="false">
      <c r="A13477" s="5" t="s">
        <v>265</v>
      </c>
      <c r="G13477" s="20" t="n">
        <f aca="false">IF(G13427=Assumptions!$K$54,1,0)</f>
        <v>0</v>
      </c>
      <c r="H13477" s="20" t="n">
        <f aca="false">IF(H13427=Assumptions!$K$54,1,0)</f>
        <v>0</v>
      </c>
      <c r="I13477" s="20" t="n">
        <f aca="false">IF(I13427=Assumptions!$K$54,1,0)</f>
        <v>1</v>
      </c>
      <c r="J13477" s="20" t="n">
        <f aca="false">IF(J13427=Assumptions!$K$54,1,0)</f>
        <v>0</v>
      </c>
      <c r="K13477" s="20" t="n">
        <f aca="false">IF(K13427=Assumptions!$K$54,1,0)</f>
        <v>0</v>
      </c>
    </row>
    <row r="13479" customFormat="false" ht="15" hidden="false" customHeight="false" outlineLevel="0" collapsed="false">
      <c r="A13479" s="5" t="s">
        <v>266</v>
      </c>
      <c r="G13479" s="30" t="n">
        <f aca="false">IF(Assumptions!$I$54=1,MAX(G13453,Assumptions!$G$54)+Assumptions!$F$54+$C$13454,Assumptions!$E$54)</f>
        <v>0.108</v>
      </c>
      <c r="H13479" s="30" t="n">
        <f aca="false">IF(G13616=1,$C$13455,IF(Assumptions!$I$54=1,MAX(H13453,Assumptions!$G$54)+Assumptions!$F$54+$C$13454,Assumptions!$E$54))</f>
        <v>0.1055</v>
      </c>
      <c r="I13479" s="30" t="n">
        <f aca="false">IF(H13616=1,$C$13455,IF(Assumptions!$I$54=1,MAX(I13453,Assumptions!$G$54)+Assumptions!$F$54+$C$13454,Assumptions!$E$54))</f>
        <v>0.103</v>
      </c>
      <c r="J13479" s="30" t="n">
        <f aca="false">IF(I13616=1,$C$13455,IF(Assumptions!$I$54=1,MAX(J13453,Assumptions!$G$54)+Assumptions!$F$54+$C$13454,Assumptions!$E$54))</f>
        <v>0.103</v>
      </c>
      <c r="K13479" s="30" t="n">
        <f aca="false">IF(J13616=1,$C$13455,IF(Assumptions!$I$54=1,MAX(K13453,Assumptions!$G$54)+Assumptions!$F$54+$C$13454,Assumptions!$E$54))</f>
        <v>0.103</v>
      </c>
    </row>
    <row r="13480" customFormat="false" ht="15" hidden="false" customHeight="false" outlineLevel="0" collapsed="false">
      <c r="A13480" s="5" t="s">
        <v>267</v>
      </c>
      <c r="G13480" s="25" t="n">
        <f aca="false">G13476*G13479</f>
        <v>56.16</v>
      </c>
      <c r="H13480" s="25" t="n">
        <f aca="false">H13476*H13479</f>
        <v>54.3114</v>
      </c>
      <c r="I13480" s="25" t="n">
        <f aca="false">I13476*I13479</f>
        <v>52.4888</v>
      </c>
      <c r="J13480" s="25" t="n">
        <f aca="false">J13476*J13479</f>
        <v>51.9532</v>
      </c>
      <c r="K13480" s="25" t="n">
        <f aca="false">K13476*K13479</f>
        <v>51.4176</v>
      </c>
    </row>
    <row r="13481" customFormat="false" ht="15" hidden="false" customHeight="false" outlineLevel="0" collapsed="false">
      <c r="A13481" s="5" t="s">
        <v>268</v>
      </c>
      <c r="G13481" s="25" t="n">
        <f aca="false">G13476*Assumptions!$H$54</f>
        <v>0</v>
      </c>
      <c r="H13481" s="25" t="n">
        <f aca="false">H13476*Assumptions!$H$54</f>
        <v>0</v>
      </c>
      <c r="I13481" s="25" t="n">
        <f aca="false">I13476*Assumptions!$H$54</f>
        <v>0</v>
      </c>
      <c r="J13481" s="25" t="n">
        <f aca="false">J13476*Assumptions!$H$54</f>
        <v>0</v>
      </c>
      <c r="K13481" s="25" t="n">
        <f aca="false">K13476*Assumptions!$H$54</f>
        <v>0</v>
      </c>
    </row>
    <row r="13482" customFormat="false" ht="15" hidden="false" customHeight="false" outlineLevel="0" collapsed="false">
      <c r="A13482" s="5" t="s">
        <v>269</v>
      </c>
      <c r="G13482" s="25" t="n">
        <f aca="false">MIN(G13476,Assumptions!$L$54*Assumptions!$C$54)</f>
        <v>5.2</v>
      </c>
      <c r="H13482" s="25" t="n">
        <f aca="false">MIN(H13476,Assumptions!$L$54*Assumptions!$C$54)</f>
        <v>5.2</v>
      </c>
      <c r="I13482" s="25" t="n">
        <f aca="false">MIN(I13476,Assumptions!$L$54*Assumptions!$C$54)</f>
        <v>5.2</v>
      </c>
      <c r="J13482" s="25" t="n">
        <f aca="false">MIN(J13476,Assumptions!$L$54*Assumptions!$C$54)</f>
        <v>5.2</v>
      </c>
      <c r="K13482" s="25" t="n">
        <f aca="false">MIN(K13476,Assumptions!$L$54*Assumptions!$C$54)</f>
        <v>5.2</v>
      </c>
    </row>
    <row r="13483" customFormat="false" ht="15" hidden="false" customHeight="false" outlineLevel="0" collapsed="false">
      <c r="A13483" s="5" t="s">
        <v>270</v>
      </c>
      <c r="G13483" s="25" t="n">
        <f aca="false">IF(AND(Assumptions!$P$54=1,G13427&lt;Assumptions!$K$54),MIN(MAX(0,-G13541),MAX(0,Assumptions!$D$54-G13476)),0)</f>
        <v>0</v>
      </c>
      <c r="H13483" s="25" t="n">
        <f aca="false">IF(AND(Assumptions!$P$54=1,OR(H13427&lt;Assumptions!$K$54,G13616=1)),MIN(MAX(0,-H13541),MAX(0,Assumptions!$D$54-H13476)),0)</f>
        <v>0</v>
      </c>
      <c r="I13483" s="25" t="n">
        <f aca="false">IF(AND(Assumptions!$P$54=1,OR(I13427&lt;Assumptions!$K$54,H13616=1)),MIN(MAX(0,-I13541),MAX(0,Assumptions!$D$54-I13476)),0)</f>
        <v>0</v>
      </c>
      <c r="J13483" s="25" t="n">
        <f aca="false">IF(AND(Assumptions!$P$54=1,OR(J13427&lt;Assumptions!$K$54,I13616=1)),MIN(MAX(0,-J13541),MAX(0,Assumptions!$D$54-J13476)),0)</f>
        <v>0</v>
      </c>
      <c r="K13483" s="25" t="n">
        <f aca="false">IF(AND(Assumptions!$P$54=1,OR(K13427&lt;Assumptions!$K$54,J13616=1)),MIN(MAX(0,-K13541),MAX(0,Assumptions!$D$54-K13476)),0)</f>
        <v>0</v>
      </c>
    </row>
    <row r="13484" customFormat="false" ht="15" hidden="false" customHeight="false" outlineLevel="0" collapsed="false">
      <c r="A13484" s="5" t="s">
        <v>271</v>
      </c>
      <c r="G13484" s="25" t="n">
        <f aca="false">G13477*MIN(G13476-G13482+G13481,MAX(0,G13543-Assumptions!$C$12*G13461-G13471))</f>
        <v>0</v>
      </c>
      <c r="H13484" s="25" t="n">
        <f aca="false">H13477*MIN(H13476-H13482+H13481,MAX(0,H13543-Assumptions!$C$12*H13461-H13471))</f>
        <v>0</v>
      </c>
      <c r="I13484" s="25" t="n">
        <f aca="false">I13477*MIN(I13476-I13482+I13481,MAX(0,I13543-Assumptions!$C$12*I13461-I13471))</f>
        <v>0</v>
      </c>
      <c r="J13484" s="25" t="n">
        <f aca="false">J13477*MIN(J13476-J13482+J13481,MAX(0,J13543-Assumptions!$C$12*J13461-J13471))</f>
        <v>0</v>
      </c>
      <c r="K13484" s="25" t="n">
        <f aca="false">K13477*MIN(K13476-K13482+K13481,MAX(0,K13543-Assumptions!$C$12*K13461-K13471))</f>
        <v>0</v>
      </c>
    </row>
    <row r="13485" customFormat="false" ht="15" hidden="false" customHeight="false" outlineLevel="0" collapsed="false">
      <c r="A13485" s="5" t="s">
        <v>272</v>
      </c>
      <c r="G13485" s="25" t="n">
        <f aca="false">Assumptions!$N$54*MIN(G13476+G13483+G13481-G13482-G13484,MAX(0,G13547-G13472))</f>
        <v>0</v>
      </c>
      <c r="H13485" s="25" t="n">
        <f aca="false">Assumptions!$N$54*MIN(H13476+H13483+H13481-H13482-H13484,MAX(0,H13547-H13472))</f>
        <v>0</v>
      </c>
      <c r="I13485" s="25" t="n">
        <f aca="false">Assumptions!$N$54*MIN(I13476+I13483+I13481-I13482-I13484,MAX(0,I13547-I13472))</f>
        <v>0</v>
      </c>
      <c r="J13485" s="25" t="n">
        <f aca="false">Assumptions!$N$54*MIN(J13476+J13483+J13481-J13482-J13484,MAX(0,J13547-J13472))</f>
        <v>0</v>
      </c>
      <c r="K13485" s="25" t="n">
        <f aca="false">Assumptions!$N$54*MIN(K13476+K13483+K13481-K13482-K13484,MAX(0,K13547-K13472))</f>
        <v>0</v>
      </c>
    </row>
    <row r="13486" customFormat="false" ht="15" hidden="false" customHeight="false" outlineLevel="0" collapsed="false">
      <c r="A13486" s="5" t="s">
        <v>273</v>
      </c>
      <c r="G13486" s="25" t="n">
        <f aca="false">G13477*(1-G13461)*(G13476-G13482+G13481-G13484)</f>
        <v>0</v>
      </c>
      <c r="H13486" s="25" t="n">
        <f aca="false">H13477*(1-H13461)*(H13476-H13482+H13481-H13484)</f>
        <v>0</v>
      </c>
      <c r="I13486" s="25" t="n">
        <f aca="false">I13477*(1-I13461)*(I13476-I13482+I13481-I13484)</f>
        <v>504.4</v>
      </c>
      <c r="J13486" s="25" t="n">
        <f aca="false">J13477*(1-J13461)*(J13476-J13482+J13481-J13484)</f>
        <v>0</v>
      </c>
      <c r="K13486" s="25" t="n">
        <f aca="false">K13477*(1-K13461)*(K13476-K13482+K13481-K13484)</f>
        <v>0</v>
      </c>
    </row>
    <row r="13487" customFormat="false" ht="15" hidden="false" customHeight="false" outlineLevel="0" collapsed="false">
      <c r="A13487" s="2" t="s">
        <v>274</v>
      </c>
      <c r="F13487" s="27" t="n">
        <f aca="false">Assumptions!$C$54</f>
        <v>520</v>
      </c>
      <c r="G13487" s="16" t="n">
        <f aca="false">G13476+G13483+G13481-G13482-G13484-G13485</f>
        <v>514.8</v>
      </c>
      <c r="H13487" s="16" t="n">
        <f aca="false">H13476+H13483+H13481-H13482-H13484-H13485</f>
        <v>509.6</v>
      </c>
      <c r="I13487" s="16" t="n">
        <f aca="false">I13476+I13483+I13481-I13482-I13484-I13485</f>
        <v>504.4</v>
      </c>
      <c r="J13487" s="16" t="n">
        <f aca="false">J13476+J13483+J13481-J13482-J13484-J13485</f>
        <v>499.2</v>
      </c>
      <c r="K13487" s="16" t="n">
        <f aca="false">K13476+K13483+K13481-K13482-K13484-K13485</f>
        <v>494</v>
      </c>
    </row>
    <row r="13488" customFormat="false" ht="15" hidden="false" customHeight="false" outlineLevel="0" collapsed="false">
      <c r="A13488" s="23" t="s">
        <v>276</v>
      </c>
      <c r="B13488" s="24"/>
      <c r="C13488" s="24"/>
      <c r="D13488" s="24"/>
      <c r="E13488" s="24"/>
      <c r="F13488" s="24"/>
      <c r="G13488" s="24"/>
      <c r="H13488" s="24"/>
      <c r="I13488" s="24"/>
      <c r="J13488" s="24"/>
      <c r="K13488" s="24"/>
    </row>
    <row r="13489" customFormat="false" ht="15" hidden="false" customHeight="false" outlineLevel="0" collapsed="false">
      <c r="A13489" s="5" t="s">
        <v>264</v>
      </c>
      <c r="G13489" s="25" t="n">
        <f aca="false">F13500</f>
        <v>250</v>
      </c>
      <c r="H13489" s="25" t="n">
        <f aca="false">G13500</f>
        <v>250</v>
      </c>
      <c r="I13489" s="25" t="n">
        <f aca="false">H13500</f>
        <v>250</v>
      </c>
      <c r="J13489" s="25" t="n">
        <f aca="false">I13500</f>
        <v>250</v>
      </c>
      <c r="K13489" s="25" t="n">
        <f aca="false">J13500</f>
        <v>250</v>
      </c>
    </row>
    <row r="13490" customFormat="false" ht="15" hidden="false" customHeight="false" outlineLevel="0" collapsed="false">
      <c r="A13490" s="5" t="s">
        <v>265</v>
      </c>
      <c r="G13490" s="20" t="n">
        <f aca="false">IF(G13427=Assumptions!$K$55,1,0)</f>
        <v>0</v>
      </c>
      <c r="H13490" s="20" t="n">
        <f aca="false">IF(H13427=Assumptions!$K$55,1,0)</f>
        <v>0</v>
      </c>
      <c r="I13490" s="20" t="n">
        <f aca="false">IF(I13427=Assumptions!$K$55,1,0)</f>
        <v>0</v>
      </c>
      <c r="J13490" s="20" t="n">
        <f aca="false">IF(J13427=Assumptions!$K$55,1,0)</f>
        <v>1</v>
      </c>
      <c r="K13490" s="20" t="n">
        <f aca="false">IF(K13427=Assumptions!$K$55,1,0)</f>
        <v>0</v>
      </c>
    </row>
    <row r="13492" customFormat="false" ht="15" hidden="false" customHeight="false" outlineLevel="0" collapsed="false">
      <c r="A13492" s="5" t="s">
        <v>266</v>
      </c>
      <c r="G13492" s="30" t="n">
        <f aca="false">IF(Assumptions!$I$55=1,MAX(G13453,Assumptions!$G$55)+Assumptions!$F$55+$C$13454,Assumptions!$E$55)</f>
        <v>0.11</v>
      </c>
      <c r="H13492" s="30" t="n">
        <f aca="false">IF(G13617=1,$C$13455,IF(Assumptions!$I$55=1,MAX(H13453,Assumptions!$G$55)+Assumptions!$F$55+$C$13454,Assumptions!$E$55))</f>
        <v>0.11</v>
      </c>
      <c r="I13492" s="30" t="n">
        <f aca="false">IF(H13617=1,$C$13455,IF(Assumptions!$I$55=1,MAX(I13453,Assumptions!$G$55)+Assumptions!$F$55+$C$13454,Assumptions!$E$55))</f>
        <v>0.11</v>
      </c>
      <c r="J13492" s="30" t="n">
        <f aca="false">IF(I13617=1,$C$13455,IF(Assumptions!$I$55=1,MAX(J13453,Assumptions!$G$55)+Assumptions!$F$55+$C$13454,Assumptions!$E$55))</f>
        <v>0.11</v>
      </c>
      <c r="K13492" s="30" t="n">
        <f aca="false">IF(J13617=1,$C$13455,IF(Assumptions!$I$55=1,MAX(K13453,Assumptions!$G$55)+Assumptions!$F$55+$C$13454,Assumptions!$E$55))</f>
        <v>0.11</v>
      </c>
    </row>
    <row r="13493" customFormat="false" ht="15" hidden="false" customHeight="false" outlineLevel="0" collapsed="false">
      <c r="A13493" s="5" t="s">
        <v>267</v>
      </c>
      <c r="G13493" s="25" t="n">
        <f aca="false">G13489*G13492</f>
        <v>27.5</v>
      </c>
      <c r="H13493" s="25" t="n">
        <f aca="false">H13489*H13492</f>
        <v>27.5</v>
      </c>
      <c r="I13493" s="25" t="n">
        <f aca="false">I13489*I13492</f>
        <v>27.5</v>
      </c>
      <c r="J13493" s="25" t="n">
        <f aca="false">J13489*J13492</f>
        <v>27.5</v>
      </c>
      <c r="K13493" s="25" t="n">
        <f aca="false">K13489*K13492</f>
        <v>27.5</v>
      </c>
    </row>
    <row r="13494" customFormat="false" ht="15" hidden="false" customHeight="false" outlineLevel="0" collapsed="false">
      <c r="A13494" s="5" t="s">
        <v>268</v>
      </c>
      <c r="G13494" s="25" t="n">
        <f aca="false">G13489*Assumptions!$H$55</f>
        <v>0</v>
      </c>
      <c r="H13494" s="25" t="n">
        <f aca="false">H13489*Assumptions!$H$55</f>
        <v>0</v>
      </c>
      <c r="I13494" s="25" t="n">
        <f aca="false">I13489*Assumptions!$H$55</f>
        <v>0</v>
      </c>
      <c r="J13494" s="25" t="n">
        <f aca="false">J13489*Assumptions!$H$55</f>
        <v>0</v>
      </c>
      <c r="K13494" s="25" t="n">
        <f aca="false">K13489*Assumptions!$H$55</f>
        <v>0</v>
      </c>
    </row>
    <row r="13495" customFormat="false" ht="15" hidden="false" customHeight="false" outlineLevel="0" collapsed="false">
      <c r="A13495" s="5" t="s">
        <v>269</v>
      </c>
      <c r="G13495" s="25" t="n">
        <f aca="false">MIN(G13489,Assumptions!$L$55*Assumptions!$C$55)</f>
        <v>0</v>
      </c>
      <c r="H13495" s="25" t="n">
        <f aca="false">MIN(H13489,Assumptions!$L$55*Assumptions!$C$55)</f>
        <v>0</v>
      </c>
      <c r="I13495" s="25" t="n">
        <f aca="false">MIN(I13489,Assumptions!$L$55*Assumptions!$C$55)</f>
        <v>0</v>
      </c>
      <c r="J13495" s="25" t="n">
        <f aca="false">MIN(J13489,Assumptions!$L$55*Assumptions!$C$55)</f>
        <v>0</v>
      </c>
      <c r="K13495" s="25" t="n">
        <f aca="false">MIN(K13489,Assumptions!$L$55*Assumptions!$C$55)</f>
        <v>0</v>
      </c>
    </row>
    <row r="13496" customFormat="false" ht="15" hidden="false" customHeight="false" outlineLevel="0" collapsed="false">
      <c r="A13496" s="5" t="s">
        <v>270</v>
      </c>
      <c r="G13496" s="25" t="n">
        <f aca="false">IF(AND(Assumptions!$P$55=1,G13427&lt;Assumptions!$K$55),MIN(MAX(0,-G13541),MAX(0,Assumptions!$D$55-G13489)),0)</f>
        <v>0</v>
      </c>
      <c r="H13496" s="25" t="n">
        <f aca="false">IF(AND(Assumptions!$P$55=1,OR(H13427&lt;Assumptions!$K$55,G13617=1)),MIN(MAX(0,-H13541),MAX(0,Assumptions!$D$55-H13489)),0)</f>
        <v>0</v>
      </c>
      <c r="I13496" s="25" t="n">
        <f aca="false">IF(AND(Assumptions!$P$55=1,OR(I13427&lt;Assumptions!$K$55,H13617=1)),MIN(MAX(0,-I13541),MAX(0,Assumptions!$D$55-I13489)),0)</f>
        <v>0</v>
      </c>
      <c r="J13496" s="25" t="n">
        <f aca="false">IF(AND(Assumptions!$P$55=1,OR(J13427&lt;Assumptions!$K$55,I13617=1)),MIN(MAX(0,-J13541),MAX(0,Assumptions!$D$55-J13489)),0)</f>
        <v>0</v>
      </c>
      <c r="K13496" s="25" t="n">
        <f aca="false">IF(AND(Assumptions!$P$55=1,OR(K13427&lt;Assumptions!$K$55,J13617=1)),MIN(MAX(0,-K13541),MAX(0,Assumptions!$D$55-K13489)),0)</f>
        <v>0</v>
      </c>
    </row>
    <row r="13497" customFormat="false" ht="15" hidden="false" customHeight="false" outlineLevel="0" collapsed="false">
      <c r="A13497" s="5" t="s">
        <v>271</v>
      </c>
      <c r="G13497" s="25" t="n">
        <f aca="false">G13490*MIN(G13489-G13495+G13494,MAX(0,G13543-Assumptions!$C$12*G13461-G13471-G13484))</f>
        <v>0</v>
      </c>
      <c r="H13497" s="25" t="n">
        <f aca="false">H13490*MIN(H13489-H13495+H13494,MAX(0,H13543-Assumptions!$C$12*H13461-H13471-H13484))</f>
        <v>0</v>
      </c>
      <c r="I13497" s="25" t="n">
        <f aca="false">I13490*MIN(I13489-I13495+I13494,MAX(0,I13543-Assumptions!$C$12*I13461-I13471-I13484))</f>
        <v>0</v>
      </c>
      <c r="J13497" s="25" t="n">
        <f aca="false">J13490*MIN(J13489-J13495+J13494,MAX(0,J13543-Assumptions!$C$12*J13461-J13471-J13484))</f>
        <v>0</v>
      </c>
      <c r="K13497" s="25" t="n">
        <f aca="false">K13490*MIN(K13489-K13495+K13494,MAX(0,K13543-Assumptions!$C$12*K13461-K13471-K13484))</f>
        <v>0</v>
      </c>
    </row>
    <row r="13498" customFormat="false" ht="15" hidden="false" customHeight="false" outlineLevel="0" collapsed="false">
      <c r="A13498" s="5" t="s">
        <v>272</v>
      </c>
      <c r="G13498" s="25" t="n">
        <f aca="false">Assumptions!$N$55*MIN(G13489+G13496+G13494-G13495-G13497,MAX(0,G13547-G13472-G13485))</f>
        <v>0</v>
      </c>
      <c r="H13498" s="25" t="n">
        <f aca="false">Assumptions!$N$55*MIN(H13489+H13496+H13494-H13495-H13497,MAX(0,H13547-H13472-H13485))</f>
        <v>0</v>
      </c>
      <c r="I13498" s="25" t="n">
        <f aca="false">Assumptions!$N$55*MIN(I13489+I13496+I13494-I13495-I13497,MAX(0,I13547-I13472-I13485))</f>
        <v>0</v>
      </c>
      <c r="J13498" s="25" t="n">
        <f aca="false">Assumptions!$N$55*MIN(J13489+J13496+J13494-J13495-J13497,MAX(0,J13547-J13472-J13485))</f>
        <v>0</v>
      </c>
      <c r="K13498" s="25" t="n">
        <f aca="false">Assumptions!$N$55*MIN(K13489+K13496+K13494-K13495-K13497,MAX(0,K13547-K13472-K13485))</f>
        <v>0</v>
      </c>
    </row>
    <row r="13499" customFormat="false" ht="15" hidden="false" customHeight="false" outlineLevel="0" collapsed="false">
      <c r="A13499" s="5" t="s">
        <v>273</v>
      </c>
      <c r="G13499" s="25" t="n">
        <f aca="false">G13490*(1-G13461)*(G13489-G13495+G13494-G13497)</f>
        <v>0</v>
      </c>
      <c r="H13499" s="25" t="n">
        <f aca="false">H13490*(1-H13461)*(H13489-H13495+H13494-H13497)</f>
        <v>0</v>
      </c>
      <c r="I13499" s="25" t="n">
        <f aca="false">I13490*(1-I13461)*(I13489-I13495+I13494-I13497)</f>
        <v>0</v>
      </c>
      <c r="J13499" s="25" t="n">
        <f aca="false">J13490*(1-J13461)*(J13489-J13495+J13494-J13497)</f>
        <v>250</v>
      </c>
      <c r="K13499" s="25" t="n">
        <f aca="false">K13490*(1-K13461)*(K13489-K13495+K13494-K13497)</f>
        <v>0</v>
      </c>
    </row>
    <row r="13500" customFormat="false" ht="15" hidden="false" customHeight="false" outlineLevel="0" collapsed="false">
      <c r="A13500" s="2" t="s">
        <v>274</v>
      </c>
      <c r="F13500" s="27" t="n">
        <f aca="false">Assumptions!$C$55</f>
        <v>250</v>
      </c>
      <c r="G13500" s="16" t="n">
        <f aca="false">G13489+G13496+G13494-G13495-G13497-G13498</f>
        <v>250</v>
      </c>
      <c r="H13500" s="16" t="n">
        <f aca="false">H13489+H13496+H13494-H13495-H13497-H13498</f>
        <v>250</v>
      </c>
      <c r="I13500" s="16" t="n">
        <f aca="false">I13489+I13496+I13494-I13495-I13497-I13498</f>
        <v>250</v>
      </c>
      <c r="J13500" s="16" t="n">
        <f aca="false">J13489+J13496+J13494-J13495-J13497-J13498</f>
        <v>250</v>
      </c>
      <c r="K13500" s="16" t="n">
        <f aca="false">K13489+K13496+K13494-K13495-K13497-K13498</f>
        <v>250</v>
      </c>
    </row>
    <row r="13501" customFormat="false" ht="15" hidden="false" customHeight="false" outlineLevel="0" collapsed="false">
      <c r="A13501" s="23" t="s">
        <v>277</v>
      </c>
      <c r="B13501" s="24"/>
      <c r="C13501" s="24"/>
      <c r="D13501" s="24"/>
      <c r="E13501" s="24"/>
      <c r="F13501" s="24"/>
      <c r="G13501" s="24"/>
      <c r="H13501" s="24"/>
      <c r="I13501" s="24"/>
      <c r="J13501" s="24"/>
      <c r="K13501" s="24"/>
    </row>
    <row r="13502" customFormat="false" ht="15" hidden="false" customHeight="false" outlineLevel="0" collapsed="false">
      <c r="A13502" s="5" t="s">
        <v>264</v>
      </c>
      <c r="G13502" s="25" t="n">
        <f aca="false">F13513</f>
        <v>300</v>
      </c>
      <c r="H13502" s="25" t="n">
        <f aca="false">G13513</f>
        <v>300</v>
      </c>
      <c r="I13502" s="25" t="n">
        <f aca="false">H13513</f>
        <v>300</v>
      </c>
      <c r="J13502" s="25" t="n">
        <f aca="false">I13513</f>
        <v>300</v>
      </c>
      <c r="K13502" s="25" t="n">
        <f aca="false">J13513</f>
        <v>300</v>
      </c>
    </row>
    <row r="13503" customFormat="false" ht="15" hidden="false" customHeight="false" outlineLevel="0" collapsed="false">
      <c r="A13503" s="5" t="s">
        <v>265</v>
      </c>
      <c r="G13503" s="20" t="n">
        <f aca="false">IF(G13427=Assumptions!$K$56,1,0)</f>
        <v>0</v>
      </c>
      <c r="H13503" s="20" t="n">
        <f aca="false">IF(H13427=Assumptions!$K$56,1,0)</f>
        <v>1</v>
      </c>
      <c r="I13503" s="20" t="n">
        <f aca="false">IF(I13427=Assumptions!$K$56,1,0)</f>
        <v>0</v>
      </c>
      <c r="J13503" s="20" t="n">
        <f aca="false">IF(J13427=Assumptions!$K$56,1,0)</f>
        <v>0</v>
      </c>
      <c r="K13503" s="20" t="n">
        <f aca="false">IF(K13427=Assumptions!$K$56,1,0)</f>
        <v>0</v>
      </c>
    </row>
    <row r="13505" customFormat="false" ht="15" hidden="false" customHeight="false" outlineLevel="0" collapsed="false">
      <c r="A13505" s="5" t="s">
        <v>266</v>
      </c>
      <c r="G13505" s="30" t="n">
        <f aca="false">IF(Assumptions!$I$56=1,MAX(G13453,Assumptions!$G$56)+Assumptions!$F$56+$C$13454,Assumptions!$E$56)</f>
        <v>0.075</v>
      </c>
      <c r="H13505" s="30" t="n">
        <f aca="false">IF(G13618=1,$C$13455,IF(Assumptions!$I$56=1,MAX(H13453,Assumptions!$G$56)+Assumptions!$F$56+$C$13454,Assumptions!$E$56))</f>
        <v>0.075</v>
      </c>
      <c r="I13505" s="30" t="n">
        <f aca="false">IF(H13618=1,$C$13455,IF(Assumptions!$I$56=1,MAX(I13453,Assumptions!$G$56)+Assumptions!$F$56+$C$13454,Assumptions!$E$56))</f>
        <v>0.075</v>
      </c>
      <c r="J13505" s="30" t="n">
        <f aca="false">IF(I13618=1,$C$13455,IF(Assumptions!$I$56=1,MAX(J13453,Assumptions!$G$56)+Assumptions!$F$56+$C$13454,Assumptions!$E$56))</f>
        <v>0.075</v>
      </c>
      <c r="K13505" s="30" t="n">
        <f aca="false">IF(J13618=1,$C$13455,IF(Assumptions!$I$56=1,MAX(K13453,Assumptions!$G$56)+Assumptions!$F$56+$C$13454,Assumptions!$E$56))</f>
        <v>0.075</v>
      </c>
    </row>
    <row r="13506" customFormat="false" ht="15" hidden="false" customHeight="false" outlineLevel="0" collapsed="false">
      <c r="A13506" s="5" t="s">
        <v>267</v>
      </c>
      <c r="G13506" s="25" t="n">
        <f aca="false">G13502*G13505</f>
        <v>22.5</v>
      </c>
      <c r="H13506" s="25" t="n">
        <f aca="false">H13502*H13505</f>
        <v>22.5</v>
      </c>
      <c r="I13506" s="25" t="n">
        <f aca="false">I13502*I13505</f>
        <v>22.5</v>
      </c>
      <c r="J13506" s="25" t="n">
        <f aca="false">J13502*J13505</f>
        <v>22.5</v>
      </c>
      <c r="K13506" s="25" t="n">
        <f aca="false">K13502*K13505</f>
        <v>22.5</v>
      </c>
    </row>
    <row r="13507" customFormat="false" ht="15" hidden="false" customHeight="false" outlineLevel="0" collapsed="false">
      <c r="A13507" s="5" t="s">
        <v>268</v>
      </c>
      <c r="G13507" s="25" t="n">
        <f aca="false">G13502*Assumptions!$H$56</f>
        <v>0</v>
      </c>
      <c r="H13507" s="25" t="n">
        <f aca="false">H13502*Assumptions!$H$56</f>
        <v>0</v>
      </c>
      <c r="I13507" s="25" t="n">
        <f aca="false">I13502*Assumptions!$H$56</f>
        <v>0</v>
      </c>
      <c r="J13507" s="25" t="n">
        <f aca="false">J13502*Assumptions!$H$56</f>
        <v>0</v>
      </c>
      <c r="K13507" s="25" t="n">
        <f aca="false">K13502*Assumptions!$H$56</f>
        <v>0</v>
      </c>
    </row>
    <row r="13508" customFormat="false" ht="15" hidden="false" customHeight="false" outlineLevel="0" collapsed="false">
      <c r="A13508" s="5" t="s">
        <v>269</v>
      </c>
      <c r="G13508" s="25" t="n">
        <f aca="false">MIN(G13502,Assumptions!$L$56*Assumptions!$C$56)</f>
        <v>0</v>
      </c>
      <c r="H13508" s="25" t="n">
        <f aca="false">MIN(H13502,Assumptions!$L$56*Assumptions!$C$56)</f>
        <v>0</v>
      </c>
      <c r="I13508" s="25" t="n">
        <f aca="false">MIN(I13502,Assumptions!$L$56*Assumptions!$C$56)</f>
        <v>0</v>
      </c>
      <c r="J13508" s="25" t="n">
        <f aca="false">MIN(J13502,Assumptions!$L$56*Assumptions!$C$56)</f>
        <v>0</v>
      </c>
      <c r="K13508" s="25" t="n">
        <f aca="false">MIN(K13502,Assumptions!$L$56*Assumptions!$C$56)</f>
        <v>0</v>
      </c>
    </row>
    <row r="13509" customFormat="false" ht="15" hidden="false" customHeight="false" outlineLevel="0" collapsed="false">
      <c r="A13509" s="5" t="s">
        <v>270</v>
      </c>
      <c r="G13509" s="25" t="n">
        <f aca="false">IF(AND(Assumptions!$P$56=1,G13427&lt;Assumptions!$K$56),MIN(MAX(0,-G13541),MAX(0,Assumptions!$D$56-G13502)),0)</f>
        <v>0</v>
      </c>
      <c r="H13509" s="25" t="n">
        <f aca="false">IF(AND(Assumptions!$P$56=1,OR(H13427&lt;Assumptions!$K$56,G13618=1)),MIN(MAX(0,-H13541),MAX(0,Assumptions!$D$56-H13502)),0)</f>
        <v>0</v>
      </c>
      <c r="I13509" s="25" t="n">
        <f aca="false">IF(AND(Assumptions!$P$56=1,OR(I13427&lt;Assumptions!$K$56,H13618=1)),MIN(MAX(0,-I13541),MAX(0,Assumptions!$D$56-I13502)),0)</f>
        <v>0</v>
      </c>
      <c r="J13509" s="25" t="n">
        <f aca="false">IF(AND(Assumptions!$P$56=1,OR(J13427&lt;Assumptions!$K$56,I13618=1)),MIN(MAX(0,-J13541),MAX(0,Assumptions!$D$56-J13502)),0)</f>
        <v>0</v>
      </c>
      <c r="K13509" s="25" t="n">
        <f aca="false">IF(AND(Assumptions!$P$56=1,OR(K13427&lt;Assumptions!$K$56,J13618=1)),MIN(MAX(0,-K13541),MAX(0,Assumptions!$D$56-K13502)),0)</f>
        <v>0</v>
      </c>
    </row>
    <row r="13510" customFormat="false" ht="15" hidden="false" customHeight="false" outlineLevel="0" collapsed="false">
      <c r="A13510" s="5" t="s">
        <v>271</v>
      </c>
      <c r="G13510" s="25" t="n">
        <f aca="false">G13503*MIN(G13502-G13508+G13507,MAX(0,G13543-Assumptions!$C$12*G13461-G13471-G13484-G13497))</f>
        <v>0</v>
      </c>
      <c r="H13510" s="25" t="n">
        <f aca="false">H13503*MIN(H13502-H13508+H13507,MAX(0,H13543-Assumptions!$C$12*H13461-H13471-H13484-H13497))</f>
        <v>0</v>
      </c>
      <c r="I13510" s="25" t="n">
        <f aca="false">I13503*MIN(I13502-I13508+I13507,MAX(0,I13543-Assumptions!$C$12*I13461-I13471-I13484-I13497))</f>
        <v>0</v>
      </c>
      <c r="J13510" s="25" t="n">
        <f aca="false">J13503*MIN(J13502-J13508+J13507,MAX(0,J13543-Assumptions!$C$12*J13461-J13471-J13484-J13497))</f>
        <v>0</v>
      </c>
      <c r="K13510" s="25" t="n">
        <f aca="false">K13503*MIN(K13502-K13508+K13507,MAX(0,K13543-Assumptions!$C$12*K13461-K13471-K13484-K13497))</f>
        <v>0</v>
      </c>
    </row>
    <row r="13511" customFormat="false" ht="15" hidden="false" customHeight="false" outlineLevel="0" collapsed="false">
      <c r="A13511" s="5" t="s">
        <v>272</v>
      </c>
      <c r="G13511" s="25" t="n">
        <f aca="false">Assumptions!$N$56*MIN(G13502+G13509+G13507-G13508-G13510,MAX(0,G13547-G13472-G13485-G13498))</f>
        <v>0</v>
      </c>
      <c r="H13511" s="25" t="n">
        <f aca="false">Assumptions!$N$56*MIN(H13502+H13509+H13507-H13508-H13510,MAX(0,H13547-H13472-H13485-H13498))</f>
        <v>0</v>
      </c>
      <c r="I13511" s="25" t="n">
        <f aca="false">Assumptions!$N$56*MIN(I13502+I13509+I13507-I13508-I13510,MAX(0,I13547-I13472-I13485-I13498))</f>
        <v>0</v>
      </c>
      <c r="J13511" s="25" t="n">
        <f aca="false">Assumptions!$N$56*MIN(J13502+J13509+J13507-J13508-J13510,MAX(0,J13547-J13472-J13485-J13498))</f>
        <v>0</v>
      </c>
      <c r="K13511" s="25" t="n">
        <f aca="false">Assumptions!$N$56*MIN(K13502+K13509+K13507-K13508-K13510,MAX(0,K13547-K13472-K13485-K13498))</f>
        <v>0</v>
      </c>
    </row>
    <row r="13512" customFormat="false" ht="15" hidden="false" customHeight="false" outlineLevel="0" collapsed="false">
      <c r="A13512" s="5" t="s">
        <v>273</v>
      </c>
      <c r="G13512" s="25" t="n">
        <f aca="false">G13503*(1-G13461)*(G13502-G13508+G13507-G13510)</f>
        <v>0</v>
      </c>
      <c r="H13512" s="25" t="n">
        <f aca="false">H13503*(1-H13461)*(H13502-H13508+H13507-H13510)</f>
        <v>300</v>
      </c>
      <c r="I13512" s="25" t="n">
        <f aca="false">I13503*(1-I13461)*(I13502-I13508+I13507-I13510)</f>
        <v>0</v>
      </c>
      <c r="J13512" s="25" t="n">
        <f aca="false">J13503*(1-J13461)*(J13502-J13508+J13507-J13510)</f>
        <v>0</v>
      </c>
      <c r="K13512" s="25" t="n">
        <f aca="false">K13503*(1-K13461)*(K13502-K13508+K13507-K13510)</f>
        <v>0</v>
      </c>
    </row>
    <row r="13513" customFormat="false" ht="15" hidden="false" customHeight="false" outlineLevel="0" collapsed="false">
      <c r="A13513" s="2" t="s">
        <v>274</v>
      </c>
      <c r="F13513" s="27" t="n">
        <f aca="false">Assumptions!$C$56</f>
        <v>300</v>
      </c>
      <c r="G13513" s="16" t="n">
        <f aca="false">G13502+G13509+G13507-G13508-G13510-G13511</f>
        <v>300</v>
      </c>
      <c r="H13513" s="16" t="n">
        <f aca="false">H13502+H13509+H13507-H13508-H13510-H13511</f>
        <v>300</v>
      </c>
      <c r="I13513" s="16" t="n">
        <f aca="false">I13502+I13509+I13507-I13508-I13510-I13511</f>
        <v>300</v>
      </c>
      <c r="J13513" s="16" t="n">
        <f aca="false">J13502+J13509+J13507-J13508-J13510-J13511</f>
        <v>300</v>
      </c>
      <c r="K13513" s="16" t="n">
        <f aca="false">K13502+K13509+K13507-K13508-K13510-K13511</f>
        <v>300</v>
      </c>
    </row>
    <row r="13514" customFormat="false" ht="15" hidden="false" customHeight="false" outlineLevel="0" collapsed="false">
      <c r="A13514" s="23" t="s">
        <v>278</v>
      </c>
      <c r="B13514" s="24"/>
      <c r="C13514" s="24"/>
      <c r="D13514" s="24"/>
      <c r="E13514" s="24"/>
      <c r="F13514" s="24"/>
      <c r="G13514" s="24"/>
      <c r="H13514" s="24"/>
      <c r="I13514" s="24"/>
      <c r="J13514" s="24"/>
      <c r="K13514" s="24"/>
    </row>
    <row r="13515" customFormat="false" ht="15" hidden="false" customHeight="false" outlineLevel="0" collapsed="false">
      <c r="A13515" s="2" t="s">
        <v>279</v>
      </c>
      <c r="F13515" s="16" t="n">
        <f aca="false">F13474+F13487+F13500+F13513</f>
        <v>1250</v>
      </c>
      <c r="G13515" s="16" t="n">
        <f aca="false">G13474+G13487+G13500+G13513</f>
        <v>1274.0968</v>
      </c>
      <c r="H13515" s="16" t="n">
        <f aca="false">H13474+H13487+H13500+H13513</f>
        <v>1268.8968</v>
      </c>
      <c r="I13515" s="16" t="n">
        <f aca="false">I13474+I13487+I13500+I13513</f>
        <v>1263.6968</v>
      </c>
      <c r="J13515" s="16" t="n">
        <f aca="false">J13474+J13487+J13500+J13513</f>
        <v>1258.4968</v>
      </c>
      <c r="K13515" s="16" t="n">
        <f aca="false">K13474+K13487+K13500+K13513</f>
        <v>1253.2968</v>
      </c>
    </row>
    <row r="13516" customFormat="false" ht="15" hidden="false" customHeight="false" outlineLevel="0" collapsed="false">
      <c r="A13516" s="5" t="s">
        <v>280</v>
      </c>
      <c r="G13516" s="25" t="n">
        <f aca="false">G13464*Assumptions!$C$53+G13477*Assumptions!$C$54+G13490*Assumptions!$C$55+G13503*Assumptions!$C$56</f>
        <v>0</v>
      </c>
      <c r="H13516" s="25" t="n">
        <f aca="false">H13464*Assumptions!$C$53+H13477*Assumptions!$C$54+H13490*Assumptions!$C$55+H13503*Assumptions!$C$56</f>
        <v>480</v>
      </c>
      <c r="I13516" s="25" t="n">
        <f aca="false">I13464*Assumptions!$C$53+I13477*Assumptions!$C$54+I13490*Assumptions!$C$55+I13503*Assumptions!$C$56</f>
        <v>520</v>
      </c>
      <c r="J13516" s="25" t="n">
        <f aca="false">J13464*Assumptions!$C$53+J13477*Assumptions!$C$54+J13490*Assumptions!$C$55+J13503*Assumptions!$C$56</f>
        <v>250</v>
      </c>
      <c r="K13516" s="25" t="n">
        <f aca="false">K13464*Assumptions!$C$53+K13477*Assumptions!$C$54+K13490*Assumptions!$C$55+K13503*Assumptions!$C$56</f>
        <v>0</v>
      </c>
    </row>
    <row r="13517" customFormat="false" ht="15" hidden="false" customHeight="false" outlineLevel="0" collapsed="false">
      <c r="A13517" s="23" t="s">
        <v>281</v>
      </c>
      <c r="B13517" s="24"/>
      <c r="C13517" s="24"/>
      <c r="D13517" s="24"/>
      <c r="E13517" s="24"/>
      <c r="F13517" s="24"/>
      <c r="G13517" s="24"/>
      <c r="H13517" s="24"/>
      <c r="I13517" s="24"/>
      <c r="J13517" s="24"/>
      <c r="K13517" s="24"/>
    </row>
    <row r="13518" customFormat="false" ht="15" hidden="false" customHeight="false" outlineLevel="0" collapsed="false">
      <c r="A13518" s="5" t="s">
        <v>282</v>
      </c>
      <c r="C13518" s="25" t="n">
        <f aca="false">SUMPRODUCT($G$13464:$K$13464,$G$13463:$K$13463-$G$13469:$K$13469+$G$13468:$K$13468)</f>
        <v>209.2968</v>
      </c>
    </row>
    <row r="13519" customFormat="false" ht="15" hidden="false" customHeight="false" outlineLevel="0" collapsed="false">
      <c r="A13519" s="5" t="s">
        <v>283</v>
      </c>
      <c r="C13519" s="25" t="n">
        <f aca="false">SUMPRODUCT($G$13464:$K$13464,$G$13471:$K$13471)</f>
        <v>0</v>
      </c>
    </row>
    <row r="13520" customFormat="false" ht="15" hidden="false" customHeight="false" outlineLevel="0" collapsed="false">
      <c r="A13520" s="5" t="s">
        <v>284</v>
      </c>
      <c r="C13520" s="5" t="str">
        <f aca="false">IF(SUM($G$13464:$K$13464)=0,"n/a (beyond horizon)",IF(SUMPRODUCT($G$13464:$K$13464,$G$13461:$K$13461)&gt;0,"REFINANCING PASS","REFINANCING FAILURE"))</f>
        <v>REFINANCING FAILURE</v>
      </c>
    </row>
    <row r="13521" customFormat="false" ht="15" hidden="false" customHeight="false" outlineLevel="0" collapsed="false">
      <c r="A13521" s="5" t="s">
        <v>285</v>
      </c>
      <c r="C13521" s="5" t="str">
        <f aca="false">IF(SUM($G$13464:$K$13464)=0,"n/a",IF(C13519&gt;=C13518-0.001,"Repaid from cash",IF(SUMPRODUCT($G$13464:$K$13464,$G$13461:$K$13461)&gt;0,IF(C13519&gt;0,"Partly repaid; remainder refinanced","Refinanced"),IF(SUM($G$13473:$K$13473)&gt;0.001,IF(C13519&gt;0,"Partial repayment; PAYMENT DEFAULT","PAYMENT DEFAULT"),"Repaid from cash"))))</f>
        <v>PAYMENT DEFAULT</v>
      </c>
    </row>
    <row r="13522" customFormat="false" ht="15" hidden="false" customHeight="false" outlineLevel="0" collapsed="false">
      <c r="A13522" s="5" t="s">
        <v>286</v>
      </c>
      <c r="C13522" s="25" t="n">
        <f aca="false">SUMPRODUCT($G$13477:$K$13477,$G$13476:$K$13476-$G$13482:$K$13482+$G$13481:$K$13481)</f>
        <v>504.4</v>
      </c>
    </row>
    <row r="13523" customFormat="false" ht="15" hidden="false" customHeight="false" outlineLevel="0" collapsed="false">
      <c r="A13523" s="5" t="s">
        <v>287</v>
      </c>
      <c r="C13523" s="25" t="n">
        <f aca="false">SUMPRODUCT($G$13477:$K$13477,$G$13484:$K$13484)</f>
        <v>0</v>
      </c>
    </row>
    <row r="13524" customFormat="false" ht="15" hidden="false" customHeight="false" outlineLevel="0" collapsed="false">
      <c r="A13524" s="5" t="s">
        <v>288</v>
      </c>
      <c r="C13524" s="5" t="str">
        <f aca="false">IF(SUM($G$13477:$K$13477)=0,"n/a (beyond horizon)",IF(SUMPRODUCT($G$13477:$K$13477,$G$13461:$K$13461)&gt;0,"REFINANCING PASS","REFINANCING FAILURE"))</f>
        <v>REFINANCING FAILURE</v>
      </c>
    </row>
    <row r="13525" customFormat="false" ht="15" hidden="false" customHeight="false" outlineLevel="0" collapsed="false">
      <c r="A13525" s="5" t="s">
        <v>289</v>
      </c>
      <c r="C13525" s="5" t="str">
        <f aca="false">IF(SUM($G$13477:$K$13477)=0,"n/a",IF(C13523&gt;=C13522-0.001,"Repaid from cash",IF(SUMPRODUCT($G$13477:$K$13477,$G$13461:$K$13461)&gt;0,IF(C13523&gt;0,"Partly repaid; remainder refinanced","Refinanced"),IF(SUM($G$13486:$K$13486)&gt;0.001,IF(C13523&gt;0,"Partial repayment; PAYMENT DEFAULT","PAYMENT DEFAULT"),"Repaid from cash"))))</f>
        <v>PAYMENT DEFAULT</v>
      </c>
    </row>
    <row r="13526" customFormat="false" ht="15" hidden="false" customHeight="false" outlineLevel="0" collapsed="false">
      <c r="A13526" s="5" t="s">
        <v>290</v>
      </c>
      <c r="C13526" s="25" t="n">
        <f aca="false">SUMPRODUCT($G$13490:$K$13490,$G$13489:$K$13489-$G$13495:$K$13495+$G$13494:$K$13494)</f>
        <v>250</v>
      </c>
    </row>
    <row r="13527" customFormat="false" ht="15" hidden="false" customHeight="false" outlineLevel="0" collapsed="false">
      <c r="A13527" s="5" t="s">
        <v>291</v>
      </c>
      <c r="C13527" s="25" t="n">
        <f aca="false">SUMPRODUCT($G$13490:$K$13490,$G$13497:$K$13497)</f>
        <v>0</v>
      </c>
    </row>
    <row r="13528" customFormat="false" ht="15" hidden="false" customHeight="false" outlineLevel="0" collapsed="false">
      <c r="A13528" s="5" t="s">
        <v>292</v>
      </c>
      <c r="C13528" s="5" t="str">
        <f aca="false">IF(SUM($G$13490:$K$13490)=0,"n/a (beyond horizon)",IF(SUMPRODUCT($G$13490:$K$13490,$G$13461:$K$13461)&gt;0,"REFINANCING PASS","REFINANCING FAILURE"))</f>
        <v>REFINANCING FAILURE</v>
      </c>
    </row>
    <row r="13529" customFormat="false" ht="15" hidden="false" customHeight="false" outlineLevel="0" collapsed="false">
      <c r="A13529" s="5" t="s">
        <v>293</v>
      </c>
      <c r="C13529" s="5" t="str">
        <f aca="false">IF(SUM($G$13490:$K$13490)=0,"n/a",IF(C13527&gt;=C13526-0.001,"Repaid from cash",IF(SUMPRODUCT($G$13490:$K$13490,$G$13461:$K$13461)&gt;0,IF(C13527&gt;0,"Partly repaid; remainder refinanced","Refinanced"),IF(SUM($G$13499:$K$13499)&gt;0.001,IF(C13527&gt;0,"Partial repayment; PAYMENT DEFAULT","PAYMENT DEFAULT"),"Repaid from cash"))))</f>
        <v>PAYMENT DEFAULT</v>
      </c>
    </row>
    <row r="13530" customFormat="false" ht="15" hidden="false" customHeight="false" outlineLevel="0" collapsed="false">
      <c r="A13530" s="5" t="s">
        <v>294</v>
      </c>
      <c r="C13530" s="25" t="n">
        <f aca="false">SUMPRODUCT($G$13503:$K$13503,$G$13502:$K$13502-$G$13508:$K$13508+$G$13507:$K$13507)</f>
        <v>300</v>
      </c>
    </row>
    <row r="13531" customFormat="false" ht="15" hidden="false" customHeight="false" outlineLevel="0" collapsed="false">
      <c r="A13531" s="5" t="s">
        <v>295</v>
      </c>
      <c r="C13531" s="25" t="n">
        <f aca="false">SUMPRODUCT($G$13503:$K$13503,$G$13510:$K$13510)</f>
        <v>0</v>
      </c>
    </row>
    <row r="13532" customFormat="false" ht="15" hidden="false" customHeight="false" outlineLevel="0" collapsed="false">
      <c r="A13532" s="5" t="s">
        <v>296</v>
      </c>
      <c r="C13532" s="5" t="str">
        <f aca="false">IF(SUM($G$13503:$K$13503)=0,"n/a (beyond horizon)",IF(SUMPRODUCT($G$13503:$K$13503,$G$13461:$K$13461)&gt;0,"REFINANCING PASS","REFINANCING FAILURE"))</f>
        <v>REFINANCING FAILURE</v>
      </c>
    </row>
    <row r="13533" customFormat="false" ht="15" hidden="false" customHeight="false" outlineLevel="0" collapsed="false">
      <c r="A13533" s="5" t="s">
        <v>297</v>
      </c>
      <c r="C13533" s="5" t="str">
        <f aca="false">IF(SUM($G$13503:$K$13503)=0,"n/a",IF(C13531&gt;=C13530-0.001,"Repaid from cash",IF(SUMPRODUCT($G$13503:$K$13503,$G$13461:$K$13461)&gt;0,IF(C13531&gt;0,"Partly repaid; remainder refinanced","Refinanced"),IF(SUM($G$13512:$K$13512)&gt;0.001,IF(C13531&gt;0,"Partial repayment; PAYMENT DEFAULT","PAYMENT DEFAULT"),"Repaid from cash"))))</f>
        <v>PAYMENT DEFAULT</v>
      </c>
    </row>
    <row r="13534" customFormat="false" ht="15" hidden="false" customHeight="false" outlineLevel="0" collapsed="false">
      <c r="A13534" s="5" t="s">
        <v>298</v>
      </c>
      <c r="C13534" s="20" t="n">
        <f aca="false">IF(C13520="REFINANCING FAILURE",1,0)+IF(C13524="REFINANCING FAILURE",1,0)+IF(C13528="REFINANCING FAILURE",1,0)+IF(C13532="REFINANCING FAILURE",1,0)</f>
        <v>4</v>
      </c>
    </row>
    <row r="13536" customFormat="false" ht="15" hidden="false" customHeight="false" outlineLevel="0" collapsed="false">
      <c r="A13536" s="23" t="s">
        <v>300</v>
      </c>
      <c r="B13536" s="24"/>
      <c r="C13536" s="24"/>
      <c r="D13536" s="24"/>
      <c r="E13536" s="24"/>
      <c r="F13536" s="24"/>
      <c r="G13536" s="24"/>
      <c r="H13536" s="24"/>
      <c r="I13536" s="24"/>
      <c r="J13536" s="24"/>
      <c r="K13536" s="24"/>
    </row>
    <row r="13537" customFormat="false" ht="15" hidden="false" customHeight="false" outlineLevel="0" collapsed="false">
      <c r="A13537" s="5" t="s">
        <v>260</v>
      </c>
      <c r="G13537" s="25" t="n">
        <f aca="false">F13549</f>
        <v>45</v>
      </c>
      <c r="H13537" s="25" t="n">
        <f aca="false">G13549</f>
        <v>0</v>
      </c>
      <c r="I13537" s="25" t="n">
        <f aca="false">H13549</f>
        <v>-113.4252612</v>
      </c>
      <c r="J13537" s="25" t="n">
        <f aca="false">I13549</f>
        <v>-220.910739152</v>
      </c>
      <c r="K13537" s="25" t="n">
        <f aca="false">J13549</f>
        <v>-314.19848741424</v>
      </c>
    </row>
    <row r="13538" customFormat="false" ht="15" hidden="false" customHeight="false" outlineLevel="0" collapsed="false">
      <c r="A13538" s="5" t="s">
        <v>301</v>
      </c>
      <c r="G13538" s="25" t="n">
        <f aca="false">G13450</f>
        <v>-69.0968</v>
      </c>
      <c r="H13538" s="25" t="n">
        <f aca="false">H13450</f>
        <v>-108.2252612</v>
      </c>
      <c r="I13538" s="25" t="n">
        <f aca="false">I13450</f>
        <v>-102.285477952</v>
      </c>
      <c r="J13538" s="25" t="n">
        <f aca="false">J13450</f>
        <v>-88.08774826224</v>
      </c>
      <c r="K13538" s="25" t="n">
        <f aca="false">K13450</f>
        <v>-75.42822292616</v>
      </c>
    </row>
    <row r="13539" customFormat="false" ht="15" hidden="false" customHeight="false" outlineLevel="0" collapsed="false">
      <c r="A13539" s="5" t="s">
        <v>302</v>
      </c>
      <c r="G13539" s="25" t="n">
        <f aca="false">CHOOSE($C$13420,Assumptions!$G$68,Assumptions!$G$87,Assumptions!$G$106)</f>
        <v>0</v>
      </c>
      <c r="H13539" s="25" t="n">
        <f aca="false">CHOOSE($C$13420,Assumptions!$H$68,Assumptions!$H$87,Assumptions!$H$106)</f>
        <v>0</v>
      </c>
      <c r="I13539" s="25" t="n">
        <f aca="false">CHOOSE($C$13420,Assumptions!$I$68,Assumptions!$I$87,Assumptions!$I$106)</f>
        <v>0</v>
      </c>
      <c r="J13539" s="25" t="n">
        <f aca="false">CHOOSE($C$13420,Assumptions!$J$68,Assumptions!$J$87,Assumptions!$J$106)</f>
        <v>0</v>
      </c>
      <c r="K13539" s="25" t="n">
        <f aca="false">CHOOSE($C$13420,Assumptions!$K$68,Assumptions!$K$87,Assumptions!$K$106)</f>
        <v>0</v>
      </c>
    </row>
    <row r="13540" customFormat="false" ht="15" hidden="false" customHeight="false" outlineLevel="0" collapsed="false">
      <c r="A13540" s="5" t="s">
        <v>303</v>
      </c>
      <c r="G13540" s="25" t="n">
        <f aca="false">G13469+G13482+G13495+G13508</f>
        <v>5.2</v>
      </c>
      <c r="H13540" s="25" t="n">
        <f aca="false">H13469+H13482+H13495+H13508</f>
        <v>5.2</v>
      </c>
      <c r="I13540" s="25" t="n">
        <f aca="false">I13469+I13482+I13495+I13508</f>
        <v>5.2</v>
      </c>
      <c r="J13540" s="25" t="n">
        <f aca="false">J13469+J13482+J13495+J13508</f>
        <v>5.2</v>
      </c>
      <c r="K13540" s="25" t="n">
        <f aca="false">K13469+K13482+K13495+K13508</f>
        <v>5.2</v>
      </c>
    </row>
    <row r="13541" customFormat="false" ht="15" hidden="false" customHeight="false" outlineLevel="0" collapsed="false">
      <c r="A13541" s="2" t="s">
        <v>304</v>
      </c>
      <c r="G13541" s="16" t="n">
        <f aca="false">G13537+G13538+G13539-G13540</f>
        <v>-29.2968</v>
      </c>
      <c r="H13541" s="16" t="n">
        <f aca="false">H13537+H13538+H13539-H13540</f>
        <v>-113.4252612</v>
      </c>
      <c r="I13541" s="16" t="n">
        <f aca="false">I13537+I13538+I13539-I13540</f>
        <v>-220.910739152</v>
      </c>
      <c r="J13541" s="16" t="n">
        <f aca="false">J13537+J13538+J13539-J13540</f>
        <v>-314.19848741424</v>
      </c>
      <c r="K13541" s="16" t="n">
        <f aca="false">K13537+K13538+K13539-K13540</f>
        <v>-394.8267103404</v>
      </c>
    </row>
    <row r="13542" customFormat="false" ht="15" hidden="false" customHeight="false" outlineLevel="0" collapsed="false">
      <c r="A13542" s="5" t="s">
        <v>305</v>
      </c>
      <c r="G13542" s="25" t="n">
        <f aca="false">G13470+G13483+G13496+G13509</f>
        <v>29.2968</v>
      </c>
      <c r="H13542" s="25" t="n">
        <f aca="false">H13470+H13483+H13496+H13509</f>
        <v>0</v>
      </c>
      <c r="I13542" s="25" t="n">
        <f aca="false">I13470+I13483+I13496+I13509</f>
        <v>0</v>
      </c>
      <c r="J13542" s="25" t="n">
        <f aca="false">J13470+J13483+J13496+J13509</f>
        <v>0</v>
      </c>
      <c r="K13542" s="25" t="n">
        <f aca="false">K13470+K13483+K13496+K13509</f>
        <v>0</v>
      </c>
    </row>
    <row r="13543" customFormat="false" ht="15" hidden="false" customHeight="false" outlineLevel="0" collapsed="false">
      <c r="A13543" s="2" t="s">
        <v>306</v>
      </c>
      <c r="G13543" s="16" t="n">
        <f aca="false">G13541+G13542</f>
        <v>0</v>
      </c>
      <c r="H13543" s="16" t="n">
        <f aca="false">H13541+H13542</f>
        <v>-113.4252612</v>
      </c>
      <c r="I13543" s="16" t="n">
        <f aca="false">I13541+I13542</f>
        <v>-220.910739152</v>
      </c>
      <c r="J13543" s="16" t="n">
        <f aca="false">J13541+J13542</f>
        <v>-314.19848741424</v>
      </c>
      <c r="K13543" s="16" t="n">
        <f aca="false">K13541+K13542</f>
        <v>-394.8267103404</v>
      </c>
    </row>
    <row r="13544" customFormat="false" ht="15" hidden="false" customHeight="false" outlineLevel="0" collapsed="false">
      <c r="A13544" s="5" t="s">
        <v>307</v>
      </c>
      <c r="G13544" s="25" t="n">
        <f aca="false">G13471+G13484+G13497+G13510</f>
        <v>0</v>
      </c>
      <c r="H13544" s="25" t="n">
        <f aca="false">H13471+H13484+H13497+H13510</f>
        <v>0</v>
      </c>
      <c r="I13544" s="25" t="n">
        <f aca="false">I13471+I13484+I13497+I13510</f>
        <v>0</v>
      </c>
      <c r="J13544" s="25" t="n">
        <f aca="false">J13471+J13484+J13497+J13510</f>
        <v>0</v>
      </c>
      <c r="K13544" s="25" t="n">
        <f aca="false">K13471+K13484+K13497+K13510</f>
        <v>0</v>
      </c>
    </row>
    <row r="13545" customFormat="false" ht="15" hidden="false" customHeight="false" outlineLevel="0" collapsed="false">
      <c r="A13545" s="2" t="s">
        <v>308</v>
      </c>
      <c r="G13545" s="16" t="n">
        <f aca="false">G13543-G13544</f>
        <v>0</v>
      </c>
      <c r="H13545" s="16" t="n">
        <f aca="false">H13543-H13544</f>
        <v>-113.4252612</v>
      </c>
      <c r="I13545" s="16" t="n">
        <f aca="false">I13543-I13544</f>
        <v>-220.910739152</v>
      </c>
      <c r="J13545" s="16" t="n">
        <f aca="false">J13543-J13544</f>
        <v>-314.19848741424</v>
      </c>
      <c r="K13545" s="16" t="n">
        <f aca="false">K13543-K13544</f>
        <v>-394.8267103404</v>
      </c>
    </row>
    <row r="13546" customFormat="false" ht="15" hidden="false" customHeight="false" outlineLevel="0" collapsed="false">
      <c r="A13546" s="5" t="s">
        <v>309</v>
      </c>
      <c r="G13546" s="25" t="n">
        <f aca="false">MAX(0,-G13545)</f>
        <v>-0</v>
      </c>
      <c r="H13546" s="25" t="n">
        <f aca="false">MAX(0,-H13545)</f>
        <v>113.4252612</v>
      </c>
      <c r="I13546" s="25" t="n">
        <f aca="false">MAX(0,-I13545)</f>
        <v>220.910739152</v>
      </c>
      <c r="J13546" s="25" t="n">
        <f aca="false">MAX(0,-J13545)</f>
        <v>314.19848741424</v>
      </c>
      <c r="K13546" s="25" t="n">
        <f aca="false">MAX(0,-K13545)</f>
        <v>394.8267103404</v>
      </c>
    </row>
    <row r="13547" customFormat="false" ht="15" hidden="false" customHeight="false" outlineLevel="0" collapsed="false">
      <c r="A13547" s="5" t="s">
        <v>310</v>
      </c>
      <c r="G13547" s="25" t="n">
        <f aca="false">MAX(0,G13545-Assumptions!$C$12)*Assumptions!$C$13</f>
        <v>0</v>
      </c>
      <c r="H13547" s="25" t="n">
        <f aca="false">MAX(0,H13545-Assumptions!$C$12)*Assumptions!$C$13</f>
        <v>0</v>
      </c>
      <c r="I13547" s="25" t="n">
        <f aca="false">MAX(0,I13545-Assumptions!$C$12)*Assumptions!$C$13</f>
        <v>0</v>
      </c>
      <c r="J13547" s="25" t="n">
        <f aca="false">MAX(0,J13545-Assumptions!$C$12)*Assumptions!$C$13</f>
        <v>0</v>
      </c>
      <c r="K13547" s="25" t="n">
        <f aca="false">MAX(0,K13545-Assumptions!$C$12)*Assumptions!$C$13</f>
        <v>0</v>
      </c>
    </row>
    <row r="13548" customFormat="false" ht="15" hidden="false" customHeight="false" outlineLevel="0" collapsed="false">
      <c r="A13548" s="5" t="s">
        <v>311</v>
      </c>
      <c r="G13548" s="25" t="n">
        <f aca="false">G13472+G13485+G13498+G13511</f>
        <v>0</v>
      </c>
      <c r="H13548" s="25" t="n">
        <f aca="false">H13472+H13485+H13498+H13511</f>
        <v>0</v>
      </c>
      <c r="I13548" s="25" t="n">
        <f aca="false">I13472+I13485+I13498+I13511</f>
        <v>0</v>
      </c>
      <c r="J13548" s="25" t="n">
        <f aca="false">J13472+J13485+J13498+J13511</f>
        <v>0</v>
      </c>
      <c r="K13548" s="25" t="n">
        <f aca="false">K13472+K13485+K13498+K13511</f>
        <v>0</v>
      </c>
    </row>
    <row r="13549" customFormat="false" ht="15" hidden="false" customHeight="false" outlineLevel="0" collapsed="false">
      <c r="A13549" s="2" t="s">
        <v>312</v>
      </c>
      <c r="F13549" s="27" t="n">
        <f aca="false">Assumptions!$C$11</f>
        <v>45</v>
      </c>
      <c r="G13549" s="16" t="n">
        <f aca="false">G13545-G13548</f>
        <v>0</v>
      </c>
      <c r="H13549" s="16" t="n">
        <f aca="false">H13545-H13548</f>
        <v>-113.4252612</v>
      </c>
      <c r="I13549" s="16" t="n">
        <f aca="false">I13545-I13548</f>
        <v>-220.910739152</v>
      </c>
      <c r="J13549" s="16" t="n">
        <f aca="false">J13545-J13548</f>
        <v>-314.19848741424</v>
      </c>
      <c r="K13549" s="16" t="n">
        <f aca="false">K13545-K13548</f>
        <v>-394.8267103404</v>
      </c>
    </row>
    <row r="13550" customFormat="false" ht="15" hidden="false" customHeight="false" outlineLevel="0" collapsed="false">
      <c r="A13550" s="5" t="s">
        <v>313</v>
      </c>
      <c r="G13550" s="25" t="n">
        <f aca="false">G13473+G13486+G13499+G13512</f>
        <v>0</v>
      </c>
      <c r="H13550" s="25" t="n">
        <f aca="false">H13473+H13486+H13499+H13512</f>
        <v>509.2968</v>
      </c>
      <c r="I13550" s="25" t="n">
        <f aca="false">I13473+I13486+I13499+I13512</f>
        <v>504.4</v>
      </c>
      <c r="J13550" s="25" t="n">
        <f aca="false">J13473+J13486+J13499+J13512</f>
        <v>250</v>
      </c>
      <c r="K13550" s="25" t="n">
        <f aca="false">K13473+K13486+K13499+K13512</f>
        <v>0</v>
      </c>
    </row>
    <row r="13551" customFormat="false" ht="15" hidden="false" customHeight="false" outlineLevel="0" collapsed="false">
      <c r="A13551" s="5" t="s">
        <v>314</v>
      </c>
      <c r="G13551" s="20" t="n">
        <f aca="false">IF(OR(G13546&gt;0.001,G13550&gt;0.001),1,0)</f>
        <v>0</v>
      </c>
      <c r="H13551" s="20" t="n">
        <f aca="false">IF(OR(H13546&gt;0.001,H13550&gt;0.001),1,0)</f>
        <v>1</v>
      </c>
      <c r="I13551" s="20" t="n">
        <f aca="false">IF(OR(I13546&gt;0.001,I13550&gt;0.001),1,0)</f>
        <v>1</v>
      </c>
      <c r="J13551" s="20" t="n">
        <f aca="false">IF(OR(J13546&gt;0.001,J13550&gt;0.001),1,0)</f>
        <v>1</v>
      </c>
      <c r="K13551" s="20" t="n">
        <f aca="false">IF(OR(K13546&gt;0.001,K13550&gt;0.001),1,0)</f>
        <v>1</v>
      </c>
    </row>
    <row r="13552" customFormat="false" ht="15" hidden="false" customHeight="false" outlineLevel="0" collapsed="false">
      <c r="A13552" s="5" t="s">
        <v>315</v>
      </c>
      <c r="G13552" s="20" t="n">
        <f aca="false">IF(G13551=1,1,0)</f>
        <v>0</v>
      </c>
      <c r="H13552" s="20" t="n">
        <f aca="false">IF(AND(H13551=1,SUM($G$13551:G13551)=0),1,0)</f>
        <v>1</v>
      </c>
      <c r="I13552" s="20" t="n">
        <f aca="false">IF(AND(I13551=1,SUM($G$13551:H13551)=0),1,0)</f>
        <v>0</v>
      </c>
      <c r="J13552" s="20" t="n">
        <f aca="false">IF(AND(J13551=1,SUM($G$13551:I13551)=0),1,0)</f>
        <v>0</v>
      </c>
      <c r="K13552" s="20" t="n">
        <f aca="false">IF(AND(K13551=1,SUM($G$13551:J13551)=0),1,0)</f>
        <v>0</v>
      </c>
    </row>
    <row r="13553" customFormat="false" ht="15" hidden="false" customHeight="false" outlineLevel="0" collapsed="false">
      <c r="A13553" s="5" t="s">
        <v>316</v>
      </c>
      <c r="G13553" s="25" t="n">
        <f aca="false">(G13515-F13515)-(G13542+G13442-G13540-G13544-G13548)</f>
        <v>0</v>
      </c>
      <c r="H13553" s="25" t="n">
        <f aca="false">(H13515-G13515)-(H13542+H13442-H13540-H13544-H13548)</f>
        <v>-4.52970994047064E-014</v>
      </c>
      <c r="I13553" s="25" t="n">
        <f aca="false">(I13515-H13515)-(I13542+I13442-I13540-I13544-I13548)</f>
        <v>-4.52970994047064E-014</v>
      </c>
      <c r="J13553" s="25" t="n">
        <f aca="false">(J13515-I13515)-(J13542+J13442-J13540-J13544-J13548)</f>
        <v>-4.52970994047064E-014</v>
      </c>
      <c r="K13553" s="25" t="n">
        <f aca="false">(K13515-J13515)-(K13542+K13442-K13540-K13544-K13548)</f>
        <v>1.82076576038526E-013</v>
      </c>
    </row>
    <row r="13555" customFormat="false" ht="15" hidden="false" customHeight="false" outlineLevel="0" collapsed="false">
      <c r="A13555" s="23" t="s">
        <v>318</v>
      </c>
      <c r="B13555" s="24"/>
      <c r="C13555" s="24"/>
      <c r="D13555" s="24"/>
      <c r="E13555" s="24"/>
      <c r="F13555" s="24"/>
      <c r="G13555" s="24"/>
      <c r="H13555" s="24"/>
      <c r="I13555" s="24"/>
      <c r="J13555" s="24"/>
      <c r="K13555" s="24"/>
    </row>
    <row r="13556" customFormat="false" ht="15" hidden="false" customHeight="false" outlineLevel="0" collapsed="false">
      <c r="A13556" s="5" t="s">
        <v>319</v>
      </c>
      <c r="G13556" s="25" t="n">
        <f aca="false">G13515</f>
        <v>1274.0968</v>
      </c>
      <c r="H13556" s="25" t="n">
        <f aca="false">H13515</f>
        <v>1268.8968</v>
      </c>
      <c r="I13556" s="25" t="n">
        <f aca="false">I13515</f>
        <v>1263.6968</v>
      </c>
      <c r="J13556" s="25" t="n">
        <f aca="false">J13515</f>
        <v>1258.4968</v>
      </c>
      <c r="K13556" s="25" t="n">
        <f aca="false">K13515</f>
        <v>1253.2968</v>
      </c>
    </row>
    <row r="13557" customFormat="false" ht="15" hidden="false" customHeight="false" outlineLevel="0" collapsed="false">
      <c r="A13557" s="5" t="s">
        <v>320</v>
      </c>
      <c r="G13557" s="25" t="n">
        <f aca="false">Assumptions!$O$53*G13474+Assumptions!$O$54*G13487+Assumptions!$O$55*G13500+Assumptions!$O$56*G13513</f>
        <v>974.0968</v>
      </c>
      <c r="H13557" s="25" t="n">
        <f aca="false">Assumptions!$O$53*H13474+Assumptions!$O$54*H13487+Assumptions!$O$55*H13500+Assumptions!$O$56*H13513</f>
        <v>968.8968</v>
      </c>
      <c r="I13557" s="25" t="n">
        <f aca="false">Assumptions!$O$53*I13474+Assumptions!$O$54*I13487+Assumptions!$O$55*I13500+Assumptions!$O$56*I13513</f>
        <v>963.6968</v>
      </c>
      <c r="J13557" s="25" t="n">
        <f aca="false">Assumptions!$O$53*J13474+Assumptions!$O$54*J13487+Assumptions!$O$55*J13500+Assumptions!$O$56*J13513</f>
        <v>958.4968</v>
      </c>
      <c r="K13557" s="25" t="n">
        <f aca="false">Assumptions!$O$53*K13474+Assumptions!$O$54*K13487+Assumptions!$O$55*K13500+Assumptions!$O$56*K13513</f>
        <v>953.2968</v>
      </c>
    </row>
    <row r="13558" customFormat="false" ht="15" hidden="false" customHeight="false" outlineLevel="0" collapsed="false">
      <c r="A13558" s="5" t="s">
        <v>321</v>
      </c>
      <c r="G13558" s="25" t="n">
        <f aca="false">G13556-G13549</f>
        <v>1274.0968</v>
      </c>
      <c r="H13558" s="25" t="n">
        <f aca="false">H13556-H13549</f>
        <v>1382.3220612</v>
      </c>
      <c r="I13558" s="25" t="n">
        <f aca="false">I13556-I13549</f>
        <v>1484.607539152</v>
      </c>
      <c r="J13558" s="25" t="n">
        <f aca="false">J13556-J13549</f>
        <v>1572.69528741424</v>
      </c>
      <c r="K13558" s="25" t="n">
        <f aca="false">K13556-K13549</f>
        <v>1648.1235103404</v>
      </c>
    </row>
    <row r="13559" customFormat="false" ht="15" hidden="false" customHeight="false" outlineLevel="0" collapsed="false">
      <c r="A13559" s="5" t="s">
        <v>322</v>
      </c>
      <c r="G13559" s="31" t="n">
        <f aca="false">IF(G13437&gt;0,G13556/G13437,0)</f>
        <v>16.4509967978515</v>
      </c>
      <c r="H13559" s="31" t="n">
        <f aca="false">IF(H13437&gt;0,H13556/H13437,0)</f>
        <v>25.9437598551369</v>
      </c>
      <c r="I13559" s="31" t="n">
        <f aca="false">IF(I13437&gt;0,I13556/I13437,0)</f>
        <v>20.5947373031284</v>
      </c>
      <c r="J13559" s="31" t="n">
        <f aca="false">IF(J13437&gt;0,J13556/J13437,0)</f>
        <v>17.1656496942256</v>
      </c>
      <c r="K13559" s="31" t="n">
        <f aca="false">IF(K13437&gt;0,K13556/K13437,0)</f>
        <v>14.7404605806552</v>
      </c>
    </row>
    <row r="13560" customFormat="false" ht="15" hidden="false" customHeight="false" outlineLevel="0" collapsed="false">
      <c r="A13560" s="5" t="s">
        <v>323</v>
      </c>
      <c r="G13560" s="31" t="n">
        <f aca="false">IF(G13437&gt;0,G13558/G13437,0)</f>
        <v>16.4509967978515</v>
      </c>
      <c r="H13560" s="31" t="n">
        <f aca="false">IF(H13437&gt;0,H13558/H13437,0)</f>
        <v>28.262843438671</v>
      </c>
      <c r="I13560" s="31" t="n">
        <f aca="false">IF(I13437&gt;0,I13558/I13437,0)</f>
        <v>24.1949669153862</v>
      </c>
      <c r="J13560" s="31" t="n">
        <f aca="false">IF(J13437&gt;0,J13558/J13437,0)</f>
        <v>21.4512554815493</v>
      </c>
      <c r="K13560" s="31" t="n">
        <f aca="false">IF(K13437&gt;0,K13558/K13437,0)</f>
        <v>19.3841551627865</v>
      </c>
    </row>
    <row r="13561" customFormat="false" ht="15" hidden="false" customHeight="false" outlineLevel="0" collapsed="false">
      <c r="A13561" s="5" t="s">
        <v>324</v>
      </c>
      <c r="G13561" s="31" t="n">
        <f aca="false">IF(G13441&gt;0,G13437/G13441,0)</f>
        <v>0.632022196833687</v>
      </c>
      <c r="H13561" s="31" t="n">
        <f aca="false">IF(H13441&gt;0,H13437/H13441,0)</f>
        <v>0.398175195665511</v>
      </c>
      <c r="I13561" s="31" t="n">
        <f aca="false">IF(I13441&gt;0,I13437/I13441,0)</f>
        <v>0.509262459129152</v>
      </c>
      <c r="J13561" s="31" t="n">
        <f aca="false">IF(J13441&gt;0,J13437/J13441,0)</f>
        <v>0.611197757938718</v>
      </c>
      <c r="K13561" s="31" t="n">
        <f aca="false">IF(K13441&gt;0,K13437/K13441,0)</f>
        <v>0.711993889785007</v>
      </c>
    </row>
    <row r="13562" customFormat="false" ht="15" hidden="false" customHeight="false" outlineLevel="0" collapsed="false">
      <c r="A13562" s="5" t="s">
        <v>325</v>
      </c>
      <c r="G13562" s="31" t="n">
        <f aca="false">IF(G13441&gt;0,G13440/G13441,0)</f>
        <v>0.234751101681084</v>
      </c>
      <c r="H13562" s="31" t="n">
        <f aca="false">IF(H13441&gt;0,H13440/H13441,0)</f>
        <v>0.0173119650289351</v>
      </c>
      <c r="I13562" s="31" t="n">
        <f aca="false">IF(I13441&gt;0,I13440/I13441,0)</f>
        <v>0.122925421169106</v>
      </c>
      <c r="J13562" s="31" t="n">
        <f aca="false">IF(J13441&gt;0,J13440/J13441,0)</f>
        <v>0.227016310091524</v>
      </c>
      <c r="K13562" s="31" t="n">
        <f aca="false">IF(K13441&gt;0,K13440/K13441,0)</f>
        <v>0.329948387949149</v>
      </c>
    </row>
    <row r="13563" customFormat="false" ht="15" hidden="false" customHeight="false" outlineLevel="0" collapsed="false">
      <c r="A13563" s="5" t="s">
        <v>182</v>
      </c>
      <c r="G13563" s="21" t="n">
        <f aca="false">IF(G13556&gt;0,G13450/G13556,0)</f>
        <v>-0.0542319861410844</v>
      </c>
      <c r="H13563" s="21" t="n">
        <f aca="false">IF(H13556&gt;0,H13450/H13556,0)</f>
        <v>-0.0852908299555961</v>
      </c>
      <c r="I13563" s="21" t="n">
        <f aca="false">IF(I13556&gt;0,I13450/I13556,0)</f>
        <v>-0.0809414710490681</v>
      </c>
      <c r="J13563" s="21" t="n">
        <f aca="false">IF(J13556&gt;0,J13450/J13556,0)</f>
        <v>-0.0699944157682721</v>
      </c>
      <c r="K13563" s="21" t="n">
        <f aca="false">IF(K13556&gt;0,K13450/K13556,0)</f>
        <v>-0.0601838470553504</v>
      </c>
    </row>
    <row r="13564" customFormat="false" ht="15" hidden="false" customHeight="false" outlineLevel="0" collapsed="false">
      <c r="A13564" s="5" t="s">
        <v>326</v>
      </c>
      <c r="G13564" s="31" t="n">
        <f aca="false">IF(G13441+G13540&gt;0,(G13437-G13448-G13445)/(G13441+G13540),0)</f>
        <v>0.27716298731799</v>
      </c>
      <c r="H13564" s="31" t="n">
        <f aca="false">IF(H13441+H13540&gt;0,(H13437-H13448-H13445)/(H13441+H13540),0)</f>
        <v>0.0664354165188349</v>
      </c>
      <c r="I13564" s="31" t="n">
        <f aca="false">IF(I13441+I13540&gt;0,(I13437-I13448-I13445)/(I13441+I13540),0)</f>
        <v>0.168342469307857</v>
      </c>
      <c r="J13564" s="31" t="n">
        <f aca="false">IF(J13441+J13540&gt;0,(J13437-J13448-J13445)/(J13441+J13540),0)</f>
        <v>0.267795638186856</v>
      </c>
      <c r="K13564" s="31" t="n">
        <f aca="false">IF(K13441+K13540&gt;0,(K13437-K13448-K13445)/(K13441+K13540),0)</f>
        <v>0.366103578823792</v>
      </c>
    </row>
    <row r="13565" customFormat="false" ht="15" hidden="false" customHeight="false" outlineLevel="0" collapsed="false">
      <c r="A13565" s="5" t="s">
        <v>327</v>
      </c>
      <c r="G13565" s="25" t="n">
        <f aca="false">MAX(0,G13549)+Assumptions!$P$53*MAX(0,Assumptions!$D$53-G13474)+Assumptions!$P$54*MAX(0,Assumptions!$D$54-G13487)+Assumptions!$P$55*MAX(0,Assumptions!$D$55-G13500)+Assumptions!$P$56*MAX(0,Assumptions!$D$56-G13513)</f>
        <v>90.7032</v>
      </c>
      <c r="H13565" s="25" t="n">
        <f aca="false">MAX(0,H13549)+Assumptions!$P$53*MAX(0,Assumptions!$D$53-H13474)+Assumptions!$P$54*MAX(0,Assumptions!$D$54-H13487)+Assumptions!$P$55*MAX(0,Assumptions!$D$55-H13500)+Assumptions!$P$56*MAX(0,Assumptions!$D$56-H13513)</f>
        <v>90.7032</v>
      </c>
      <c r="I13565" s="25" t="n">
        <f aca="false">MAX(0,I13549)+Assumptions!$P$53*MAX(0,Assumptions!$D$53-I13474)+Assumptions!$P$54*MAX(0,Assumptions!$D$54-I13487)+Assumptions!$P$55*MAX(0,Assumptions!$D$55-I13500)+Assumptions!$P$56*MAX(0,Assumptions!$D$56-I13513)</f>
        <v>90.7032</v>
      </c>
      <c r="J13565" s="25" t="n">
        <f aca="false">MAX(0,J13549)+Assumptions!$P$53*MAX(0,Assumptions!$D$53-J13474)+Assumptions!$P$54*MAX(0,Assumptions!$D$54-J13487)+Assumptions!$P$55*MAX(0,Assumptions!$D$55-J13500)+Assumptions!$P$56*MAX(0,Assumptions!$D$56-J13513)</f>
        <v>90.7032</v>
      </c>
      <c r="K13565" s="25" t="n">
        <f aca="false">MAX(0,K13549)+Assumptions!$P$53*MAX(0,Assumptions!$D$53-K13474)+Assumptions!$P$54*MAX(0,Assumptions!$D$54-K13487)+Assumptions!$P$55*MAX(0,Assumptions!$D$55-K13500)+Assumptions!$P$56*MAX(0,Assumptions!$D$56-K13513)</f>
        <v>90.7032</v>
      </c>
    </row>
    <row r="13566" customFormat="false" ht="15" hidden="false" customHeight="false" outlineLevel="0" collapsed="false">
      <c r="A13566" s="5" t="s">
        <v>328</v>
      </c>
      <c r="G13566" s="21" t="n">
        <f aca="false">IF(G13556&gt;0,G13556/(G13556+MAX(0,G13437*CHOOSE($C$13420,Assumptions!$C$76,Assumptions!$C$95,Assumptions!$C$114)-G13558)),0)</f>
        <v>1</v>
      </c>
      <c r="H13566" s="21" t="n">
        <f aca="false">IF(H13556&gt;0,H13556/(H13556+MAX(0,H13437*CHOOSE($C$13420,Assumptions!$C$76,Assumptions!$C$95,Assumptions!$C$114)-H13558)),0)</f>
        <v>1</v>
      </c>
      <c r="I13566" s="21" t="n">
        <f aca="false">IF(I13556&gt;0,I13556/(I13556+MAX(0,I13437*CHOOSE($C$13420,Assumptions!$C$76,Assumptions!$C$95,Assumptions!$C$114)-I13558)),0)</f>
        <v>1</v>
      </c>
      <c r="J13566" s="21" t="n">
        <f aca="false">IF(J13556&gt;0,J13556/(J13556+MAX(0,J13437*CHOOSE($C$13420,Assumptions!$C$76,Assumptions!$C$95,Assumptions!$C$114)-J13558)),0)</f>
        <v>1</v>
      </c>
      <c r="K13566" s="21" t="n">
        <f aca="false">IF(K13556&gt;0,K13556/(K13556+MAX(0,K13437*CHOOSE($C$13420,Assumptions!$C$76,Assumptions!$C$95,Assumptions!$C$114)-K13558)),0)</f>
        <v>1</v>
      </c>
    </row>
    <row r="13567" customFormat="false" ht="15" hidden="false" customHeight="false" outlineLevel="0" collapsed="false">
      <c r="A13567" s="5" t="s">
        <v>329</v>
      </c>
      <c r="G13567" s="21" t="n">
        <f aca="false">IF(G13556&gt;0,MAX(0,G13549)/G13556,0)</f>
        <v>0</v>
      </c>
      <c r="H13567" s="21" t="n">
        <f aca="false">IF(H13556&gt;0,MAX(0,H13549)/H13556,0)</f>
        <v>0</v>
      </c>
      <c r="I13567" s="21" t="n">
        <f aca="false">IF(I13556&gt;0,MAX(0,I13549)/I13556,0)</f>
        <v>0</v>
      </c>
      <c r="J13567" s="21" t="n">
        <f aca="false">IF(J13556&gt;0,MAX(0,J13549)/J13556,0)</f>
        <v>0</v>
      </c>
      <c r="K13567" s="21" t="n">
        <f aca="false">IF(K13556&gt;0,MAX(0,K13549)/K13556,0)</f>
        <v>0</v>
      </c>
    </row>
    <row r="13568" customFormat="false" ht="15" hidden="false" customHeight="false" outlineLevel="0" collapsed="false">
      <c r="A13568" s="5" t="s">
        <v>330</v>
      </c>
      <c r="G13568" s="25" t="n">
        <f aca="false">Assumptions!$C$27*(1-CHOOSE($C$13420,Assumptions!$C$79,Assumptions!$C$98,Assumptions!$C$117))</f>
        <v>884</v>
      </c>
      <c r="H13568" s="25" t="n">
        <f aca="false">Assumptions!$C$27*(1-CHOOSE($C$13420,Assumptions!$C$79,Assumptions!$C$98,Assumptions!$C$117))</f>
        <v>884</v>
      </c>
      <c r="I13568" s="25" t="n">
        <f aca="false">Assumptions!$C$27*(1-CHOOSE($C$13420,Assumptions!$C$79,Assumptions!$C$98,Assumptions!$C$117))</f>
        <v>884</v>
      </c>
      <c r="J13568" s="25" t="n">
        <f aca="false">Assumptions!$C$27*(1-CHOOSE($C$13420,Assumptions!$C$79,Assumptions!$C$98,Assumptions!$C$117))</f>
        <v>884</v>
      </c>
      <c r="K13568" s="25" t="n">
        <f aca="false">Assumptions!$C$27*(1-CHOOSE($C$13420,Assumptions!$C$79,Assumptions!$C$98,Assumptions!$C$117))</f>
        <v>884</v>
      </c>
    </row>
    <row r="13569" customFormat="false" ht="15" hidden="false" customHeight="false" outlineLevel="0" collapsed="false">
      <c r="A13569" s="23" t="s">
        <v>331</v>
      </c>
      <c r="B13569" s="24"/>
      <c r="C13569" s="24"/>
      <c r="D13569" s="24"/>
      <c r="E13569" s="24"/>
      <c r="F13569" s="24"/>
      <c r="G13569" s="24"/>
      <c r="H13569" s="24"/>
      <c r="I13569" s="24"/>
      <c r="J13569" s="24"/>
      <c r="K13569" s="24"/>
    </row>
    <row r="13570" customFormat="false" ht="15" hidden="false" customHeight="false" outlineLevel="0" collapsed="false">
      <c r="A13570" s="23" t="s">
        <v>332</v>
      </c>
      <c r="B13570" s="24"/>
      <c r="C13570" s="24"/>
      <c r="D13570" s="24"/>
      <c r="E13570" s="24"/>
      <c r="F13570" s="24"/>
      <c r="G13570" s="24"/>
      <c r="H13570" s="24"/>
      <c r="I13570" s="24"/>
      <c r="J13570" s="24"/>
      <c r="K13570" s="24"/>
    </row>
    <row r="13571" customFormat="false" ht="15" hidden="false" customHeight="false" outlineLevel="0" collapsed="false">
      <c r="A13571" s="5" t="s">
        <v>333</v>
      </c>
      <c r="G13571" s="31" t="n">
        <f aca="false">IF(G13437&gt;0,G13558/G13437,99)</f>
        <v>16.4509967978515</v>
      </c>
      <c r="H13571" s="31" t="n">
        <f aca="false">IF(H13437&gt;0,H13558/H13437,99)</f>
        <v>28.262843438671</v>
      </c>
      <c r="I13571" s="31" t="n">
        <f aca="false">IF(I13437&gt;0,I13558/I13437,99)</f>
        <v>24.1949669153862</v>
      </c>
      <c r="J13571" s="31" t="n">
        <f aca="false">IF(J13437&gt;0,J13558/J13437,99)</f>
        <v>21.4512554815493</v>
      </c>
      <c r="K13571" s="31" t="n">
        <f aca="false">IF(K13437&gt;0,K13558/K13437,99)</f>
        <v>19.3841551627865</v>
      </c>
    </row>
    <row r="13572" customFormat="false" ht="15" hidden="false" customHeight="false" outlineLevel="0" collapsed="false">
      <c r="A13572" s="5" t="s">
        <v>334</v>
      </c>
      <c r="G13572" s="32" t="n">
        <f aca="false">Assumptions!$G$61</f>
        <v>8.5</v>
      </c>
      <c r="H13572" s="32" t="n">
        <f aca="false">Assumptions!$H$61</f>
        <v>8.5</v>
      </c>
      <c r="I13572" s="32" t="n">
        <f aca="false">Assumptions!$I$61</f>
        <v>8.5</v>
      </c>
      <c r="J13572" s="32" t="n">
        <f aca="false">Assumptions!$J$61</f>
        <v>8.5</v>
      </c>
      <c r="K13572" s="32" t="n">
        <f aca="false">Assumptions!$K$61</f>
        <v>8.5</v>
      </c>
    </row>
    <row r="13573" customFormat="false" ht="15" hidden="false" customHeight="false" outlineLevel="0" collapsed="false">
      <c r="A13573" s="5" t="s">
        <v>335</v>
      </c>
      <c r="G13573" s="31" t="n">
        <f aca="false">G13572-G13571</f>
        <v>-7.95099679785146</v>
      </c>
      <c r="H13573" s="31" t="n">
        <f aca="false">H13572-H13571</f>
        <v>-19.762843438671</v>
      </c>
      <c r="I13573" s="31" t="n">
        <f aca="false">I13572-I13571</f>
        <v>-15.6949669153862</v>
      </c>
      <c r="J13573" s="31" t="n">
        <f aca="false">J13572-J13571</f>
        <v>-12.9512554815493</v>
      </c>
      <c r="K13573" s="31" t="n">
        <f aca="false">K13572-K13571</f>
        <v>-10.8841551627865</v>
      </c>
    </row>
    <row r="13574" customFormat="false" ht="15" hidden="false" customHeight="false" outlineLevel="0" collapsed="false">
      <c r="A13574" s="5" t="s">
        <v>336</v>
      </c>
      <c r="G13574" s="21" t="n">
        <f aca="false">IF(G13572=0,0,G13573/ABS(G13572))</f>
        <v>-0.935411387982525</v>
      </c>
      <c r="H13574" s="21" t="n">
        <f aca="false">IF(H13572=0,0,H13573/ABS(H13572))</f>
        <v>-2.32504040454953</v>
      </c>
      <c r="I13574" s="21" t="n">
        <f aca="false">IF(I13572=0,0,I13573/ABS(I13572))</f>
        <v>-1.84646669592778</v>
      </c>
      <c r="J13574" s="21" t="n">
        <f aca="false">IF(J13572=0,0,J13573/ABS(J13572))</f>
        <v>-1.52367711547639</v>
      </c>
      <c r="K13574" s="21" t="n">
        <f aca="false">IF(K13572=0,0,K13573/ABS(K13572))</f>
        <v>-1.28048884268077</v>
      </c>
    </row>
    <row r="13575" customFormat="false" ht="15" hidden="false" customHeight="false" outlineLevel="0" collapsed="false">
      <c r="A13575" s="5" t="s">
        <v>337</v>
      </c>
      <c r="G13575" s="20" t="n">
        <f aca="false">IF(G13573&lt;0,1,0)</f>
        <v>1</v>
      </c>
      <c r="H13575" s="20" t="n">
        <f aca="false">IF(H13573&lt;0,1,0)</f>
        <v>1</v>
      </c>
      <c r="I13575" s="20" t="n">
        <f aca="false">IF(I13573&lt;0,1,0)</f>
        <v>1</v>
      </c>
      <c r="J13575" s="20" t="n">
        <f aca="false">IF(J13573&lt;0,1,0)</f>
        <v>1</v>
      </c>
      <c r="K13575" s="20" t="n">
        <f aca="false">IF(K13573&lt;0,1,0)</f>
        <v>1</v>
      </c>
    </row>
    <row r="13576" customFormat="false" ht="15" hidden="false" customHeight="false" outlineLevel="0" collapsed="false">
      <c r="A13576" s="5" t="s">
        <v>338</v>
      </c>
      <c r="C13576" s="20" t="n">
        <f aca="false">IFERROR(INDEX($G$13427:$K$13427,MATCH(1,$G$13575:$K$13575,0)),0)</f>
        <v>2026</v>
      </c>
    </row>
    <row r="13577" customFormat="false" ht="15" hidden="false" customHeight="false" outlineLevel="0" collapsed="false">
      <c r="A13577" s="5" t="s">
        <v>339</v>
      </c>
      <c r="C13577" s="21" t="n">
        <f aca="false">MIN($G$13574:$K$13574)</f>
        <v>-2.32504040454953</v>
      </c>
    </row>
    <row r="13578" customFormat="false" ht="15" hidden="false" customHeight="false" outlineLevel="0" collapsed="false">
      <c r="A13578" s="5" t="s">
        <v>340</v>
      </c>
      <c r="G13578" s="20" t="n">
        <f aca="false">G13575</f>
        <v>1</v>
      </c>
      <c r="H13578" s="20" t="n">
        <f aca="false">H13575</f>
        <v>1</v>
      </c>
      <c r="I13578" s="20" t="n">
        <f aca="false">I13575</f>
        <v>1</v>
      </c>
      <c r="J13578" s="20" t="n">
        <f aca="false">J13575</f>
        <v>1</v>
      </c>
      <c r="K13578" s="20" t="n">
        <f aca="false">K13575</f>
        <v>1</v>
      </c>
    </row>
    <row r="13579" customFormat="false" ht="15" hidden="false" customHeight="false" outlineLevel="0" collapsed="false">
      <c r="A13579" s="5" t="s">
        <v>341</v>
      </c>
      <c r="C13579" s="20" t="n">
        <f aca="false">SUM($G$13578:$K$13578)</f>
        <v>5</v>
      </c>
    </row>
    <row r="13580" customFormat="false" ht="15" hidden="false" customHeight="false" outlineLevel="0" collapsed="false">
      <c r="A13580" s="5" t="s">
        <v>342</v>
      </c>
      <c r="C13580" s="21" t="n">
        <f aca="false">MIN(C13577)</f>
        <v>-2.32504040454953</v>
      </c>
    </row>
    <row r="13582" customFormat="false" ht="15" hidden="false" customHeight="false" outlineLevel="0" collapsed="false">
      <c r="A13582" s="23" t="s">
        <v>444</v>
      </c>
      <c r="B13582" s="24"/>
      <c r="C13582" s="24"/>
      <c r="D13582" s="24"/>
      <c r="E13582" s="24"/>
      <c r="F13582" s="24"/>
      <c r="G13582" s="24"/>
      <c r="H13582" s="24"/>
      <c r="I13582" s="24"/>
      <c r="J13582" s="24"/>
      <c r="K13582" s="24"/>
    </row>
    <row r="13583" customFormat="false" ht="15" hidden="false" customHeight="false" outlineLevel="0" collapsed="false">
      <c r="A13583" s="5" t="s">
        <v>445</v>
      </c>
      <c r="G13583" s="20" t="n">
        <f aca="false">IF($C$13584=1,G13552,IF(G13437=MIN($G$13437:$K$13437),1,0))</f>
        <v>0</v>
      </c>
      <c r="H13583" s="20" t="n">
        <f aca="false">IF($C$13584=1,H13552,IF(AND(H13437=MIN($G$13437:$K$13437),SUM($G$13583:G13583)=0),1,0))</f>
        <v>1</v>
      </c>
      <c r="I13583" s="20" t="n">
        <f aca="false">IF($C$13584=1,I13552,IF(AND(I13437=MIN($G$13437:$K$13437),SUM($G$13583:H13583)=0),1,0))</f>
        <v>0</v>
      </c>
      <c r="J13583" s="20" t="n">
        <f aca="false">IF($C$13584=1,J13552,IF(AND(J13437=MIN($G$13437:$K$13437),SUM($G$13583:I13583)=0),1,0))</f>
        <v>0</v>
      </c>
      <c r="K13583" s="20" t="n">
        <f aca="false">IF($C$13584=1,K13552,IF(AND(K13437=MIN($G$13437:$K$13437),SUM($G$13583:J13583)=0),1,0))</f>
        <v>0</v>
      </c>
    </row>
    <row r="13584" customFormat="false" ht="15" hidden="false" customHeight="false" outlineLevel="0" collapsed="false">
      <c r="A13584" s="5" t="s">
        <v>446</v>
      </c>
      <c r="C13584" s="20" t="n">
        <f aca="false">IF(SUM($G$13552:$K$13552)&gt;0,1,0)</f>
        <v>1</v>
      </c>
    </row>
    <row r="13585" customFormat="false" ht="15" hidden="false" customHeight="false" outlineLevel="0" collapsed="false">
      <c r="A13585" s="5" t="s">
        <v>447</v>
      </c>
      <c r="C13585" s="20" t="n">
        <f aca="false">SUMPRODUCT($G$13583:$K$13583,$G$13427:$K$13427)</f>
        <v>2027</v>
      </c>
    </row>
    <row r="13586" customFormat="false" ht="15" hidden="false" customHeight="false" outlineLevel="0" collapsed="false">
      <c r="A13586" s="5" t="s">
        <v>448</v>
      </c>
      <c r="C13586" s="25" t="n">
        <f aca="false">SUMPRODUCT($G$13583:$K$13583,$G$13437:$K$13437)</f>
        <v>48.9095184</v>
      </c>
    </row>
    <row r="13587" customFormat="false" ht="15" hidden="false" customHeight="false" outlineLevel="0" collapsed="false">
      <c r="A13587" s="5" t="s">
        <v>449</v>
      </c>
      <c r="C13587" s="25" t="n">
        <f aca="false">MAX(0,SUMPRODUCT($G$13583:$K$13583,$G$13549:$K$13549))</f>
        <v>0</v>
      </c>
    </row>
    <row r="13588" customFormat="false" ht="15" hidden="false" customHeight="false" outlineLevel="0" collapsed="false">
      <c r="A13588" s="5" t="s">
        <v>450</v>
      </c>
      <c r="C13588" s="25" t="n">
        <f aca="false">(CHOOSE($C$13420,Assumptions!$C$78,Assumptions!$C$97,Assumptions!$C$116)+$C$13424)*C13586</f>
        <v>195.6380736</v>
      </c>
    </row>
    <row r="13589" customFormat="false" ht="15" hidden="false" customHeight="false" outlineLevel="0" collapsed="false">
      <c r="A13589" s="5" t="s">
        <v>451</v>
      </c>
      <c r="C13589" s="25" t="n">
        <f aca="false">Assumptions!$C$27*(1-CHOOSE($C$13420,Assumptions!$C$79,Assumptions!$C$98,Assumptions!$C$117))*CHOOSE($C$13420,Assumptions!$C$80,Assumptions!$C$99,Assumptions!$C$118)</f>
        <v>530.4</v>
      </c>
    </row>
    <row r="13590" customFormat="false" ht="15" hidden="false" customHeight="false" outlineLevel="0" collapsed="false">
      <c r="A13590" s="5" t="s">
        <v>452</v>
      </c>
      <c r="C13590" s="25" t="n">
        <f aca="false">MAX(C13588,C13589)+C13587</f>
        <v>530.4</v>
      </c>
    </row>
    <row r="13591" customFormat="false" ht="15" hidden="false" customHeight="false" outlineLevel="0" collapsed="false">
      <c r="A13591" s="2" t="s">
        <v>453</v>
      </c>
      <c r="C13591" s="16" t="n">
        <f aca="false">IF(ISNUMBER(Assumptions!$C$14),Assumptions!$C$14,C13590)</f>
        <v>530.4</v>
      </c>
    </row>
    <row r="13592" customFormat="false" ht="15" hidden="false" customHeight="false" outlineLevel="0" collapsed="false">
      <c r="A13592" s="5" t="s">
        <v>454</v>
      </c>
      <c r="C13592" s="25" t="n">
        <f aca="false">C13591*Assumptions!$C$15</f>
        <v>21.216</v>
      </c>
    </row>
    <row r="13593" customFormat="false" ht="15" hidden="false" customHeight="false" outlineLevel="0" collapsed="false">
      <c r="A13593" s="2" t="s">
        <v>455</v>
      </c>
      <c r="C13593" s="16" t="n">
        <f aca="false">C13591-C13592</f>
        <v>509.184</v>
      </c>
    </row>
    <row r="13594" customFormat="false" ht="15" hidden="false" customHeight="false" outlineLevel="0" collapsed="false">
      <c r="A13594" s="23" t="s">
        <v>456</v>
      </c>
      <c r="B13594" s="24"/>
      <c r="C13594" s="24"/>
      <c r="D13594" s="24"/>
      <c r="E13594" s="24"/>
      <c r="F13594" s="24"/>
      <c r="G13594" s="24"/>
      <c r="H13594" s="24"/>
      <c r="I13594" s="24"/>
      <c r="J13594" s="24"/>
      <c r="K13594" s="24"/>
    </row>
    <row r="13595" customFormat="false" ht="15" hidden="false" customHeight="false" outlineLevel="0" collapsed="false">
      <c r="A13595" s="5" t="s">
        <v>457</v>
      </c>
      <c r="C13595" s="25" t="n">
        <f aca="false">SUMPRODUCT($G$13583:$K$13583,$G$13474:$K$13474)*(1+SUMPRODUCT($G$13583:$K$13583,$G$13466:$K$13466)*Assumptions!$C$16/12)</f>
        <v>213.9274917</v>
      </c>
    </row>
    <row r="13596" customFormat="false" ht="15" hidden="false" customHeight="false" outlineLevel="0" collapsed="false">
      <c r="A13596" s="5" t="s">
        <v>458</v>
      </c>
      <c r="C13596" s="25" t="n">
        <f aca="false">SUMPRODUCT($G$13583:$K$13583,$G$13487:$K$13487)*(1+SUMPRODUCT($G$13583:$K$13583,$G$13479:$K$13479)*Assumptions!$C$16/12)</f>
        <v>523.0407</v>
      </c>
    </row>
    <row r="13597" customFormat="false" ht="15" hidden="false" customHeight="false" outlineLevel="0" collapsed="false">
      <c r="A13597" s="5" t="s">
        <v>459</v>
      </c>
      <c r="C13597" s="25" t="n">
        <f aca="false">SUMPRODUCT($G$13583:$K$13583,$G$13500:$K$13500)*(1+SUMPRODUCT($G$13583:$K$13583,$G$13492:$K$13492)*Assumptions!$C$16/12)</f>
        <v>256.875</v>
      </c>
    </row>
    <row r="13598" customFormat="false" ht="15" hidden="false" customHeight="false" outlineLevel="0" collapsed="false">
      <c r="A13598" s="5" t="s">
        <v>460</v>
      </c>
      <c r="C13598" s="25" t="n">
        <f aca="false">SUMPRODUCT($G$13583:$K$13583,$G$13513:$K$13513)*(1+SUMPRODUCT($G$13583:$K$13583,$G$13505:$K$13505)*Assumptions!$C$16/12)</f>
        <v>305.625</v>
      </c>
    </row>
    <row r="13599" customFormat="false" ht="15" hidden="false" customHeight="false" outlineLevel="0" collapsed="false">
      <c r="A13599" s="23" t="s">
        <v>461</v>
      </c>
      <c r="B13599" s="24"/>
      <c r="C13599" s="24"/>
      <c r="D13599" s="24"/>
      <c r="E13599" s="24"/>
      <c r="F13599" s="24"/>
      <c r="G13599" s="24"/>
      <c r="H13599" s="24"/>
      <c r="I13599" s="24"/>
      <c r="J13599" s="24"/>
      <c r="K13599" s="24"/>
    </row>
    <row r="13600" customFormat="false" ht="15" hidden="false" customHeight="false" outlineLevel="0" collapsed="false">
      <c r="A13600" s="5" t="s">
        <v>457</v>
      </c>
      <c r="C13600" s="26" t="n">
        <f aca="false">Assumptions!$M$53</f>
        <v>1</v>
      </c>
    </row>
    <row r="13601" customFormat="false" ht="15" hidden="false" customHeight="false" outlineLevel="0" collapsed="false">
      <c r="A13601" s="5" t="s">
        <v>458</v>
      </c>
      <c r="C13601" s="26" t="n">
        <f aca="false">Assumptions!$M$54</f>
        <v>2</v>
      </c>
    </row>
    <row r="13602" customFormat="false" ht="15" hidden="false" customHeight="false" outlineLevel="0" collapsed="false">
      <c r="A13602" s="5" t="s">
        <v>459</v>
      </c>
      <c r="C13602" s="26" t="n">
        <f aca="false">Assumptions!$M$55</f>
        <v>3</v>
      </c>
    </row>
    <row r="13603" customFormat="false" ht="15" hidden="false" customHeight="false" outlineLevel="0" collapsed="false">
      <c r="A13603" s="5" t="s">
        <v>460</v>
      </c>
      <c r="C13603" s="26" t="n">
        <f aca="false">Assumptions!$M$56</f>
        <v>4</v>
      </c>
    </row>
    <row r="13604" customFormat="false" ht="15" hidden="false" customHeight="false" outlineLevel="0" collapsed="false">
      <c r="A13604" s="23" t="s">
        <v>462</v>
      </c>
      <c r="B13604" s="24"/>
      <c r="C13604" s="24"/>
      <c r="D13604" s="24"/>
      <c r="E13604" s="24"/>
      <c r="F13604" s="24"/>
      <c r="G13604" s="24"/>
      <c r="H13604" s="24"/>
      <c r="I13604" s="24"/>
      <c r="J13604" s="24"/>
      <c r="K13604" s="24"/>
    </row>
    <row r="13605" customFormat="false" ht="15" hidden="false" customHeight="false" outlineLevel="0" collapsed="false">
      <c r="A13605" s="5" t="s">
        <v>457</v>
      </c>
      <c r="C13605" s="34" t="n">
        <f aca="false">Assumptions!$Q$53</f>
        <v>0</v>
      </c>
    </row>
    <row r="13606" customFormat="false" ht="15" hidden="false" customHeight="false" outlineLevel="0" collapsed="false">
      <c r="A13606" s="5" t="s">
        <v>458</v>
      </c>
      <c r="C13606" s="34" t="n">
        <f aca="false">Assumptions!$Q$54</f>
        <v>0</v>
      </c>
    </row>
    <row r="13607" customFormat="false" ht="15" hidden="false" customHeight="false" outlineLevel="0" collapsed="false">
      <c r="A13607" s="5" t="s">
        <v>459</v>
      </c>
      <c r="C13607" s="34" t="n">
        <f aca="false">Assumptions!$Q$55</f>
        <v>0</v>
      </c>
    </row>
    <row r="13608" customFormat="false" ht="15" hidden="false" customHeight="false" outlineLevel="0" collapsed="false">
      <c r="A13608" s="5" t="s">
        <v>460</v>
      </c>
      <c r="C13608" s="34" t="n">
        <f aca="false">Assumptions!$Q$56</f>
        <v>0</v>
      </c>
    </row>
    <row r="13609" customFormat="false" ht="15" hidden="false" customHeight="false" outlineLevel="0" collapsed="false">
      <c r="A13609" s="23" t="s">
        <v>463</v>
      </c>
      <c r="B13609" s="24"/>
      <c r="C13609" s="24"/>
      <c r="D13609" s="24"/>
      <c r="E13609" s="24"/>
      <c r="F13609" s="24"/>
      <c r="G13609" s="24"/>
      <c r="H13609" s="24"/>
      <c r="I13609" s="24"/>
      <c r="J13609" s="24"/>
      <c r="K13609" s="24"/>
    </row>
    <row r="13610" customFormat="false" ht="15" hidden="false" customHeight="false" outlineLevel="0" collapsed="false">
      <c r="A13610" s="5" t="s">
        <v>457</v>
      </c>
      <c r="C13610" s="25" t="n">
        <f aca="false">IF(C13605&gt;0,MIN(C13595,C13605*$C$13593),0)</f>
        <v>0</v>
      </c>
    </row>
    <row r="13611" customFormat="false" ht="15" hidden="false" customHeight="false" outlineLevel="0" collapsed="false">
      <c r="A13611" s="5" t="s">
        <v>458</v>
      </c>
      <c r="C13611" s="25" t="n">
        <f aca="false">IF(C13606&gt;0,MIN(C13596,C13606*$C$13593),0)</f>
        <v>0</v>
      </c>
    </row>
    <row r="13612" customFormat="false" ht="15" hidden="false" customHeight="false" outlineLevel="0" collapsed="false">
      <c r="A13612" s="5" t="s">
        <v>459</v>
      </c>
      <c r="C13612" s="25" t="n">
        <f aca="false">IF(C13607&gt;0,MIN(C13597,C13607*$C$13593),0)</f>
        <v>0</v>
      </c>
    </row>
    <row r="13613" customFormat="false" ht="15" hidden="false" customHeight="false" outlineLevel="0" collapsed="false">
      <c r="A13613" s="5" t="s">
        <v>460</v>
      </c>
      <c r="C13613" s="25" t="n">
        <f aca="false">IF(C13608&gt;0,MIN(C13598,C13608*$C$13593),0)</f>
        <v>0</v>
      </c>
    </row>
    <row r="13614" customFormat="false" ht="15" hidden="false" customHeight="false" outlineLevel="0" collapsed="false">
      <c r="A13614" s="23" t="s">
        <v>464</v>
      </c>
      <c r="B13614" s="24"/>
      <c r="C13614" s="24"/>
      <c r="D13614" s="24"/>
      <c r="E13614" s="24"/>
      <c r="F13614" s="24"/>
      <c r="G13614" s="24"/>
      <c r="H13614" s="24"/>
      <c r="I13614" s="24"/>
      <c r="J13614" s="24"/>
      <c r="K13614" s="24"/>
    </row>
    <row r="13615" customFormat="false" ht="15" hidden="false" customHeight="false" outlineLevel="0" collapsed="false">
      <c r="A13615" s="5" t="s">
        <v>457</v>
      </c>
      <c r="C13615" s="25" t="n">
        <f aca="false">IF(C13605&gt;0,C13595-C13610,0)</f>
        <v>0</v>
      </c>
      <c r="G13615" s="20" t="n">
        <f aca="false">IF(AND(G13464=1,G13461=1),1,0)</f>
        <v>0</v>
      </c>
      <c r="H13615" s="20" t="n">
        <f aca="false">IF(G13615=1,1,IF(AND(H13464=1,H13461=1),1,0))</f>
        <v>0</v>
      </c>
      <c r="I13615" s="20" t="n">
        <f aca="false">IF(H13615=1,1,IF(AND(I13464=1,I13461=1),1,0))</f>
        <v>0</v>
      </c>
      <c r="J13615" s="20" t="n">
        <f aca="false">IF(I13615=1,1,IF(AND(J13464=1,J13461=1),1,0))</f>
        <v>0</v>
      </c>
      <c r="K13615" s="20" t="n">
        <f aca="false">IF(J13615=1,1,IF(AND(K13464=1,K13461=1),1,0))</f>
        <v>0</v>
      </c>
    </row>
    <row r="13616" customFormat="false" ht="15" hidden="false" customHeight="false" outlineLevel="0" collapsed="false">
      <c r="A13616" s="5" t="s">
        <v>458</v>
      </c>
      <c r="C13616" s="25" t="n">
        <f aca="false">IF(C13606&gt;0,C13596-C13611,0)</f>
        <v>0</v>
      </c>
      <c r="G13616" s="20" t="n">
        <f aca="false">IF(AND(G13477=1,G13461=1),1,0)</f>
        <v>0</v>
      </c>
      <c r="H13616" s="20" t="n">
        <f aca="false">IF(G13616=1,1,IF(AND(H13477=1,H13461=1),1,0))</f>
        <v>0</v>
      </c>
      <c r="I13616" s="20" t="n">
        <f aca="false">IF(H13616=1,1,IF(AND(I13477=1,I13461=1),1,0))</f>
        <v>0</v>
      </c>
      <c r="J13616" s="20" t="n">
        <f aca="false">IF(I13616=1,1,IF(AND(J13477=1,J13461=1),1,0))</f>
        <v>0</v>
      </c>
      <c r="K13616" s="20" t="n">
        <f aca="false">IF(J13616=1,1,IF(AND(K13477=1,K13461=1),1,0))</f>
        <v>0</v>
      </c>
    </row>
    <row r="13617" customFormat="false" ht="15" hidden="false" customHeight="false" outlineLevel="0" collapsed="false">
      <c r="A13617" s="5" t="s">
        <v>459</v>
      </c>
      <c r="C13617" s="25" t="n">
        <f aca="false">IF(C13607&gt;0,C13597-C13612,0)</f>
        <v>0</v>
      </c>
      <c r="G13617" s="20" t="n">
        <f aca="false">IF(AND(G13490=1,G13461=1),1,0)</f>
        <v>0</v>
      </c>
      <c r="H13617" s="20" t="n">
        <f aca="false">IF(G13617=1,1,IF(AND(H13490=1,H13461=1),1,0))</f>
        <v>0</v>
      </c>
      <c r="I13617" s="20" t="n">
        <f aca="false">IF(H13617=1,1,IF(AND(I13490=1,I13461=1),1,0))</f>
        <v>0</v>
      </c>
      <c r="J13617" s="20" t="n">
        <f aca="false">IF(I13617=1,1,IF(AND(J13490=1,J13461=1),1,0))</f>
        <v>0</v>
      </c>
      <c r="K13617" s="20" t="n">
        <f aca="false">IF(J13617=1,1,IF(AND(K13490=1,K13461=1),1,0))</f>
        <v>0</v>
      </c>
    </row>
    <row r="13618" customFormat="false" ht="15" hidden="false" customHeight="false" outlineLevel="0" collapsed="false">
      <c r="A13618" s="5" t="s">
        <v>460</v>
      </c>
      <c r="C13618" s="25" t="n">
        <f aca="false">IF(C13608&gt;0,C13598-C13613,0)</f>
        <v>0</v>
      </c>
      <c r="G13618" s="20" t="n">
        <f aca="false">IF(AND(G13503=1,G13461=1),1,0)</f>
        <v>0</v>
      </c>
      <c r="H13618" s="20" t="n">
        <f aca="false">IF(G13618=1,1,IF(AND(H13503=1,H13461=1),1,0))</f>
        <v>0</v>
      </c>
      <c r="I13618" s="20" t="n">
        <f aca="false">IF(H13618=1,1,IF(AND(I13503=1,I13461=1),1,0))</f>
        <v>0</v>
      </c>
      <c r="J13618" s="20" t="n">
        <f aca="false">IF(I13618=1,1,IF(AND(J13503=1,J13461=1),1,0))</f>
        <v>0</v>
      </c>
      <c r="K13618" s="20" t="n">
        <f aca="false">IF(J13618=1,1,IF(AND(K13503=1,K13461=1),1,0))</f>
        <v>0</v>
      </c>
    </row>
    <row r="13619" customFormat="false" ht="15" hidden="false" customHeight="false" outlineLevel="0" collapsed="false">
      <c r="A13619" s="23" t="s">
        <v>465</v>
      </c>
      <c r="B13619" s="24"/>
      <c r="C13619" s="24"/>
      <c r="D13619" s="24"/>
      <c r="E13619" s="24"/>
      <c r="F13619" s="24"/>
      <c r="G13619" s="24"/>
      <c r="H13619" s="24"/>
      <c r="I13619" s="24"/>
      <c r="J13619" s="24"/>
      <c r="K13619" s="24"/>
    </row>
    <row r="13620" customFormat="false" ht="15" hidden="false" customHeight="false" outlineLevel="0" collapsed="false">
      <c r="A13620" s="5" t="s">
        <v>457</v>
      </c>
      <c r="C13620" s="25" t="n">
        <f aca="false">IF(C13605&gt;0,C13615,C13595)</f>
        <v>213.9274917</v>
      </c>
    </row>
    <row r="13621" customFormat="false" ht="15" hidden="false" customHeight="false" outlineLevel="0" collapsed="false">
      <c r="A13621" s="5" t="s">
        <v>458</v>
      </c>
      <c r="C13621" s="25" t="n">
        <f aca="false">IF(C13606&gt;0,C13616,C13596)</f>
        <v>523.0407</v>
      </c>
    </row>
    <row r="13622" customFormat="false" ht="15" hidden="false" customHeight="false" outlineLevel="0" collapsed="false">
      <c r="A13622" s="5" t="s">
        <v>459</v>
      </c>
      <c r="C13622" s="25" t="n">
        <f aca="false">IF(C13607&gt;0,C13617,C13597)</f>
        <v>256.875</v>
      </c>
    </row>
    <row r="13623" customFormat="false" ht="15" hidden="false" customHeight="false" outlineLevel="0" collapsed="false">
      <c r="A13623" s="5" t="s">
        <v>460</v>
      </c>
      <c r="C13623" s="25" t="n">
        <f aca="false">IF(C13608&gt;0,C13618,C13598)</f>
        <v>305.625</v>
      </c>
    </row>
    <row r="13624" customFormat="false" ht="15" hidden="false" customHeight="false" outlineLevel="0" collapsed="false">
      <c r="A13624" s="23" t="s">
        <v>466</v>
      </c>
      <c r="B13624" s="24"/>
      <c r="C13624" s="24"/>
      <c r="D13624" s="24"/>
      <c r="E13624" s="24"/>
      <c r="F13624" s="24"/>
      <c r="G13624" s="24"/>
      <c r="H13624" s="24"/>
      <c r="I13624" s="24"/>
      <c r="J13624" s="24"/>
      <c r="K13624" s="24"/>
    </row>
    <row r="13625" customFormat="false" ht="15" hidden="false" customHeight="false" outlineLevel="0" collapsed="false">
      <c r="A13625" s="5" t="s">
        <v>457</v>
      </c>
      <c r="C13625" s="20" t="n">
        <f aca="false">IF(C13605&gt;0,Assumptions!$C$17,C13600)</f>
        <v>1</v>
      </c>
    </row>
    <row r="13626" customFormat="false" ht="15" hidden="false" customHeight="false" outlineLevel="0" collapsed="false">
      <c r="A13626" s="5" t="s">
        <v>458</v>
      </c>
      <c r="C13626" s="20" t="n">
        <f aca="false">IF(C13606&gt;0,Assumptions!$C$17,C13601)</f>
        <v>2</v>
      </c>
    </row>
    <row r="13627" customFormat="false" ht="15" hidden="false" customHeight="false" outlineLevel="0" collapsed="false">
      <c r="A13627" s="5" t="s">
        <v>459</v>
      </c>
      <c r="C13627" s="20" t="n">
        <f aca="false">IF(C13607&gt;0,Assumptions!$C$17,C13602)</f>
        <v>3</v>
      </c>
    </row>
    <row r="13628" customFormat="false" ht="15" hidden="false" customHeight="false" outlineLevel="0" collapsed="false">
      <c r="A13628" s="5" t="s">
        <v>460</v>
      </c>
      <c r="C13628" s="20" t="n">
        <f aca="false">IF(C13608&gt;0,Assumptions!$C$17,C13603)</f>
        <v>4</v>
      </c>
    </row>
    <row r="13629" customFormat="false" ht="15" hidden="false" customHeight="false" outlineLevel="0" collapsed="false">
      <c r="A13629" s="23" t="s">
        <v>467</v>
      </c>
      <c r="B13629" s="24"/>
      <c r="C13629" s="24"/>
      <c r="D13629" s="24"/>
      <c r="E13629" s="24"/>
      <c r="F13629" s="24"/>
      <c r="G13629" s="24"/>
      <c r="H13629" s="24"/>
      <c r="I13629" s="24"/>
      <c r="J13629" s="24"/>
      <c r="K13629" s="24"/>
    </row>
    <row r="13630" customFormat="false" ht="15" hidden="false" customHeight="false" outlineLevel="0" collapsed="false">
      <c r="A13630" s="5" t="s">
        <v>457</v>
      </c>
      <c r="C13630" s="25" t="n">
        <f aca="false">SUMPRODUCT(($C$13625:$C$13628&lt;C13625)*$C$13620:$C$13623)</f>
        <v>0</v>
      </c>
    </row>
    <row r="13631" customFormat="false" ht="15" hidden="false" customHeight="false" outlineLevel="0" collapsed="false">
      <c r="A13631" s="5" t="s">
        <v>458</v>
      </c>
      <c r="C13631" s="25" t="n">
        <f aca="false">SUMPRODUCT(($C$13625:$C$13628&lt;C13626)*$C$13620:$C$13623)</f>
        <v>213.9274917</v>
      </c>
    </row>
    <row r="13632" customFormat="false" ht="15" hidden="false" customHeight="false" outlineLevel="0" collapsed="false">
      <c r="A13632" s="5" t="s">
        <v>459</v>
      </c>
      <c r="C13632" s="25" t="n">
        <f aca="false">SUMPRODUCT(($C$13625:$C$13628&lt;C13627)*$C$13620:$C$13623)</f>
        <v>736.9681917</v>
      </c>
    </row>
    <row r="13633" customFormat="false" ht="15" hidden="false" customHeight="false" outlineLevel="0" collapsed="false">
      <c r="A13633" s="5" t="s">
        <v>460</v>
      </c>
      <c r="C13633" s="25" t="n">
        <f aca="false">SUMPRODUCT(($C$13625:$C$13628&lt;C13628)*$C$13620:$C$13623)</f>
        <v>993.8431917</v>
      </c>
    </row>
    <row r="13634" customFormat="false" ht="15" hidden="false" customHeight="false" outlineLevel="0" collapsed="false">
      <c r="A13634" s="23" t="s">
        <v>468</v>
      </c>
      <c r="B13634" s="24"/>
      <c r="C13634" s="24"/>
      <c r="D13634" s="24"/>
      <c r="E13634" s="24"/>
      <c r="F13634" s="24"/>
      <c r="G13634" s="24"/>
      <c r="H13634" s="24"/>
      <c r="I13634" s="24"/>
      <c r="J13634" s="24"/>
      <c r="K13634" s="24"/>
    </row>
    <row r="13635" customFormat="false" ht="15" hidden="false" customHeight="false" outlineLevel="0" collapsed="false">
      <c r="A13635" s="5" t="s">
        <v>457</v>
      </c>
      <c r="C13635" s="25" t="n">
        <f aca="false">SUMPRODUCT(($C$13625:$C$13628=C13625)*$C$13620:$C$13623)</f>
        <v>213.9274917</v>
      </c>
    </row>
    <row r="13636" customFormat="false" ht="15" hidden="false" customHeight="false" outlineLevel="0" collapsed="false">
      <c r="A13636" s="5" t="s">
        <v>458</v>
      </c>
      <c r="C13636" s="25" t="n">
        <f aca="false">SUMPRODUCT(($C$13625:$C$13628=C13626)*$C$13620:$C$13623)</f>
        <v>523.0407</v>
      </c>
    </row>
    <row r="13637" customFormat="false" ht="15" hidden="false" customHeight="false" outlineLevel="0" collapsed="false">
      <c r="A13637" s="5" t="s">
        <v>459</v>
      </c>
      <c r="C13637" s="25" t="n">
        <f aca="false">SUMPRODUCT(($C$13625:$C$13628=C13627)*$C$13620:$C$13623)</f>
        <v>256.875</v>
      </c>
    </row>
    <row r="13638" customFormat="false" ht="15" hidden="false" customHeight="false" outlineLevel="0" collapsed="false">
      <c r="A13638" s="5" t="s">
        <v>460</v>
      </c>
      <c r="C13638" s="25" t="n">
        <f aca="false">SUMPRODUCT(($C$13625:$C$13628=C13628)*$C$13620:$C$13623)</f>
        <v>305.625</v>
      </c>
    </row>
    <row r="13639" customFormat="false" ht="15" hidden="false" customHeight="false" outlineLevel="0" collapsed="false">
      <c r="A13639" s="23" t="s">
        <v>469</v>
      </c>
      <c r="B13639" s="24"/>
      <c r="C13639" s="24"/>
      <c r="D13639" s="24"/>
      <c r="E13639" s="24"/>
      <c r="F13639" s="24"/>
      <c r="G13639" s="24"/>
      <c r="H13639" s="24"/>
      <c r="I13639" s="24"/>
      <c r="J13639" s="24"/>
      <c r="K13639" s="24"/>
    </row>
    <row r="13640" customFormat="false" ht="15" hidden="false" customHeight="false" outlineLevel="0" collapsed="false">
      <c r="A13640" s="5" t="s">
        <v>457</v>
      </c>
      <c r="C13640" s="25" t="n">
        <f aca="false">IF(C13635=0,0,C13620/C13635*MAX(0,MIN(C13635,$C$13593-SUM($C$13610:$C$13613)-C13630)))</f>
        <v>213.9274917</v>
      </c>
    </row>
    <row r="13641" customFormat="false" ht="15" hidden="false" customHeight="false" outlineLevel="0" collapsed="false">
      <c r="A13641" s="5" t="s">
        <v>458</v>
      </c>
      <c r="C13641" s="25" t="n">
        <f aca="false">IF(C13636=0,0,C13621/C13636*MAX(0,MIN(C13636,$C$13593-SUM($C$13610:$C$13613)-C13631)))</f>
        <v>295.2565083</v>
      </c>
    </row>
    <row r="13642" customFormat="false" ht="15" hidden="false" customHeight="false" outlineLevel="0" collapsed="false">
      <c r="A13642" s="5" t="s">
        <v>459</v>
      </c>
      <c r="C13642" s="25" t="n">
        <f aca="false">IF(C13637=0,0,C13622/C13637*MAX(0,MIN(C13637,$C$13593-SUM($C$13610:$C$13613)-C13632)))</f>
        <v>0</v>
      </c>
    </row>
    <row r="13643" customFormat="false" ht="15" hidden="false" customHeight="false" outlineLevel="0" collapsed="false">
      <c r="A13643" s="5" t="s">
        <v>460</v>
      </c>
      <c r="C13643" s="25" t="n">
        <f aca="false">IF(C13638=0,0,C13623/C13638*MAX(0,MIN(C13638,$C$13593-SUM($C$13610:$C$13613)-C13633)))</f>
        <v>0</v>
      </c>
    </row>
    <row r="13644" customFormat="false" ht="15" hidden="false" customHeight="false" outlineLevel="0" collapsed="false">
      <c r="A13644" s="23" t="s">
        <v>470</v>
      </c>
      <c r="B13644" s="24"/>
      <c r="C13644" s="24"/>
      <c r="D13644" s="24"/>
      <c r="E13644" s="24"/>
      <c r="F13644" s="24"/>
      <c r="G13644" s="24"/>
      <c r="H13644" s="24"/>
      <c r="I13644" s="24"/>
      <c r="J13644" s="24"/>
      <c r="K13644" s="24"/>
    </row>
    <row r="13645" customFormat="false" ht="15" hidden="false" customHeight="false" outlineLevel="0" collapsed="false">
      <c r="A13645" s="2" t="s">
        <v>457</v>
      </c>
      <c r="C13645" s="16" t="n">
        <f aca="false">C13610+C13640</f>
        <v>213.9274917</v>
      </c>
    </row>
    <row r="13646" customFormat="false" ht="15" hidden="false" customHeight="false" outlineLevel="0" collapsed="false">
      <c r="A13646" s="2" t="s">
        <v>458</v>
      </c>
      <c r="C13646" s="16" t="n">
        <f aca="false">C13611+C13641</f>
        <v>295.2565083</v>
      </c>
    </row>
    <row r="13647" customFormat="false" ht="15" hidden="false" customHeight="false" outlineLevel="0" collapsed="false">
      <c r="A13647" s="2" t="s">
        <v>459</v>
      </c>
      <c r="C13647" s="16" t="n">
        <f aca="false">C13612+C13642</f>
        <v>0</v>
      </c>
    </row>
    <row r="13648" customFormat="false" ht="15" hidden="false" customHeight="false" outlineLevel="0" collapsed="false">
      <c r="A13648" s="2" t="s">
        <v>460</v>
      </c>
      <c r="C13648" s="16" t="n">
        <f aca="false">C13613+C13643</f>
        <v>0</v>
      </c>
    </row>
    <row r="13649" customFormat="false" ht="15" hidden="false" customHeight="false" outlineLevel="0" collapsed="false">
      <c r="A13649" s="23" t="s">
        <v>471</v>
      </c>
      <c r="B13649" s="24"/>
      <c r="C13649" s="24"/>
      <c r="D13649" s="24"/>
      <c r="E13649" s="24"/>
      <c r="F13649" s="24"/>
      <c r="G13649" s="24"/>
      <c r="H13649" s="24"/>
      <c r="I13649" s="24"/>
      <c r="J13649" s="24"/>
      <c r="K13649" s="24"/>
    </row>
    <row r="13650" customFormat="false" ht="15" hidden="false" customHeight="false" outlineLevel="0" collapsed="false">
      <c r="A13650" s="5" t="s">
        <v>457</v>
      </c>
      <c r="C13650" s="21" t="n">
        <f aca="false">IF(C13595=0,1,C13645/C13595)</f>
        <v>1</v>
      </c>
    </row>
    <row r="13651" customFormat="false" ht="15" hidden="false" customHeight="false" outlineLevel="0" collapsed="false">
      <c r="A13651" s="5" t="s">
        <v>458</v>
      </c>
      <c r="C13651" s="21" t="n">
        <f aca="false">IF(C13596=0,1,C13646/C13596)</f>
        <v>0.564500063379389</v>
      </c>
    </row>
    <row r="13652" customFormat="false" ht="15" hidden="false" customHeight="false" outlineLevel="0" collapsed="false">
      <c r="A13652" s="5" t="s">
        <v>459</v>
      </c>
      <c r="C13652" s="21" t="n">
        <f aca="false">IF(C13597=0,1,C13647/C13597)</f>
        <v>0</v>
      </c>
    </row>
    <row r="13653" customFormat="false" ht="15" hidden="false" customHeight="false" outlineLevel="0" collapsed="false">
      <c r="A13653" s="5" t="s">
        <v>460</v>
      </c>
      <c r="C13653" s="21" t="n">
        <f aca="false">IF(C13598=0,1,C13648/C13598)</f>
        <v>0</v>
      </c>
    </row>
    <row r="13654" customFormat="false" ht="15" hidden="false" customHeight="false" outlineLevel="0" collapsed="false">
      <c r="A13654" s="23" t="s">
        <v>472</v>
      </c>
      <c r="B13654" s="24"/>
      <c r="C13654" s="24"/>
      <c r="D13654" s="24"/>
      <c r="E13654" s="24"/>
      <c r="F13654" s="24"/>
      <c r="G13654" s="24"/>
      <c r="H13654" s="24"/>
      <c r="I13654" s="24"/>
      <c r="J13654" s="24"/>
      <c r="K13654" s="24"/>
    </row>
    <row r="13655" customFormat="false" ht="15" hidden="false" customHeight="false" outlineLevel="0" collapsed="false">
      <c r="A13655" s="5" t="s">
        <v>457</v>
      </c>
      <c r="C13655" s="25" t="n">
        <f aca="false">C13595-C13645</f>
        <v>0</v>
      </c>
    </row>
    <row r="13656" customFormat="false" ht="15" hidden="false" customHeight="false" outlineLevel="0" collapsed="false">
      <c r="A13656" s="5" t="s">
        <v>458</v>
      </c>
      <c r="C13656" s="25" t="n">
        <f aca="false">C13596-C13646</f>
        <v>227.7841917</v>
      </c>
    </row>
    <row r="13657" customFormat="false" ht="15" hidden="false" customHeight="false" outlineLevel="0" collapsed="false">
      <c r="A13657" s="5" t="s">
        <v>459</v>
      </c>
      <c r="C13657" s="25" t="n">
        <f aca="false">C13597-C13647</f>
        <v>256.875</v>
      </c>
    </row>
    <row r="13658" customFormat="false" ht="15" hidden="false" customHeight="false" outlineLevel="0" collapsed="false">
      <c r="A13658" s="5" t="s">
        <v>460</v>
      </c>
      <c r="C13658" s="25" t="n">
        <f aca="false">C13598-C13648</f>
        <v>305.625</v>
      </c>
    </row>
    <row r="13659" customFormat="false" ht="15" hidden="false" customHeight="false" outlineLevel="0" collapsed="false">
      <c r="A13659" s="23" t="s">
        <v>473</v>
      </c>
      <c r="B13659" s="24"/>
      <c r="C13659" s="24"/>
      <c r="D13659" s="24"/>
      <c r="E13659" s="24"/>
      <c r="F13659" s="24"/>
      <c r="G13659" s="24"/>
      <c r="H13659" s="24"/>
      <c r="I13659" s="24"/>
      <c r="J13659" s="24"/>
      <c r="K13659" s="24"/>
    </row>
    <row r="13660" customFormat="false" ht="15" hidden="false" customHeight="false" outlineLevel="0" collapsed="false">
      <c r="A13660" s="5" t="s">
        <v>457</v>
      </c>
      <c r="C13660" s="21" t="n">
        <f aca="false">IF(C13595=0,0,C13655/C13595)</f>
        <v>0</v>
      </c>
    </row>
    <row r="13661" customFormat="false" ht="15" hidden="false" customHeight="false" outlineLevel="0" collapsed="false">
      <c r="A13661" s="5" t="s">
        <v>458</v>
      </c>
      <c r="C13661" s="21" t="n">
        <f aca="false">IF(C13596=0,0,C13656/C13596)</f>
        <v>0.435499936620611</v>
      </c>
    </row>
    <row r="13662" customFormat="false" ht="15" hidden="false" customHeight="false" outlineLevel="0" collapsed="false">
      <c r="A13662" s="5" t="s">
        <v>459</v>
      </c>
      <c r="C13662" s="21" t="n">
        <f aca="false">IF(C13597=0,0,C13657/C13597)</f>
        <v>1</v>
      </c>
    </row>
    <row r="13663" customFormat="false" ht="15" hidden="false" customHeight="false" outlineLevel="0" collapsed="false">
      <c r="A13663" s="5" t="s">
        <v>460</v>
      </c>
      <c r="C13663" s="21" t="n">
        <f aca="false">IF(C13598=0,0,C13658/C13598)</f>
        <v>1</v>
      </c>
    </row>
    <row r="13664" customFormat="false" ht="15" hidden="false" customHeight="false" outlineLevel="0" collapsed="false">
      <c r="A13664" s="2" t="s">
        <v>474</v>
      </c>
      <c r="C13664" s="16" t="n">
        <f aca="false">MAX(0,$C$13593-SUM($C$13610:$C$13613)-SUM($C$13620:$C$13623))</f>
        <v>0</v>
      </c>
    </row>
    <row r="13665" customFormat="false" ht="15" hidden="false" customHeight="false" outlineLevel="0" collapsed="false">
      <c r="A13665" s="5" t="s">
        <v>475</v>
      </c>
      <c r="C13665" s="25" t="n">
        <f aca="false">SUM($C$13645:$C$13648)+C13664+C13592-C13591</f>
        <v>0</v>
      </c>
    </row>
    <row r="13667" customFormat="false" ht="15" hidden="false" customHeight="false" outlineLevel="0" collapsed="false">
      <c r="A13667" s="23" t="s">
        <v>478</v>
      </c>
      <c r="B13667" s="24"/>
      <c r="C13667" s="24"/>
      <c r="D13667" s="24"/>
      <c r="E13667" s="24"/>
      <c r="F13667" s="24"/>
      <c r="G13667" s="24"/>
      <c r="H13667" s="24"/>
      <c r="I13667" s="24"/>
      <c r="J13667" s="24"/>
      <c r="K13667" s="24"/>
    </row>
    <row r="13668" customFormat="false" ht="15" hidden="false" customHeight="false" outlineLevel="0" collapsed="false">
      <c r="A13668" s="5" t="s">
        <v>479</v>
      </c>
      <c r="C13668" s="26" t="n">
        <f aca="false">Assumptions!$C$30</f>
        <v>2</v>
      </c>
    </row>
    <row r="13669" customFormat="false" ht="15" hidden="false" customHeight="false" outlineLevel="0" collapsed="false">
      <c r="A13669" s="5" t="s">
        <v>480</v>
      </c>
      <c r="C13669" s="28" t="n">
        <f aca="false">Assumptions!$C$31</f>
        <v>100</v>
      </c>
    </row>
    <row r="13670" customFormat="false" ht="15" hidden="false" customHeight="false" outlineLevel="0" collapsed="false">
      <c r="A13670" s="5" t="s">
        <v>481</v>
      </c>
      <c r="C13670" s="39" t="n">
        <f aca="false">Assumptions!$C$32</f>
        <v>78</v>
      </c>
    </row>
    <row r="13671" customFormat="false" ht="15" hidden="false" customHeight="false" outlineLevel="0" collapsed="false">
      <c r="A13671" s="5" t="s">
        <v>482</v>
      </c>
      <c r="C13671" s="25" t="n">
        <f aca="false">C13669*C13670/100*(1+Assumptions!$C$33)</f>
        <v>78.39</v>
      </c>
    </row>
    <row r="13672" customFormat="false" ht="15" hidden="false" customHeight="false" outlineLevel="0" collapsed="false">
      <c r="A13672" s="5" t="s">
        <v>483</v>
      </c>
      <c r="C13672" s="26" t="n">
        <f aca="false">Assumptions!$C$34</f>
        <v>2</v>
      </c>
    </row>
    <row r="13673" customFormat="false" ht="15" hidden="false" customHeight="false" outlineLevel="0" collapsed="false">
      <c r="A13673" s="5" t="s">
        <v>484</v>
      </c>
      <c r="C13673" s="20" t="n">
        <f aca="false">IF(C13584=1,SUMPRODUCT($G$13552:$K$13552,$G$13428:$K$13428),0)</f>
        <v>2</v>
      </c>
    </row>
    <row r="13674" customFormat="false" ht="15" hidden="false" customHeight="false" outlineLevel="0" collapsed="false">
      <c r="A13674" s="5" t="s">
        <v>485</v>
      </c>
      <c r="C13674" s="21" t="n">
        <f aca="false">IFERROR(C13669/CHOOSE(C13668,SUMPRODUCT($G$13583:$K$13583,$G$13474:$K$13474),SUMPRODUCT($G$13583:$K$13583,$G$13487:$K$13487),SUMPRODUCT($G$13583:$K$13583,$G$13500:$K$13500),SUMPRODUCT($G$13583:$K$13583,$G$13513:$K$13513)),0)</f>
        <v>0.196232339089482</v>
      </c>
    </row>
    <row r="13675" customFormat="false" ht="15" hidden="false" customHeight="false" outlineLevel="0" collapsed="false">
      <c r="A13675" s="5" t="s">
        <v>486</v>
      </c>
      <c r="C13675" s="25" t="n">
        <f aca="false">CHOOSE(C13668,C13645,C13646,C13647,C13648)*C13674</f>
        <v>57.938875255102</v>
      </c>
    </row>
    <row r="13676" customFormat="false" ht="15" hidden="false" customHeight="false" outlineLevel="0" collapsed="false">
      <c r="A13676" s="5" t="s">
        <v>487</v>
      </c>
      <c r="C13676" s="21" t="n">
        <f aca="false">CHOOSE(C13668,C13650,C13651,C13652,C13653)</f>
        <v>0.564500063379389</v>
      </c>
    </row>
    <row r="13677" customFormat="false" ht="15" hidden="false" customHeight="false" outlineLevel="0" collapsed="false">
      <c r="A13677" s="5" t="s">
        <v>488</v>
      </c>
      <c r="C13677" s="20" t="n">
        <f aca="false">IF(C13584=1,C13673,C13672)</f>
        <v>2</v>
      </c>
    </row>
    <row r="13678" customFormat="false" ht="15" hidden="false" customHeight="false" outlineLevel="0" collapsed="false">
      <c r="A13678" s="5" t="s">
        <v>489</v>
      </c>
      <c r="C13678" s="33" t="n">
        <f aca="false">CHOOSE($C$13420,Assumptions!$C$77,Assumptions!$C$96,Assumptions!$C$115)</f>
        <v>90</v>
      </c>
    </row>
    <row r="13679" customFormat="false" ht="15" hidden="false" customHeight="false" outlineLevel="0" collapsed="false">
      <c r="A13679" s="5" t="s">
        <v>490</v>
      </c>
      <c r="C13679" s="25" t="n">
        <f aca="false">INDEX($G$13437:$K$13437,C13672)*CHOOSE($C$13420,Assumptions!$C$76,Assumptions!$C$95,Assumptions!$C$114)+MAX(0,INDEX($G$13549:$K$13549,C13672))</f>
        <v>244.547592</v>
      </c>
    </row>
    <row r="13680" customFormat="false" ht="15" hidden="false" customHeight="false" outlineLevel="0" collapsed="false">
      <c r="A13680" s="23" t="s">
        <v>491</v>
      </c>
      <c r="B13680" s="24"/>
      <c r="C13680" s="24"/>
      <c r="D13680" s="24"/>
      <c r="E13680" s="24"/>
      <c r="F13680" s="24"/>
      <c r="G13680" s="24"/>
      <c r="H13680" s="24"/>
      <c r="I13680" s="24"/>
      <c r="J13680" s="24"/>
      <c r="K13680" s="24"/>
    </row>
    <row r="13681" customFormat="false" ht="15" hidden="false" customHeight="false" outlineLevel="0" collapsed="false">
      <c r="A13681" s="5" t="s">
        <v>457</v>
      </c>
      <c r="C13681" s="25" t="n">
        <f aca="false">INDEX($G$13474:$K$13474,C13672)</f>
        <v>209.2968</v>
      </c>
    </row>
    <row r="13682" customFormat="false" ht="15" hidden="false" customHeight="false" outlineLevel="0" collapsed="false">
      <c r="A13682" s="5" t="s">
        <v>458</v>
      </c>
      <c r="C13682" s="25" t="n">
        <f aca="false">INDEX($G$13487:$K$13487,C13672)</f>
        <v>509.6</v>
      </c>
    </row>
    <row r="13683" customFormat="false" ht="15" hidden="false" customHeight="false" outlineLevel="0" collapsed="false">
      <c r="A13683" s="5" t="s">
        <v>459</v>
      </c>
      <c r="C13683" s="25" t="n">
        <f aca="false">INDEX($G$13500:$K$13500,C13672)</f>
        <v>250</v>
      </c>
    </row>
    <row r="13684" customFormat="false" ht="15" hidden="false" customHeight="false" outlineLevel="0" collapsed="false">
      <c r="A13684" s="5" t="s">
        <v>460</v>
      </c>
      <c r="C13684" s="25" t="n">
        <f aca="false">INDEX($G$13513:$K$13513,C13672)</f>
        <v>300</v>
      </c>
    </row>
    <row r="13685" customFormat="false" ht="15" hidden="false" customHeight="false" outlineLevel="0" collapsed="false">
      <c r="A13685" s="23" t="s">
        <v>461</v>
      </c>
      <c r="B13685" s="24"/>
      <c r="C13685" s="24"/>
      <c r="D13685" s="24"/>
      <c r="E13685" s="24"/>
      <c r="F13685" s="24"/>
      <c r="G13685" s="24"/>
      <c r="H13685" s="24"/>
      <c r="I13685" s="24"/>
      <c r="J13685" s="24"/>
      <c r="K13685" s="24"/>
    </row>
    <row r="13686" customFormat="false" ht="15" hidden="false" customHeight="false" outlineLevel="0" collapsed="false">
      <c r="A13686" s="5" t="s">
        <v>457</v>
      </c>
      <c r="C13686" s="26" t="n">
        <f aca="false">Assumptions!$M$53</f>
        <v>1</v>
      </c>
    </row>
    <row r="13687" customFormat="false" ht="15" hidden="false" customHeight="false" outlineLevel="0" collapsed="false">
      <c r="A13687" s="5" t="s">
        <v>458</v>
      </c>
      <c r="C13687" s="26" t="n">
        <f aca="false">Assumptions!$M$54</f>
        <v>2</v>
      </c>
    </row>
    <row r="13688" customFormat="false" ht="15" hidden="false" customHeight="false" outlineLevel="0" collapsed="false">
      <c r="A13688" s="5" t="s">
        <v>459</v>
      </c>
      <c r="C13688" s="26" t="n">
        <f aca="false">Assumptions!$M$55</f>
        <v>3</v>
      </c>
    </row>
    <row r="13689" customFormat="false" ht="15" hidden="false" customHeight="false" outlineLevel="0" collapsed="false">
      <c r="A13689" s="5" t="s">
        <v>460</v>
      </c>
      <c r="C13689" s="26" t="n">
        <f aca="false">Assumptions!$M$56</f>
        <v>4</v>
      </c>
    </row>
    <row r="13690" customFormat="false" ht="15" hidden="false" customHeight="false" outlineLevel="0" collapsed="false">
      <c r="A13690" s="23" t="s">
        <v>462</v>
      </c>
      <c r="B13690" s="24"/>
      <c r="C13690" s="24"/>
      <c r="D13690" s="24"/>
      <c r="E13690" s="24"/>
      <c r="F13690" s="24"/>
      <c r="G13690" s="24"/>
      <c r="H13690" s="24"/>
      <c r="I13690" s="24"/>
      <c r="J13690" s="24"/>
      <c r="K13690" s="24"/>
    </row>
    <row r="13691" customFormat="false" ht="15" hidden="false" customHeight="false" outlineLevel="0" collapsed="false">
      <c r="A13691" s="5" t="s">
        <v>457</v>
      </c>
      <c r="C13691" s="34" t="n">
        <f aca="false">Assumptions!$Q$53</f>
        <v>0</v>
      </c>
    </row>
    <row r="13692" customFormat="false" ht="15" hidden="false" customHeight="false" outlineLevel="0" collapsed="false">
      <c r="A13692" s="5" t="s">
        <v>458</v>
      </c>
      <c r="C13692" s="34" t="n">
        <f aca="false">Assumptions!$Q$54</f>
        <v>0</v>
      </c>
    </row>
    <row r="13693" customFormat="false" ht="15" hidden="false" customHeight="false" outlineLevel="0" collapsed="false">
      <c r="A13693" s="5" t="s">
        <v>459</v>
      </c>
      <c r="C13693" s="34" t="n">
        <f aca="false">Assumptions!$Q$55</f>
        <v>0</v>
      </c>
    </row>
    <row r="13694" customFormat="false" ht="15" hidden="false" customHeight="false" outlineLevel="0" collapsed="false">
      <c r="A13694" s="5" t="s">
        <v>460</v>
      </c>
      <c r="C13694" s="34" t="n">
        <f aca="false">Assumptions!$Q$56</f>
        <v>0</v>
      </c>
    </row>
    <row r="13695" customFormat="false" ht="15" hidden="false" customHeight="false" outlineLevel="0" collapsed="false">
      <c r="A13695" s="23" t="s">
        <v>463</v>
      </c>
      <c r="B13695" s="24"/>
      <c r="C13695" s="24"/>
      <c r="D13695" s="24"/>
      <c r="E13695" s="24"/>
      <c r="F13695" s="24"/>
      <c r="G13695" s="24"/>
      <c r="H13695" s="24"/>
      <c r="I13695" s="24"/>
      <c r="J13695" s="24"/>
      <c r="K13695" s="24"/>
    </row>
    <row r="13696" customFormat="false" ht="15" hidden="false" customHeight="false" outlineLevel="0" collapsed="false">
      <c r="A13696" s="5" t="s">
        <v>457</v>
      </c>
      <c r="C13696" s="25" t="n">
        <f aca="false">IF(C13691&gt;0,MIN(C13681,C13691*$C$13679),0)</f>
        <v>0</v>
      </c>
    </row>
    <row r="13697" customFormat="false" ht="15" hidden="false" customHeight="false" outlineLevel="0" collapsed="false">
      <c r="A13697" s="5" t="s">
        <v>458</v>
      </c>
      <c r="C13697" s="25" t="n">
        <f aca="false">IF(C13692&gt;0,MIN(C13682,C13692*$C$13679),0)</f>
        <v>0</v>
      </c>
    </row>
    <row r="13698" customFormat="false" ht="15" hidden="false" customHeight="false" outlineLevel="0" collapsed="false">
      <c r="A13698" s="5" t="s">
        <v>459</v>
      </c>
      <c r="C13698" s="25" t="n">
        <f aca="false">IF(C13693&gt;0,MIN(C13683,C13693*$C$13679),0)</f>
        <v>0</v>
      </c>
    </row>
    <row r="13699" customFormat="false" ht="15" hidden="false" customHeight="false" outlineLevel="0" collapsed="false">
      <c r="A13699" s="5" t="s">
        <v>460</v>
      </c>
      <c r="C13699" s="25" t="n">
        <f aca="false">IF(C13694&gt;0,MIN(C13684,C13694*$C$13679),0)</f>
        <v>0</v>
      </c>
    </row>
    <row r="13700" customFormat="false" ht="15" hidden="false" customHeight="false" outlineLevel="0" collapsed="false">
      <c r="A13700" s="23" t="s">
        <v>464</v>
      </c>
      <c r="B13700" s="24"/>
      <c r="C13700" s="24"/>
      <c r="D13700" s="24"/>
      <c r="E13700" s="24"/>
      <c r="F13700" s="24"/>
      <c r="G13700" s="24"/>
      <c r="H13700" s="24"/>
      <c r="I13700" s="24"/>
      <c r="J13700" s="24"/>
      <c r="K13700" s="24"/>
    </row>
    <row r="13701" customFormat="false" ht="15" hidden="false" customHeight="false" outlineLevel="0" collapsed="false">
      <c r="A13701" s="5" t="s">
        <v>457</v>
      </c>
      <c r="C13701" s="25" t="n">
        <f aca="false">IF(C13691&gt;0,C13681-C13696,0)</f>
        <v>0</v>
      </c>
    </row>
    <row r="13702" customFormat="false" ht="15" hidden="false" customHeight="false" outlineLevel="0" collapsed="false">
      <c r="A13702" s="5" t="s">
        <v>458</v>
      </c>
      <c r="C13702" s="25" t="n">
        <f aca="false">IF(C13692&gt;0,C13682-C13697,0)</f>
        <v>0</v>
      </c>
    </row>
    <row r="13703" customFormat="false" ht="15" hidden="false" customHeight="false" outlineLevel="0" collapsed="false">
      <c r="A13703" s="5" t="s">
        <v>459</v>
      </c>
      <c r="C13703" s="25" t="n">
        <f aca="false">IF(C13693&gt;0,C13683-C13698,0)</f>
        <v>0</v>
      </c>
    </row>
    <row r="13704" customFormat="false" ht="15" hidden="false" customHeight="false" outlineLevel="0" collapsed="false">
      <c r="A13704" s="5" t="s">
        <v>460</v>
      </c>
      <c r="C13704" s="25" t="n">
        <f aca="false">IF(C13694&gt;0,C13684-C13699,0)</f>
        <v>0</v>
      </c>
    </row>
    <row r="13705" customFormat="false" ht="15" hidden="false" customHeight="false" outlineLevel="0" collapsed="false">
      <c r="A13705" s="23" t="s">
        <v>465</v>
      </c>
      <c r="B13705" s="24"/>
      <c r="C13705" s="24"/>
      <c r="D13705" s="24"/>
      <c r="E13705" s="24"/>
      <c r="F13705" s="24"/>
      <c r="G13705" s="24"/>
      <c r="H13705" s="24"/>
      <c r="I13705" s="24"/>
      <c r="J13705" s="24"/>
      <c r="K13705" s="24"/>
    </row>
    <row r="13706" customFormat="false" ht="15" hidden="false" customHeight="false" outlineLevel="0" collapsed="false">
      <c r="A13706" s="5" t="s">
        <v>457</v>
      </c>
      <c r="C13706" s="25" t="n">
        <f aca="false">IF(C13691&gt;0,C13701,C13681)</f>
        <v>209.2968</v>
      </c>
    </row>
    <row r="13707" customFormat="false" ht="15" hidden="false" customHeight="false" outlineLevel="0" collapsed="false">
      <c r="A13707" s="5" t="s">
        <v>458</v>
      </c>
      <c r="C13707" s="25" t="n">
        <f aca="false">IF(C13692&gt;0,C13702,C13682)</f>
        <v>509.6</v>
      </c>
    </row>
    <row r="13708" customFormat="false" ht="15" hidden="false" customHeight="false" outlineLevel="0" collapsed="false">
      <c r="A13708" s="5" t="s">
        <v>459</v>
      </c>
      <c r="C13708" s="25" t="n">
        <f aca="false">IF(C13693&gt;0,C13703,C13683)</f>
        <v>250</v>
      </c>
    </row>
    <row r="13709" customFormat="false" ht="15" hidden="false" customHeight="false" outlineLevel="0" collapsed="false">
      <c r="A13709" s="5" t="s">
        <v>460</v>
      </c>
      <c r="C13709" s="25" t="n">
        <f aca="false">IF(C13694&gt;0,C13704,C13684)</f>
        <v>300</v>
      </c>
    </row>
    <row r="13710" customFormat="false" ht="15" hidden="false" customHeight="false" outlineLevel="0" collapsed="false">
      <c r="A13710" s="23" t="s">
        <v>466</v>
      </c>
      <c r="B13710" s="24"/>
      <c r="C13710" s="24"/>
      <c r="D13710" s="24"/>
      <c r="E13710" s="24"/>
      <c r="F13710" s="24"/>
      <c r="G13710" s="24"/>
      <c r="H13710" s="24"/>
      <c r="I13710" s="24"/>
      <c r="J13710" s="24"/>
      <c r="K13710" s="24"/>
    </row>
    <row r="13711" customFormat="false" ht="15" hidden="false" customHeight="false" outlineLevel="0" collapsed="false">
      <c r="A13711" s="5" t="s">
        <v>457</v>
      </c>
      <c r="C13711" s="20" t="n">
        <f aca="false">IF(C13691&gt;0,Assumptions!$C$17,C13686)</f>
        <v>1</v>
      </c>
    </row>
    <row r="13712" customFormat="false" ht="15" hidden="false" customHeight="false" outlineLevel="0" collapsed="false">
      <c r="A13712" s="5" t="s">
        <v>458</v>
      </c>
      <c r="C13712" s="20" t="n">
        <f aca="false">IF(C13692&gt;0,Assumptions!$C$17,C13687)</f>
        <v>2</v>
      </c>
    </row>
    <row r="13713" customFormat="false" ht="15" hidden="false" customHeight="false" outlineLevel="0" collapsed="false">
      <c r="A13713" s="5" t="s">
        <v>459</v>
      </c>
      <c r="C13713" s="20" t="n">
        <f aca="false">IF(C13693&gt;0,Assumptions!$C$17,C13688)</f>
        <v>3</v>
      </c>
    </row>
    <row r="13714" customFormat="false" ht="15" hidden="false" customHeight="false" outlineLevel="0" collapsed="false">
      <c r="A13714" s="5" t="s">
        <v>460</v>
      </c>
      <c r="C13714" s="20" t="n">
        <f aca="false">IF(C13694&gt;0,Assumptions!$C$17,C13689)</f>
        <v>4</v>
      </c>
    </row>
    <row r="13715" customFormat="false" ht="15" hidden="false" customHeight="false" outlineLevel="0" collapsed="false">
      <c r="A13715" s="23" t="s">
        <v>467</v>
      </c>
      <c r="B13715" s="24"/>
      <c r="C13715" s="24"/>
      <c r="D13715" s="24"/>
      <c r="E13715" s="24"/>
      <c r="F13715" s="24"/>
      <c r="G13715" s="24"/>
      <c r="H13715" s="24"/>
      <c r="I13715" s="24"/>
      <c r="J13715" s="24"/>
      <c r="K13715" s="24"/>
    </row>
    <row r="13716" customFormat="false" ht="15" hidden="false" customHeight="false" outlineLevel="0" collapsed="false">
      <c r="A13716" s="5" t="s">
        <v>457</v>
      </c>
      <c r="C13716" s="25" t="n">
        <f aca="false">SUMPRODUCT(($C$13711:$C$13714&lt;C13711)*$C$13706:$C$13709)</f>
        <v>0</v>
      </c>
    </row>
    <row r="13717" customFormat="false" ht="15" hidden="false" customHeight="false" outlineLevel="0" collapsed="false">
      <c r="A13717" s="5" t="s">
        <v>458</v>
      </c>
      <c r="C13717" s="25" t="n">
        <f aca="false">SUMPRODUCT(($C$13711:$C$13714&lt;C13712)*$C$13706:$C$13709)</f>
        <v>209.2968</v>
      </c>
    </row>
    <row r="13718" customFormat="false" ht="15" hidden="false" customHeight="false" outlineLevel="0" collapsed="false">
      <c r="A13718" s="5" t="s">
        <v>459</v>
      </c>
      <c r="C13718" s="25" t="n">
        <f aca="false">SUMPRODUCT(($C$13711:$C$13714&lt;C13713)*$C$13706:$C$13709)</f>
        <v>718.8968</v>
      </c>
    </row>
    <row r="13719" customFormat="false" ht="15" hidden="false" customHeight="false" outlineLevel="0" collapsed="false">
      <c r="A13719" s="5" t="s">
        <v>460</v>
      </c>
      <c r="C13719" s="25" t="n">
        <f aca="false">SUMPRODUCT(($C$13711:$C$13714&lt;C13714)*$C$13706:$C$13709)</f>
        <v>968.8968</v>
      </c>
    </row>
    <row r="13720" customFormat="false" ht="15" hidden="false" customHeight="false" outlineLevel="0" collapsed="false">
      <c r="A13720" s="23" t="s">
        <v>468</v>
      </c>
      <c r="B13720" s="24"/>
      <c r="C13720" s="24"/>
      <c r="D13720" s="24"/>
      <c r="E13720" s="24"/>
      <c r="F13720" s="24"/>
      <c r="G13720" s="24"/>
      <c r="H13720" s="24"/>
      <c r="I13720" s="24"/>
      <c r="J13720" s="24"/>
      <c r="K13720" s="24"/>
    </row>
    <row r="13721" customFormat="false" ht="15" hidden="false" customHeight="false" outlineLevel="0" collapsed="false">
      <c r="A13721" s="5" t="s">
        <v>457</v>
      </c>
      <c r="C13721" s="25" t="n">
        <f aca="false">SUMPRODUCT(($C$13711:$C$13714=C13711)*$C$13706:$C$13709)</f>
        <v>209.2968</v>
      </c>
    </row>
    <row r="13722" customFormat="false" ht="15" hidden="false" customHeight="false" outlineLevel="0" collapsed="false">
      <c r="A13722" s="5" t="s">
        <v>458</v>
      </c>
      <c r="C13722" s="25" t="n">
        <f aca="false">SUMPRODUCT(($C$13711:$C$13714=C13712)*$C$13706:$C$13709)</f>
        <v>509.6</v>
      </c>
    </row>
    <row r="13723" customFormat="false" ht="15" hidden="false" customHeight="false" outlineLevel="0" collapsed="false">
      <c r="A13723" s="5" t="s">
        <v>459</v>
      </c>
      <c r="C13723" s="25" t="n">
        <f aca="false">SUMPRODUCT(($C$13711:$C$13714=C13713)*$C$13706:$C$13709)</f>
        <v>250</v>
      </c>
    </row>
    <row r="13724" customFormat="false" ht="15" hidden="false" customHeight="false" outlineLevel="0" collapsed="false">
      <c r="A13724" s="5" t="s">
        <v>460</v>
      </c>
      <c r="C13724" s="25" t="n">
        <f aca="false">SUMPRODUCT(($C$13711:$C$13714=C13714)*$C$13706:$C$13709)</f>
        <v>300</v>
      </c>
    </row>
    <row r="13725" customFormat="false" ht="15" hidden="false" customHeight="false" outlineLevel="0" collapsed="false">
      <c r="A13725" s="23" t="s">
        <v>469</v>
      </c>
      <c r="B13725" s="24"/>
      <c r="C13725" s="24"/>
      <c r="D13725" s="24"/>
      <c r="E13725" s="24"/>
      <c r="F13725" s="24"/>
      <c r="G13725" s="24"/>
      <c r="H13725" s="24"/>
      <c r="I13725" s="24"/>
      <c r="J13725" s="24"/>
      <c r="K13725" s="24"/>
    </row>
    <row r="13726" customFormat="false" ht="15" hidden="false" customHeight="false" outlineLevel="0" collapsed="false">
      <c r="A13726" s="5" t="s">
        <v>457</v>
      </c>
      <c r="C13726" s="25" t="n">
        <f aca="false">IF(C13721=0,0,C13706/C13721*MAX(0,MIN(C13721,$C$13679-SUM($C$13696:$C$13699)-C13716)))</f>
        <v>209.2968</v>
      </c>
    </row>
    <row r="13727" customFormat="false" ht="15" hidden="false" customHeight="false" outlineLevel="0" collapsed="false">
      <c r="A13727" s="5" t="s">
        <v>458</v>
      </c>
      <c r="C13727" s="25" t="n">
        <f aca="false">IF(C13722=0,0,C13707/C13722*MAX(0,MIN(C13722,$C$13679-SUM($C$13696:$C$13699)-C13717)))</f>
        <v>35.2507919999999</v>
      </c>
    </row>
    <row r="13728" customFormat="false" ht="15" hidden="false" customHeight="false" outlineLevel="0" collapsed="false">
      <c r="A13728" s="5" t="s">
        <v>459</v>
      </c>
      <c r="C13728" s="25" t="n">
        <f aca="false">IF(C13723=0,0,C13708/C13723*MAX(0,MIN(C13723,$C$13679-SUM($C$13696:$C$13699)-C13718)))</f>
        <v>0</v>
      </c>
    </row>
    <row r="13729" customFormat="false" ht="15" hidden="false" customHeight="false" outlineLevel="0" collapsed="false">
      <c r="A13729" s="5" t="s">
        <v>460</v>
      </c>
      <c r="C13729" s="25" t="n">
        <f aca="false">IF(C13724=0,0,C13709/C13724*MAX(0,MIN(C13724,$C$13679-SUM($C$13696:$C$13699)-C13719)))</f>
        <v>0</v>
      </c>
    </row>
    <row r="13730" customFormat="false" ht="15" hidden="false" customHeight="false" outlineLevel="0" collapsed="false">
      <c r="A13730" s="23" t="s">
        <v>470</v>
      </c>
      <c r="B13730" s="24"/>
      <c r="C13730" s="24"/>
      <c r="D13730" s="24"/>
      <c r="E13730" s="24"/>
      <c r="F13730" s="24"/>
      <c r="G13730" s="24"/>
      <c r="H13730" s="24"/>
      <c r="I13730" s="24"/>
      <c r="J13730" s="24"/>
      <c r="K13730" s="24"/>
    </row>
    <row r="13731" customFormat="false" ht="15" hidden="false" customHeight="false" outlineLevel="0" collapsed="false">
      <c r="A13731" s="2" t="s">
        <v>457</v>
      </c>
      <c r="C13731" s="16" t="n">
        <f aca="false">C13696+C13726</f>
        <v>209.2968</v>
      </c>
    </row>
    <row r="13732" customFormat="false" ht="15" hidden="false" customHeight="false" outlineLevel="0" collapsed="false">
      <c r="A13732" s="2" t="s">
        <v>458</v>
      </c>
      <c r="C13732" s="16" t="n">
        <f aca="false">C13697+C13727</f>
        <v>35.2507919999999</v>
      </c>
    </row>
    <row r="13733" customFormat="false" ht="15" hidden="false" customHeight="false" outlineLevel="0" collapsed="false">
      <c r="A13733" s="2" t="s">
        <v>459</v>
      </c>
      <c r="C13733" s="16" t="n">
        <f aca="false">C13698+C13728</f>
        <v>0</v>
      </c>
    </row>
    <row r="13734" customFormat="false" ht="15" hidden="false" customHeight="false" outlineLevel="0" collapsed="false">
      <c r="A13734" s="2" t="s">
        <v>460</v>
      </c>
      <c r="C13734" s="16" t="n">
        <f aca="false">C13699+C13729</f>
        <v>0</v>
      </c>
    </row>
    <row r="13735" customFormat="false" ht="15" hidden="false" customHeight="false" outlineLevel="0" collapsed="false">
      <c r="A13735" s="23" t="s">
        <v>471</v>
      </c>
      <c r="B13735" s="24"/>
      <c r="C13735" s="24"/>
      <c r="D13735" s="24"/>
      <c r="E13735" s="24"/>
      <c r="F13735" s="24"/>
      <c r="G13735" s="24"/>
      <c r="H13735" s="24"/>
      <c r="I13735" s="24"/>
      <c r="J13735" s="24"/>
      <c r="K13735" s="24"/>
    </row>
    <row r="13736" customFormat="false" ht="15" hidden="false" customHeight="false" outlineLevel="0" collapsed="false">
      <c r="A13736" s="5" t="s">
        <v>457</v>
      </c>
      <c r="C13736" s="21" t="n">
        <f aca="false">IF(C13681=0,1,C13731/C13681)</f>
        <v>1</v>
      </c>
    </row>
    <row r="13737" customFormat="false" ht="15" hidden="false" customHeight="false" outlineLevel="0" collapsed="false">
      <c r="A13737" s="5" t="s">
        <v>458</v>
      </c>
      <c r="C13737" s="21" t="n">
        <f aca="false">IF(C13682=0,1,C13732/C13682)</f>
        <v>0.0691734536891677</v>
      </c>
    </row>
    <row r="13738" customFormat="false" ht="15" hidden="false" customHeight="false" outlineLevel="0" collapsed="false">
      <c r="A13738" s="5" t="s">
        <v>459</v>
      </c>
      <c r="C13738" s="21" t="n">
        <f aca="false">IF(C13683=0,1,C13733/C13683)</f>
        <v>0</v>
      </c>
    </row>
    <row r="13739" customFormat="false" ht="15" hidden="false" customHeight="false" outlineLevel="0" collapsed="false">
      <c r="A13739" s="5" t="s">
        <v>460</v>
      </c>
      <c r="C13739" s="21" t="n">
        <f aca="false">IF(C13684=0,1,C13734/C13684)</f>
        <v>0</v>
      </c>
    </row>
    <row r="13740" customFormat="false" ht="15" hidden="false" customHeight="false" outlineLevel="0" collapsed="false">
      <c r="A13740" s="23" t="s">
        <v>472</v>
      </c>
      <c r="B13740" s="24"/>
      <c r="C13740" s="24"/>
      <c r="D13740" s="24"/>
      <c r="E13740" s="24"/>
      <c r="F13740" s="24"/>
      <c r="G13740" s="24"/>
      <c r="H13740" s="24"/>
      <c r="I13740" s="24"/>
      <c r="J13740" s="24"/>
      <c r="K13740" s="24"/>
    </row>
    <row r="13741" customFormat="false" ht="15" hidden="false" customHeight="false" outlineLevel="0" collapsed="false">
      <c r="A13741" s="5" t="s">
        <v>457</v>
      </c>
      <c r="C13741" s="25" t="n">
        <f aca="false">C13681-C13731</f>
        <v>0</v>
      </c>
    </row>
    <row r="13742" customFormat="false" ht="15" hidden="false" customHeight="false" outlineLevel="0" collapsed="false">
      <c r="A13742" s="5" t="s">
        <v>458</v>
      </c>
      <c r="C13742" s="25" t="n">
        <f aca="false">C13682-C13732</f>
        <v>474.349208</v>
      </c>
    </row>
    <row r="13743" customFormat="false" ht="15" hidden="false" customHeight="false" outlineLevel="0" collapsed="false">
      <c r="A13743" s="5" t="s">
        <v>459</v>
      </c>
      <c r="C13743" s="25" t="n">
        <f aca="false">C13683-C13733</f>
        <v>250</v>
      </c>
    </row>
    <row r="13744" customFormat="false" ht="15" hidden="false" customHeight="false" outlineLevel="0" collapsed="false">
      <c r="A13744" s="5" t="s">
        <v>460</v>
      </c>
      <c r="C13744" s="25" t="n">
        <f aca="false">C13684-C13734</f>
        <v>300</v>
      </c>
    </row>
    <row r="13745" customFormat="false" ht="15" hidden="false" customHeight="false" outlineLevel="0" collapsed="false">
      <c r="A13745" s="23" t="s">
        <v>473</v>
      </c>
      <c r="B13745" s="24"/>
      <c r="C13745" s="24"/>
      <c r="D13745" s="24"/>
      <c r="E13745" s="24"/>
      <c r="F13745" s="24"/>
      <c r="G13745" s="24"/>
      <c r="H13745" s="24"/>
      <c r="I13745" s="24"/>
      <c r="J13745" s="24"/>
      <c r="K13745" s="24"/>
    </row>
    <row r="13746" customFormat="false" ht="15" hidden="false" customHeight="false" outlineLevel="0" collapsed="false">
      <c r="A13746" s="5" t="s">
        <v>457</v>
      </c>
      <c r="C13746" s="21" t="n">
        <f aca="false">IF(C13681=0,0,C13741/C13681)</f>
        <v>0</v>
      </c>
    </row>
    <row r="13747" customFormat="false" ht="15" hidden="false" customHeight="false" outlineLevel="0" collapsed="false">
      <c r="A13747" s="5" t="s">
        <v>458</v>
      </c>
      <c r="C13747" s="21" t="n">
        <f aca="false">IF(C13682=0,0,C13742/C13682)</f>
        <v>0.930826546310832</v>
      </c>
    </row>
    <row r="13748" customFormat="false" ht="15" hidden="false" customHeight="false" outlineLevel="0" collapsed="false">
      <c r="A13748" s="5" t="s">
        <v>459</v>
      </c>
      <c r="C13748" s="21" t="n">
        <f aca="false">IF(C13683=0,0,C13743/C13683)</f>
        <v>1</v>
      </c>
    </row>
    <row r="13749" customFormat="false" ht="15" hidden="false" customHeight="false" outlineLevel="0" collapsed="false">
      <c r="A13749" s="5" t="s">
        <v>460</v>
      </c>
      <c r="C13749" s="21" t="n">
        <f aca="false">IF(C13684=0,0,C13744/C13684)</f>
        <v>1</v>
      </c>
    </row>
    <row r="13750" customFormat="false" ht="15" hidden="false" customHeight="false" outlineLevel="0" collapsed="false">
      <c r="A13750" s="2" t="s">
        <v>474</v>
      </c>
      <c r="C13750" s="16" t="n">
        <f aca="false">MAX(0,$C$13679-SUM($C$13696:$C$13699)-SUM($C$13706:$C$13709))</f>
        <v>0</v>
      </c>
    </row>
    <row r="13751" customFormat="false" ht="15" hidden="false" customHeight="false" outlineLevel="0" collapsed="false">
      <c r="A13751" s="5" t="s">
        <v>492</v>
      </c>
      <c r="C13751" s="33" t="n">
        <f aca="false">MIN(C13678,100*CHOOSE(C13668,C13736,C13737,C13738,C13739))</f>
        <v>6.91734536891677</v>
      </c>
    </row>
    <row r="13752" customFormat="false" ht="15" hidden="false" customHeight="false" outlineLevel="0" collapsed="false">
      <c r="A13752" s="5" t="s">
        <v>493</v>
      </c>
      <c r="C13752" s="20" t="n">
        <f aca="false">IF(C13584=1,C13673+Assumptions!$C$36,C13672)</f>
        <v>3</v>
      </c>
    </row>
    <row r="13753" customFormat="false" ht="15" hidden="false" customHeight="false" outlineLevel="0" collapsed="false">
      <c r="A13753" s="23" t="s">
        <v>494</v>
      </c>
      <c r="B13753" s="24"/>
      <c r="C13753" s="24"/>
      <c r="D13753" s="24"/>
      <c r="E13753" s="24"/>
      <c r="F13753" s="24"/>
      <c r="G13753" s="24"/>
      <c r="H13753" s="24"/>
      <c r="I13753" s="24"/>
      <c r="J13753" s="24"/>
      <c r="K13753" s="24"/>
    </row>
    <row r="13754" customFormat="false" ht="15" hidden="false" customHeight="false" outlineLevel="0" collapsed="false">
      <c r="A13754" s="5" t="s">
        <v>495</v>
      </c>
      <c r="C13754" s="20" t="n">
        <f aca="false">COLUMN()-COLUMN($C$1)</f>
        <v>0</v>
      </c>
      <c r="D13754" s="20" t="n">
        <f aca="false">COLUMN()-COLUMN($C$1)</f>
        <v>1</v>
      </c>
      <c r="E13754" s="20" t="n">
        <f aca="false">COLUMN()-COLUMN($C$1)</f>
        <v>2</v>
      </c>
      <c r="F13754" s="20" t="n">
        <f aca="false">COLUMN()-COLUMN($C$1)</f>
        <v>3</v>
      </c>
      <c r="G13754" s="20" t="n">
        <f aca="false">COLUMN()-COLUMN($C$1)</f>
        <v>4</v>
      </c>
      <c r="H13754" s="20" t="n">
        <f aca="false">COLUMN()-COLUMN($C$1)</f>
        <v>5</v>
      </c>
      <c r="I13754" s="20" t="n">
        <f aca="false">COLUMN()-COLUMN($C$1)</f>
        <v>6</v>
      </c>
    </row>
    <row r="13755" customFormat="false" ht="15" hidden="false" customHeight="false" outlineLevel="0" collapsed="false">
      <c r="A13755" s="5" t="s">
        <v>496</v>
      </c>
      <c r="D13755" s="30" t="n">
        <f aca="false">CHOOSE($C$13668,G13466,G13479,G13492,G13505)</f>
        <v>0.108</v>
      </c>
      <c r="E13755" s="30" t="n">
        <f aca="false">CHOOSE($C$13668,H13466,H13479,H13492,H13505)</f>
        <v>0.1055</v>
      </c>
      <c r="F13755" s="30" t="n">
        <f aca="false">CHOOSE($C$13668,I13466,I13479,I13492,I13505)</f>
        <v>0.103</v>
      </c>
      <c r="G13755" s="30" t="n">
        <f aca="false">CHOOSE($C$13668,J13466,J13479,J13492,J13505)</f>
        <v>0.103</v>
      </c>
      <c r="H13755" s="30" t="n">
        <f aca="false">CHOOSE($C$13668,K13466,K13479,K13492,K13505)</f>
        <v>0.103</v>
      </c>
    </row>
    <row r="13756" customFormat="false" ht="15" hidden="false" customHeight="false" outlineLevel="0" collapsed="false">
      <c r="A13756" s="5" t="s">
        <v>497</v>
      </c>
      <c r="D13756" s="25" t="n">
        <f aca="false">IF(D13754&lt;=$C$13677,$C$13669*D13755,0)</f>
        <v>10.8</v>
      </c>
      <c r="E13756" s="25" t="n">
        <f aca="false">IF(E13754&lt;=$C$13677,$C$13669*E13755,0)</f>
        <v>10.55</v>
      </c>
      <c r="F13756" s="25" t="n">
        <f aca="false">IF(F13754&lt;=$C$13677,$C$13669*F13755,0)</f>
        <v>0</v>
      </c>
      <c r="G13756" s="25" t="n">
        <f aca="false">IF(G13754&lt;=$C$13677,$C$13669*G13755,0)</f>
        <v>0</v>
      </c>
      <c r="H13756" s="25" t="n">
        <f aca="false">IF(H13754&lt;=$C$13677,$C$13669*H13755,0)</f>
        <v>0</v>
      </c>
    </row>
    <row r="13757" customFormat="false" ht="15" hidden="false" customHeight="false" outlineLevel="0" collapsed="false">
      <c r="A13757" s="5" t="s">
        <v>498</v>
      </c>
      <c r="D13757" s="25" t="n">
        <f aca="false">IF(AND($C$13584=0,D13754=$C$13672),$C$13669*$C$13751/100,0)+IF(AND($C$13584=1,D13754=$C$13752),$C$13675,0)</f>
        <v>0</v>
      </c>
      <c r="E13757" s="25" t="n">
        <f aca="false">IF(AND($C$13584=0,E13754=$C$13672),$C$13669*$C$13751/100,0)+IF(AND($C$13584=1,E13754=$C$13752),$C$13675,0)</f>
        <v>0</v>
      </c>
      <c r="F13757" s="25" t="n">
        <f aca="false">IF(AND($C$13584=0,F13754=$C$13672),$C$13669*$C$13751/100,0)+IF(AND($C$13584=1,F13754=$C$13752),$C$13675,0)</f>
        <v>57.938875255102</v>
      </c>
      <c r="G13757" s="25" t="n">
        <f aca="false">IF(AND($C$13584=0,G13754=$C$13672),$C$13669*$C$13751/100,0)+IF(AND($C$13584=1,G13754=$C$13752),$C$13675,0)</f>
        <v>0</v>
      </c>
      <c r="H13757" s="25" t="n">
        <f aca="false">IF(AND($C$13584=0,H13754=$C$13672),$C$13669*$C$13751/100,0)+IF(AND($C$13584=1,H13754=$C$13752),$C$13675,0)</f>
        <v>0</v>
      </c>
      <c r="I13757" s="25" t="n">
        <f aca="false">IF(AND($C$13584=0,I13754=$C$13672),$C$13669*$C$13751/100,0)+IF(AND($C$13584=1,I13754=$C$13752),$C$13675,0)</f>
        <v>0</v>
      </c>
    </row>
    <row r="13758" customFormat="false" ht="15" hidden="false" customHeight="false" outlineLevel="0" collapsed="false">
      <c r="A13758" s="2" t="s">
        <v>499</v>
      </c>
      <c r="C13758" s="16" t="n">
        <f aca="false">-$C$13671</f>
        <v>-78.39</v>
      </c>
      <c r="D13758" s="16" t="n">
        <f aca="false">D13756+D13757</f>
        <v>10.8</v>
      </c>
      <c r="E13758" s="16" t="n">
        <f aca="false">E13756+E13757</f>
        <v>10.55</v>
      </c>
      <c r="F13758" s="16" t="n">
        <f aca="false">F13756+F13757</f>
        <v>57.938875255102</v>
      </c>
      <c r="G13758" s="16" t="n">
        <f aca="false">G13756+G13757</f>
        <v>0</v>
      </c>
      <c r="H13758" s="16" t="n">
        <f aca="false">H13756+H13757</f>
        <v>0</v>
      </c>
      <c r="I13758" s="16" t="n">
        <f aca="false">I13756+I13757</f>
        <v>0</v>
      </c>
    </row>
    <row r="13759" customFormat="false" ht="15" hidden="false" customHeight="false" outlineLevel="0" collapsed="false">
      <c r="A13759" s="5" t="s">
        <v>500</v>
      </c>
      <c r="C13759" s="25" t="n">
        <f aca="false">SUM($C$13756:$I$13756)</f>
        <v>21.35</v>
      </c>
    </row>
    <row r="13760" customFormat="false" ht="15" hidden="false" customHeight="false" outlineLevel="0" collapsed="false">
      <c r="A13760" s="5" t="s">
        <v>501</v>
      </c>
      <c r="C13760" s="25" t="n">
        <f aca="false">SUM($C$13757:$I$13757)</f>
        <v>57.938875255102</v>
      </c>
    </row>
    <row r="13761" customFormat="false" ht="15" hidden="false" customHeight="false" outlineLevel="0" collapsed="false">
      <c r="A13761" s="5" t="s">
        <v>502</v>
      </c>
      <c r="C13761" s="25" t="n">
        <f aca="false">C13759+C13760</f>
        <v>79.288875255102</v>
      </c>
    </row>
    <row r="13762" customFormat="false" ht="15" hidden="false" customHeight="false" outlineLevel="0" collapsed="false">
      <c r="A13762" s="5" t="s">
        <v>503</v>
      </c>
      <c r="C13762" s="25" t="n">
        <f aca="false">C13760-C13669*C13670/100</f>
        <v>-20.061124744898</v>
      </c>
    </row>
    <row r="13763" customFormat="false" ht="15" hidden="false" customHeight="false" outlineLevel="0" collapsed="false">
      <c r="A13763" s="5" t="s">
        <v>504</v>
      </c>
      <c r="C13763" s="25" t="n">
        <f aca="false">C13761-C13671</f>
        <v>0.898875255102041</v>
      </c>
    </row>
    <row r="13764" customFormat="false" ht="15" hidden="false" customHeight="false" outlineLevel="0" collapsed="false">
      <c r="A13764" s="2" t="s">
        <v>385</v>
      </c>
      <c r="C13764" s="43" t="n">
        <f aca="false">C13761/C13671</f>
        <v>1.01146670819112</v>
      </c>
    </row>
    <row r="13765" customFormat="false" ht="15" hidden="false" customHeight="false" outlineLevel="0" collapsed="false">
      <c r="A13765" s="2" t="s">
        <v>384</v>
      </c>
      <c r="C13765" s="41" t="n">
        <f aca="false">IF(C13761&lt;=0,-1,IFERROR(IRR($C$13758:$I$13758,MAX(-0.9,C13764^(1/C13752)-1)),IRR($C$13758:$I$13758,0.1)))</f>
        <v>0.0044060330346512</v>
      </c>
    </row>
    <row r="13766" customFormat="false" ht="15" hidden="false" customHeight="false" outlineLevel="0" collapsed="false">
      <c r="A13766" s="5" t="s">
        <v>505</v>
      </c>
      <c r="C13766" s="31" t="n">
        <f aca="false">MAX($G$13560:$K$13560)</f>
        <v>28.262843438671</v>
      </c>
    </row>
    <row r="13767" customFormat="false" ht="15" hidden="false" customHeight="false" outlineLevel="0" collapsed="false">
      <c r="A13767" s="5" t="s">
        <v>506</v>
      </c>
      <c r="C13767" s="31" t="n">
        <f aca="false">MIN($G$13561:$K$13561)</f>
        <v>0.398175195665511</v>
      </c>
    </row>
    <row r="13768" customFormat="false" ht="15" hidden="false" customHeight="false" outlineLevel="0" collapsed="false">
      <c r="A13768" s="5" t="s">
        <v>507</v>
      </c>
      <c r="C13768" s="25" t="n">
        <f aca="false">SUM($G$13450:$K$13450)</f>
        <v>-443.1235103404</v>
      </c>
    </row>
    <row r="13772" customFormat="false" ht="15" hidden="false" customHeight="false" outlineLevel="0" collapsed="false">
      <c r="A13772" s="9" t="s">
        <v>665</v>
      </c>
      <c r="B13772" s="10"/>
      <c r="C13772" s="10"/>
      <c r="D13772" s="10"/>
      <c r="E13772" s="10"/>
      <c r="F13772" s="10"/>
      <c r="G13772" s="10"/>
      <c r="H13772" s="10"/>
      <c r="I13772" s="10"/>
      <c r="J13772" s="10"/>
      <c r="K13772" s="10"/>
    </row>
    <row r="13773" customFormat="false" ht="15" hidden="false" customHeight="false" outlineLevel="0" collapsed="false">
      <c r="A13773" s="5" t="s">
        <v>622</v>
      </c>
      <c r="C13773" s="11" t="n">
        <v>2</v>
      </c>
    </row>
    <row r="13774" customFormat="false" ht="15" hidden="false" customHeight="false" outlineLevel="0" collapsed="false">
      <c r="A13774" s="5" t="s">
        <v>623</v>
      </c>
      <c r="C13774" s="18" t="n">
        <v>0</v>
      </c>
    </row>
    <row r="13775" customFormat="false" ht="15" hidden="false" customHeight="false" outlineLevel="0" collapsed="false">
      <c r="A13775" s="5" t="s">
        <v>624</v>
      </c>
      <c r="C13775" s="18" t="n">
        <v>0</v>
      </c>
    </row>
    <row r="13776" customFormat="false" ht="15" hidden="false" customHeight="false" outlineLevel="0" collapsed="false">
      <c r="A13776" s="5" t="s">
        <v>625</v>
      </c>
      <c r="C13776" s="29" t="n">
        <f aca="false">Sensitivities!$A$51</f>
        <v>-0.005</v>
      </c>
    </row>
    <row r="13777" customFormat="false" ht="15" hidden="false" customHeight="false" outlineLevel="0" collapsed="false">
      <c r="A13777" s="5" t="s">
        <v>626</v>
      </c>
      <c r="C13777" s="15" t="n">
        <v>0</v>
      </c>
    </row>
    <row r="13779" customFormat="false" ht="15" hidden="false" customHeight="false" outlineLevel="0" collapsed="false">
      <c r="A13779" s="23" t="s">
        <v>237</v>
      </c>
      <c r="B13779" s="24"/>
      <c r="C13779" s="24"/>
      <c r="D13779" s="24"/>
      <c r="E13779" s="24"/>
      <c r="F13779" s="24"/>
      <c r="G13779" s="24"/>
      <c r="H13779" s="24"/>
      <c r="I13779" s="24"/>
      <c r="J13779" s="24"/>
      <c r="K13779" s="24"/>
    </row>
    <row r="13780" customFormat="false" ht="15" hidden="false" customHeight="false" outlineLevel="0" collapsed="false">
      <c r="A13780" s="5" t="s">
        <v>238</v>
      </c>
      <c r="F13780" s="26" t="n">
        <f aca="false">Assumptions!$C$6</f>
        <v>2025</v>
      </c>
      <c r="G13780" s="20" t="n">
        <f aca="false">F13780+1</f>
        <v>2026</v>
      </c>
      <c r="H13780" s="20" t="n">
        <f aca="false">G13780+1</f>
        <v>2027</v>
      </c>
      <c r="I13780" s="20" t="n">
        <f aca="false">H13780+1</f>
        <v>2028</v>
      </c>
      <c r="J13780" s="20" t="n">
        <f aca="false">I13780+1</f>
        <v>2029</v>
      </c>
      <c r="K13780" s="20" t="n">
        <f aca="false">J13780+1</f>
        <v>2030</v>
      </c>
    </row>
    <row r="13781" customFormat="false" ht="15" hidden="false" customHeight="false" outlineLevel="0" collapsed="false">
      <c r="A13781" s="5" t="s">
        <v>239</v>
      </c>
      <c r="G13781" s="20" t="n">
        <f aca="false">G13780-Assumptions!$C$6</f>
        <v>1</v>
      </c>
      <c r="H13781" s="20" t="n">
        <f aca="false">H13780-Assumptions!$C$6</f>
        <v>2</v>
      </c>
      <c r="I13781" s="20" t="n">
        <f aca="false">I13780-Assumptions!$C$6</f>
        <v>3</v>
      </c>
      <c r="J13781" s="20" t="n">
        <f aca="false">J13780-Assumptions!$C$6</f>
        <v>4</v>
      </c>
      <c r="K13781" s="20" t="n">
        <f aca="false">K13780-Assumptions!$C$6</f>
        <v>5</v>
      </c>
    </row>
    <row r="13782" customFormat="false" ht="15" hidden="false" customHeight="false" outlineLevel="0" collapsed="false">
      <c r="A13782" s="5" t="s">
        <v>149</v>
      </c>
      <c r="G13782" s="21" t="n">
        <f aca="false">CHOOSE($C$13773,Assumptions!$G$65,Assumptions!$G$84,Assumptions!$G$103)+$C$13774</f>
        <v>-0.078</v>
      </c>
      <c r="H13782" s="21" t="n">
        <f aca="false">CHOOSE($C$13773,Assumptions!$H$65,Assumptions!$H$84,Assumptions!$H$103)+$C$13774</f>
        <v>-0.039</v>
      </c>
      <c r="I13782" s="21" t="n">
        <f aca="false">CHOOSE($C$13773,Assumptions!$I$65,Assumptions!$I$84,Assumptions!$I$103)+$C$13774</f>
        <v>-0.005</v>
      </c>
      <c r="J13782" s="21" t="n">
        <f aca="false">CHOOSE($C$13773,Assumptions!$J$65,Assumptions!$J$84,Assumptions!$J$103)+$C$13774</f>
        <v>-0.01</v>
      </c>
      <c r="K13782" s="21" t="n">
        <f aca="false">CHOOSE($C$13773,Assumptions!$K$65,Assumptions!$K$84,Assumptions!$K$103)+$C$13774</f>
        <v>-0.01</v>
      </c>
    </row>
    <row r="13783" customFormat="false" ht="15" hidden="false" customHeight="false" outlineLevel="0" collapsed="false">
      <c r="A13783" s="5" t="s">
        <v>150</v>
      </c>
      <c r="G13783" s="21" t="n">
        <f aca="false">CHOOSE($C$13773,Assumptions!$G$66,Assumptions!$G$85,Assumptions!$G$104)</f>
        <v>0.33</v>
      </c>
      <c r="H13783" s="21" t="n">
        <f aca="false">CHOOSE($C$13773,Assumptions!$H$66,Assumptions!$H$85,Assumptions!$H$104)</f>
        <v>0.318</v>
      </c>
      <c r="I13783" s="21" t="n">
        <f aca="false">CHOOSE($C$13773,Assumptions!$I$66,Assumptions!$I$85,Assumptions!$I$104)</f>
        <v>0.324</v>
      </c>
      <c r="J13783" s="21" t="n">
        <f aca="false">CHOOSE($C$13773,Assumptions!$J$66,Assumptions!$J$85,Assumptions!$J$104)</f>
        <v>0.33</v>
      </c>
      <c r="K13783" s="21" t="n">
        <f aca="false">CHOOSE($C$13773,Assumptions!$K$66,Assumptions!$K$85,Assumptions!$K$104)</f>
        <v>0.336</v>
      </c>
    </row>
    <row r="13784" customFormat="false" ht="15" hidden="false" customHeight="false" outlineLevel="0" collapsed="false">
      <c r="A13784" s="5" t="s">
        <v>151</v>
      </c>
      <c r="G13784" s="21" t="n">
        <f aca="false">CHOOSE($C$13773,Assumptions!$G$67,Assumptions!$G$86,Assumptions!$G$105)+$C$13775</f>
        <v>0.035</v>
      </c>
      <c r="H13784" s="21" t="n">
        <f aca="false">CHOOSE($C$13773,Assumptions!$H$67,Assumptions!$H$86,Assumptions!$H$105)+$C$13775</f>
        <v>0.023</v>
      </c>
      <c r="I13784" s="21" t="n">
        <f aca="false">CHOOSE($C$13773,Assumptions!$I$67,Assumptions!$I$86,Assumptions!$I$105)+$C$13775</f>
        <v>0.029</v>
      </c>
      <c r="J13784" s="21" t="n">
        <f aca="false">CHOOSE($C$13773,Assumptions!$J$67,Assumptions!$J$86,Assumptions!$J$105)+$C$13775</f>
        <v>0.035</v>
      </c>
      <c r="K13784" s="21" t="n">
        <f aca="false">CHOOSE($C$13773,Assumptions!$K$67,Assumptions!$K$86,Assumptions!$K$105)+$C$13775</f>
        <v>0.041</v>
      </c>
    </row>
    <row r="13785" customFormat="false" ht="15" hidden="false" customHeight="false" outlineLevel="0" collapsed="false">
      <c r="A13785" s="23" t="s">
        <v>240</v>
      </c>
      <c r="B13785" s="24"/>
      <c r="C13785" s="24"/>
      <c r="D13785" s="24"/>
      <c r="E13785" s="24"/>
      <c r="F13785" s="24"/>
      <c r="G13785" s="24"/>
      <c r="H13785" s="24"/>
      <c r="I13785" s="24"/>
      <c r="J13785" s="24"/>
      <c r="K13785" s="24"/>
    </row>
    <row r="13786" customFormat="false" ht="15" hidden="false" customHeight="false" outlineLevel="0" collapsed="false">
      <c r="A13786" s="2" t="s">
        <v>207</v>
      </c>
      <c r="F13786" s="27" t="n">
        <f aca="false">'Historical Financials'!E17</f>
        <v>2400</v>
      </c>
      <c r="G13786" s="16" t="n">
        <f aca="false">F13786*(1+G13782)</f>
        <v>2212.8</v>
      </c>
      <c r="H13786" s="16" t="n">
        <f aca="false">G13786*(1+H13782)</f>
        <v>2126.5008</v>
      </c>
      <c r="I13786" s="16" t="n">
        <f aca="false">H13786*(1+I13782)</f>
        <v>2115.868296</v>
      </c>
      <c r="J13786" s="16" t="n">
        <f aca="false">I13786*(1+J13782)</f>
        <v>2094.70961304</v>
      </c>
      <c r="K13786" s="16" t="n">
        <f aca="false">J13786*(1+K13782)</f>
        <v>2073.7625169096</v>
      </c>
    </row>
    <row r="13787" customFormat="false" ht="15" hidden="false" customHeight="false" outlineLevel="0" collapsed="false">
      <c r="A13787" s="5" t="s">
        <v>217</v>
      </c>
      <c r="G13787" s="25" t="n">
        <f aca="false">G13786*(1-G13783)</f>
        <v>1482.576</v>
      </c>
      <c r="H13787" s="25" t="n">
        <f aca="false">H13786*(1-H13783)</f>
        <v>1450.2735456</v>
      </c>
      <c r="I13787" s="25" t="n">
        <f aca="false">I13786*(1-I13783)</f>
        <v>1430.326968096</v>
      </c>
      <c r="J13787" s="25" t="n">
        <f aca="false">J13786*(1-J13783)</f>
        <v>1403.4554407368</v>
      </c>
      <c r="K13787" s="25" t="n">
        <f aca="false">K13786*(1-K13783)</f>
        <v>1376.97831122797</v>
      </c>
    </row>
    <row r="13788" customFormat="false" ht="15" hidden="false" customHeight="false" outlineLevel="0" collapsed="false">
      <c r="A13788" s="2" t="s">
        <v>218</v>
      </c>
      <c r="G13788" s="16" t="n">
        <f aca="false">G13786-G13787</f>
        <v>730.224</v>
      </c>
      <c r="H13788" s="16" t="n">
        <f aca="false">H13786-H13787</f>
        <v>676.2272544</v>
      </c>
      <c r="I13788" s="16" t="n">
        <f aca="false">I13786-I13787</f>
        <v>685.541327904</v>
      </c>
      <c r="J13788" s="16" t="n">
        <f aca="false">J13786-J13787</f>
        <v>691.2541723032</v>
      </c>
      <c r="K13788" s="16" t="n">
        <f aca="false">K13786-K13787</f>
        <v>696.784205681626</v>
      </c>
    </row>
    <row r="13789" customFormat="false" ht="15" hidden="false" customHeight="false" outlineLevel="0" collapsed="false">
      <c r="A13789" s="5" t="s">
        <v>241</v>
      </c>
      <c r="G13789" s="25" t="n">
        <f aca="false">G13788-G13790</f>
        <v>652.776</v>
      </c>
      <c r="H13789" s="25" t="n">
        <f aca="false">H13788-H13790</f>
        <v>627.317736</v>
      </c>
      <c r="I13789" s="25" t="n">
        <f aca="false">I13788-I13790</f>
        <v>624.18114732</v>
      </c>
      <c r="J13789" s="25" t="n">
        <f aca="false">J13788-J13790</f>
        <v>617.9393358468</v>
      </c>
      <c r="K13789" s="25" t="n">
        <f aca="false">K13788-K13790</f>
        <v>611.759942488332</v>
      </c>
    </row>
    <row r="13790" customFormat="false" ht="15" hidden="false" customHeight="false" outlineLevel="0" collapsed="false">
      <c r="A13790" s="2" t="s">
        <v>242</v>
      </c>
      <c r="G13790" s="16" t="n">
        <f aca="false">G13786*G13784</f>
        <v>77.448</v>
      </c>
      <c r="H13790" s="16" t="n">
        <f aca="false">H13786*H13784</f>
        <v>48.9095184</v>
      </c>
      <c r="I13790" s="16" t="n">
        <f aca="false">I13786*I13784</f>
        <v>61.360180584</v>
      </c>
      <c r="J13790" s="16" t="n">
        <f aca="false">J13786*J13784</f>
        <v>73.3148364564</v>
      </c>
      <c r="K13790" s="16" t="n">
        <f aca="false">K13786*K13784</f>
        <v>85.0242631932936</v>
      </c>
    </row>
    <row r="13791" customFormat="false" ht="15" hidden="false" customHeight="false" outlineLevel="0" collapsed="false">
      <c r="A13791" s="5" t="s">
        <v>243</v>
      </c>
      <c r="G13791" s="25" t="n">
        <f aca="false">G13786*'Historical Financials'!E22/'Historical Financials'!E17</f>
        <v>48.6816</v>
      </c>
      <c r="H13791" s="25" t="n">
        <f aca="false">H13786*'Historical Financials'!E22/'Historical Financials'!E17</f>
        <v>46.7830176</v>
      </c>
      <c r="I13791" s="25" t="n">
        <f aca="false">I13786*'Historical Financials'!E22/'Historical Financials'!E17</f>
        <v>46.549102512</v>
      </c>
      <c r="J13791" s="25" t="n">
        <f aca="false">J13786*'Historical Financials'!E22/'Historical Financials'!E17</f>
        <v>46.08361148688</v>
      </c>
      <c r="K13791" s="25" t="n">
        <f aca="false">K13786*'Historical Financials'!E22/'Historical Financials'!E17</f>
        <v>45.6227753720112</v>
      </c>
    </row>
    <row r="13792" customFormat="false" ht="15" hidden="false" customHeight="false" outlineLevel="0" collapsed="false">
      <c r="A13792" s="5" t="s">
        <v>244</v>
      </c>
      <c r="G13792" s="25" t="n">
        <f aca="false">G13786*'Historical Financials'!E23/'Historical Financials'!E17</f>
        <v>0</v>
      </c>
      <c r="H13792" s="25" t="n">
        <f aca="false">H13786*'Historical Financials'!E23/'Historical Financials'!E17</f>
        <v>0</v>
      </c>
      <c r="I13792" s="25" t="n">
        <f aca="false">I13786*'Historical Financials'!E23/'Historical Financials'!E17</f>
        <v>0</v>
      </c>
      <c r="J13792" s="25" t="n">
        <f aca="false">J13786*'Historical Financials'!E23/'Historical Financials'!E17</f>
        <v>0</v>
      </c>
      <c r="K13792" s="25" t="n">
        <f aca="false">K13786*'Historical Financials'!E23/'Historical Financials'!E17</f>
        <v>0</v>
      </c>
    </row>
    <row r="13793" customFormat="false" ht="15" hidden="false" customHeight="false" outlineLevel="0" collapsed="false">
      <c r="A13793" s="2" t="s">
        <v>245</v>
      </c>
      <c r="G13793" s="16" t="n">
        <f aca="false">G13790-G13791-G13792</f>
        <v>28.7664</v>
      </c>
      <c r="H13793" s="16" t="n">
        <f aca="false">H13790-H13791-H13792</f>
        <v>2.12650079999998</v>
      </c>
      <c r="I13793" s="16" t="n">
        <f aca="false">I13790-I13791-I13792</f>
        <v>14.811078072</v>
      </c>
      <c r="J13793" s="16" t="n">
        <f aca="false">J13790-J13791-J13792</f>
        <v>27.23122496952</v>
      </c>
      <c r="K13793" s="16" t="n">
        <f aca="false">K13790-K13791-K13792</f>
        <v>39.4014878212824</v>
      </c>
    </row>
    <row r="13794" customFormat="false" ht="15" hidden="false" customHeight="false" outlineLevel="0" collapsed="false">
      <c r="A13794" s="5" t="s">
        <v>246</v>
      </c>
      <c r="G13794" s="25" t="n">
        <f aca="false">G13820+G13833+G13846+G13859</f>
        <v>126.04</v>
      </c>
      <c r="H13794" s="25" t="n">
        <f aca="false">H13820+H13833+H13846+H13859</f>
        <v>126.7819008</v>
      </c>
      <c r="I13794" s="25" t="n">
        <f aca="false">I13820+I13833+I13846+I13859</f>
        <v>124.4013088</v>
      </c>
      <c r="J13794" s="25" t="n">
        <f aca="false">J13820+J13833+J13846+J13859</f>
        <v>123.8397088</v>
      </c>
      <c r="K13794" s="25" t="n">
        <f aca="false">K13820+K13833+K13846+K13859</f>
        <v>123.2781088</v>
      </c>
    </row>
    <row r="13795" customFormat="false" ht="15" hidden="false" customHeight="false" outlineLevel="0" collapsed="false">
      <c r="A13795" s="5" t="s">
        <v>247</v>
      </c>
      <c r="G13795" s="25" t="n">
        <f aca="false">G13821+G13834+G13847+G13860</f>
        <v>0</v>
      </c>
      <c r="H13795" s="25" t="n">
        <f aca="false">H13821+H13834+H13847+H13860</f>
        <v>0</v>
      </c>
      <c r="I13795" s="25" t="n">
        <f aca="false">I13821+I13834+I13847+I13860</f>
        <v>0</v>
      </c>
      <c r="J13795" s="25" t="n">
        <f aca="false">J13821+J13834+J13847+J13860</f>
        <v>0</v>
      </c>
      <c r="K13795" s="25" t="n">
        <f aca="false">K13821+K13834+K13847+K13860</f>
        <v>0</v>
      </c>
    </row>
    <row r="13796" customFormat="false" ht="15" hidden="false" customHeight="false" outlineLevel="0" collapsed="false">
      <c r="A13796" s="5" t="s">
        <v>212</v>
      </c>
      <c r="G13796" s="25" t="n">
        <f aca="false">G13794+G13795</f>
        <v>126.04</v>
      </c>
      <c r="H13796" s="25" t="n">
        <f aca="false">H13794+H13795</f>
        <v>126.7819008</v>
      </c>
      <c r="I13796" s="25" t="n">
        <f aca="false">I13794+I13795</f>
        <v>124.4013088</v>
      </c>
      <c r="J13796" s="25" t="n">
        <f aca="false">J13794+J13795</f>
        <v>123.8397088</v>
      </c>
      <c r="K13796" s="25" t="n">
        <f aca="false">K13794+K13795</f>
        <v>123.2781088</v>
      </c>
    </row>
    <row r="13797" customFormat="false" ht="15" hidden="false" customHeight="false" outlineLevel="0" collapsed="false">
      <c r="A13797" s="2" t="s">
        <v>223</v>
      </c>
      <c r="G13797" s="16" t="n">
        <f aca="false">G13793-G13796</f>
        <v>-97.2736</v>
      </c>
      <c r="H13797" s="16" t="n">
        <f aca="false">H13793-H13796</f>
        <v>-124.6554</v>
      </c>
      <c r="I13797" s="16" t="n">
        <f aca="false">I13793-I13796</f>
        <v>-109.590230728</v>
      </c>
      <c r="J13797" s="16" t="n">
        <f aca="false">J13793-J13796</f>
        <v>-96.60848383048</v>
      </c>
      <c r="K13797" s="16" t="n">
        <f aca="false">K13793-K13796</f>
        <v>-83.8766209787176</v>
      </c>
    </row>
    <row r="13798" customFormat="false" ht="15" hidden="false" customHeight="false" outlineLevel="0" collapsed="false">
      <c r="A13798" s="5" t="s">
        <v>213</v>
      </c>
      <c r="G13798" s="25" t="n">
        <f aca="false">MAX(0,G13797)*Assumptions!$C$9</f>
        <v>0</v>
      </c>
      <c r="H13798" s="25" t="n">
        <f aca="false">MAX(0,H13797)*Assumptions!$C$9</f>
        <v>0</v>
      </c>
      <c r="I13798" s="25" t="n">
        <f aca="false">MAX(0,I13797)*Assumptions!$C$9</f>
        <v>0</v>
      </c>
      <c r="J13798" s="25" t="n">
        <f aca="false">MAX(0,J13797)*Assumptions!$C$9</f>
        <v>0</v>
      </c>
      <c r="K13798" s="25" t="n">
        <f aca="false">MAX(0,K13797)*Assumptions!$C$9</f>
        <v>0</v>
      </c>
    </row>
    <row r="13799" customFormat="false" ht="15" hidden="false" customHeight="false" outlineLevel="0" collapsed="false">
      <c r="A13799" s="2" t="s">
        <v>248</v>
      </c>
      <c r="G13799" s="16" t="n">
        <f aca="false">G13797-G13798</f>
        <v>-97.2736</v>
      </c>
      <c r="H13799" s="16" t="n">
        <f aca="false">H13797-H13798</f>
        <v>-124.6554</v>
      </c>
      <c r="I13799" s="16" t="n">
        <f aca="false">I13797-I13798</f>
        <v>-109.590230728</v>
      </c>
      <c r="J13799" s="16" t="n">
        <f aca="false">J13797-J13798</f>
        <v>-96.60848383048</v>
      </c>
      <c r="K13799" s="16" t="n">
        <f aca="false">K13797-K13798</f>
        <v>-83.8766209787176</v>
      </c>
    </row>
    <row r="13800" customFormat="false" ht="15" hidden="false" customHeight="false" outlineLevel="0" collapsed="false">
      <c r="A13800" s="23" t="s">
        <v>249</v>
      </c>
      <c r="B13800" s="24"/>
      <c r="C13800" s="24"/>
      <c r="D13800" s="24"/>
      <c r="E13800" s="24"/>
      <c r="F13800" s="24"/>
      <c r="G13800" s="24"/>
      <c r="H13800" s="24"/>
      <c r="I13800" s="24"/>
      <c r="J13800" s="24"/>
      <c r="K13800" s="24"/>
    </row>
    <row r="13801" customFormat="false" ht="15" hidden="false" customHeight="false" outlineLevel="0" collapsed="false">
      <c r="A13801" s="5" t="s">
        <v>153</v>
      </c>
      <c r="G13801" s="25" t="n">
        <f aca="false">G13786*CHOOSE($C$13773,Assumptions!$C$69,Assumptions!$C$88,Assumptions!$C$107)</f>
        <v>42.0432</v>
      </c>
      <c r="H13801" s="25" t="n">
        <f aca="false">H13786*CHOOSE($C$13773,Assumptions!$C$69,Assumptions!$C$88,Assumptions!$C$107)</f>
        <v>40.4035152</v>
      </c>
      <c r="I13801" s="25" t="n">
        <f aca="false">I13786*CHOOSE($C$13773,Assumptions!$C$69,Assumptions!$C$88,Assumptions!$C$107)</f>
        <v>40.201497624</v>
      </c>
      <c r="J13801" s="25" t="n">
        <f aca="false">J13786*CHOOSE($C$13773,Assumptions!$C$69,Assumptions!$C$88,Assumptions!$C$107)</f>
        <v>39.79948264776</v>
      </c>
      <c r="K13801" s="25" t="n">
        <f aca="false">K13786*CHOOSE($C$13773,Assumptions!$C$69,Assumptions!$C$88,Assumptions!$C$107)</f>
        <v>39.4014878212824</v>
      </c>
    </row>
    <row r="13802" customFormat="false" ht="15" hidden="false" customHeight="false" outlineLevel="0" collapsed="false">
      <c r="A13802" s="5" t="s">
        <v>250</v>
      </c>
      <c r="G13802" s="25" t="n">
        <f aca="false">CHOOSE($C$13773,Assumptions!$C$70,Assumptions!$C$89,Assumptions!$C$108)*(G13786-F13786)+CHOOSE($C$13773,Assumptions!$C$71,Assumptions!$C$90,Assumptions!$C$109)*G13786</f>
        <v>-18.0384</v>
      </c>
      <c r="H13802" s="25" t="n">
        <f aca="false">CHOOSE($C$13773,Assumptions!$C$70,Assumptions!$C$89,Assumptions!$C$108)*(H13786-G13786)+CHOOSE($C$13773,Assumptions!$C$71,Assumptions!$C$90,Assumptions!$C$109)*H13786</f>
        <v>-6.10290239999999</v>
      </c>
      <c r="I13802" s="25" t="n">
        <f aca="false">CHOOSE($C$13773,Assumptions!$C$70,Assumptions!$C$89,Assumptions!$C$108)*(I13786-H13786)+CHOOSE($C$13773,Assumptions!$C$71,Assumptions!$C$90,Assumptions!$C$109)*I13786</f>
        <v>2.95583611199998</v>
      </c>
      <c r="J13802" s="25" t="n">
        <f aca="false">CHOOSE($C$13773,Assumptions!$C$70,Assumptions!$C$89,Assumptions!$C$108)*(J13786-I13786)+CHOOSE($C$13773,Assumptions!$C$71,Assumptions!$C$90,Assumptions!$C$109)*J13786</f>
        <v>1.65037727087999</v>
      </c>
      <c r="K13802" s="25" t="n">
        <f aca="false">CHOOSE($C$13773,Assumptions!$C$70,Assumptions!$C$89,Assumptions!$C$108)*(K13786-J13786)+CHOOSE($C$13773,Assumptions!$C$71,Assumptions!$C$90,Assumptions!$C$109)*K13786</f>
        <v>1.63387349817119</v>
      </c>
    </row>
    <row r="13803" customFormat="false" ht="15" hidden="false" customHeight="false" outlineLevel="0" collapsed="false">
      <c r="A13803" s="2" t="s">
        <v>251</v>
      </c>
      <c r="G13803" s="16" t="n">
        <f aca="false">G13799+G13791+G13792+G13795-G13801-G13802</f>
        <v>-72.5968</v>
      </c>
      <c r="H13803" s="16" t="n">
        <f aca="false">H13799+H13791+H13792+H13795-H13801-H13802</f>
        <v>-112.1729952</v>
      </c>
      <c r="I13803" s="16" t="n">
        <f aca="false">I13799+I13791+I13792+I13795-I13801-I13802</f>
        <v>-106.198461952</v>
      </c>
      <c r="J13803" s="16" t="n">
        <f aca="false">J13799+J13791+J13792+J13795-J13801-J13802</f>
        <v>-91.97473226224</v>
      </c>
      <c r="K13803" s="16" t="n">
        <f aca="false">K13799+K13791+K13792+K13795-K13801-K13802</f>
        <v>-79.28920692616</v>
      </c>
    </row>
    <row r="13805" customFormat="false" ht="15" hidden="false" customHeight="false" outlineLevel="0" collapsed="false">
      <c r="A13805" s="23" t="s">
        <v>253</v>
      </c>
      <c r="B13805" s="24"/>
      <c r="C13805" s="24"/>
      <c r="D13805" s="24"/>
      <c r="E13805" s="24"/>
      <c r="F13805" s="24"/>
      <c r="G13805" s="24"/>
      <c r="H13805" s="24"/>
      <c r="I13805" s="24"/>
      <c r="J13805" s="24"/>
      <c r="K13805" s="24"/>
    </row>
    <row r="13806" customFormat="false" ht="15" hidden="false" customHeight="false" outlineLevel="0" collapsed="false">
      <c r="A13806" s="5" t="s">
        <v>254</v>
      </c>
      <c r="G13806" s="29" t="n">
        <f aca="false">Assumptions!$G$49</f>
        <v>0.0425</v>
      </c>
      <c r="H13806" s="29" t="n">
        <f aca="false">Assumptions!$H$49</f>
        <v>0.04</v>
      </c>
      <c r="I13806" s="29" t="n">
        <f aca="false">Assumptions!$I$49</f>
        <v>0.0375</v>
      </c>
      <c r="J13806" s="29" t="n">
        <f aca="false">Assumptions!$J$49</f>
        <v>0.0375</v>
      </c>
      <c r="K13806" s="29" t="n">
        <f aca="false">Assumptions!$K$49</f>
        <v>0.0375</v>
      </c>
    </row>
    <row r="13807" customFormat="false" ht="15" hidden="false" customHeight="false" outlineLevel="0" collapsed="false">
      <c r="A13807" s="5" t="s">
        <v>255</v>
      </c>
      <c r="C13807" s="30" t="n">
        <f aca="false">CHOOSE($C$13773,Assumptions!$C$72,Assumptions!$C$91,Assumptions!$C$110)+$C$13776</f>
        <v>0.01</v>
      </c>
    </row>
    <row r="13808" customFormat="false" ht="15" hidden="false" customHeight="false" outlineLevel="0" collapsed="false">
      <c r="A13808" s="5" t="s">
        <v>256</v>
      </c>
      <c r="C13808" s="30" t="n">
        <f aca="false">CHOOSE($C$13773,Assumptions!$C$73,Assumptions!$C$92,Assumptions!$C$111)</f>
        <v>0.135</v>
      </c>
    </row>
    <row r="13809" customFormat="false" ht="15" hidden="false" customHeight="false" outlineLevel="0" collapsed="false">
      <c r="A13809" s="5" t="s">
        <v>257</v>
      </c>
      <c r="C13809" s="31" t="n">
        <f aca="false">CHOOSE($C$13773,Assumptions!$C$74,Assumptions!$C$93,Assumptions!$C$112)</f>
        <v>5.5</v>
      </c>
    </row>
    <row r="13810" customFormat="false" ht="15" hidden="false" customHeight="false" outlineLevel="0" collapsed="false">
      <c r="A13810" s="5" t="s">
        <v>258</v>
      </c>
      <c r="C13810" s="31" t="n">
        <f aca="false">CHOOSE($C$13773,Assumptions!$C$75,Assumptions!$C$94,Assumptions!$C$113)</f>
        <v>1.8</v>
      </c>
    </row>
    <row r="13811" customFormat="false" ht="15" hidden="false" customHeight="false" outlineLevel="0" collapsed="false">
      <c r="A13811" s="5" t="s">
        <v>259</v>
      </c>
      <c r="G13811" s="25" t="n">
        <f aca="false">G13816+G13829+G13842+G13855</f>
        <v>1250</v>
      </c>
      <c r="H13811" s="25" t="n">
        <f aca="false">H13816+H13829+H13842+H13855</f>
        <v>1277.5968</v>
      </c>
      <c r="I13811" s="25" t="n">
        <f aca="false">I13816+I13829+I13842+I13855</f>
        <v>1272.3968</v>
      </c>
      <c r="J13811" s="25" t="n">
        <f aca="false">J13816+J13829+J13842+J13855</f>
        <v>1267.1968</v>
      </c>
      <c r="K13811" s="25" t="n">
        <f aca="false">K13816+K13829+K13842+K13855</f>
        <v>1261.9968</v>
      </c>
    </row>
    <row r="13812" customFormat="false" ht="15" hidden="false" customHeight="false" outlineLevel="0" collapsed="false">
      <c r="A13812" s="5" t="s">
        <v>260</v>
      </c>
      <c r="G13812" s="25" t="n">
        <f aca="false">F13902</f>
        <v>45</v>
      </c>
      <c r="H13812" s="25" t="n">
        <f aca="false">G13902</f>
        <v>0</v>
      </c>
      <c r="I13812" s="25" t="n">
        <f aca="false">H13902</f>
        <v>-117.3729952</v>
      </c>
      <c r="J13812" s="25" t="n">
        <f aca="false">I13902</f>
        <v>-228.771457152</v>
      </c>
      <c r="K13812" s="25" t="n">
        <f aca="false">J13902</f>
        <v>-325.94618941424</v>
      </c>
    </row>
    <row r="13813" customFormat="false" ht="15" hidden="false" customHeight="false" outlineLevel="0" collapsed="false">
      <c r="A13813" s="5" t="s">
        <v>261</v>
      </c>
      <c r="G13813" s="25" t="n">
        <f aca="false">G13816*IF(G13817=1,$C$13808,IF(Assumptions!$I$53=1,MAX(G13806,Assumptions!$G$53)+Assumptions!$F$53+$C$13807,Assumptions!$E$53))+G13829*IF(G13830=1,$C$13808,IF(Assumptions!$I$54=1,MAX(G13806,Assumptions!$G$54)+Assumptions!$F$54+$C$13807,Assumptions!$E$54))+G13842*IF(G13843=1,$C$13808,IF(Assumptions!$I$55=1,MAX(G13806,Assumptions!$G$55)+Assumptions!$F$55+$C$13807,Assumptions!$E$55))+G13855*IF(G13856=1,$C$13808,IF(Assumptions!$I$56=1,MAX(G13806,Assumptions!$G$56)+Assumptions!$F$56+$C$13807,Assumptions!$E$56))</f>
        <v>126.04</v>
      </c>
      <c r="H13813" s="25" t="n">
        <f aca="false">H13816*IF(OR(H13817=1,G13968=1),$C$13808,IF(Assumptions!$I$53=1,MAX(H13806,Assumptions!$G$53)+Assumptions!$F$53+$C$13807,Assumptions!$E$53))+H13829*IF(OR(H13830=1,G13969=1),$C$13808,IF(Assumptions!$I$54=1,MAX(H13806,Assumptions!$G$54)+Assumptions!$F$54+$C$13807,Assumptions!$E$54))+H13842*IF(OR(H13843=1,G13970=1),$C$13808,IF(Assumptions!$I$55=1,MAX(H13806,Assumptions!$G$55)+Assumptions!$F$55+$C$13807,Assumptions!$E$55))+H13855*IF(OR(H13856=1,G13971=1),$C$13808,IF(Assumptions!$I$56=1,MAX(H13806,Assumptions!$G$56)+Assumptions!$F$56+$C$13807,Assumptions!$E$56))</f>
        <v>153.612968</v>
      </c>
      <c r="I13813" s="25" t="n">
        <f aca="false">I13816*IF(OR(I13817=1,H13968=1),$C$13808,IF(Assumptions!$I$53=1,MAX(I13806,Assumptions!$G$53)+Assumptions!$F$53+$C$13807,Assumptions!$E$53))+I13829*IF(OR(I13830=1,H13969=1),$C$13808,IF(Assumptions!$I$54=1,MAX(I13806,Assumptions!$G$54)+Assumptions!$F$54+$C$13807,Assumptions!$E$54))+I13842*IF(OR(I13843=1,H13970=1),$C$13808,IF(Assumptions!$I$55=1,MAX(I13806,Assumptions!$G$55)+Assumptions!$F$55+$C$13807,Assumptions!$E$55))+I13855*IF(OR(I13856=1,H13971=1),$C$13808,IF(Assumptions!$I$56=1,MAX(I13806,Assumptions!$G$56)+Assumptions!$F$56+$C$13807,Assumptions!$E$56))</f>
        <v>138.1605088</v>
      </c>
      <c r="J13813" s="25" t="n">
        <f aca="false">J13816*IF(OR(J13817=1,I13968=1),$C$13808,IF(Assumptions!$I$53=1,MAX(J13806,Assumptions!$G$53)+Assumptions!$F$53+$C$13807,Assumptions!$E$53))+J13829*IF(OR(J13830=1,I13969=1),$C$13808,IF(Assumptions!$I$54=1,MAX(J13806,Assumptions!$G$54)+Assumptions!$F$54+$C$13807,Assumptions!$E$54))+J13842*IF(OR(J13843=1,I13970=1),$C$13808,IF(Assumptions!$I$55=1,MAX(J13806,Assumptions!$G$55)+Assumptions!$F$55+$C$13807,Assumptions!$E$55))+J13855*IF(OR(J13856=1,I13971=1),$C$13808,IF(Assumptions!$I$56=1,MAX(J13806,Assumptions!$G$56)+Assumptions!$F$56+$C$13807,Assumptions!$E$56))</f>
        <v>130.0897088</v>
      </c>
      <c r="K13813" s="25" t="n">
        <f aca="false">K13816*IF(OR(K13817=1,J13968=1),$C$13808,IF(Assumptions!$I$53=1,MAX(K13806,Assumptions!$G$53)+Assumptions!$F$53+$C$13807,Assumptions!$E$53))+K13829*IF(OR(K13830=1,J13969=1),$C$13808,IF(Assumptions!$I$54=1,MAX(K13806,Assumptions!$G$54)+Assumptions!$F$54+$C$13807,Assumptions!$E$54))+K13842*IF(OR(K13843=1,J13970=1),$C$13808,IF(Assumptions!$I$55=1,MAX(K13806,Assumptions!$G$55)+Assumptions!$F$55+$C$13807,Assumptions!$E$55))+K13855*IF(OR(K13856=1,J13971=1),$C$13808,IF(Assumptions!$I$56=1,MAX(K13806,Assumptions!$G$56)+Assumptions!$F$56+$C$13807,Assumptions!$E$56))</f>
        <v>123.2781088</v>
      </c>
    </row>
    <row r="13814" customFormat="false" ht="15" hidden="false" customHeight="false" outlineLevel="0" collapsed="false">
      <c r="A13814" s="5" t="s">
        <v>262</v>
      </c>
      <c r="G13814" s="20" t="n">
        <f aca="false">IF(G13790&lt;=0,0,IF(AND((G13811-G13812)/G13790&lt;=$C$13809,G13790/G13813&gt;=$C$13810),1,0))</f>
        <v>0</v>
      </c>
      <c r="H13814" s="20" t="n">
        <f aca="false">IF(H13790&lt;=0,0,IF(AND((H13811-H13812)/H13790&lt;=$C$13809,H13790/H13813&gt;=$C$13810),1,0))</f>
        <v>0</v>
      </c>
      <c r="I13814" s="20" t="n">
        <f aca="false">IF(I13790&lt;=0,0,IF(AND((I13811-I13812)/I13790&lt;=$C$13809,I13790/I13813&gt;=$C$13810),1,0))</f>
        <v>0</v>
      </c>
      <c r="J13814" s="20" t="n">
        <f aca="false">IF(J13790&lt;=0,0,IF(AND((J13811-J13812)/J13790&lt;=$C$13809,J13790/J13813&gt;=$C$13810),1,0))</f>
        <v>0</v>
      </c>
      <c r="K13814" s="20" t="n">
        <f aca="false">IF(K13790&lt;=0,0,IF(AND((K13811-K13812)/K13790&lt;=$C$13809,K13790/K13813&gt;=$C$13810),1,0))</f>
        <v>0</v>
      </c>
    </row>
    <row r="13815" customFormat="false" ht="15" hidden="false" customHeight="false" outlineLevel="0" collapsed="false">
      <c r="A13815" s="23" t="s">
        <v>263</v>
      </c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</row>
    <row r="13816" customFormat="false" ht="15" hidden="false" customHeight="false" outlineLevel="0" collapsed="false">
      <c r="A13816" s="5" t="s">
        <v>264</v>
      </c>
      <c r="G13816" s="25" t="n">
        <f aca="false">F13827</f>
        <v>180</v>
      </c>
      <c r="H13816" s="25" t="n">
        <f aca="false">G13827</f>
        <v>212.7968</v>
      </c>
      <c r="I13816" s="25" t="n">
        <f aca="false">H13827</f>
        <v>212.7968</v>
      </c>
      <c r="J13816" s="25" t="n">
        <f aca="false">I13827</f>
        <v>212.7968</v>
      </c>
      <c r="K13816" s="25" t="n">
        <f aca="false">J13827</f>
        <v>212.7968</v>
      </c>
    </row>
    <row r="13817" customFormat="false" ht="15" hidden="false" customHeight="false" outlineLevel="0" collapsed="false">
      <c r="A13817" s="5" t="s">
        <v>265</v>
      </c>
      <c r="G13817" s="20" t="n">
        <f aca="false">IF(G13780=Assumptions!$K$53,1,0)</f>
        <v>0</v>
      </c>
      <c r="H13817" s="20" t="n">
        <f aca="false">IF(H13780=Assumptions!$K$53,1,0)</f>
        <v>1</v>
      </c>
      <c r="I13817" s="20" t="n">
        <f aca="false">IF(I13780=Assumptions!$K$53,1,0)</f>
        <v>0</v>
      </c>
      <c r="J13817" s="20" t="n">
        <f aca="false">IF(J13780=Assumptions!$K$53,1,0)</f>
        <v>0</v>
      </c>
      <c r="K13817" s="20" t="n">
        <f aca="false">IF(K13780=Assumptions!$K$53,1,0)</f>
        <v>0</v>
      </c>
    </row>
    <row r="13819" customFormat="false" ht="15" hidden="false" customHeight="false" outlineLevel="0" collapsed="false">
      <c r="A13819" s="5" t="s">
        <v>266</v>
      </c>
      <c r="G13819" s="30" t="n">
        <f aca="false">IF(Assumptions!$I$53=1,MAX(G13806,Assumptions!$G$53)+Assumptions!$F$53+$C$13807,Assumptions!$E$53)</f>
        <v>0.096</v>
      </c>
      <c r="H13819" s="30" t="n">
        <f aca="false">IF(G13968=1,$C$13808,IF(Assumptions!$I$53=1,MAX(H13806,Assumptions!$G$53)+Assumptions!$F$53+$C$13807,Assumptions!$E$53))</f>
        <v>0.0935</v>
      </c>
      <c r="I13819" s="30" t="n">
        <f aca="false">IF(H13968=1,$C$13808,IF(Assumptions!$I$53=1,MAX(I13806,Assumptions!$G$53)+Assumptions!$F$53+$C$13807,Assumptions!$E$53))</f>
        <v>0.091</v>
      </c>
      <c r="J13819" s="30" t="n">
        <f aca="false">IF(I13968=1,$C$13808,IF(Assumptions!$I$53=1,MAX(J13806,Assumptions!$G$53)+Assumptions!$F$53+$C$13807,Assumptions!$E$53))</f>
        <v>0.091</v>
      </c>
      <c r="K13819" s="30" t="n">
        <f aca="false">IF(J13968=1,$C$13808,IF(Assumptions!$I$53=1,MAX(K13806,Assumptions!$G$53)+Assumptions!$F$53+$C$13807,Assumptions!$E$53))</f>
        <v>0.091</v>
      </c>
    </row>
    <row r="13820" customFormat="false" ht="15" hidden="false" customHeight="false" outlineLevel="0" collapsed="false">
      <c r="A13820" s="5" t="s">
        <v>267</v>
      </c>
      <c r="G13820" s="25" t="n">
        <f aca="false">G13816*G13819</f>
        <v>17.28</v>
      </c>
      <c r="H13820" s="25" t="n">
        <f aca="false">H13816*H13819</f>
        <v>19.8965008</v>
      </c>
      <c r="I13820" s="25" t="n">
        <f aca="false">I13816*I13819</f>
        <v>19.3645088</v>
      </c>
      <c r="J13820" s="25" t="n">
        <f aca="false">J13816*J13819</f>
        <v>19.3645088</v>
      </c>
      <c r="K13820" s="25" t="n">
        <f aca="false">K13816*K13819</f>
        <v>19.3645088</v>
      </c>
    </row>
    <row r="13821" customFormat="false" ht="15" hidden="false" customHeight="false" outlineLevel="0" collapsed="false">
      <c r="A13821" s="5" t="s">
        <v>268</v>
      </c>
      <c r="G13821" s="25" t="n">
        <f aca="false">G13816*Assumptions!$H$53</f>
        <v>0</v>
      </c>
      <c r="H13821" s="25" t="n">
        <f aca="false">H13816*Assumptions!$H$53</f>
        <v>0</v>
      </c>
      <c r="I13821" s="25" t="n">
        <f aca="false">I13816*Assumptions!$H$53</f>
        <v>0</v>
      </c>
      <c r="J13821" s="25" t="n">
        <f aca="false">J13816*Assumptions!$H$53</f>
        <v>0</v>
      </c>
      <c r="K13821" s="25" t="n">
        <f aca="false">K13816*Assumptions!$H$53</f>
        <v>0</v>
      </c>
    </row>
    <row r="13822" customFormat="false" ht="15" hidden="false" customHeight="false" outlineLevel="0" collapsed="false">
      <c r="A13822" s="5" t="s">
        <v>269</v>
      </c>
      <c r="G13822" s="25" t="n">
        <f aca="false">MIN(G13816,Assumptions!$L$53*Assumptions!$C$53)</f>
        <v>0</v>
      </c>
      <c r="H13822" s="25" t="n">
        <f aca="false">MIN(H13816,Assumptions!$L$53*Assumptions!$C$53)</f>
        <v>0</v>
      </c>
      <c r="I13822" s="25" t="n">
        <f aca="false">MIN(I13816,Assumptions!$L$53*Assumptions!$C$53)</f>
        <v>0</v>
      </c>
      <c r="J13822" s="25" t="n">
        <f aca="false">MIN(J13816,Assumptions!$L$53*Assumptions!$C$53)</f>
        <v>0</v>
      </c>
      <c r="K13822" s="25" t="n">
        <f aca="false">MIN(K13816,Assumptions!$L$53*Assumptions!$C$53)</f>
        <v>0</v>
      </c>
    </row>
    <row r="13823" customFormat="false" ht="15" hidden="false" customHeight="false" outlineLevel="0" collapsed="false">
      <c r="A13823" s="5" t="s">
        <v>270</v>
      </c>
      <c r="G13823" s="25" t="n">
        <f aca="false">IF(AND(Assumptions!$P$53=1,G13780&lt;Assumptions!$K$53),MIN(MAX(0,-G13894),MAX(0,Assumptions!$D$53-G13816)),0)</f>
        <v>32.7968</v>
      </c>
      <c r="H13823" s="25" t="n">
        <f aca="false">IF(AND(Assumptions!$P$53=1,OR(H13780&lt;Assumptions!$K$53,G13968=1)),MIN(MAX(0,-H13894),MAX(0,Assumptions!$D$53-H13816)),0)</f>
        <v>0</v>
      </c>
      <c r="I13823" s="25" t="n">
        <f aca="false">IF(AND(Assumptions!$P$53=1,OR(I13780&lt;Assumptions!$K$53,H13968=1)),MIN(MAX(0,-I13894),MAX(0,Assumptions!$D$53-I13816)),0)</f>
        <v>0</v>
      </c>
      <c r="J13823" s="25" t="n">
        <f aca="false">IF(AND(Assumptions!$P$53=1,OR(J13780&lt;Assumptions!$K$53,I13968=1)),MIN(MAX(0,-J13894),MAX(0,Assumptions!$D$53-J13816)),0)</f>
        <v>0</v>
      </c>
      <c r="K13823" s="25" t="n">
        <f aca="false">IF(AND(Assumptions!$P$53=1,OR(K13780&lt;Assumptions!$K$53,J13968=1)),MIN(MAX(0,-K13894),MAX(0,Assumptions!$D$53-K13816)),0)</f>
        <v>0</v>
      </c>
    </row>
    <row r="13824" customFormat="false" ht="15" hidden="false" customHeight="false" outlineLevel="0" collapsed="false">
      <c r="A13824" s="5" t="s">
        <v>271</v>
      </c>
      <c r="G13824" s="25" t="n">
        <f aca="false">G13817*MIN(G13816-G13822+G13821,MAX(0,G13896-Assumptions!$C$12*G13814))</f>
        <v>0</v>
      </c>
      <c r="H13824" s="25" t="n">
        <f aca="false">H13817*MIN(H13816-H13822+H13821,MAX(0,H13896-Assumptions!$C$12*H13814))</f>
        <v>0</v>
      </c>
      <c r="I13824" s="25" t="n">
        <f aca="false">I13817*MIN(I13816-I13822+I13821,MAX(0,I13896-Assumptions!$C$12*I13814))</f>
        <v>0</v>
      </c>
      <c r="J13824" s="25" t="n">
        <f aca="false">J13817*MIN(J13816-J13822+J13821,MAX(0,J13896-Assumptions!$C$12*J13814))</f>
        <v>0</v>
      </c>
      <c r="K13824" s="25" t="n">
        <f aca="false">K13817*MIN(K13816-K13822+K13821,MAX(0,K13896-Assumptions!$C$12*K13814))</f>
        <v>0</v>
      </c>
    </row>
    <row r="13825" customFormat="false" ht="15" hidden="false" customHeight="false" outlineLevel="0" collapsed="false">
      <c r="A13825" s="5" t="s">
        <v>272</v>
      </c>
      <c r="G13825" s="25" t="n">
        <f aca="false">Assumptions!$N$53*MIN(G13816+G13823+G13821-G13822-G13824,MAX(0,G13900))</f>
        <v>0</v>
      </c>
      <c r="H13825" s="25" t="n">
        <f aca="false">Assumptions!$N$53*MIN(H13816+H13823+H13821-H13822-H13824,MAX(0,H13900))</f>
        <v>0</v>
      </c>
      <c r="I13825" s="25" t="n">
        <f aca="false">Assumptions!$N$53*MIN(I13816+I13823+I13821-I13822-I13824,MAX(0,I13900))</f>
        <v>0</v>
      </c>
      <c r="J13825" s="25" t="n">
        <f aca="false">Assumptions!$N$53*MIN(J13816+J13823+J13821-J13822-J13824,MAX(0,J13900))</f>
        <v>0</v>
      </c>
      <c r="K13825" s="25" t="n">
        <f aca="false">Assumptions!$N$53*MIN(K13816+K13823+K13821-K13822-K13824,MAX(0,K13900))</f>
        <v>0</v>
      </c>
    </row>
    <row r="13826" customFormat="false" ht="15" hidden="false" customHeight="false" outlineLevel="0" collapsed="false">
      <c r="A13826" s="5" t="s">
        <v>273</v>
      </c>
      <c r="G13826" s="25" t="n">
        <f aca="false">G13817*(1-G13814)*(G13816-G13822+G13821-G13824)</f>
        <v>0</v>
      </c>
      <c r="H13826" s="25" t="n">
        <f aca="false">H13817*(1-H13814)*(H13816-H13822+H13821-H13824)</f>
        <v>212.7968</v>
      </c>
      <c r="I13826" s="25" t="n">
        <f aca="false">I13817*(1-I13814)*(I13816-I13822+I13821-I13824)</f>
        <v>0</v>
      </c>
      <c r="J13826" s="25" t="n">
        <f aca="false">J13817*(1-J13814)*(J13816-J13822+J13821-J13824)</f>
        <v>0</v>
      </c>
      <c r="K13826" s="25" t="n">
        <f aca="false">K13817*(1-K13814)*(K13816-K13822+K13821-K13824)</f>
        <v>0</v>
      </c>
    </row>
    <row r="13827" customFormat="false" ht="15" hidden="false" customHeight="false" outlineLevel="0" collapsed="false">
      <c r="A13827" s="2" t="s">
        <v>274</v>
      </c>
      <c r="F13827" s="27" t="n">
        <f aca="false">Assumptions!$C$53</f>
        <v>180</v>
      </c>
      <c r="G13827" s="16" t="n">
        <f aca="false">G13816+G13823+G13821-G13822-G13824-G13825</f>
        <v>212.7968</v>
      </c>
      <c r="H13827" s="16" t="n">
        <f aca="false">H13816+H13823+H13821-H13822-H13824-H13825</f>
        <v>212.7968</v>
      </c>
      <c r="I13827" s="16" t="n">
        <f aca="false">I13816+I13823+I13821-I13822-I13824-I13825</f>
        <v>212.7968</v>
      </c>
      <c r="J13827" s="16" t="n">
        <f aca="false">J13816+J13823+J13821-J13822-J13824-J13825</f>
        <v>212.7968</v>
      </c>
      <c r="K13827" s="16" t="n">
        <f aca="false">K13816+K13823+K13821-K13822-K13824-K13825</f>
        <v>212.7968</v>
      </c>
    </row>
    <row r="13828" customFormat="false" ht="15" hidden="false" customHeight="false" outlineLevel="0" collapsed="false">
      <c r="A13828" s="23" t="s">
        <v>275</v>
      </c>
      <c r="B13828" s="24"/>
      <c r="C13828" s="24"/>
      <c r="D13828" s="24"/>
      <c r="E13828" s="24"/>
      <c r="F13828" s="24"/>
      <c r="G13828" s="24"/>
      <c r="H13828" s="24"/>
      <c r="I13828" s="24"/>
      <c r="J13828" s="24"/>
      <c r="K13828" s="24"/>
    </row>
    <row r="13829" customFormat="false" ht="15" hidden="false" customHeight="false" outlineLevel="0" collapsed="false">
      <c r="A13829" s="5" t="s">
        <v>264</v>
      </c>
      <c r="G13829" s="25" t="n">
        <f aca="false">F13840</f>
        <v>520</v>
      </c>
      <c r="H13829" s="25" t="n">
        <f aca="false">G13840</f>
        <v>514.8</v>
      </c>
      <c r="I13829" s="25" t="n">
        <f aca="false">H13840</f>
        <v>509.6</v>
      </c>
      <c r="J13829" s="25" t="n">
        <f aca="false">I13840</f>
        <v>504.4</v>
      </c>
      <c r="K13829" s="25" t="n">
        <f aca="false">J13840</f>
        <v>499.2</v>
      </c>
    </row>
    <row r="13830" customFormat="false" ht="15" hidden="false" customHeight="false" outlineLevel="0" collapsed="false">
      <c r="A13830" s="5" t="s">
        <v>265</v>
      </c>
      <c r="G13830" s="20" t="n">
        <f aca="false">IF(G13780=Assumptions!$K$54,1,0)</f>
        <v>0</v>
      </c>
      <c r="H13830" s="20" t="n">
        <f aca="false">IF(H13780=Assumptions!$K$54,1,0)</f>
        <v>0</v>
      </c>
      <c r="I13830" s="20" t="n">
        <f aca="false">IF(I13780=Assumptions!$K$54,1,0)</f>
        <v>1</v>
      </c>
      <c r="J13830" s="20" t="n">
        <f aca="false">IF(J13780=Assumptions!$K$54,1,0)</f>
        <v>0</v>
      </c>
      <c r="K13830" s="20" t="n">
        <f aca="false">IF(K13780=Assumptions!$K$54,1,0)</f>
        <v>0</v>
      </c>
    </row>
    <row r="13832" customFormat="false" ht="15" hidden="false" customHeight="false" outlineLevel="0" collapsed="false">
      <c r="A13832" s="5" t="s">
        <v>266</v>
      </c>
      <c r="G13832" s="30" t="n">
        <f aca="false">IF(Assumptions!$I$54=1,MAX(G13806,Assumptions!$G$54)+Assumptions!$F$54+$C$13807,Assumptions!$E$54)</f>
        <v>0.113</v>
      </c>
      <c r="H13832" s="30" t="n">
        <f aca="false">IF(G13969=1,$C$13808,IF(Assumptions!$I$54=1,MAX(H13806,Assumptions!$G$54)+Assumptions!$F$54+$C$13807,Assumptions!$E$54))</f>
        <v>0.1105</v>
      </c>
      <c r="I13832" s="30" t="n">
        <f aca="false">IF(H13969=1,$C$13808,IF(Assumptions!$I$54=1,MAX(I13806,Assumptions!$G$54)+Assumptions!$F$54+$C$13807,Assumptions!$E$54))</f>
        <v>0.108</v>
      </c>
      <c r="J13832" s="30" t="n">
        <f aca="false">IF(I13969=1,$C$13808,IF(Assumptions!$I$54=1,MAX(J13806,Assumptions!$G$54)+Assumptions!$F$54+$C$13807,Assumptions!$E$54))</f>
        <v>0.108</v>
      </c>
      <c r="K13832" s="30" t="n">
        <f aca="false">IF(J13969=1,$C$13808,IF(Assumptions!$I$54=1,MAX(K13806,Assumptions!$G$54)+Assumptions!$F$54+$C$13807,Assumptions!$E$54))</f>
        <v>0.108</v>
      </c>
    </row>
    <row r="13833" customFormat="false" ht="15" hidden="false" customHeight="false" outlineLevel="0" collapsed="false">
      <c r="A13833" s="5" t="s">
        <v>267</v>
      </c>
      <c r="G13833" s="25" t="n">
        <f aca="false">G13829*G13832</f>
        <v>58.76</v>
      </c>
      <c r="H13833" s="25" t="n">
        <f aca="false">H13829*H13832</f>
        <v>56.8854</v>
      </c>
      <c r="I13833" s="25" t="n">
        <f aca="false">I13829*I13832</f>
        <v>55.0368</v>
      </c>
      <c r="J13833" s="25" t="n">
        <f aca="false">J13829*J13832</f>
        <v>54.4752</v>
      </c>
      <c r="K13833" s="25" t="n">
        <f aca="false">K13829*K13832</f>
        <v>53.9136</v>
      </c>
    </row>
    <row r="13834" customFormat="false" ht="15" hidden="false" customHeight="false" outlineLevel="0" collapsed="false">
      <c r="A13834" s="5" t="s">
        <v>268</v>
      </c>
      <c r="G13834" s="25" t="n">
        <f aca="false">G13829*Assumptions!$H$54</f>
        <v>0</v>
      </c>
      <c r="H13834" s="25" t="n">
        <f aca="false">H13829*Assumptions!$H$54</f>
        <v>0</v>
      </c>
      <c r="I13834" s="25" t="n">
        <f aca="false">I13829*Assumptions!$H$54</f>
        <v>0</v>
      </c>
      <c r="J13834" s="25" t="n">
        <f aca="false">J13829*Assumptions!$H$54</f>
        <v>0</v>
      </c>
      <c r="K13834" s="25" t="n">
        <f aca="false">K13829*Assumptions!$H$54</f>
        <v>0</v>
      </c>
    </row>
    <row r="13835" customFormat="false" ht="15" hidden="false" customHeight="false" outlineLevel="0" collapsed="false">
      <c r="A13835" s="5" t="s">
        <v>269</v>
      </c>
      <c r="G13835" s="25" t="n">
        <f aca="false">MIN(G13829,Assumptions!$L$54*Assumptions!$C$54)</f>
        <v>5.2</v>
      </c>
      <c r="H13835" s="25" t="n">
        <f aca="false">MIN(H13829,Assumptions!$L$54*Assumptions!$C$54)</f>
        <v>5.2</v>
      </c>
      <c r="I13835" s="25" t="n">
        <f aca="false">MIN(I13829,Assumptions!$L$54*Assumptions!$C$54)</f>
        <v>5.2</v>
      </c>
      <c r="J13835" s="25" t="n">
        <f aca="false">MIN(J13829,Assumptions!$L$54*Assumptions!$C$54)</f>
        <v>5.2</v>
      </c>
      <c r="K13835" s="25" t="n">
        <f aca="false">MIN(K13829,Assumptions!$L$54*Assumptions!$C$54)</f>
        <v>5.2</v>
      </c>
    </row>
    <row r="13836" customFormat="false" ht="15" hidden="false" customHeight="false" outlineLevel="0" collapsed="false">
      <c r="A13836" s="5" t="s">
        <v>270</v>
      </c>
      <c r="G13836" s="25" t="n">
        <f aca="false">IF(AND(Assumptions!$P$54=1,G13780&lt;Assumptions!$K$54),MIN(MAX(0,-G13894),MAX(0,Assumptions!$D$54-G13829)),0)</f>
        <v>0</v>
      </c>
      <c r="H13836" s="25" t="n">
        <f aca="false">IF(AND(Assumptions!$P$54=1,OR(H13780&lt;Assumptions!$K$54,G13969=1)),MIN(MAX(0,-H13894),MAX(0,Assumptions!$D$54-H13829)),0)</f>
        <v>0</v>
      </c>
      <c r="I13836" s="25" t="n">
        <f aca="false">IF(AND(Assumptions!$P$54=1,OR(I13780&lt;Assumptions!$K$54,H13969=1)),MIN(MAX(0,-I13894),MAX(0,Assumptions!$D$54-I13829)),0)</f>
        <v>0</v>
      </c>
      <c r="J13836" s="25" t="n">
        <f aca="false">IF(AND(Assumptions!$P$54=1,OR(J13780&lt;Assumptions!$K$54,I13969=1)),MIN(MAX(0,-J13894),MAX(0,Assumptions!$D$54-J13829)),0)</f>
        <v>0</v>
      </c>
      <c r="K13836" s="25" t="n">
        <f aca="false">IF(AND(Assumptions!$P$54=1,OR(K13780&lt;Assumptions!$K$54,J13969=1)),MIN(MAX(0,-K13894),MAX(0,Assumptions!$D$54-K13829)),0)</f>
        <v>0</v>
      </c>
    </row>
    <row r="13837" customFormat="false" ht="15" hidden="false" customHeight="false" outlineLevel="0" collapsed="false">
      <c r="A13837" s="5" t="s">
        <v>271</v>
      </c>
      <c r="G13837" s="25" t="n">
        <f aca="false">G13830*MIN(G13829-G13835+G13834,MAX(0,G13896-Assumptions!$C$12*G13814-G13824))</f>
        <v>0</v>
      </c>
      <c r="H13837" s="25" t="n">
        <f aca="false">H13830*MIN(H13829-H13835+H13834,MAX(0,H13896-Assumptions!$C$12*H13814-H13824))</f>
        <v>0</v>
      </c>
      <c r="I13837" s="25" t="n">
        <f aca="false">I13830*MIN(I13829-I13835+I13834,MAX(0,I13896-Assumptions!$C$12*I13814-I13824))</f>
        <v>0</v>
      </c>
      <c r="J13837" s="25" t="n">
        <f aca="false">J13830*MIN(J13829-J13835+J13834,MAX(0,J13896-Assumptions!$C$12*J13814-J13824))</f>
        <v>0</v>
      </c>
      <c r="K13837" s="25" t="n">
        <f aca="false">K13830*MIN(K13829-K13835+K13834,MAX(0,K13896-Assumptions!$C$12*K13814-K13824))</f>
        <v>0</v>
      </c>
    </row>
    <row r="13838" customFormat="false" ht="15" hidden="false" customHeight="false" outlineLevel="0" collapsed="false">
      <c r="A13838" s="5" t="s">
        <v>272</v>
      </c>
      <c r="G13838" s="25" t="n">
        <f aca="false">Assumptions!$N$54*MIN(G13829+G13836+G13834-G13835-G13837,MAX(0,G13900-G13825))</f>
        <v>0</v>
      </c>
      <c r="H13838" s="25" t="n">
        <f aca="false">Assumptions!$N$54*MIN(H13829+H13836+H13834-H13835-H13837,MAX(0,H13900-H13825))</f>
        <v>0</v>
      </c>
      <c r="I13838" s="25" t="n">
        <f aca="false">Assumptions!$N$54*MIN(I13829+I13836+I13834-I13835-I13837,MAX(0,I13900-I13825))</f>
        <v>0</v>
      </c>
      <c r="J13838" s="25" t="n">
        <f aca="false">Assumptions!$N$54*MIN(J13829+J13836+J13834-J13835-J13837,MAX(0,J13900-J13825))</f>
        <v>0</v>
      </c>
      <c r="K13838" s="25" t="n">
        <f aca="false">Assumptions!$N$54*MIN(K13829+K13836+K13834-K13835-K13837,MAX(0,K13900-K13825))</f>
        <v>0</v>
      </c>
    </row>
    <row r="13839" customFormat="false" ht="15" hidden="false" customHeight="false" outlineLevel="0" collapsed="false">
      <c r="A13839" s="5" t="s">
        <v>273</v>
      </c>
      <c r="G13839" s="25" t="n">
        <f aca="false">G13830*(1-G13814)*(G13829-G13835+G13834-G13837)</f>
        <v>0</v>
      </c>
      <c r="H13839" s="25" t="n">
        <f aca="false">H13830*(1-H13814)*(H13829-H13835+H13834-H13837)</f>
        <v>0</v>
      </c>
      <c r="I13839" s="25" t="n">
        <f aca="false">I13830*(1-I13814)*(I13829-I13835+I13834-I13837)</f>
        <v>504.4</v>
      </c>
      <c r="J13839" s="25" t="n">
        <f aca="false">J13830*(1-J13814)*(J13829-J13835+J13834-J13837)</f>
        <v>0</v>
      </c>
      <c r="K13839" s="25" t="n">
        <f aca="false">K13830*(1-K13814)*(K13829-K13835+K13834-K13837)</f>
        <v>0</v>
      </c>
    </row>
    <row r="13840" customFormat="false" ht="15" hidden="false" customHeight="false" outlineLevel="0" collapsed="false">
      <c r="A13840" s="2" t="s">
        <v>274</v>
      </c>
      <c r="F13840" s="27" t="n">
        <f aca="false">Assumptions!$C$54</f>
        <v>520</v>
      </c>
      <c r="G13840" s="16" t="n">
        <f aca="false">G13829+G13836+G13834-G13835-G13837-G13838</f>
        <v>514.8</v>
      </c>
      <c r="H13840" s="16" t="n">
        <f aca="false">H13829+H13836+H13834-H13835-H13837-H13838</f>
        <v>509.6</v>
      </c>
      <c r="I13840" s="16" t="n">
        <f aca="false">I13829+I13836+I13834-I13835-I13837-I13838</f>
        <v>504.4</v>
      </c>
      <c r="J13840" s="16" t="n">
        <f aca="false">J13829+J13836+J13834-J13835-J13837-J13838</f>
        <v>499.2</v>
      </c>
      <c r="K13840" s="16" t="n">
        <f aca="false">K13829+K13836+K13834-K13835-K13837-K13838</f>
        <v>494</v>
      </c>
    </row>
    <row r="13841" customFormat="false" ht="15" hidden="false" customHeight="false" outlineLevel="0" collapsed="false">
      <c r="A13841" s="23" t="s">
        <v>276</v>
      </c>
      <c r="B13841" s="24"/>
      <c r="C13841" s="24"/>
      <c r="D13841" s="24"/>
      <c r="E13841" s="24"/>
      <c r="F13841" s="24"/>
      <c r="G13841" s="24"/>
      <c r="H13841" s="24"/>
      <c r="I13841" s="24"/>
      <c r="J13841" s="24"/>
      <c r="K13841" s="24"/>
    </row>
    <row r="13842" customFormat="false" ht="15" hidden="false" customHeight="false" outlineLevel="0" collapsed="false">
      <c r="A13842" s="5" t="s">
        <v>264</v>
      </c>
      <c r="G13842" s="25" t="n">
        <f aca="false">F13853</f>
        <v>250</v>
      </c>
      <c r="H13842" s="25" t="n">
        <f aca="false">G13853</f>
        <v>250</v>
      </c>
      <c r="I13842" s="25" t="n">
        <f aca="false">H13853</f>
        <v>250</v>
      </c>
      <c r="J13842" s="25" t="n">
        <f aca="false">I13853</f>
        <v>250</v>
      </c>
      <c r="K13842" s="25" t="n">
        <f aca="false">J13853</f>
        <v>250</v>
      </c>
    </row>
    <row r="13843" customFormat="false" ht="15" hidden="false" customHeight="false" outlineLevel="0" collapsed="false">
      <c r="A13843" s="5" t="s">
        <v>265</v>
      </c>
      <c r="G13843" s="20" t="n">
        <f aca="false">IF(G13780=Assumptions!$K$55,1,0)</f>
        <v>0</v>
      </c>
      <c r="H13843" s="20" t="n">
        <f aca="false">IF(H13780=Assumptions!$K$55,1,0)</f>
        <v>0</v>
      </c>
      <c r="I13843" s="20" t="n">
        <f aca="false">IF(I13780=Assumptions!$K$55,1,0)</f>
        <v>0</v>
      </c>
      <c r="J13843" s="20" t="n">
        <f aca="false">IF(J13780=Assumptions!$K$55,1,0)</f>
        <v>1</v>
      </c>
      <c r="K13843" s="20" t="n">
        <f aca="false">IF(K13780=Assumptions!$K$55,1,0)</f>
        <v>0</v>
      </c>
    </row>
    <row r="13845" customFormat="false" ht="15" hidden="false" customHeight="false" outlineLevel="0" collapsed="false">
      <c r="A13845" s="5" t="s">
        <v>266</v>
      </c>
      <c r="G13845" s="30" t="n">
        <f aca="false">IF(Assumptions!$I$55=1,MAX(G13806,Assumptions!$G$55)+Assumptions!$F$55+$C$13807,Assumptions!$E$55)</f>
        <v>0.11</v>
      </c>
      <c r="H13845" s="30" t="n">
        <f aca="false">IF(G13970=1,$C$13808,IF(Assumptions!$I$55=1,MAX(H13806,Assumptions!$G$55)+Assumptions!$F$55+$C$13807,Assumptions!$E$55))</f>
        <v>0.11</v>
      </c>
      <c r="I13845" s="30" t="n">
        <f aca="false">IF(H13970=1,$C$13808,IF(Assumptions!$I$55=1,MAX(I13806,Assumptions!$G$55)+Assumptions!$F$55+$C$13807,Assumptions!$E$55))</f>
        <v>0.11</v>
      </c>
      <c r="J13845" s="30" t="n">
        <f aca="false">IF(I13970=1,$C$13808,IF(Assumptions!$I$55=1,MAX(J13806,Assumptions!$G$55)+Assumptions!$F$55+$C$13807,Assumptions!$E$55))</f>
        <v>0.11</v>
      </c>
      <c r="K13845" s="30" t="n">
        <f aca="false">IF(J13970=1,$C$13808,IF(Assumptions!$I$55=1,MAX(K13806,Assumptions!$G$55)+Assumptions!$F$55+$C$13807,Assumptions!$E$55))</f>
        <v>0.11</v>
      </c>
    </row>
    <row r="13846" customFormat="false" ht="15" hidden="false" customHeight="false" outlineLevel="0" collapsed="false">
      <c r="A13846" s="5" t="s">
        <v>267</v>
      </c>
      <c r="G13846" s="25" t="n">
        <f aca="false">G13842*G13845</f>
        <v>27.5</v>
      </c>
      <c r="H13846" s="25" t="n">
        <f aca="false">H13842*H13845</f>
        <v>27.5</v>
      </c>
      <c r="I13846" s="25" t="n">
        <f aca="false">I13842*I13845</f>
        <v>27.5</v>
      </c>
      <c r="J13846" s="25" t="n">
        <f aca="false">J13842*J13845</f>
        <v>27.5</v>
      </c>
      <c r="K13846" s="25" t="n">
        <f aca="false">K13842*K13845</f>
        <v>27.5</v>
      </c>
    </row>
    <row r="13847" customFormat="false" ht="15" hidden="false" customHeight="false" outlineLevel="0" collapsed="false">
      <c r="A13847" s="5" t="s">
        <v>268</v>
      </c>
      <c r="G13847" s="25" t="n">
        <f aca="false">G13842*Assumptions!$H$55</f>
        <v>0</v>
      </c>
      <c r="H13847" s="25" t="n">
        <f aca="false">H13842*Assumptions!$H$55</f>
        <v>0</v>
      </c>
      <c r="I13847" s="25" t="n">
        <f aca="false">I13842*Assumptions!$H$55</f>
        <v>0</v>
      </c>
      <c r="J13847" s="25" t="n">
        <f aca="false">J13842*Assumptions!$H$55</f>
        <v>0</v>
      </c>
      <c r="K13847" s="25" t="n">
        <f aca="false">K13842*Assumptions!$H$55</f>
        <v>0</v>
      </c>
    </row>
    <row r="13848" customFormat="false" ht="15" hidden="false" customHeight="false" outlineLevel="0" collapsed="false">
      <c r="A13848" s="5" t="s">
        <v>269</v>
      </c>
      <c r="G13848" s="25" t="n">
        <f aca="false">MIN(G13842,Assumptions!$L$55*Assumptions!$C$55)</f>
        <v>0</v>
      </c>
      <c r="H13848" s="25" t="n">
        <f aca="false">MIN(H13842,Assumptions!$L$55*Assumptions!$C$55)</f>
        <v>0</v>
      </c>
      <c r="I13848" s="25" t="n">
        <f aca="false">MIN(I13842,Assumptions!$L$55*Assumptions!$C$55)</f>
        <v>0</v>
      </c>
      <c r="J13848" s="25" t="n">
        <f aca="false">MIN(J13842,Assumptions!$L$55*Assumptions!$C$55)</f>
        <v>0</v>
      </c>
      <c r="K13848" s="25" t="n">
        <f aca="false">MIN(K13842,Assumptions!$L$55*Assumptions!$C$55)</f>
        <v>0</v>
      </c>
    </row>
    <row r="13849" customFormat="false" ht="15" hidden="false" customHeight="false" outlineLevel="0" collapsed="false">
      <c r="A13849" s="5" t="s">
        <v>270</v>
      </c>
      <c r="G13849" s="25" t="n">
        <f aca="false">IF(AND(Assumptions!$P$55=1,G13780&lt;Assumptions!$K$55),MIN(MAX(0,-G13894),MAX(0,Assumptions!$D$55-G13842)),0)</f>
        <v>0</v>
      </c>
      <c r="H13849" s="25" t="n">
        <f aca="false">IF(AND(Assumptions!$P$55=1,OR(H13780&lt;Assumptions!$K$55,G13970=1)),MIN(MAX(0,-H13894),MAX(0,Assumptions!$D$55-H13842)),0)</f>
        <v>0</v>
      </c>
      <c r="I13849" s="25" t="n">
        <f aca="false">IF(AND(Assumptions!$P$55=1,OR(I13780&lt;Assumptions!$K$55,H13970=1)),MIN(MAX(0,-I13894),MAX(0,Assumptions!$D$55-I13842)),0)</f>
        <v>0</v>
      </c>
      <c r="J13849" s="25" t="n">
        <f aca="false">IF(AND(Assumptions!$P$55=1,OR(J13780&lt;Assumptions!$K$55,I13970=1)),MIN(MAX(0,-J13894),MAX(0,Assumptions!$D$55-J13842)),0)</f>
        <v>0</v>
      </c>
      <c r="K13849" s="25" t="n">
        <f aca="false">IF(AND(Assumptions!$P$55=1,OR(K13780&lt;Assumptions!$K$55,J13970=1)),MIN(MAX(0,-K13894),MAX(0,Assumptions!$D$55-K13842)),0)</f>
        <v>0</v>
      </c>
    </row>
    <row r="13850" customFormat="false" ht="15" hidden="false" customHeight="false" outlineLevel="0" collapsed="false">
      <c r="A13850" s="5" t="s">
        <v>271</v>
      </c>
      <c r="G13850" s="25" t="n">
        <f aca="false">G13843*MIN(G13842-G13848+G13847,MAX(0,G13896-Assumptions!$C$12*G13814-G13824-G13837))</f>
        <v>0</v>
      </c>
      <c r="H13850" s="25" t="n">
        <f aca="false">H13843*MIN(H13842-H13848+H13847,MAX(0,H13896-Assumptions!$C$12*H13814-H13824-H13837))</f>
        <v>0</v>
      </c>
      <c r="I13850" s="25" t="n">
        <f aca="false">I13843*MIN(I13842-I13848+I13847,MAX(0,I13896-Assumptions!$C$12*I13814-I13824-I13837))</f>
        <v>0</v>
      </c>
      <c r="J13850" s="25" t="n">
        <f aca="false">J13843*MIN(J13842-J13848+J13847,MAX(0,J13896-Assumptions!$C$12*J13814-J13824-J13837))</f>
        <v>0</v>
      </c>
      <c r="K13850" s="25" t="n">
        <f aca="false">K13843*MIN(K13842-K13848+K13847,MAX(0,K13896-Assumptions!$C$12*K13814-K13824-K13837))</f>
        <v>0</v>
      </c>
    </row>
    <row r="13851" customFormat="false" ht="15" hidden="false" customHeight="false" outlineLevel="0" collapsed="false">
      <c r="A13851" s="5" t="s">
        <v>272</v>
      </c>
      <c r="G13851" s="25" t="n">
        <f aca="false">Assumptions!$N$55*MIN(G13842+G13849+G13847-G13848-G13850,MAX(0,G13900-G13825-G13838))</f>
        <v>0</v>
      </c>
      <c r="H13851" s="25" t="n">
        <f aca="false">Assumptions!$N$55*MIN(H13842+H13849+H13847-H13848-H13850,MAX(0,H13900-H13825-H13838))</f>
        <v>0</v>
      </c>
      <c r="I13851" s="25" t="n">
        <f aca="false">Assumptions!$N$55*MIN(I13842+I13849+I13847-I13848-I13850,MAX(0,I13900-I13825-I13838))</f>
        <v>0</v>
      </c>
      <c r="J13851" s="25" t="n">
        <f aca="false">Assumptions!$N$55*MIN(J13842+J13849+J13847-J13848-J13850,MAX(0,J13900-J13825-J13838))</f>
        <v>0</v>
      </c>
      <c r="K13851" s="25" t="n">
        <f aca="false">Assumptions!$N$55*MIN(K13842+K13849+K13847-K13848-K13850,MAX(0,K13900-K13825-K13838))</f>
        <v>0</v>
      </c>
    </row>
    <row r="13852" customFormat="false" ht="15" hidden="false" customHeight="false" outlineLevel="0" collapsed="false">
      <c r="A13852" s="5" t="s">
        <v>273</v>
      </c>
      <c r="G13852" s="25" t="n">
        <f aca="false">G13843*(1-G13814)*(G13842-G13848+G13847-G13850)</f>
        <v>0</v>
      </c>
      <c r="H13852" s="25" t="n">
        <f aca="false">H13843*(1-H13814)*(H13842-H13848+H13847-H13850)</f>
        <v>0</v>
      </c>
      <c r="I13852" s="25" t="n">
        <f aca="false">I13843*(1-I13814)*(I13842-I13848+I13847-I13850)</f>
        <v>0</v>
      </c>
      <c r="J13852" s="25" t="n">
        <f aca="false">J13843*(1-J13814)*(J13842-J13848+J13847-J13850)</f>
        <v>250</v>
      </c>
      <c r="K13852" s="25" t="n">
        <f aca="false">K13843*(1-K13814)*(K13842-K13848+K13847-K13850)</f>
        <v>0</v>
      </c>
    </row>
    <row r="13853" customFormat="false" ht="15" hidden="false" customHeight="false" outlineLevel="0" collapsed="false">
      <c r="A13853" s="2" t="s">
        <v>274</v>
      </c>
      <c r="F13853" s="27" t="n">
        <f aca="false">Assumptions!$C$55</f>
        <v>250</v>
      </c>
      <c r="G13853" s="16" t="n">
        <f aca="false">G13842+G13849+G13847-G13848-G13850-G13851</f>
        <v>250</v>
      </c>
      <c r="H13853" s="16" t="n">
        <f aca="false">H13842+H13849+H13847-H13848-H13850-H13851</f>
        <v>250</v>
      </c>
      <c r="I13853" s="16" t="n">
        <f aca="false">I13842+I13849+I13847-I13848-I13850-I13851</f>
        <v>250</v>
      </c>
      <c r="J13853" s="16" t="n">
        <f aca="false">J13842+J13849+J13847-J13848-J13850-J13851</f>
        <v>250</v>
      </c>
      <c r="K13853" s="16" t="n">
        <f aca="false">K13842+K13849+K13847-K13848-K13850-K13851</f>
        <v>250</v>
      </c>
    </row>
    <row r="13854" customFormat="false" ht="15" hidden="false" customHeight="false" outlineLevel="0" collapsed="false">
      <c r="A13854" s="23" t="s">
        <v>277</v>
      </c>
      <c r="B13854" s="24"/>
      <c r="C13854" s="24"/>
      <c r="D13854" s="24"/>
      <c r="E13854" s="24"/>
      <c r="F13854" s="24"/>
      <c r="G13854" s="24"/>
      <c r="H13854" s="24"/>
      <c r="I13854" s="24"/>
      <c r="J13854" s="24"/>
      <c r="K13854" s="24"/>
    </row>
    <row r="13855" customFormat="false" ht="15" hidden="false" customHeight="false" outlineLevel="0" collapsed="false">
      <c r="A13855" s="5" t="s">
        <v>264</v>
      </c>
      <c r="G13855" s="25" t="n">
        <f aca="false">F13866</f>
        <v>300</v>
      </c>
      <c r="H13855" s="25" t="n">
        <f aca="false">G13866</f>
        <v>300</v>
      </c>
      <c r="I13855" s="25" t="n">
        <f aca="false">H13866</f>
        <v>300</v>
      </c>
      <c r="J13855" s="25" t="n">
        <f aca="false">I13866</f>
        <v>300</v>
      </c>
      <c r="K13855" s="25" t="n">
        <f aca="false">J13866</f>
        <v>300</v>
      </c>
    </row>
    <row r="13856" customFormat="false" ht="15" hidden="false" customHeight="false" outlineLevel="0" collapsed="false">
      <c r="A13856" s="5" t="s">
        <v>265</v>
      </c>
      <c r="G13856" s="20" t="n">
        <f aca="false">IF(G13780=Assumptions!$K$56,1,0)</f>
        <v>0</v>
      </c>
      <c r="H13856" s="20" t="n">
        <f aca="false">IF(H13780=Assumptions!$K$56,1,0)</f>
        <v>1</v>
      </c>
      <c r="I13856" s="20" t="n">
        <f aca="false">IF(I13780=Assumptions!$K$56,1,0)</f>
        <v>0</v>
      </c>
      <c r="J13856" s="20" t="n">
        <f aca="false">IF(J13780=Assumptions!$K$56,1,0)</f>
        <v>0</v>
      </c>
      <c r="K13856" s="20" t="n">
        <f aca="false">IF(K13780=Assumptions!$K$56,1,0)</f>
        <v>0</v>
      </c>
    </row>
    <row r="13858" customFormat="false" ht="15" hidden="false" customHeight="false" outlineLevel="0" collapsed="false">
      <c r="A13858" s="5" t="s">
        <v>266</v>
      </c>
      <c r="G13858" s="30" t="n">
        <f aca="false">IF(Assumptions!$I$56=1,MAX(G13806,Assumptions!$G$56)+Assumptions!$F$56+$C$13807,Assumptions!$E$56)</f>
        <v>0.075</v>
      </c>
      <c r="H13858" s="30" t="n">
        <f aca="false">IF(G13971=1,$C$13808,IF(Assumptions!$I$56=1,MAX(H13806,Assumptions!$G$56)+Assumptions!$F$56+$C$13807,Assumptions!$E$56))</f>
        <v>0.075</v>
      </c>
      <c r="I13858" s="30" t="n">
        <f aca="false">IF(H13971=1,$C$13808,IF(Assumptions!$I$56=1,MAX(I13806,Assumptions!$G$56)+Assumptions!$F$56+$C$13807,Assumptions!$E$56))</f>
        <v>0.075</v>
      </c>
      <c r="J13858" s="30" t="n">
        <f aca="false">IF(I13971=1,$C$13808,IF(Assumptions!$I$56=1,MAX(J13806,Assumptions!$G$56)+Assumptions!$F$56+$C$13807,Assumptions!$E$56))</f>
        <v>0.075</v>
      </c>
      <c r="K13858" s="30" t="n">
        <f aca="false">IF(J13971=1,$C$13808,IF(Assumptions!$I$56=1,MAX(K13806,Assumptions!$G$56)+Assumptions!$F$56+$C$13807,Assumptions!$E$56))</f>
        <v>0.075</v>
      </c>
    </row>
    <row r="13859" customFormat="false" ht="15" hidden="false" customHeight="false" outlineLevel="0" collapsed="false">
      <c r="A13859" s="5" t="s">
        <v>267</v>
      </c>
      <c r="G13859" s="25" t="n">
        <f aca="false">G13855*G13858</f>
        <v>22.5</v>
      </c>
      <c r="H13859" s="25" t="n">
        <f aca="false">H13855*H13858</f>
        <v>22.5</v>
      </c>
      <c r="I13859" s="25" t="n">
        <f aca="false">I13855*I13858</f>
        <v>22.5</v>
      </c>
      <c r="J13859" s="25" t="n">
        <f aca="false">J13855*J13858</f>
        <v>22.5</v>
      </c>
      <c r="K13859" s="25" t="n">
        <f aca="false">K13855*K13858</f>
        <v>22.5</v>
      </c>
    </row>
    <row r="13860" customFormat="false" ht="15" hidden="false" customHeight="false" outlineLevel="0" collapsed="false">
      <c r="A13860" s="5" t="s">
        <v>268</v>
      </c>
      <c r="G13860" s="25" t="n">
        <f aca="false">G13855*Assumptions!$H$56</f>
        <v>0</v>
      </c>
      <c r="H13860" s="25" t="n">
        <f aca="false">H13855*Assumptions!$H$56</f>
        <v>0</v>
      </c>
      <c r="I13860" s="25" t="n">
        <f aca="false">I13855*Assumptions!$H$56</f>
        <v>0</v>
      </c>
      <c r="J13860" s="25" t="n">
        <f aca="false">J13855*Assumptions!$H$56</f>
        <v>0</v>
      </c>
      <c r="K13860" s="25" t="n">
        <f aca="false">K13855*Assumptions!$H$56</f>
        <v>0</v>
      </c>
    </row>
    <row r="13861" customFormat="false" ht="15" hidden="false" customHeight="false" outlineLevel="0" collapsed="false">
      <c r="A13861" s="5" t="s">
        <v>269</v>
      </c>
      <c r="G13861" s="25" t="n">
        <f aca="false">MIN(G13855,Assumptions!$L$56*Assumptions!$C$56)</f>
        <v>0</v>
      </c>
      <c r="H13861" s="25" t="n">
        <f aca="false">MIN(H13855,Assumptions!$L$56*Assumptions!$C$56)</f>
        <v>0</v>
      </c>
      <c r="I13861" s="25" t="n">
        <f aca="false">MIN(I13855,Assumptions!$L$56*Assumptions!$C$56)</f>
        <v>0</v>
      </c>
      <c r="J13861" s="25" t="n">
        <f aca="false">MIN(J13855,Assumptions!$L$56*Assumptions!$C$56)</f>
        <v>0</v>
      </c>
      <c r="K13861" s="25" t="n">
        <f aca="false">MIN(K13855,Assumptions!$L$56*Assumptions!$C$56)</f>
        <v>0</v>
      </c>
    </row>
    <row r="13862" customFormat="false" ht="15" hidden="false" customHeight="false" outlineLevel="0" collapsed="false">
      <c r="A13862" s="5" t="s">
        <v>270</v>
      </c>
      <c r="G13862" s="25" t="n">
        <f aca="false">IF(AND(Assumptions!$P$56=1,G13780&lt;Assumptions!$K$56),MIN(MAX(0,-G13894),MAX(0,Assumptions!$D$56-G13855)),0)</f>
        <v>0</v>
      </c>
      <c r="H13862" s="25" t="n">
        <f aca="false">IF(AND(Assumptions!$P$56=1,OR(H13780&lt;Assumptions!$K$56,G13971=1)),MIN(MAX(0,-H13894),MAX(0,Assumptions!$D$56-H13855)),0)</f>
        <v>0</v>
      </c>
      <c r="I13862" s="25" t="n">
        <f aca="false">IF(AND(Assumptions!$P$56=1,OR(I13780&lt;Assumptions!$K$56,H13971=1)),MIN(MAX(0,-I13894),MAX(0,Assumptions!$D$56-I13855)),0)</f>
        <v>0</v>
      </c>
      <c r="J13862" s="25" t="n">
        <f aca="false">IF(AND(Assumptions!$P$56=1,OR(J13780&lt;Assumptions!$K$56,I13971=1)),MIN(MAX(0,-J13894),MAX(0,Assumptions!$D$56-J13855)),0)</f>
        <v>0</v>
      </c>
      <c r="K13862" s="25" t="n">
        <f aca="false">IF(AND(Assumptions!$P$56=1,OR(K13780&lt;Assumptions!$K$56,J13971=1)),MIN(MAX(0,-K13894),MAX(0,Assumptions!$D$56-K13855)),0)</f>
        <v>0</v>
      </c>
    </row>
    <row r="13863" customFormat="false" ht="15" hidden="false" customHeight="false" outlineLevel="0" collapsed="false">
      <c r="A13863" s="5" t="s">
        <v>271</v>
      </c>
      <c r="G13863" s="25" t="n">
        <f aca="false">G13856*MIN(G13855-G13861+G13860,MAX(0,G13896-Assumptions!$C$12*G13814-G13824-G13837-G13850))</f>
        <v>0</v>
      </c>
      <c r="H13863" s="25" t="n">
        <f aca="false">H13856*MIN(H13855-H13861+H13860,MAX(0,H13896-Assumptions!$C$12*H13814-H13824-H13837-H13850))</f>
        <v>0</v>
      </c>
      <c r="I13863" s="25" t="n">
        <f aca="false">I13856*MIN(I13855-I13861+I13860,MAX(0,I13896-Assumptions!$C$12*I13814-I13824-I13837-I13850))</f>
        <v>0</v>
      </c>
      <c r="J13863" s="25" t="n">
        <f aca="false">J13856*MIN(J13855-J13861+J13860,MAX(0,J13896-Assumptions!$C$12*J13814-J13824-J13837-J13850))</f>
        <v>0</v>
      </c>
      <c r="K13863" s="25" t="n">
        <f aca="false">K13856*MIN(K13855-K13861+K13860,MAX(0,K13896-Assumptions!$C$12*K13814-K13824-K13837-K13850))</f>
        <v>0</v>
      </c>
    </row>
    <row r="13864" customFormat="false" ht="15" hidden="false" customHeight="false" outlineLevel="0" collapsed="false">
      <c r="A13864" s="5" t="s">
        <v>272</v>
      </c>
      <c r="G13864" s="25" t="n">
        <f aca="false">Assumptions!$N$56*MIN(G13855+G13862+G13860-G13861-G13863,MAX(0,G13900-G13825-G13838-G13851))</f>
        <v>0</v>
      </c>
      <c r="H13864" s="25" t="n">
        <f aca="false">Assumptions!$N$56*MIN(H13855+H13862+H13860-H13861-H13863,MAX(0,H13900-H13825-H13838-H13851))</f>
        <v>0</v>
      </c>
      <c r="I13864" s="25" t="n">
        <f aca="false">Assumptions!$N$56*MIN(I13855+I13862+I13860-I13861-I13863,MAX(0,I13900-I13825-I13838-I13851))</f>
        <v>0</v>
      </c>
      <c r="J13864" s="25" t="n">
        <f aca="false">Assumptions!$N$56*MIN(J13855+J13862+J13860-J13861-J13863,MAX(0,J13900-J13825-J13838-J13851))</f>
        <v>0</v>
      </c>
      <c r="K13864" s="25" t="n">
        <f aca="false">Assumptions!$N$56*MIN(K13855+K13862+K13860-K13861-K13863,MAX(0,K13900-K13825-K13838-K13851))</f>
        <v>0</v>
      </c>
    </row>
    <row r="13865" customFormat="false" ht="15" hidden="false" customHeight="false" outlineLevel="0" collapsed="false">
      <c r="A13865" s="5" t="s">
        <v>273</v>
      </c>
      <c r="G13865" s="25" t="n">
        <f aca="false">G13856*(1-G13814)*(G13855-G13861+G13860-G13863)</f>
        <v>0</v>
      </c>
      <c r="H13865" s="25" t="n">
        <f aca="false">H13856*(1-H13814)*(H13855-H13861+H13860-H13863)</f>
        <v>300</v>
      </c>
      <c r="I13865" s="25" t="n">
        <f aca="false">I13856*(1-I13814)*(I13855-I13861+I13860-I13863)</f>
        <v>0</v>
      </c>
      <c r="J13865" s="25" t="n">
        <f aca="false">J13856*(1-J13814)*(J13855-J13861+J13860-J13863)</f>
        <v>0</v>
      </c>
      <c r="K13865" s="25" t="n">
        <f aca="false">K13856*(1-K13814)*(K13855-K13861+K13860-K13863)</f>
        <v>0</v>
      </c>
    </row>
    <row r="13866" customFormat="false" ht="15" hidden="false" customHeight="false" outlineLevel="0" collapsed="false">
      <c r="A13866" s="2" t="s">
        <v>274</v>
      </c>
      <c r="F13866" s="27" t="n">
        <f aca="false">Assumptions!$C$56</f>
        <v>300</v>
      </c>
      <c r="G13866" s="16" t="n">
        <f aca="false">G13855+G13862+G13860-G13861-G13863-G13864</f>
        <v>300</v>
      </c>
      <c r="H13866" s="16" t="n">
        <f aca="false">H13855+H13862+H13860-H13861-H13863-H13864</f>
        <v>300</v>
      </c>
      <c r="I13866" s="16" t="n">
        <f aca="false">I13855+I13862+I13860-I13861-I13863-I13864</f>
        <v>300</v>
      </c>
      <c r="J13866" s="16" t="n">
        <f aca="false">J13855+J13862+J13860-J13861-J13863-J13864</f>
        <v>300</v>
      </c>
      <c r="K13866" s="16" t="n">
        <f aca="false">K13855+K13862+K13860-K13861-K13863-K13864</f>
        <v>300</v>
      </c>
    </row>
    <row r="13867" customFormat="false" ht="15" hidden="false" customHeight="false" outlineLevel="0" collapsed="false">
      <c r="A13867" s="23" t="s">
        <v>278</v>
      </c>
      <c r="B13867" s="24"/>
      <c r="C13867" s="24"/>
      <c r="D13867" s="24"/>
      <c r="E13867" s="24"/>
      <c r="F13867" s="24"/>
      <c r="G13867" s="24"/>
      <c r="H13867" s="24"/>
      <c r="I13867" s="24"/>
      <c r="J13867" s="24"/>
      <c r="K13867" s="24"/>
    </row>
    <row r="13868" customFormat="false" ht="15" hidden="false" customHeight="false" outlineLevel="0" collapsed="false">
      <c r="A13868" s="2" t="s">
        <v>279</v>
      </c>
      <c r="F13868" s="16" t="n">
        <f aca="false">F13827+F13840+F13853+F13866</f>
        <v>1250</v>
      </c>
      <c r="G13868" s="16" t="n">
        <f aca="false">G13827+G13840+G13853+G13866</f>
        <v>1277.5968</v>
      </c>
      <c r="H13868" s="16" t="n">
        <f aca="false">H13827+H13840+H13853+H13866</f>
        <v>1272.3968</v>
      </c>
      <c r="I13868" s="16" t="n">
        <f aca="false">I13827+I13840+I13853+I13866</f>
        <v>1267.1968</v>
      </c>
      <c r="J13868" s="16" t="n">
        <f aca="false">J13827+J13840+J13853+J13866</f>
        <v>1261.9968</v>
      </c>
      <c r="K13868" s="16" t="n">
        <f aca="false">K13827+K13840+K13853+K13866</f>
        <v>1256.7968</v>
      </c>
    </row>
    <row r="13869" customFormat="false" ht="15" hidden="false" customHeight="false" outlineLevel="0" collapsed="false">
      <c r="A13869" s="5" t="s">
        <v>280</v>
      </c>
      <c r="G13869" s="25" t="n">
        <f aca="false">G13817*Assumptions!$C$53+G13830*Assumptions!$C$54+G13843*Assumptions!$C$55+G13856*Assumptions!$C$56</f>
        <v>0</v>
      </c>
      <c r="H13869" s="25" t="n">
        <f aca="false">H13817*Assumptions!$C$53+H13830*Assumptions!$C$54+H13843*Assumptions!$C$55+H13856*Assumptions!$C$56</f>
        <v>480</v>
      </c>
      <c r="I13869" s="25" t="n">
        <f aca="false">I13817*Assumptions!$C$53+I13830*Assumptions!$C$54+I13843*Assumptions!$C$55+I13856*Assumptions!$C$56</f>
        <v>520</v>
      </c>
      <c r="J13869" s="25" t="n">
        <f aca="false">J13817*Assumptions!$C$53+J13830*Assumptions!$C$54+J13843*Assumptions!$C$55+J13856*Assumptions!$C$56</f>
        <v>250</v>
      </c>
      <c r="K13869" s="25" t="n">
        <f aca="false">K13817*Assumptions!$C$53+K13830*Assumptions!$C$54+K13843*Assumptions!$C$55+K13856*Assumptions!$C$56</f>
        <v>0</v>
      </c>
    </row>
    <row r="13870" customFormat="false" ht="15" hidden="false" customHeight="false" outlineLevel="0" collapsed="false">
      <c r="A13870" s="23" t="s">
        <v>281</v>
      </c>
      <c r="B13870" s="24"/>
      <c r="C13870" s="24"/>
      <c r="D13870" s="24"/>
      <c r="E13870" s="24"/>
      <c r="F13870" s="24"/>
      <c r="G13870" s="24"/>
      <c r="H13870" s="24"/>
      <c r="I13870" s="24"/>
      <c r="J13870" s="24"/>
      <c r="K13870" s="24"/>
    </row>
    <row r="13871" customFormat="false" ht="15" hidden="false" customHeight="false" outlineLevel="0" collapsed="false">
      <c r="A13871" s="5" t="s">
        <v>282</v>
      </c>
      <c r="C13871" s="25" t="n">
        <f aca="false">SUMPRODUCT($G$13817:$K$13817,$G$13816:$K$13816-$G$13822:$K$13822+$G$13821:$K$13821)</f>
        <v>212.7968</v>
      </c>
    </row>
    <row r="13872" customFormat="false" ht="15" hidden="false" customHeight="false" outlineLevel="0" collapsed="false">
      <c r="A13872" s="5" t="s">
        <v>283</v>
      </c>
      <c r="C13872" s="25" t="n">
        <f aca="false">SUMPRODUCT($G$13817:$K$13817,$G$13824:$K$13824)</f>
        <v>0</v>
      </c>
    </row>
    <row r="13873" customFormat="false" ht="15" hidden="false" customHeight="false" outlineLevel="0" collapsed="false">
      <c r="A13873" s="5" t="s">
        <v>284</v>
      </c>
      <c r="C13873" s="5" t="str">
        <f aca="false">IF(SUM($G$13817:$K$13817)=0,"n/a (beyond horizon)",IF(SUMPRODUCT($G$13817:$K$13817,$G$13814:$K$13814)&gt;0,"REFINANCING PASS","REFINANCING FAILURE"))</f>
        <v>REFINANCING FAILURE</v>
      </c>
    </row>
    <row r="13874" customFormat="false" ht="15" hidden="false" customHeight="false" outlineLevel="0" collapsed="false">
      <c r="A13874" s="5" t="s">
        <v>285</v>
      </c>
      <c r="C13874" s="5" t="str">
        <f aca="false">IF(SUM($G$13817:$K$13817)=0,"n/a",IF(C13872&gt;=C13871-0.001,"Repaid from cash",IF(SUMPRODUCT($G$13817:$K$13817,$G$13814:$K$13814)&gt;0,IF(C13872&gt;0,"Partly repaid; remainder refinanced","Refinanced"),IF(SUM($G$13826:$K$13826)&gt;0.001,IF(C13872&gt;0,"Partial repayment; PAYMENT DEFAULT","PAYMENT DEFAULT"),"Repaid from cash"))))</f>
        <v>PAYMENT DEFAULT</v>
      </c>
    </row>
    <row r="13875" customFormat="false" ht="15" hidden="false" customHeight="false" outlineLevel="0" collapsed="false">
      <c r="A13875" s="5" t="s">
        <v>286</v>
      </c>
      <c r="C13875" s="25" t="n">
        <f aca="false">SUMPRODUCT($G$13830:$K$13830,$G$13829:$K$13829-$G$13835:$K$13835+$G$13834:$K$13834)</f>
        <v>504.4</v>
      </c>
    </row>
    <row r="13876" customFormat="false" ht="15" hidden="false" customHeight="false" outlineLevel="0" collapsed="false">
      <c r="A13876" s="5" t="s">
        <v>287</v>
      </c>
      <c r="C13876" s="25" t="n">
        <f aca="false">SUMPRODUCT($G$13830:$K$13830,$G$13837:$K$13837)</f>
        <v>0</v>
      </c>
    </row>
    <row r="13877" customFormat="false" ht="15" hidden="false" customHeight="false" outlineLevel="0" collapsed="false">
      <c r="A13877" s="5" t="s">
        <v>288</v>
      </c>
      <c r="C13877" s="5" t="str">
        <f aca="false">IF(SUM($G$13830:$K$13830)=0,"n/a (beyond horizon)",IF(SUMPRODUCT($G$13830:$K$13830,$G$13814:$K$13814)&gt;0,"REFINANCING PASS","REFINANCING FAILURE"))</f>
        <v>REFINANCING FAILURE</v>
      </c>
    </row>
    <row r="13878" customFormat="false" ht="15" hidden="false" customHeight="false" outlineLevel="0" collapsed="false">
      <c r="A13878" s="5" t="s">
        <v>289</v>
      </c>
      <c r="C13878" s="5" t="str">
        <f aca="false">IF(SUM($G$13830:$K$13830)=0,"n/a",IF(C13876&gt;=C13875-0.001,"Repaid from cash",IF(SUMPRODUCT($G$13830:$K$13830,$G$13814:$K$13814)&gt;0,IF(C13876&gt;0,"Partly repaid; remainder refinanced","Refinanced"),IF(SUM($G$13839:$K$13839)&gt;0.001,IF(C13876&gt;0,"Partial repayment; PAYMENT DEFAULT","PAYMENT DEFAULT"),"Repaid from cash"))))</f>
        <v>PAYMENT DEFAULT</v>
      </c>
    </row>
    <row r="13879" customFormat="false" ht="15" hidden="false" customHeight="false" outlineLevel="0" collapsed="false">
      <c r="A13879" s="5" t="s">
        <v>290</v>
      </c>
      <c r="C13879" s="25" t="n">
        <f aca="false">SUMPRODUCT($G$13843:$K$13843,$G$13842:$K$13842-$G$13848:$K$13848+$G$13847:$K$13847)</f>
        <v>250</v>
      </c>
    </row>
    <row r="13880" customFormat="false" ht="15" hidden="false" customHeight="false" outlineLevel="0" collapsed="false">
      <c r="A13880" s="5" t="s">
        <v>291</v>
      </c>
      <c r="C13880" s="25" t="n">
        <f aca="false">SUMPRODUCT($G$13843:$K$13843,$G$13850:$K$13850)</f>
        <v>0</v>
      </c>
    </row>
    <row r="13881" customFormat="false" ht="15" hidden="false" customHeight="false" outlineLevel="0" collapsed="false">
      <c r="A13881" s="5" t="s">
        <v>292</v>
      </c>
      <c r="C13881" s="5" t="str">
        <f aca="false">IF(SUM($G$13843:$K$13843)=0,"n/a (beyond horizon)",IF(SUMPRODUCT($G$13843:$K$13843,$G$13814:$K$13814)&gt;0,"REFINANCING PASS","REFINANCING FAILURE"))</f>
        <v>REFINANCING FAILURE</v>
      </c>
    </row>
    <row r="13882" customFormat="false" ht="15" hidden="false" customHeight="false" outlineLevel="0" collapsed="false">
      <c r="A13882" s="5" t="s">
        <v>293</v>
      </c>
      <c r="C13882" s="5" t="str">
        <f aca="false">IF(SUM($G$13843:$K$13843)=0,"n/a",IF(C13880&gt;=C13879-0.001,"Repaid from cash",IF(SUMPRODUCT($G$13843:$K$13843,$G$13814:$K$13814)&gt;0,IF(C13880&gt;0,"Partly repaid; remainder refinanced","Refinanced"),IF(SUM($G$13852:$K$13852)&gt;0.001,IF(C13880&gt;0,"Partial repayment; PAYMENT DEFAULT","PAYMENT DEFAULT"),"Repaid from cash"))))</f>
        <v>PAYMENT DEFAULT</v>
      </c>
    </row>
    <row r="13883" customFormat="false" ht="15" hidden="false" customHeight="false" outlineLevel="0" collapsed="false">
      <c r="A13883" s="5" t="s">
        <v>294</v>
      </c>
      <c r="C13883" s="25" t="n">
        <f aca="false">SUMPRODUCT($G$13856:$K$13856,$G$13855:$K$13855-$G$13861:$K$13861+$G$13860:$K$13860)</f>
        <v>300</v>
      </c>
    </row>
    <row r="13884" customFormat="false" ht="15" hidden="false" customHeight="false" outlineLevel="0" collapsed="false">
      <c r="A13884" s="5" t="s">
        <v>295</v>
      </c>
      <c r="C13884" s="25" t="n">
        <f aca="false">SUMPRODUCT($G$13856:$K$13856,$G$13863:$K$13863)</f>
        <v>0</v>
      </c>
    </row>
    <row r="13885" customFormat="false" ht="15" hidden="false" customHeight="false" outlineLevel="0" collapsed="false">
      <c r="A13885" s="5" t="s">
        <v>296</v>
      </c>
      <c r="C13885" s="5" t="str">
        <f aca="false">IF(SUM($G$13856:$K$13856)=0,"n/a (beyond horizon)",IF(SUMPRODUCT($G$13856:$K$13856,$G$13814:$K$13814)&gt;0,"REFINANCING PASS","REFINANCING FAILURE"))</f>
        <v>REFINANCING FAILURE</v>
      </c>
    </row>
    <row r="13886" customFormat="false" ht="15" hidden="false" customHeight="false" outlineLevel="0" collapsed="false">
      <c r="A13886" s="5" t="s">
        <v>297</v>
      </c>
      <c r="C13886" s="5" t="str">
        <f aca="false">IF(SUM($G$13856:$K$13856)=0,"n/a",IF(C13884&gt;=C13883-0.001,"Repaid from cash",IF(SUMPRODUCT($G$13856:$K$13856,$G$13814:$K$13814)&gt;0,IF(C13884&gt;0,"Partly repaid; remainder refinanced","Refinanced"),IF(SUM($G$13865:$K$13865)&gt;0.001,IF(C13884&gt;0,"Partial repayment; PAYMENT DEFAULT","PAYMENT DEFAULT"),"Repaid from cash"))))</f>
        <v>PAYMENT DEFAULT</v>
      </c>
    </row>
    <row r="13887" customFormat="false" ht="15" hidden="false" customHeight="false" outlineLevel="0" collapsed="false">
      <c r="A13887" s="5" t="s">
        <v>298</v>
      </c>
      <c r="C13887" s="20" t="n">
        <f aca="false">IF(C13873="REFINANCING FAILURE",1,0)+IF(C13877="REFINANCING FAILURE",1,0)+IF(C13881="REFINANCING FAILURE",1,0)+IF(C13885="REFINANCING FAILURE",1,0)</f>
        <v>4</v>
      </c>
    </row>
    <row r="13889" customFormat="false" ht="15" hidden="false" customHeight="false" outlineLevel="0" collapsed="false">
      <c r="A13889" s="23" t="s">
        <v>300</v>
      </c>
      <c r="B13889" s="24"/>
      <c r="C13889" s="24"/>
      <c r="D13889" s="24"/>
      <c r="E13889" s="24"/>
      <c r="F13889" s="24"/>
      <c r="G13889" s="24"/>
      <c r="H13889" s="24"/>
      <c r="I13889" s="24"/>
      <c r="J13889" s="24"/>
      <c r="K13889" s="24"/>
    </row>
    <row r="13890" customFormat="false" ht="15" hidden="false" customHeight="false" outlineLevel="0" collapsed="false">
      <c r="A13890" s="5" t="s">
        <v>260</v>
      </c>
      <c r="G13890" s="25" t="n">
        <f aca="false">F13902</f>
        <v>45</v>
      </c>
      <c r="H13890" s="25" t="n">
        <f aca="false">G13902</f>
        <v>0</v>
      </c>
      <c r="I13890" s="25" t="n">
        <f aca="false">H13902</f>
        <v>-117.3729952</v>
      </c>
      <c r="J13890" s="25" t="n">
        <f aca="false">I13902</f>
        <v>-228.771457152</v>
      </c>
      <c r="K13890" s="25" t="n">
        <f aca="false">J13902</f>
        <v>-325.94618941424</v>
      </c>
    </row>
    <row r="13891" customFormat="false" ht="15" hidden="false" customHeight="false" outlineLevel="0" collapsed="false">
      <c r="A13891" s="5" t="s">
        <v>301</v>
      </c>
      <c r="G13891" s="25" t="n">
        <f aca="false">G13803</f>
        <v>-72.5968</v>
      </c>
      <c r="H13891" s="25" t="n">
        <f aca="false">H13803</f>
        <v>-112.1729952</v>
      </c>
      <c r="I13891" s="25" t="n">
        <f aca="false">I13803</f>
        <v>-106.198461952</v>
      </c>
      <c r="J13891" s="25" t="n">
        <f aca="false">J13803</f>
        <v>-91.97473226224</v>
      </c>
      <c r="K13891" s="25" t="n">
        <f aca="false">K13803</f>
        <v>-79.28920692616</v>
      </c>
    </row>
    <row r="13892" customFormat="false" ht="15" hidden="false" customHeight="false" outlineLevel="0" collapsed="false">
      <c r="A13892" s="5" t="s">
        <v>302</v>
      </c>
      <c r="G13892" s="25" t="n">
        <f aca="false">CHOOSE($C$13773,Assumptions!$G$68,Assumptions!$G$87,Assumptions!$G$106)</f>
        <v>0</v>
      </c>
      <c r="H13892" s="25" t="n">
        <f aca="false">CHOOSE($C$13773,Assumptions!$H$68,Assumptions!$H$87,Assumptions!$H$106)</f>
        <v>0</v>
      </c>
      <c r="I13892" s="25" t="n">
        <f aca="false">CHOOSE($C$13773,Assumptions!$I$68,Assumptions!$I$87,Assumptions!$I$106)</f>
        <v>0</v>
      </c>
      <c r="J13892" s="25" t="n">
        <f aca="false">CHOOSE($C$13773,Assumptions!$J$68,Assumptions!$J$87,Assumptions!$J$106)</f>
        <v>0</v>
      </c>
      <c r="K13892" s="25" t="n">
        <f aca="false">CHOOSE($C$13773,Assumptions!$K$68,Assumptions!$K$87,Assumptions!$K$106)</f>
        <v>0</v>
      </c>
    </row>
    <row r="13893" customFormat="false" ht="15" hidden="false" customHeight="false" outlineLevel="0" collapsed="false">
      <c r="A13893" s="5" t="s">
        <v>303</v>
      </c>
      <c r="G13893" s="25" t="n">
        <f aca="false">G13822+G13835+G13848+G13861</f>
        <v>5.2</v>
      </c>
      <c r="H13893" s="25" t="n">
        <f aca="false">H13822+H13835+H13848+H13861</f>
        <v>5.2</v>
      </c>
      <c r="I13893" s="25" t="n">
        <f aca="false">I13822+I13835+I13848+I13861</f>
        <v>5.2</v>
      </c>
      <c r="J13893" s="25" t="n">
        <f aca="false">J13822+J13835+J13848+J13861</f>
        <v>5.2</v>
      </c>
      <c r="K13893" s="25" t="n">
        <f aca="false">K13822+K13835+K13848+K13861</f>
        <v>5.2</v>
      </c>
    </row>
    <row r="13894" customFormat="false" ht="15" hidden="false" customHeight="false" outlineLevel="0" collapsed="false">
      <c r="A13894" s="2" t="s">
        <v>304</v>
      </c>
      <c r="G13894" s="16" t="n">
        <f aca="false">G13890+G13891+G13892-G13893</f>
        <v>-32.7968</v>
      </c>
      <c r="H13894" s="16" t="n">
        <f aca="false">H13890+H13891+H13892-H13893</f>
        <v>-117.3729952</v>
      </c>
      <c r="I13894" s="16" t="n">
        <f aca="false">I13890+I13891+I13892-I13893</f>
        <v>-228.771457152</v>
      </c>
      <c r="J13894" s="16" t="n">
        <f aca="false">J13890+J13891+J13892-J13893</f>
        <v>-325.94618941424</v>
      </c>
      <c r="K13894" s="16" t="n">
        <f aca="false">K13890+K13891+K13892-K13893</f>
        <v>-410.4353963404</v>
      </c>
    </row>
    <row r="13895" customFormat="false" ht="15" hidden="false" customHeight="false" outlineLevel="0" collapsed="false">
      <c r="A13895" s="5" t="s">
        <v>305</v>
      </c>
      <c r="G13895" s="25" t="n">
        <f aca="false">G13823+G13836+G13849+G13862</f>
        <v>32.7968</v>
      </c>
      <c r="H13895" s="25" t="n">
        <f aca="false">H13823+H13836+H13849+H13862</f>
        <v>0</v>
      </c>
      <c r="I13895" s="25" t="n">
        <f aca="false">I13823+I13836+I13849+I13862</f>
        <v>0</v>
      </c>
      <c r="J13895" s="25" t="n">
        <f aca="false">J13823+J13836+J13849+J13862</f>
        <v>0</v>
      </c>
      <c r="K13895" s="25" t="n">
        <f aca="false">K13823+K13836+K13849+K13862</f>
        <v>0</v>
      </c>
    </row>
    <row r="13896" customFormat="false" ht="15" hidden="false" customHeight="false" outlineLevel="0" collapsed="false">
      <c r="A13896" s="2" t="s">
        <v>306</v>
      </c>
      <c r="G13896" s="16" t="n">
        <f aca="false">G13894+G13895</f>
        <v>0</v>
      </c>
      <c r="H13896" s="16" t="n">
        <f aca="false">H13894+H13895</f>
        <v>-117.3729952</v>
      </c>
      <c r="I13896" s="16" t="n">
        <f aca="false">I13894+I13895</f>
        <v>-228.771457152</v>
      </c>
      <c r="J13896" s="16" t="n">
        <f aca="false">J13894+J13895</f>
        <v>-325.94618941424</v>
      </c>
      <c r="K13896" s="16" t="n">
        <f aca="false">K13894+K13895</f>
        <v>-410.4353963404</v>
      </c>
    </row>
    <row r="13897" customFormat="false" ht="15" hidden="false" customHeight="false" outlineLevel="0" collapsed="false">
      <c r="A13897" s="5" t="s">
        <v>307</v>
      </c>
      <c r="G13897" s="25" t="n">
        <f aca="false">G13824+G13837+G13850+G13863</f>
        <v>0</v>
      </c>
      <c r="H13897" s="25" t="n">
        <f aca="false">H13824+H13837+H13850+H13863</f>
        <v>0</v>
      </c>
      <c r="I13897" s="25" t="n">
        <f aca="false">I13824+I13837+I13850+I13863</f>
        <v>0</v>
      </c>
      <c r="J13897" s="25" t="n">
        <f aca="false">J13824+J13837+J13850+J13863</f>
        <v>0</v>
      </c>
      <c r="K13897" s="25" t="n">
        <f aca="false">K13824+K13837+K13850+K13863</f>
        <v>0</v>
      </c>
    </row>
    <row r="13898" customFormat="false" ht="15" hidden="false" customHeight="false" outlineLevel="0" collapsed="false">
      <c r="A13898" s="2" t="s">
        <v>308</v>
      </c>
      <c r="G13898" s="16" t="n">
        <f aca="false">G13896-G13897</f>
        <v>0</v>
      </c>
      <c r="H13898" s="16" t="n">
        <f aca="false">H13896-H13897</f>
        <v>-117.3729952</v>
      </c>
      <c r="I13898" s="16" t="n">
        <f aca="false">I13896-I13897</f>
        <v>-228.771457152</v>
      </c>
      <c r="J13898" s="16" t="n">
        <f aca="false">J13896-J13897</f>
        <v>-325.94618941424</v>
      </c>
      <c r="K13898" s="16" t="n">
        <f aca="false">K13896-K13897</f>
        <v>-410.4353963404</v>
      </c>
    </row>
    <row r="13899" customFormat="false" ht="15" hidden="false" customHeight="false" outlineLevel="0" collapsed="false">
      <c r="A13899" s="5" t="s">
        <v>309</v>
      </c>
      <c r="G13899" s="25" t="n">
        <f aca="false">MAX(0,-G13898)</f>
        <v>-0</v>
      </c>
      <c r="H13899" s="25" t="n">
        <f aca="false">MAX(0,-H13898)</f>
        <v>117.3729952</v>
      </c>
      <c r="I13899" s="25" t="n">
        <f aca="false">MAX(0,-I13898)</f>
        <v>228.771457152</v>
      </c>
      <c r="J13899" s="25" t="n">
        <f aca="false">MAX(0,-J13898)</f>
        <v>325.94618941424</v>
      </c>
      <c r="K13899" s="25" t="n">
        <f aca="false">MAX(0,-K13898)</f>
        <v>410.4353963404</v>
      </c>
    </row>
    <row r="13900" customFormat="false" ht="15" hidden="false" customHeight="false" outlineLevel="0" collapsed="false">
      <c r="A13900" s="5" t="s">
        <v>310</v>
      </c>
      <c r="G13900" s="25" t="n">
        <f aca="false">MAX(0,G13898-Assumptions!$C$12)*Assumptions!$C$13</f>
        <v>0</v>
      </c>
      <c r="H13900" s="25" t="n">
        <f aca="false">MAX(0,H13898-Assumptions!$C$12)*Assumptions!$C$13</f>
        <v>0</v>
      </c>
      <c r="I13900" s="25" t="n">
        <f aca="false">MAX(0,I13898-Assumptions!$C$12)*Assumptions!$C$13</f>
        <v>0</v>
      </c>
      <c r="J13900" s="25" t="n">
        <f aca="false">MAX(0,J13898-Assumptions!$C$12)*Assumptions!$C$13</f>
        <v>0</v>
      </c>
      <c r="K13900" s="25" t="n">
        <f aca="false">MAX(0,K13898-Assumptions!$C$12)*Assumptions!$C$13</f>
        <v>0</v>
      </c>
    </row>
    <row r="13901" customFormat="false" ht="15" hidden="false" customHeight="false" outlineLevel="0" collapsed="false">
      <c r="A13901" s="5" t="s">
        <v>311</v>
      </c>
      <c r="G13901" s="25" t="n">
        <f aca="false">G13825+G13838+G13851+G13864</f>
        <v>0</v>
      </c>
      <c r="H13901" s="25" t="n">
        <f aca="false">H13825+H13838+H13851+H13864</f>
        <v>0</v>
      </c>
      <c r="I13901" s="25" t="n">
        <f aca="false">I13825+I13838+I13851+I13864</f>
        <v>0</v>
      </c>
      <c r="J13901" s="25" t="n">
        <f aca="false">J13825+J13838+J13851+J13864</f>
        <v>0</v>
      </c>
      <c r="K13901" s="25" t="n">
        <f aca="false">K13825+K13838+K13851+K13864</f>
        <v>0</v>
      </c>
    </row>
    <row r="13902" customFormat="false" ht="15" hidden="false" customHeight="false" outlineLevel="0" collapsed="false">
      <c r="A13902" s="2" t="s">
        <v>312</v>
      </c>
      <c r="F13902" s="27" t="n">
        <f aca="false">Assumptions!$C$11</f>
        <v>45</v>
      </c>
      <c r="G13902" s="16" t="n">
        <f aca="false">G13898-G13901</f>
        <v>0</v>
      </c>
      <c r="H13902" s="16" t="n">
        <f aca="false">H13898-H13901</f>
        <v>-117.3729952</v>
      </c>
      <c r="I13902" s="16" t="n">
        <f aca="false">I13898-I13901</f>
        <v>-228.771457152</v>
      </c>
      <c r="J13902" s="16" t="n">
        <f aca="false">J13898-J13901</f>
        <v>-325.94618941424</v>
      </c>
      <c r="K13902" s="16" t="n">
        <f aca="false">K13898-K13901</f>
        <v>-410.4353963404</v>
      </c>
    </row>
    <row r="13903" customFormat="false" ht="15" hidden="false" customHeight="false" outlineLevel="0" collapsed="false">
      <c r="A13903" s="5" t="s">
        <v>313</v>
      </c>
      <c r="G13903" s="25" t="n">
        <f aca="false">G13826+G13839+G13852+G13865</f>
        <v>0</v>
      </c>
      <c r="H13903" s="25" t="n">
        <f aca="false">H13826+H13839+H13852+H13865</f>
        <v>512.7968</v>
      </c>
      <c r="I13903" s="25" t="n">
        <f aca="false">I13826+I13839+I13852+I13865</f>
        <v>504.4</v>
      </c>
      <c r="J13903" s="25" t="n">
        <f aca="false">J13826+J13839+J13852+J13865</f>
        <v>250</v>
      </c>
      <c r="K13903" s="25" t="n">
        <f aca="false">K13826+K13839+K13852+K13865</f>
        <v>0</v>
      </c>
    </row>
    <row r="13904" customFormat="false" ht="15" hidden="false" customHeight="false" outlineLevel="0" collapsed="false">
      <c r="A13904" s="5" t="s">
        <v>314</v>
      </c>
      <c r="G13904" s="20" t="n">
        <f aca="false">IF(OR(G13899&gt;0.001,G13903&gt;0.001),1,0)</f>
        <v>0</v>
      </c>
      <c r="H13904" s="20" t="n">
        <f aca="false">IF(OR(H13899&gt;0.001,H13903&gt;0.001),1,0)</f>
        <v>1</v>
      </c>
      <c r="I13904" s="20" t="n">
        <f aca="false">IF(OR(I13899&gt;0.001,I13903&gt;0.001),1,0)</f>
        <v>1</v>
      </c>
      <c r="J13904" s="20" t="n">
        <f aca="false">IF(OR(J13899&gt;0.001,J13903&gt;0.001),1,0)</f>
        <v>1</v>
      </c>
      <c r="K13904" s="20" t="n">
        <f aca="false">IF(OR(K13899&gt;0.001,K13903&gt;0.001),1,0)</f>
        <v>1</v>
      </c>
    </row>
    <row r="13905" customFormat="false" ht="15" hidden="false" customHeight="false" outlineLevel="0" collapsed="false">
      <c r="A13905" s="5" t="s">
        <v>315</v>
      </c>
      <c r="G13905" s="20" t="n">
        <f aca="false">IF(G13904=1,1,0)</f>
        <v>0</v>
      </c>
      <c r="H13905" s="20" t="n">
        <f aca="false">IF(AND(H13904=1,SUM($G$13904:G13904)=0),1,0)</f>
        <v>1</v>
      </c>
      <c r="I13905" s="20" t="n">
        <f aca="false">IF(AND(I13904=1,SUM($G$13904:H13904)=0),1,0)</f>
        <v>0</v>
      </c>
      <c r="J13905" s="20" t="n">
        <f aca="false">IF(AND(J13904=1,SUM($G$13904:I13904)=0),1,0)</f>
        <v>0</v>
      </c>
      <c r="K13905" s="20" t="n">
        <f aca="false">IF(AND(K13904=1,SUM($G$13904:J13904)=0),1,0)</f>
        <v>0</v>
      </c>
    </row>
    <row r="13906" customFormat="false" ht="15" hidden="false" customHeight="false" outlineLevel="0" collapsed="false">
      <c r="A13906" s="5" t="s">
        <v>316</v>
      </c>
      <c r="G13906" s="25" t="n">
        <f aca="false">(G13868-F13868)-(G13895+G13795-G13893-G13897-G13901)</f>
        <v>0</v>
      </c>
      <c r="H13906" s="25" t="n">
        <f aca="false">(H13868-G13868)-(H13895+H13795-H13893-H13897-H13901)</f>
        <v>-4.52970994047064E-014</v>
      </c>
      <c r="I13906" s="25" t="n">
        <f aca="false">(I13868-H13868)-(I13895+I13795-I13893-I13897-I13901)</f>
        <v>-4.52970994047064E-014</v>
      </c>
      <c r="J13906" s="25" t="n">
        <f aca="false">(J13868-I13868)-(J13895+J13795-J13893-J13897-J13901)</f>
        <v>-4.52970994047064E-014</v>
      </c>
      <c r="K13906" s="25" t="n">
        <f aca="false">(K13868-J13868)-(K13895+K13795-K13893-K13897-K13901)</f>
        <v>1.82076576038526E-013</v>
      </c>
    </row>
    <row r="13908" customFormat="false" ht="15" hidden="false" customHeight="false" outlineLevel="0" collapsed="false">
      <c r="A13908" s="23" t="s">
        <v>318</v>
      </c>
      <c r="B13908" s="24"/>
      <c r="C13908" s="24"/>
      <c r="D13908" s="24"/>
      <c r="E13908" s="24"/>
      <c r="F13908" s="24"/>
      <c r="G13908" s="24"/>
      <c r="H13908" s="24"/>
      <c r="I13908" s="24"/>
      <c r="J13908" s="24"/>
      <c r="K13908" s="24"/>
    </row>
    <row r="13909" customFormat="false" ht="15" hidden="false" customHeight="false" outlineLevel="0" collapsed="false">
      <c r="A13909" s="5" t="s">
        <v>319</v>
      </c>
      <c r="G13909" s="25" t="n">
        <f aca="false">G13868</f>
        <v>1277.5968</v>
      </c>
      <c r="H13909" s="25" t="n">
        <f aca="false">H13868</f>
        <v>1272.3968</v>
      </c>
      <c r="I13909" s="25" t="n">
        <f aca="false">I13868</f>
        <v>1267.1968</v>
      </c>
      <c r="J13909" s="25" t="n">
        <f aca="false">J13868</f>
        <v>1261.9968</v>
      </c>
      <c r="K13909" s="25" t="n">
        <f aca="false">K13868</f>
        <v>1256.7968</v>
      </c>
    </row>
    <row r="13910" customFormat="false" ht="15" hidden="false" customHeight="false" outlineLevel="0" collapsed="false">
      <c r="A13910" s="5" t="s">
        <v>320</v>
      </c>
      <c r="G13910" s="25" t="n">
        <f aca="false">Assumptions!$O$53*G13827+Assumptions!$O$54*G13840+Assumptions!$O$55*G13853+Assumptions!$O$56*G13866</f>
        <v>977.5968</v>
      </c>
      <c r="H13910" s="25" t="n">
        <f aca="false">Assumptions!$O$53*H13827+Assumptions!$O$54*H13840+Assumptions!$O$55*H13853+Assumptions!$O$56*H13866</f>
        <v>972.3968</v>
      </c>
      <c r="I13910" s="25" t="n">
        <f aca="false">Assumptions!$O$53*I13827+Assumptions!$O$54*I13840+Assumptions!$O$55*I13853+Assumptions!$O$56*I13866</f>
        <v>967.1968</v>
      </c>
      <c r="J13910" s="25" t="n">
        <f aca="false">Assumptions!$O$53*J13827+Assumptions!$O$54*J13840+Assumptions!$O$55*J13853+Assumptions!$O$56*J13866</f>
        <v>961.9968</v>
      </c>
      <c r="K13910" s="25" t="n">
        <f aca="false">Assumptions!$O$53*K13827+Assumptions!$O$54*K13840+Assumptions!$O$55*K13853+Assumptions!$O$56*K13866</f>
        <v>956.7968</v>
      </c>
    </row>
    <row r="13911" customFormat="false" ht="15" hidden="false" customHeight="false" outlineLevel="0" collapsed="false">
      <c r="A13911" s="5" t="s">
        <v>321</v>
      </c>
      <c r="G13911" s="25" t="n">
        <f aca="false">G13909-G13902</f>
        <v>1277.5968</v>
      </c>
      <c r="H13911" s="25" t="n">
        <f aca="false">H13909-H13902</f>
        <v>1389.7697952</v>
      </c>
      <c r="I13911" s="25" t="n">
        <f aca="false">I13909-I13902</f>
        <v>1495.968257152</v>
      </c>
      <c r="J13911" s="25" t="n">
        <f aca="false">J13909-J13902</f>
        <v>1587.94298941424</v>
      </c>
      <c r="K13911" s="25" t="n">
        <f aca="false">K13909-K13902</f>
        <v>1667.2321963404</v>
      </c>
    </row>
    <row r="13912" customFormat="false" ht="15" hidden="false" customHeight="false" outlineLevel="0" collapsed="false">
      <c r="A13912" s="5" t="s">
        <v>322</v>
      </c>
      <c r="G13912" s="31" t="n">
        <f aca="false">IF(G13790&gt;0,G13909/G13790,0)</f>
        <v>16.4961884102882</v>
      </c>
      <c r="H13912" s="31" t="n">
        <f aca="false">IF(H13790&gt;0,H13909/H13790,0)</f>
        <v>26.015320567949</v>
      </c>
      <c r="I13912" s="31" t="n">
        <f aca="false">IF(I13790&gt;0,I13909/I13790,0)</f>
        <v>20.6517775524674</v>
      </c>
      <c r="J13912" s="31" t="n">
        <f aca="false">IF(J13790&gt;0,J13909/J13790,0)</f>
        <v>17.2133890082467</v>
      </c>
      <c r="K13912" s="31" t="n">
        <f aca="false">IF(K13790&gt;0,K13909/K13790,0)</f>
        <v>14.7816253008016</v>
      </c>
    </row>
    <row r="13913" customFormat="false" ht="15" hidden="false" customHeight="false" outlineLevel="0" collapsed="false">
      <c r="A13913" s="5" t="s">
        <v>323</v>
      </c>
      <c r="G13913" s="31" t="n">
        <f aca="false">IF(G13790&gt;0,G13911/G13790,0)</f>
        <v>16.4961884102882</v>
      </c>
      <c r="H13913" s="31" t="n">
        <f aca="false">IF(H13790&gt;0,H13911/H13790,0)</f>
        <v>28.415119196921</v>
      </c>
      <c r="I13913" s="31" t="n">
        <f aca="false">IF(I13790&gt;0,I13911/I13790,0)</f>
        <v>24.3801149689263</v>
      </c>
      <c r="J13913" s="31" t="n">
        <f aca="false">IF(J13790&gt;0,J13911/J13790,0)</f>
        <v>21.6592311483718</v>
      </c>
      <c r="K13913" s="31" t="n">
        <f aca="false">IF(K13790&gt;0,K13911/K13790,0)</f>
        <v>19.6088990803734</v>
      </c>
    </row>
    <row r="13914" customFormat="false" ht="15" hidden="false" customHeight="false" outlineLevel="0" collapsed="false">
      <c r="A13914" s="5" t="s">
        <v>324</v>
      </c>
      <c r="G13914" s="31" t="n">
        <f aca="false">IF(G13794&gt;0,G13790/G13794,0)</f>
        <v>0.614471596318629</v>
      </c>
      <c r="H13914" s="31" t="n">
        <f aca="false">IF(H13794&gt;0,H13790/H13794,0)</f>
        <v>0.385776819020527</v>
      </c>
      <c r="I13914" s="31" t="n">
        <f aca="false">IF(I13794&gt;0,I13790/I13794,0)</f>
        <v>0.493243850694921</v>
      </c>
      <c r="J13914" s="31" t="n">
        <f aca="false">IF(J13794&gt;0,J13790/J13794,0)</f>
        <v>0.592013960359054</v>
      </c>
      <c r="K13914" s="31" t="n">
        <f aca="false">IF(K13794&gt;0,K13790/K13794,0)</f>
        <v>0.689694739973928</v>
      </c>
    </row>
    <row r="13915" customFormat="false" ht="15" hidden="false" customHeight="false" outlineLevel="0" collapsed="false">
      <c r="A13915" s="5" t="s">
        <v>325</v>
      </c>
      <c r="G13915" s="31" t="n">
        <f aca="false">IF(G13794&gt;0,G13793/G13794,0)</f>
        <v>0.228232307204062</v>
      </c>
      <c r="H13915" s="31" t="n">
        <f aca="false">IF(H13794&gt;0,H13793/H13794,0)</f>
        <v>0.0167729051748054</v>
      </c>
      <c r="I13915" s="31" t="n">
        <f aca="false">IF(I13794&gt;0,I13793/I13794,0)</f>
        <v>0.119058860512567</v>
      </c>
      <c r="J13915" s="31" t="n">
        <f aca="false">IF(J13794&gt;0,J13793/J13794,0)</f>
        <v>0.219890899561934</v>
      </c>
      <c r="K13915" s="31" t="n">
        <f aca="false">IF(K13794&gt;0,K13793/K13794,0)</f>
        <v>0.319614635597674</v>
      </c>
    </row>
    <row r="13916" customFormat="false" ht="15" hidden="false" customHeight="false" outlineLevel="0" collapsed="false">
      <c r="A13916" s="5" t="s">
        <v>182</v>
      </c>
      <c r="G13916" s="21" t="n">
        <f aca="false">IF(G13909&gt;0,G13803/G13909,0)</f>
        <v>-0.0568229350605762</v>
      </c>
      <c r="H13916" s="21" t="n">
        <f aca="false">IF(H13909&gt;0,H13803/H13909,0)</f>
        <v>-0.0881588158662455</v>
      </c>
      <c r="I13916" s="21" t="n">
        <f aca="false">IF(I13909&gt;0,I13803/I13909,0)</f>
        <v>-0.0838058160752931</v>
      </c>
      <c r="J13916" s="21" t="n">
        <f aca="false">IF(J13909&gt;0,J13803/J13909,0)</f>
        <v>-0.0728803212989446</v>
      </c>
      <c r="K13916" s="21" t="n">
        <f aca="false">IF(K13909&gt;0,K13803/K13909,0)</f>
        <v>-0.0630883265506087</v>
      </c>
    </row>
    <row r="13917" customFormat="false" ht="15" hidden="false" customHeight="false" outlineLevel="0" collapsed="false">
      <c r="A13917" s="5" t="s">
        <v>326</v>
      </c>
      <c r="G13917" s="31" t="n">
        <f aca="false">IF(G13794+G13893&gt;0,(G13790-G13801-G13798)/(G13794+G13893),0)</f>
        <v>0.269771411155136</v>
      </c>
      <c r="H13917" s="31" t="n">
        <f aca="false">IF(H13794+H13893&gt;0,(H13790-H13801-H13798)/(H13794+H13893),0)</f>
        <v>0.0644482550140692</v>
      </c>
      <c r="I13917" s="31" t="n">
        <f aca="false">IF(I13794+I13893&gt;0,(I13790-I13801-I13798)/(I13794+I13893),0)</f>
        <v>0.16325979387023</v>
      </c>
      <c r="J13917" s="31" t="n">
        <f aca="false">IF(J13794+J13893&gt;0,(J13790-J13801-J13798)/(J13794+J13893),0)</f>
        <v>0.259728994433689</v>
      </c>
      <c r="K13917" s="31" t="n">
        <f aca="false">IF(K13794+K13893&gt;0,(K13790-K13801-K13798)/(K13794+K13893),0)</f>
        <v>0.355101548412668</v>
      </c>
    </row>
    <row r="13918" customFormat="false" ht="15" hidden="false" customHeight="false" outlineLevel="0" collapsed="false">
      <c r="A13918" s="5" t="s">
        <v>327</v>
      </c>
      <c r="G13918" s="25" t="n">
        <f aca="false">MAX(0,G13902)+Assumptions!$P$53*MAX(0,Assumptions!$D$53-G13827)+Assumptions!$P$54*MAX(0,Assumptions!$D$54-G13840)+Assumptions!$P$55*MAX(0,Assumptions!$D$55-G13853)+Assumptions!$P$56*MAX(0,Assumptions!$D$56-G13866)</f>
        <v>87.2032</v>
      </c>
      <c r="H13918" s="25" t="n">
        <f aca="false">MAX(0,H13902)+Assumptions!$P$53*MAX(0,Assumptions!$D$53-H13827)+Assumptions!$P$54*MAX(0,Assumptions!$D$54-H13840)+Assumptions!$P$55*MAX(0,Assumptions!$D$55-H13853)+Assumptions!$P$56*MAX(0,Assumptions!$D$56-H13866)</f>
        <v>87.2032</v>
      </c>
      <c r="I13918" s="25" t="n">
        <f aca="false">MAX(0,I13902)+Assumptions!$P$53*MAX(0,Assumptions!$D$53-I13827)+Assumptions!$P$54*MAX(0,Assumptions!$D$54-I13840)+Assumptions!$P$55*MAX(0,Assumptions!$D$55-I13853)+Assumptions!$P$56*MAX(0,Assumptions!$D$56-I13866)</f>
        <v>87.2032</v>
      </c>
      <c r="J13918" s="25" t="n">
        <f aca="false">MAX(0,J13902)+Assumptions!$P$53*MAX(0,Assumptions!$D$53-J13827)+Assumptions!$P$54*MAX(0,Assumptions!$D$54-J13840)+Assumptions!$P$55*MAX(0,Assumptions!$D$55-J13853)+Assumptions!$P$56*MAX(0,Assumptions!$D$56-J13866)</f>
        <v>87.2032</v>
      </c>
      <c r="K13918" s="25" t="n">
        <f aca="false">MAX(0,K13902)+Assumptions!$P$53*MAX(0,Assumptions!$D$53-K13827)+Assumptions!$P$54*MAX(0,Assumptions!$D$54-K13840)+Assumptions!$P$55*MAX(0,Assumptions!$D$55-K13853)+Assumptions!$P$56*MAX(0,Assumptions!$D$56-K13866)</f>
        <v>87.2032</v>
      </c>
    </row>
    <row r="13919" customFormat="false" ht="15" hidden="false" customHeight="false" outlineLevel="0" collapsed="false">
      <c r="A13919" s="5" t="s">
        <v>328</v>
      </c>
      <c r="G13919" s="21" t="n">
        <f aca="false">IF(G13909&gt;0,G13909/(G13909+MAX(0,G13790*CHOOSE($C$13773,Assumptions!$C$76,Assumptions!$C$95,Assumptions!$C$114)-G13911)),0)</f>
        <v>1</v>
      </c>
      <c r="H13919" s="21" t="n">
        <f aca="false">IF(H13909&gt;0,H13909/(H13909+MAX(0,H13790*CHOOSE($C$13773,Assumptions!$C$76,Assumptions!$C$95,Assumptions!$C$114)-H13911)),0)</f>
        <v>1</v>
      </c>
      <c r="I13919" s="21" t="n">
        <f aca="false">IF(I13909&gt;0,I13909/(I13909+MAX(0,I13790*CHOOSE($C$13773,Assumptions!$C$76,Assumptions!$C$95,Assumptions!$C$114)-I13911)),0)</f>
        <v>1</v>
      </c>
      <c r="J13919" s="21" t="n">
        <f aca="false">IF(J13909&gt;0,J13909/(J13909+MAX(0,J13790*CHOOSE($C$13773,Assumptions!$C$76,Assumptions!$C$95,Assumptions!$C$114)-J13911)),0)</f>
        <v>1</v>
      </c>
      <c r="K13919" s="21" t="n">
        <f aca="false">IF(K13909&gt;0,K13909/(K13909+MAX(0,K13790*CHOOSE($C$13773,Assumptions!$C$76,Assumptions!$C$95,Assumptions!$C$114)-K13911)),0)</f>
        <v>1</v>
      </c>
    </row>
    <row r="13920" customFormat="false" ht="15" hidden="false" customHeight="false" outlineLevel="0" collapsed="false">
      <c r="A13920" s="5" t="s">
        <v>329</v>
      </c>
      <c r="G13920" s="21" t="n">
        <f aca="false">IF(G13909&gt;0,MAX(0,G13902)/G13909,0)</f>
        <v>0</v>
      </c>
      <c r="H13920" s="21" t="n">
        <f aca="false">IF(H13909&gt;0,MAX(0,H13902)/H13909,0)</f>
        <v>0</v>
      </c>
      <c r="I13920" s="21" t="n">
        <f aca="false">IF(I13909&gt;0,MAX(0,I13902)/I13909,0)</f>
        <v>0</v>
      </c>
      <c r="J13920" s="21" t="n">
        <f aca="false">IF(J13909&gt;0,MAX(0,J13902)/J13909,0)</f>
        <v>0</v>
      </c>
      <c r="K13920" s="21" t="n">
        <f aca="false">IF(K13909&gt;0,MAX(0,K13902)/K13909,0)</f>
        <v>0</v>
      </c>
    </row>
    <row r="13921" customFormat="false" ht="15" hidden="false" customHeight="false" outlineLevel="0" collapsed="false">
      <c r="A13921" s="5" t="s">
        <v>330</v>
      </c>
      <c r="G13921" s="25" t="n">
        <f aca="false">Assumptions!$C$27*(1-CHOOSE($C$13773,Assumptions!$C$79,Assumptions!$C$98,Assumptions!$C$117))</f>
        <v>884</v>
      </c>
      <c r="H13921" s="25" t="n">
        <f aca="false">Assumptions!$C$27*(1-CHOOSE($C$13773,Assumptions!$C$79,Assumptions!$C$98,Assumptions!$C$117))</f>
        <v>884</v>
      </c>
      <c r="I13921" s="25" t="n">
        <f aca="false">Assumptions!$C$27*(1-CHOOSE($C$13773,Assumptions!$C$79,Assumptions!$C$98,Assumptions!$C$117))</f>
        <v>884</v>
      </c>
      <c r="J13921" s="25" t="n">
        <f aca="false">Assumptions!$C$27*(1-CHOOSE($C$13773,Assumptions!$C$79,Assumptions!$C$98,Assumptions!$C$117))</f>
        <v>884</v>
      </c>
      <c r="K13921" s="25" t="n">
        <f aca="false">Assumptions!$C$27*(1-CHOOSE($C$13773,Assumptions!$C$79,Assumptions!$C$98,Assumptions!$C$117))</f>
        <v>884</v>
      </c>
    </row>
    <row r="13922" customFormat="false" ht="15" hidden="false" customHeight="false" outlineLevel="0" collapsed="false">
      <c r="A13922" s="23" t="s">
        <v>331</v>
      </c>
      <c r="B13922" s="24"/>
      <c r="C13922" s="24"/>
      <c r="D13922" s="24"/>
      <c r="E13922" s="24"/>
      <c r="F13922" s="24"/>
      <c r="G13922" s="24"/>
      <c r="H13922" s="24"/>
      <c r="I13922" s="24"/>
      <c r="J13922" s="24"/>
      <c r="K13922" s="24"/>
    </row>
    <row r="13923" customFormat="false" ht="15" hidden="false" customHeight="false" outlineLevel="0" collapsed="false">
      <c r="A13923" s="23" t="s">
        <v>332</v>
      </c>
      <c r="B13923" s="24"/>
      <c r="C13923" s="24"/>
      <c r="D13923" s="24"/>
      <c r="E13923" s="24"/>
      <c r="F13923" s="24"/>
      <c r="G13923" s="24"/>
      <c r="H13923" s="24"/>
      <c r="I13923" s="24"/>
      <c r="J13923" s="24"/>
      <c r="K13923" s="24"/>
    </row>
    <row r="13924" customFormat="false" ht="15" hidden="false" customHeight="false" outlineLevel="0" collapsed="false">
      <c r="A13924" s="5" t="s">
        <v>333</v>
      </c>
      <c r="G13924" s="31" t="n">
        <f aca="false">IF(G13790&gt;0,G13911/G13790,99)</f>
        <v>16.4961884102882</v>
      </c>
      <c r="H13924" s="31" t="n">
        <f aca="false">IF(H13790&gt;0,H13911/H13790,99)</f>
        <v>28.415119196921</v>
      </c>
      <c r="I13924" s="31" t="n">
        <f aca="false">IF(I13790&gt;0,I13911/I13790,99)</f>
        <v>24.3801149689263</v>
      </c>
      <c r="J13924" s="31" t="n">
        <f aca="false">IF(J13790&gt;0,J13911/J13790,99)</f>
        <v>21.6592311483718</v>
      </c>
      <c r="K13924" s="31" t="n">
        <f aca="false">IF(K13790&gt;0,K13911/K13790,99)</f>
        <v>19.6088990803734</v>
      </c>
    </row>
    <row r="13925" customFormat="false" ht="15" hidden="false" customHeight="false" outlineLevel="0" collapsed="false">
      <c r="A13925" s="5" t="s">
        <v>334</v>
      </c>
      <c r="G13925" s="32" t="n">
        <f aca="false">Assumptions!$G$61</f>
        <v>8.5</v>
      </c>
      <c r="H13925" s="32" t="n">
        <f aca="false">Assumptions!$H$61</f>
        <v>8.5</v>
      </c>
      <c r="I13925" s="32" t="n">
        <f aca="false">Assumptions!$I$61</f>
        <v>8.5</v>
      </c>
      <c r="J13925" s="32" t="n">
        <f aca="false">Assumptions!$J$61</f>
        <v>8.5</v>
      </c>
      <c r="K13925" s="32" t="n">
        <f aca="false">Assumptions!$K$61</f>
        <v>8.5</v>
      </c>
    </row>
    <row r="13926" customFormat="false" ht="15" hidden="false" customHeight="false" outlineLevel="0" collapsed="false">
      <c r="A13926" s="5" t="s">
        <v>335</v>
      </c>
      <c r="G13926" s="31" t="n">
        <f aca="false">G13925-G13924</f>
        <v>-7.99618841028819</v>
      </c>
      <c r="H13926" s="31" t="n">
        <f aca="false">H13925-H13924</f>
        <v>-19.915119196921</v>
      </c>
      <c r="I13926" s="31" t="n">
        <f aca="false">I13925-I13924</f>
        <v>-15.8801149689263</v>
      </c>
      <c r="J13926" s="31" t="n">
        <f aca="false">J13925-J13924</f>
        <v>-13.1592311483718</v>
      </c>
      <c r="K13926" s="31" t="n">
        <f aca="false">K13925-K13924</f>
        <v>-11.1088990803734</v>
      </c>
    </row>
    <row r="13927" customFormat="false" ht="15" hidden="false" customHeight="false" outlineLevel="0" collapsed="false">
      <c r="A13927" s="5" t="s">
        <v>336</v>
      </c>
      <c r="G13927" s="21" t="n">
        <f aca="false">IF(G13925=0,0,G13926/ABS(G13925))</f>
        <v>-0.940728048269199</v>
      </c>
      <c r="H13927" s="21" t="n">
        <f aca="false">IF(H13925=0,0,H13926/ABS(H13925))</f>
        <v>-2.34295519963776</v>
      </c>
      <c r="I13927" s="21" t="n">
        <f aca="false">IF(I13925=0,0,I13926/ABS(I13925))</f>
        <v>-1.86824881987368</v>
      </c>
      <c r="J13927" s="21" t="n">
        <f aca="false">IF(J13925=0,0,J13926/ABS(J13925))</f>
        <v>-1.54814484098491</v>
      </c>
      <c r="K13927" s="21" t="n">
        <f aca="false">IF(K13925=0,0,K13926/ABS(K13925))</f>
        <v>-1.30692930357334</v>
      </c>
    </row>
    <row r="13928" customFormat="false" ht="15" hidden="false" customHeight="false" outlineLevel="0" collapsed="false">
      <c r="A13928" s="5" t="s">
        <v>337</v>
      </c>
      <c r="G13928" s="20" t="n">
        <f aca="false">IF(G13926&lt;0,1,0)</f>
        <v>1</v>
      </c>
      <c r="H13928" s="20" t="n">
        <f aca="false">IF(H13926&lt;0,1,0)</f>
        <v>1</v>
      </c>
      <c r="I13928" s="20" t="n">
        <f aca="false">IF(I13926&lt;0,1,0)</f>
        <v>1</v>
      </c>
      <c r="J13928" s="20" t="n">
        <f aca="false">IF(J13926&lt;0,1,0)</f>
        <v>1</v>
      </c>
      <c r="K13928" s="20" t="n">
        <f aca="false">IF(K13926&lt;0,1,0)</f>
        <v>1</v>
      </c>
    </row>
    <row r="13929" customFormat="false" ht="15" hidden="false" customHeight="false" outlineLevel="0" collapsed="false">
      <c r="A13929" s="5" t="s">
        <v>338</v>
      </c>
      <c r="C13929" s="20" t="n">
        <f aca="false">IFERROR(INDEX($G$13780:$K$13780,MATCH(1,$G$13928:$K$13928,0)),0)</f>
        <v>2026</v>
      </c>
    </row>
    <row r="13930" customFormat="false" ht="15" hidden="false" customHeight="false" outlineLevel="0" collapsed="false">
      <c r="A13930" s="5" t="s">
        <v>339</v>
      </c>
      <c r="C13930" s="21" t="n">
        <f aca="false">MIN($G$13927:$K$13927)</f>
        <v>-2.34295519963776</v>
      </c>
    </row>
    <row r="13931" customFormat="false" ht="15" hidden="false" customHeight="false" outlineLevel="0" collapsed="false">
      <c r="A13931" s="5" t="s">
        <v>340</v>
      </c>
      <c r="G13931" s="20" t="n">
        <f aca="false">G13928</f>
        <v>1</v>
      </c>
      <c r="H13931" s="20" t="n">
        <f aca="false">H13928</f>
        <v>1</v>
      </c>
      <c r="I13931" s="20" t="n">
        <f aca="false">I13928</f>
        <v>1</v>
      </c>
      <c r="J13931" s="20" t="n">
        <f aca="false">J13928</f>
        <v>1</v>
      </c>
      <c r="K13931" s="20" t="n">
        <f aca="false">K13928</f>
        <v>1</v>
      </c>
    </row>
    <row r="13932" customFormat="false" ht="15" hidden="false" customHeight="false" outlineLevel="0" collapsed="false">
      <c r="A13932" s="5" t="s">
        <v>341</v>
      </c>
      <c r="C13932" s="20" t="n">
        <f aca="false">SUM($G$13931:$K$13931)</f>
        <v>5</v>
      </c>
    </row>
    <row r="13933" customFormat="false" ht="15" hidden="false" customHeight="false" outlineLevel="0" collapsed="false">
      <c r="A13933" s="5" t="s">
        <v>342</v>
      </c>
      <c r="C13933" s="21" t="n">
        <f aca="false">MIN(C13930)</f>
        <v>-2.34295519963776</v>
      </c>
    </row>
    <row r="13935" customFormat="false" ht="15" hidden="false" customHeight="false" outlineLevel="0" collapsed="false">
      <c r="A13935" s="23" t="s">
        <v>444</v>
      </c>
      <c r="B13935" s="24"/>
      <c r="C13935" s="24"/>
      <c r="D13935" s="24"/>
      <c r="E13935" s="24"/>
      <c r="F13935" s="24"/>
      <c r="G13935" s="24"/>
      <c r="H13935" s="24"/>
      <c r="I13935" s="24"/>
      <c r="J13935" s="24"/>
      <c r="K13935" s="24"/>
    </row>
    <row r="13936" customFormat="false" ht="15" hidden="false" customHeight="false" outlineLevel="0" collapsed="false">
      <c r="A13936" s="5" t="s">
        <v>445</v>
      </c>
      <c r="G13936" s="20" t="n">
        <f aca="false">IF($C$13937=1,G13905,IF(G13790=MIN($G$13790:$K$13790),1,0))</f>
        <v>0</v>
      </c>
      <c r="H13936" s="20" t="n">
        <f aca="false">IF($C$13937=1,H13905,IF(AND(H13790=MIN($G$13790:$K$13790),SUM($G$13936:G13936)=0),1,0))</f>
        <v>1</v>
      </c>
      <c r="I13936" s="20" t="n">
        <f aca="false">IF($C$13937=1,I13905,IF(AND(I13790=MIN($G$13790:$K$13790),SUM($G$13936:H13936)=0),1,0))</f>
        <v>0</v>
      </c>
      <c r="J13936" s="20" t="n">
        <f aca="false">IF($C$13937=1,J13905,IF(AND(J13790=MIN($G$13790:$K$13790),SUM($G$13936:I13936)=0),1,0))</f>
        <v>0</v>
      </c>
      <c r="K13936" s="20" t="n">
        <f aca="false">IF($C$13937=1,K13905,IF(AND(K13790=MIN($G$13790:$K$13790),SUM($G$13936:J13936)=0),1,0))</f>
        <v>0</v>
      </c>
    </row>
    <row r="13937" customFormat="false" ht="15" hidden="false" customHeight="false" outlineLevel="0" collapsed="false">
      <c r="A13937" s="5" t="s">
        <v>446</v>
      </c>
      <c r="C13937" s="20" t="n">
        <f aca="false">IF(SUM($G$13905:$K$13905)&gt;0,1,0)</f>
        <v>1</v>
      </c>
    </row>
    <row r="13938" customFormat="false" ht="15" hidden="false" customHeight="false" outlineLevel="0" collapsed="false">
      <c r="A13938" s="5" t="s">
        <v>447</v>
      </c>
      <c r="C13938" s="20" t="n">
        <f aca="false">SUMPRODUCT($G$13936:$K$13936,$G$13780:$K$13780)</f>
        <v>2027</v>
      </c>
    </row>
    <row r="13939" customFormat="false" ht="15" hidden="false" customHeight="false" outlineLevel="0" collapsed="false">
      <c r="A13939" s="5" t="s">
        <v>448</v>
      </c>
      <c r="C13939" s="25" t="n">
        <f aca="false">SUMPRODUCT($G$13936:$K$13936,$G$13790:$K$13790)</f>
        <v>48.9095184</v>
      </c>
    </row>
    <row r="13940" customFormat="false" ht="15" hidden="false" customHeight="false" outlineLevel="0" collapsed="false">
      <c r="A13940" s="5" t="s">
        <v>449</v>
      </c>
      <c r="C13940" s="25" t="n">
        <f aca="false">MAX(0,SUMPRODUCT($G$13936:$K$13936,$G$13902:$K$13902))</f>
        <v>0</v>
      </c>
    </row>
    <row r="13941" customFormat="false" ht="15" hidden="false" customHeight="false" outlineLevel="0" collapsed="false">
      <c r="A13941" s="5" t="s">
        <v>450</v>
      </c>
      <c r="C13941" s="25" t="n">
        <f aca="false">(CHOOSE($C$13773,Assumptions!$C$78,Assumptions!$C$97,Assumptions!$C$116)+$C$13777)*C13939</f>
        <v>195.6380736</v>
      </c>
    </row>
    <row r="13942" customFormat="false" ht="15" hidden="false" customHeight="false" outlineLevel="0" collapsed="false">
      <c r="A13942" s="5" t="s">
        <v>451</v>
      </c>
      <c r="C13942" s="25" t="n">
        <f aca="false">Assumptions!$C$27*(1-CHOOSE($C$13773,Assumptions!$C$79,Assumptions!$C$98,Assumptions!$C$117))*CHOOSE($C$13773,Assumptions!$C$80,Assumptions!$C$99,Assumptions!$C$118)</f>
        <v>530.4</v>
      </c>
    </row>
    <row r="13943" customFormat="false" ht="15" hidden="false" customHeight="false" outlineLevel="0" collapsed="false">
      <c r="A13943" s="5" t="s">
        <v>452</v>
      </c>
      <c r="C13943" s="25" t="n">
        <f aca="false">MAX(C13941,C13942)+C13940</f>
        <v>530.4</v>
      </c>
    </row>
    <row r="13944" customFormat="false" ht="15" hidden="false" customHeight="false" outlineLevel="0" collapsed="false">
      <c r="A13944" s="2" t="s">
        <v>453</v>
      </c>
      <c r="C13944" s="16" t="n">
        <f aca="false">IF(ISNUMBER(Assumptions!$C$14),Assumptions!$C$14,C13943)</f>
        <v>530.4</v>
      </c>
    </row>
    <row r="13945" customFormat="false" ht="15" hidden="false" customHeight="false" outlineLevel="0" collapsed="false">
      <c r="A13945" s="5" t="s">
        <v>454</v>
      </c>
      <c r="C13945" s="25" t="n">
        <f aca="false">C13944*Assumptions!$C$15</f>
        <v>21.216</v>
      </c>
    </row>
    <row r="13946" customFormat="false" ht="15" hidden="false" customHeight="false" outlineLevel="0" collapsed="false">
      <c r="A13946" s="2" t="s">
        <v>455</v>
      </c>
      <c r="C13946" s="16" t="n">
        <f aca="false">C13944-C13945</f>
        <v>509.184</v>
      </c>
    </row>
    <row r="13947" customFormat="false" ht="15" hidden="false" customHeight="false" outlineLevel="0" collapsed="false">
      <c r="A13947" s="23" t="s">
        <v>456</v>
      </c>
      <c r="B13947" s="24"/>
      <c r="C13947" s="24"/>
      <c r="D13947" s="24"/>
      <c r="E13947" s="24"/>
      <c r="F13947" s="24"/>
      <c r="G13947" s="24"/>
      <c r="H13947" s="24"/>
      <c r="I13947" s="24"/>
      <c r="J13947" s="24"/>
      <c r="K13947" s="24"/>
    </row>
    <row r="13948" customFormat="false" ht="15" hidden="false" customHeight="false" outlineLevel="0" collapsed="false">
      <c r="A13948" s="5" t="s">
        <v>457</v>
      </c>
      <c r="C13948" s="25" t="n">
        <f aca="false">SUMPRODUCT($G$13936:$K$13936,$G$13827:$K$13827)*(1+SUMPRODUCT($G$13936:$K$13936,$G$13819:$K$13819)*Assumptions!$C$16/12)</f>
        <v>217.7709252</v>
      </c>
    </row>
    <row r="13949" customFormat="false" ht="15" hidden="false" customHeight="false" outlineLevel="0" collapsed="false">
      <c r="A13949" s="5" t="s">
        <v>458</v>
      </c>
      <c r="C13949" s="25" t="n">
        <f aca="false">SUMPRODUCT($G$13936:$K$13936,$G$13840:$K$13840)*(1+SUMPRODUCT($G$13936:$K$13936,$G$13832:$K$13832)*Assumptions!$C$16/12)</f>
        <v>523.6777</v>
      </c>
    </row>
    <row r="13950" customFormat="false" ht="15" hidden="false" customHeight="false" outlineLevel="0" collapsed="false">
      <c r="A13950" s="5" t="s">
        <v>459</v>
      </c>
      <c r="C13950" s="25" t="n">
        <f aca="false">SUMPRODUCT($G$13936:$K$13936,$G$13853:$K$13853)*(1+SUMPRODUCT($G$13936:$K$13936,$G$13845:$K$13845)*Assumptions!$C$16/12)</f>
        <v>256.875</v>
      </c>
    </row>
    <row r="13951" customFormat="false" ht="15" hidden="false" customHeight="false" outlineLevel="0" collapsed="false">
      <c r="A13951" s="5" t="s">
        <v>460</v>
      </c>
      <c r="C13951" s="25" t="n">
        <f aca="false">SUMPRODUCT($G$13936:$K$13936,$G$13866:$K$13866)*(1+SUMPRODUCT($G$13936:$K$13936,$G$13858:$K$13858)*Assumptions!$C$16/12)</f>
        <v>305.625</v>
      </c>
    </row>
    <row r="13952" customFormat="false" ht="15" hidden="false" customHeight="false" outlineLevel="0" collapsed="false">
      <c r="A13952" s="23" t="s">
        <v>461</v>
      </c>
      <c r="B13952" s="24"/>
      <c r="C13952" s="24"/>
      <c r="D13952" s="24"/>
      <c r="E13952" s="24"/>
      <c r="F13952" s="24"/>
      <c r="G13952" s="24"/>
      <c r="H13952" s="24"/>
      <c r="I13952" s="24"/>
      <c r="J13952" s="24"/>
      <c r="K13952" s="24"/>
    </row>
    <row r="13953" customFormat="false" ht="15" hidden="false" customHeight="false" outlineLevel="0" collapsed="false">
      <c r="A13953" s="5" t="s">
        <v>457</v>
      </c>
      <c r="C13953" s="26" t="n">
        <f aca="false">Assumptions!$M$53</f>
        <v>1</v>
      </c>
    </row>
    <row r="13954" customFormat="false" ht="15" hidden="false" customHeight="false" outlineLevel="0" collapsed="false">
      <c r="A13954" s="5" t="s">
        <v>458</v>
      </c>
      <c r="C13954" s="26" t="n">
        <f aca="false">Assumptions!$M$54</f>
        <v>2</v>
      </c>
    </row>
    <row r="13955" customFormat="false" ht="15" hidden="false" customHeight="false" outlineLevel="0" collapsed="false">
      <c r="A13955" s="5" t="s">
        <v>459</v>
      </c>
      <c r="C13955" s="26" t="n">
        <f aca="false">Assumptions!$M$55</f>
        <v>3</v>
      </c>
    </row>
    <row r="13956" customFormat="false" ht="15" hidden="false" customHeight="false" outlineLevel="0" collapsed="false">
      <c r="A13956" s="5" t="s">
        <v>460</v>
      </c>
      <c r="C13956" s="26" t="n">
        <f aca="false">Assumptions!$M$56</f>
        <v>4</v>
      </c>
    </row>
    <row r="13957" customFormat="false" ht="15" hidden="false" customHeight="false" outlineLevel="0" collapsed="false">
      <c r="A13957" s="23" t="s">
        <v>462</v>
      </c>
      <c r="B13957" s="24"/>
      <c r="C13957" s="24"/>
      <c r="D13957" s="24"/>
      <c r="E13957" s="24"/>
      <c r="F13957" s="24"/>
      <c r="G13957" s="24"/>
      <c r="H13957" s="24"/>
      <c r="I13957" s="24"/>
      <c r="J13957" s="24"/>
      <c r="K13957" s="24"/>
    </row>
    <row r="13958" customFormat="false" ht="15" hidden="false" customHeight="false" outlineLevel="0" collapsed="false">
      <c r="A13958" s="5" t="s">
        <v>457</v>
      </c>
      <c r="C13958" s="34" t="n">
        <f aca="false">Assumptions!$Q$53</f>
        <v>0</v>
      </c>
    </row>
    <row r="13959" customFormat="false" ht="15" hidden="false" customHeight="false" outlineLevel="0" collapsed="false">
      <c r="A13959" s="5" t="s">
        <v>458</v>
      </c>
      <c r="C13959" s="34" t="n">
        <f aca="false">Assumptions!$Q$54</f>
        <v>0</v>
      </c>
    </row>
    <row r="13960" customFormat="false" ht="15" hidden="false" customHeight="false" outlineLevel="0" collapsed="false">
      <c r="A13960" s="5" t="s">
        <v>459</v>
      </c>
      <c r="C13960" s="34" t="n">
        <f aca="false">Assumptions!$Q$55</f>
        <v>0</v>
      </c>
    </row>
    <row r="13961" customFormat="false" ht="15" hidden="false" customHeight="false" outlineLevel="0" collapsed="false">
      <c r="A13961" s="5" t="s">
        <v>460</v>
      </c>
      <c r="C13961" s="34" t="n">
        <f aca="false">Assumptions!$Q$56</f>
        <v>0</v>
      </c>
    </row>
    <row r="13962" customFormat="false" ht="15" hidden="false" customHeight="false" outlineLevel="0" collapsed="false">
      <c r="A13962" s="23" t="s">
        <v>463</v>
      </c>
      <c r="B13962" s="24"/>
      <c r="C13962" s="24"/>
      <c r="D13962" s="24"/>
      <c r="E13962" s="24"/>
      <c r="F13962" s="24"/>
      <c r="G13962" s="24"/>
      <c r="H13962" s="24"/>
      <c r="I13962" s="24"/>
      <c r="J13962" s="24"/>
      <c r="K13962" s="24"/>
    </row>
    <row r="13963" customFormat="false" ht="15" hidden="false" customHeight="false" outlineLevel="0" collapsed="false">
      <c r="A13963" s="5" t="s">
        <v>457</v>
      </c>
      <c r="C13963" s="25" t="n">
        <f aca="false">IF(C13958&gt;0,MIN(C13948,C13958*$C$13946),0)</f>
        <v>0</v>
      </c>
    </row>
    <row r="13964" customFormat="false" ht="15" hidden="false" customHeight="false" outlineLevel="0" collapsed="false">
      <c r="A13964" s="5" t="s">
        <v>458</v>
      </c>
      <c r="C13964" s="25" t="n">
        <f aca="false">IF(C13959&gt;0,MIN(C13949,C13959*$C$13946),0)</f>
        <v>0</v>
      </c>
    </row>
    <row r="13965" customFormat="false" ht="15" hidden="false" customHeight="false" outlineLevel="0" collapsed="false">
      <c r="A13965" s="5" t="s">
        <v>459</v>
      </c>
      <c r="C13965" s="25" t="n">
        <f aca="false">IF(C13960&gt;0,MIN(C13950,C13960*$C$13946),0)</f>
        <v>0</v>
      </c>
    </row>
    <row r="13966" customFormat="false" ht="15" hidden="false" customHeight="false" outlineLevel="0" collapsed="false">
      <c r="A13966" s="5" t="s">
        <v>460</v>
      </c>
      <c r="C13966" s="25" t="n">
        <f aca="false">IF(C13961&gt;0,MIN(C13951,C13961*$C$13946),0)</f>
        <v>0</v>
      </c>
    </row>
    <row r="13967" customFormat="false" ht="15" hidden="false" customHeight="false" outlineLevel="0" collapsed="false">
      <c r="A13967" s="23" t="s">
        <v>464</v>
      </c>
      <c r="B13967" s="24"/>
      <c r="C13967" s="24"/>
      <c r="D13967" s="24"/>
      <c r="E13967" s="24"/>
      <c r="F13967" s="24"/>
      <c r="G13967" s="24"/>
      <c r="H13967" s="24"/>
      <c r="I13967" s="24"/>
      <c r="J13967" s="24"/>
      <c r="K13967" s="24"/>
    </row>
    <row r="13968" customFormat="false" ht="15" hidden="false" customHeight="false" outlineLevel="0" collapsed="false">
      <c r="A13968" s="5" t="s">
        <v>457</v>
      </c>
      <c r="C13968" s="25" t="n">
        <f aca="false">IF(C13958&gt;0,C13948-C13963,0)</f>
        <v>0</v>
      </c>
      <c r="G13968" s="20" t="n">
        <f aca="false">IF(AND(G13817=1,G13814=1),1,0)</f>
        <v>0</v>
      </c>
      <c r="H13968" s="20" t="n">
        <f aca="false">IF(G13968=1,1,IF(AND(H13817=1,H13814=1),1,0))</f>
        <v>0</v>
      </c>
      <c r="I13968" s="20" t="n">
        <f aca="false">IF(H13968=1,1,IF(AND(I13817=1,I13814=1),1,0))</f>
        <v>0</v>
      </c>
      <c r="J13968" s="20" t="n">
        <f aca="false">IF(I13968=1,1,IF(AND(J13817=1,J13814=1),1,0))</f>
        <v>0</v>
      </c>
      <c r="K13968" s="20" t="n">
        <f aca="false">IF(J13968=1,1,IF(AND(K13817=1,K13814=1),1,0))</f>
        <v>0</v>
      </c>
    </row>
    <row r="13969" customFormat="false" ht="15" hidden="false" customHeight="false" outlineLevel="0" collapsed="false">
      <c r="A13969" s="5" t="s">
        <v>458</v>
      </c>
      <c r="C13969" s="25" t="n">
        <f aca="false">IF(C13959&gt;0,C13949-C13964,0)</f>
        <v>0</v>
      </c>
      <c r="G13969" s="20" t="n">
        <f aca="false">IF(AND(G13830=1,G13814=1),1,0)</f>
        <v>0</v>
      </c>
      <c r="H13969" s="20" t="n">
        <f aca="false">IF(G13969=1,1,IF(AND(H13830=1,H13814=1),1,0))</f>
        <v>0</v>
      </c>
      <c r="I13969" s="20" t="n">
        <f aca="false">IF(H13969=1,1,IF(AND(I13830=1,I13814=1),1,0))</f>
        <v>0</v>
      </c>
      <c r="J13969" s="20" t="n">
        <f aca="false">IF(I13969=1,1,IF(AND(J13830=1,J13814=1),1,0))</f>
        <v>0</v>
      </c>
      <c r="K13969" s="20" t="n">
        <f aca="false">IF(J13969=1,1,IF(AND(K13830=1,K13814=1),1,0))</f>
        <v>0</v>
      </c>
    </row>
    <row r="13970" customFormat="false" ht="15" hidden="false" customHeight="false" outlineLevel="0" collapsed="false">
      <c r="A13970" s="5" t="s">
        <v>459</v>
      </c>
      <c r="C13970" s="25" t="n">
        <f aca="false">IF(C13960&gt;0,C13950-C13965,0)</f>
        <v>0</v>
      </c>
      <c r="G13970" s="20" t="n">
        <f aca="false">IF(AND(G13843=1,G13814=1),1,0)</f>
        <v>0</v>
      </c>
      <c r="H13970" s="20" t="n">
        <f aca="false">IF(G13970=1,1,IF(AND(H13843=1,H13814=1),1,0))</f>
        <v>0</v>
      </c>
      <c r="I13970" s="20" t="n">
        <f aca="false">IF(H13970=1,1,IF(AND(I13843=1,I13814=1),1,0))</f>
        <v>0</v>
      </c>
      <c r="J13970" s="20" t="n">
        <f aca="false">IF(I13970=1,1,IF(AND(J13843=1,J13814=1),1,0))</f>
        <v>0</v>
      </c>
      <c r="K13970" s="20" t="n">
        <f aca="false">IF(J13970=1,1,IF(AND(K13843=1,K13814=1),1,0))</f>
        <v>0</v>
      </c>
    </row>
    <row r="13971" customFormat="false" ht="15" hidden="false" customHeight="false" outlineLevel="0" collapsed="false">
      <c r="A13971" s="5" t="s">
        <v>460</v>
      </c>
      <c r="C13971" s="25" t="n">
        <f aca="false">IF(C13961&gt;0,C13951-C13966,0)</f>
        <v>0</v>
      </c>
      <c r="G13971" s="20" t="n">
        <f aca="false">IF(AND(G13856=1,G13814=1),1,0)</f>
        <v>0</v>
      </c>
      <c r="H13971" s="20" t="n">
        <f aca="false">IF(G13971=1,1,IF(AND(H13856=1,H13814=1),1,0))</f>
        <v>0</v>
      </c>
      <c r="I13971" s="20" t="n">
        <f aca="false">IF(H13971=1,1,IF(AND(I13856=1,I13814=1),1,0))</f>
        <v>0</v>
      </c>
      <c r="J13971" s="20" t="n">
        <f aca="false">IF(I13971=1,1,IF(AND(J13856=1,J13814=1),1,0))</f>
        <v>0</v>
      </c>
      <c r="K13971" s="20" t="n">
        <f aca="false">IF(J13971=1,1,IF(AND(K13856=1,K13814=1),1,0))</f>
        <v>0</v>
      </c>
    </row>
    <row r="13972" customFormat="false" ht="15" hidden="false" customHeight="false" outlineLevel="0" collapsed="false">
      <c r="A13972" s="23" t="s">
        <v>465</v>
      </c>
      <c r="B13972" s="24"/>
      <c r="C13972" s="24"/>
      <c r="D13972" s="24"/>
      <c r="E13972" s="24"/>
      <c r="F13972" s="24"/>
      <c r="G13972" s="24"/>
      <c r="H13972" s="24"/>
      <c r="I13972" s="24"/>
      <c r="J13972" s="24"/>
      <c r="K13972" s="24"/>
    </row>
    <row r="13973" customFormat="false" ht="15" hidden="false" customHeight="false" outlineLevel="0" collapsed="false">
      <c r="A13973" s="5" t="s">
        <v>457</v>
      </c>
      <c r="C13973" s="25" t="n">
        <f aca="false">IF(C13958&gt;0,C13968,C13948)</f>
        <v>217.7709252</v>
      </c>
    </row>
    <row r="13974" customFormat="false" ht="15" hidden="false" customHeight="false" outlineLevel="0" collapsed="false">
      <c r="A13974" s="5" t="s">
        <v>458</v>
      </c>
      <c r="C13974" s="25" t="n">
        <f aca="false">IF(C13959&gt;0,C13969,C13949)</f>
        <v>523.6777</v>
      </c>
    </row>
    <row r="13975" customFormat="false" ht="15" hidden="false" customHeight="false" outlineLevel="0" collapsed="false">
      <c r="A13975" s="5" t="s">
        <v>459</v>
      </c>
      <c r="C13975" s="25" t="n">
        <f aca="false">IF(C13960&gt;0,C13970,C13950)</f>
        <v>256.875</v>
      </c>
    </row>
    <row r="13976" customFormat="false" ht="15" hidden="false" customHeight="false" outlineLevel="0" collapsed="false">
      <c r="A13976" s="5" t="s">
        <v>460</v>
      </c>
      <c r="C13976" s="25" t="n">
        <f aca="false">IF(C13961&gt;0,C13971,C13951)</f>
        <v>305.625</v>
      </c>
    </row>
    <row r="13977" customFormat="false" ht="15" hidden="false" customHeight="false" outlineLevel="0" collapsed="false">
      <c r="A13977" s="23" t="s">
        <v>466</v>
      </c>
      <c r="B13977" s="24"/>
      <c r="C13977" s="24"/>
      <c r="D13977" s="24"/>
      <c r="E13977" s="24"/>
      <c r="F13977" s="24"/>
      <c r="G13977" s="24"/>
      <c r="H13977" s="24"/>
      <c r="I13977" s="24"/>
      <c r="J13977" s="24"/>
      <c r="K13977" s="24"/>
    </row>
    <row r="13978" customFormat="false" ht="15" hidden="false" customHeight="false" outlineLevel="0" collapsed="false">
      <c r="A13978" s="5" t="s">
        <v>457</v>
      </c>
      <c r="C13978" s="20" t="n">
        <f aca="false">IF(C13958&gt;0,Assumptions!$C$17,C13953)</f>
        <v>1</v>
      </c>
    </row>
    <row r="13979" customFormat="false" ht="15" hidden="false" customHeight="false" outlineLevel="0" collapsed="false">
      <c r="A13979" s="5" t="s">
        <v>458</v>
      </c>
      <c r="C13979" s="20" t="n">
        <f aca="false">IF(C13959&gt;0,Assumptions!$C$17,C13954)</f>
        <v>2</v>
      </c>
    </row>
    <row r="13980" customFormat="false" ht="15" hidden="false" customHeight="false" outlineLevel="0" collapsed="false">
      <c r="A13980" s="5" t="s">
        <v>459</v>
      </c>
      <c r="C13980" s="20" t="n">
        <f aca="false">IF(C13960&gt;0,Assumptions!$C$17,C13955)</f>
        <v>3</v>
      </c>
    </row>
    <row r="13981" customFormat="false" ht="15" hidden="false" customHeight="false" outlineLevel="0" collapsed="false">
      <c r="A13981" s="5" t="s">
        <v>460</v>
      </c>
      <c r="C13981" s="20" t="n">
        <f aca="false">IF(C13961&gt;0,Assumptions!$C$17,C13956)</f>
        <v>4</v>
      </c>
    </row>
    <row r="13982" customFormat="false" ht="15" hidden="false" customHeight="false" outlineLevel="0" collapsed="false">
      <c r="A13982" s="23" t="s">
        <v>467</v>
      </c>
      <c r="B13982" s="24"/>
      <c r="C13982" s="24"/>
      <c r="D13982" s="24"/>
      <c r="E13982" s="24"/>
      <c r="F13982" s="24"/>
      <c r="G13982" s="24"/>
      <c r="H13982" s="24"/>
      <c r="I13982" s="24"/>
      <c r="J13982" s="24"/>
      <c r="K13982" s="24"/>
    </row>
    <row r="13983" customFormat="false" ht="15" hidden="false" customHeight="false" outlineLevel="0" collapsed="false">
      <c r="A13983" s="5" t="s">
        <v>457</v>
      </c>
      <c r="C13983" s="25" t="n">
        <f aca="false">SUMPRODUCT(($C$13978:$C$13981&lt;C13978)*$C$13973:$C$13976)</f>
        <v>0</v>
      </c>
    </row>
    <row r="13984" customFormat="false" ht="15" hidden="false" customHeight="false" outlineLevel="0" collapsed="false">
      <c r="A13984" s="5" t="s">
        <v>458</v>
      </c>
      <c r="C13984" s="25" t="n">
        <f aca="false">SUMPRODUCT(($C$13978:$C$13981&lt;C13979)*$C$13973:$C$13976)</f>
        <v>217.7709252</v>
      </c>
    </row>
    <row r="13985" customFormat="false" ht="15" hidden="false" customHeight="false" outlineLevel="0" collapsed="false">
      <c r="A13985" s="5" t="s">
        <v>459</v>
      </c>
      <c r="C13985" s="25" t="n">
        <f aca="false">SUMPRODUCT(($C$13978:$C$13981&lt;C13980)*$C$13973:$C$13976)</f>
        <v>741.4486252</v>
      </c>
    </row>
    <row r="13986" customFormat="false" ht="15" hidden="false" customHeight="false" outlineLevel="0" collapsed="false">
      <c r="A13986" s="5" t="s">
        <v>460</v>
      </c>
      <c r="C13986" s="25" t="n">
        <f aca="false">SUMPRODUCT(($C$13978:$C$13981&lt;C13981)*$C$13973:$C$13976)</f>
        <v>998.3236252</v>
      </c>
    </row>
    <row r="13987" customFormat="false" ht="15" hidden="false" customHeight="false" outlineLevel="0" collapsed="false">
      <c r="A13987" s="23" t="s">
        <v>468</v>
      </c>
      <c r="B13987" s="24"/>
      <c r="C13987" s="24"/>
      <c r="D13987" s="24"/>
      <c r="E13987" s="24"/>
      <c r="F13987" s="24"/>
      <c r="G13987" s="24"/>
      <c r="H13987" s="24"/>
      <c r="I13987" s="24"/>
      <c r="J13987" s="24"/>
      <c r="K13987" s="24"/>
    </row>
    <row r="13988" customFormat="false" ht="15" hidden="false" customHeight="false" outlineLevel="0" collapsed="false">
      <c r="A13988" s="5" t="s">
        <v>457</v>
      </c>
      <c r="C13988" s="25" t="n">
        <f aca="false">SUMPRODUCT(($C$13978:$C$13981=C13978)*$C$13973:$C$13976)</f>
        <v>217.7709252</v>
      </c>
    </row>
    <row r="13989" customFormat="false" ht="15" hidden="false" customHeight="false" outlineLevel="0" collapsed="false">
      <c r="A13989" s="5" t="s">
        <v>458</v>
      </c>
      <c r="C13989" s="25" t="n">
        <f aca="false">SUMPRODUCT(($C$13978:$C$13981=C13979)*$C$13973:$C$13976)</f>
        <v>523.6777</v>
      </c>
    </row>
    <row r="13990" customFormat="false" ht="15" hidden="false" customHeight="false" outlineLevel="0" collapsed="false">
      <c r="A13990" s="5" t="s">
        <v>459</v>
      </c>
      <c r="C13990" s="25" t="n">
        <f aca="false">SUMPRODUCT(($C$13978:$C$13981=C13980)*$C$13973:$C$13976)</f>
        <v>256.875</v>
      </c>
    </row>
    <row r="13991" customFormat="false" ht="15" hidden="false" customHeight="false" outlineLevel="0" collapsed="false">
      <c r="A13991" s="5" t="s">
        <v>460</v>
      </c>
      <c r="C13991" s="25" t="n">
        <f aca="false">SUMPRODUCT(($C$13978:$C$13981=C13981)*$C$13973:$C$13976)</f>
        <v>305.625</v>
      </c>
    </row>
    <row r="13992" customFormat="false" ht="15" hidden="false" customHeight="false" outlineLevel="0" collapsed="false">
      <c r="A13992" s="23" t="s">
        <v>469</v>
      </c>
      <c r="B13992" s="24"/>
      <c r="C13992" s="24"/>
      <c r="D13992" s="24"/>
      <c r="E13992" s="24"/>
      <c r="F13992" s="24"/>
      <c r="G13992" s="24"/>
      <c r="H13992" s="24"/>
      <c r="I13992" s="24"/>
      <c r="J13992" s="24"/>
      <c r="K13992" s="24"/>
    </row>
    <row r="13993" customFormat="false" ht="15" hidden="false" customHeight="false" outlineLevel="0" collapsed="false">
      <c r="A13993" s="5" t="s">
        <v>457</v>
      </c>
      <c r="C13993" s="25" t="n">
        <f aca="false">IF(C13988=0,0,C13973/C13988*MAX(0,MIN(C13988,$C$13946-SUM($C$13963:$C$13966)-C13983)))</f>
        <v>217.7709252</v>
      </c>
    </row>
    <row r="13994" customFormat="false" ht="15" hidden="false" customHeight="false" outlineLevel="0" collapsed="false">
      <c r="A13994" s="5" t="s">
        <v>458</v>
      </c>
      <c r="C13994" s="25" t="n">
        <f aca="false">IF(C13989=0,0,C13974/C13989*MAX(0,MIN(C13989,$C$13946-SUM($C$13963:$C$13966)-C13984)))</f>
        <v>291.4130748</v>
      </c>
    </row>
    <row r="13995" customFormat="false" ht="15" hidden="false" customHeight="false" outlineLevel="0" collapsed="false">
      <c r="A13995" s="5" t="s">
        <v>459</v>
      </c>
      <c r="C13995" s="25" t="n">
        <f aca="false">IF(C13990=0,0,C13975/C13990*MAX(0,MIN(C13990,$C$13946-SUM($C$13963:$C$13966)-C13985)))</f>
        <v>0</v>
      </c>
    </row>
    <row r="13996" customFormat="false" ht="15" hidden="false" customHeight="false" outlineLevel="0" collapsed="false">
      <c r="A13996" s="5" t="s">
        <v>460</v>
      </c>
      <c r="C13996" s="25" t="n">
        <f aca="false">IF(C13991=0,0,C13976/C13991*MAX(0,MIN(C13991,$C$13946-SUM($C$13963:$C$13966)-C13986)))</f>
        <v>0</v>
      </c>
    </row>
    <row r="13997" customFormat="false" ht="15" hidden="false" customHeight="false" outlineLevel="0" collapsed="false">
      <c r="A13997" s="23" t="s">
        <v>470</v>
      </c>
      <c r="B13997" s="24"/>
      <c r="C13997" s="24"/>
      <c r="D13997" s="24"/>
      <c r="E13997" s="24"/>
      <c r="F13997" s="24"/>
      <c r="G13997" s="24"/>
      <c r="H13997" s="24"/>
      <c r="I13997" s="24"/>
      <c r="J13997" s="24"/>
      <c r="K13997" s="24"/>
    </row>
    <row r="13998" customFormat="false" ht="15" hidden="false" customHeight="false" outlineLevel="0" collapsed="false">
      <c r="A13998" s="2" t="s">
        <v>457</v>
      </c>
      <c r="C13998" s="16" t="n">
        <f aca="false">C13963+C13993</f>
        <v>217.7709252</v>
      </c>
    </row>
    <row r="13999" customFormat="false" ht="15" hidden="false" customHeight="false" outlineLevel="0" collapsed="false">
      <c r="A13999" s="2" t="s">
        <v>458</v>
      </c>
      <c r="C13999" s="16" t="n">
        <f aca="false">C13964+C13994</f>
        <v>291.4130748</v>
      </c>
    </row>
    <row r="14000" customFormat="false" ht="15" hidden="false" customHeight="false" outlineLevel="0" collapsed="false">
      <c r="A14000" s="2" t="s">
        <v>459</v>
      </c>
      <c r="C14000" s="16" t="n">
        <f aca="false">C13965+C13995</f>
        <v>0</v>
      </c>
    </row>
    <row r="14001" customFormat="false" ht="15" hidden="false" customHeight="false" outlineLevel="0" collapsed="false">
      <c r="A14001" s="2" t="s">
        <v>460</v>
      </c>
      <c r="C14001" s="16" t="n">
        <f aca="false">C13966+C13996</f>
        <v>0</v>
      </c>
    </row>
    <row r="14002" customFormat="false" ht="15" hidden="false" customHeight="false" outlineLevel="0" collapsed="false">
      <c r="A14002" s="23" t="s">
        <v>471</v>
      </c>
      <c r="B14002" s="24"/>
      <c r="C14002" s="24"/>
      <c r="D14002" s="24"/>
      <c r="E14002" s="24"/>
      <c r="F14002" s="24"/>
      <c r="G14002" s="24"/>
      <c r="H14002" s="24"/>
      <c r="I14002" s="24"/>
      <c r="J14002" s="24"/>
      <c r="K14002" s="24"/>
    </row>
    <row r="14003" customFormat="false" ht="15" hidden="false" customHeight="false" outlineLevel="0" collapsed="false">
      <c r="A14003" s="5" t="s">
        <v>457</v>
      </c>
      <c r="C14003" s="21" t="n">
        <f aca="false">IF(C13948=0,1,C13998/C13948)</f>
        <v>1</v>
      </c>
    </row>
    <row r="14004" customFormat="false" ht="15" hidden="false" customHeight="false" outlineLevel="0" collapsed="false">
      <c r="A14004" s="5" t="s">
        <v>458</v>
      </c>
      <c r="C14004" s="21" t="n">
        <f aca="false">IF(C13949=0,1,C13999/C13949)</f>
        <v>0.556474096185497</v>
      </c>
    </row>
    <row r="14005" customFormat="false" ht="15" hidden="false" customHeight="false" outlineLevel="0" collapsed="false">
      <c r="A14005" s="5" t="s">
        <v>459</v>
      </c>
      <c r="C14005" s="21" t="n">
        <f aca="false">IF(C13950=0,1,C14000/C13950)</f>
        <v>0</v>
      </c>
    </row>
    <row r="14006" customFormat="false" ht="15" hidden="false" customHeight="false" outlineLevel="0" collapsed="false">
      <c r="A14006" s="5" t="s">
        <v>460</v>
      </c>
      <c r="C14006" s="21" t="n">
        <f aca="false">IF(C13951=0,1,C14001/C13951)</f>
        <v>0</v>
      </c>
    </row>
    <row r="14007" customFormat="false" ht="15" hidden="false" customHeight="false" outlineLevel="0" collapsed="false">
      <c r="A14007" s="23" t="s">
        <v>472</v>
      </c>
      <c r="B14007" s="24"/>
      <c r="C14007" s="24"/>
      <c r="D14007" s="24"/>
      <c r="E14007" s="24"/>
      <c r="F14007" s="24"/>
      <c r="G14007" s="24"/>
      <c r="H14007" s="24"/>
      <c r="I14007" s="24"/>
      <c r="J14007" s="24"/>
      <c r="K14007" s="24"/>
    </row>
    <row r="14008" customFormat="false" ht="15" hidden="false" customHeight="false" outlineLevel="0" collapsed="false">
      <c r="A14008" s="5" t="s">
        <v>457</v>
      </c>
      <c r="C14008" s="25" t="n">
        <f aca="false">C13948-C13998</f>
        <v>0</v>
      </c>
    </row>
    <row r="14009" customFormat="false" ht="15" hidden="false" customHeight="false" outlineLevel="0" collapsed="false">
      <c r="A14009" s="5" t="s">
        <v>458</v>
      </c>
      <c r="C14009" s="25" t="n">
        <f aca="false">C13949-C13999</f>
        <v>232.2646252</v>
      </c>
    </row>
    <row r="14010" customFormat="false" ht="15" hidden="false" customHeight="false" outlineLevel="0" collapsed="false">
      <c r="A14010" s="5" t="s">
        <v>459</v>
      </c>
      <c r="C14010" s="25" t="n">
        <f aca="false">C13950-C14000</f>
        <v>256.875</v>
      </c>
    </row>
    <row r="14011" customFormat="false" ht="15" hidden="false" customHeight="false" outlineLevel="0" collapsed="false">
      <c r="A14011" s="5" t="s">
        <v>460</v>
      </c>
      <c r="C14011" s="25" t="n">
        <f aca="false">C13951-C14001</f>
        <v>305.625</v>
      </c>
    </row>
    <row r="14012" customFormat="false" ht="15" hidden="false" customHeight="false" outlineLevel="0" collapsed="false">
      <c r="A14012" s="23" t="s">
        <v>473</v>
      </c>
      <c r="B14012" s="24"/>
      <c r="C14012" s="24"/>
      <c r="D14012" s="24"/>
      <c r="E14012" s="24"/>
      <c r="F14012" s="24"/>
      <c r="G14012" s="24"/>
      <c r="H14012" s="24"/>
      <c r="I14012" s="24"/>
      <c r="J14012" s="24"/>
      <c r="K14012" s="24"/>
    </row>
    <row r="14013" customFormat="false" ht="15" hidden="false" customHeight="false" outlineLevel="0" collapsed="false">
      <c r="A14013" s="5" t="s">
        <v>457</v>
      </c>
      <c r="C14013" s="21" t="n">
        <f aca="false">IF(C13948=0,0,C14008/C13948)</f>
        <v>0</v>
      </c>
    </row>
    <row r="14014" customFormat="false" ht="15" hidden="false" customHeight="false" outlineLevel="0" collapsed="false">
      <c r="A14014" s="5" t="s">
        <v>458</v>
      </c>
      <c r="C14014" s="21" t="n">
        <f aca="false">IF(C13949=0,0,C14009/C13949)</f>
        <v>0.443525903814503</v>
      </c>
    </row>
    <row r="14015" customFormat="false" ht="15" hidden="false" customHeight="false" outlineLevel="0" collapsed="false">
      <c r="A14015" s="5" t="s">
        <v>459</v>
      </c>
      <c r="C14015" s="21" t="n">
        <f aca="false">IF(C13950=0,0,C14010/C13950)</f>
        <v>1</v>
      </c>
    </row>
    <row r="14016" customFormat="false" ht="15" hidden="false" customHeight="false" outlineLevel="0" collapsed="false">
      <c r="A14016" s="5" t="s">
        <v>460</v>
      </c>
      <c r="C14016" s="21" t="n">
        <f aca="false">IF(C13951=0,0,C14011/C13951)</f>
        <v>1</v>
      </c>
    </row>
    <row r="14017" customFormat="false" ht="15" hidden="false" customHeight="false" outlineLevel="0" collapsed="false">
      <c r="A14017" s="2" t="s">
        <v>474</v>
      </c>
      <c r="C14017" s="16" t="n">
        <f aca="false">MAX(0,$C$13946-SUM($C$13963:$C$13966)-SUM($C$13973:$C$13976))</f>
        <v>0</v>
      </c>
    </row>
    <row r="14018" customFormat="false" ht="15" hidden="false" customHeight="false" outlineLevel="0" collapsed="false">
      <c r="A14018" s="5" t="s">
        <v>475</v>
      </c>
      <c r="C14018" s="25" t="n">
        <f aca="false">SUM($C$13998:$C$14001)+C14017+C13945-C13944</f>
        <v>0</v>
      </c>
    </row>
    <row r="14020" customFormat="false" ht="15" hidden="false" customHeight="false" outlineLevel="0" collapsed="false">
      <c r="A14020" s="23" t="s">
        <v>478</v>
      </c>
      <c r="B14020" s="24"/>
      <c r="C14020" s="24"/>
      <c r="D14020" s="24"/>
      <c r="E14020" s="24"/>
      <c r="F14020" s="24"/>
      <c r="G14020" s="24"/>
      <c r="H14020" s="24"/>
      <c r="I14020" s="24"/>
      <c r="J14020" s="24"/>
      <c r="K14020" s="24"/>
    </row>
    <row r="14021" customFormat="false" ht="15" hidden="false" customHeight="false" outlineLevel="0" collapsed="false">
      <c r="A14021" s="5" t="s">
        <v>479</v>
      </c>
      <c r="C14021" s="26" t="n">
        <f aca="false">Assumptions!$C$30</f>
        <v>2</v>
      </c>
    </row>
    <row r="14022" customFormat="false" ht="15" hidden="false" customHeight="false" outlineLevel="0" collapsed="false">
      <c r="A14022" s="5" t="s">
        <v>480</v>
      </c>
      <c r="C14022" s="28" t="n">
        <f aca="false">Assumptions!$C$31</f>
        <v>100</v>
      </c>
    </row>
    <row r="14023" customFormat="false" ht="15" hidden="false" customHeight="false" outlineLevel="0" collapsed="false">
      <c r="A14023" s="5" t="s">
        <v>481</v>
      </c>
      <c r="C14023" s="39" t="n">
        <f aca="false">Assumptions!$C$32</f>
        <v>78</v>
      </c>
    </row>
    <row r="14024" customFormat="false" ht="15" hidden="false" customHeight="false" outlineLevel="0" collapsed="false">
      <c r="A14024" s="5" t="s">
        <v>482</v>
      </c>
      <c r="C14024" s="25" t="n">
        <f aca="false">C14022*C14023/100*(1+Assumptions!$C$33)</f>
        <v>78.39</v>
      </c>
    </row>
    <row r="14025" customFormat="false" ht="15" hidden="false" customHeight="false" outlineLevel="0" collapsed="false">
      <c r="A14025" s="5" t="s">
        <v>483</v>
      </c>
      <c r="C14025" s="26" t="n">
        <f aca="false">Assumptions!$C$34</f>
        <v>2</v>
      </c>
    </row>
    <row r="14026" customFormat="false" ht="15" hidden="false" customHeight="false" outlineLevel="0" collapsed="false">
      <c r="A14026" s="5" t="s">
        <v>484</v>
      </c>
      <c r="C14026" s="20" t="n">
        <f aca="false">IF(C13937=1,SUMPRODUCT($G$13905:$K$13905,$G$13781:$K$13781),0)</f>
        <v>2</v>
      </c>
    </row>
    <row r="14027" customFormat="false" ht="15" hidden="false" customHeight="false" outlineLevel="0" collapsed="false">
      <c r="A14027" s="5" t="s">
        <v>485</v>
      </c>
      <c r="C14027" s="21" t="n">
        <f aca="false">IFERROR(C14022/CHOOSE(C14021,SUMPRODUCT($G$13936:$K$13936,$G$13827:$K$13827),SUMPRODUCT($G$13936:$K$13936,$G$13840:$K$13840),SUMPRODUCT($G$13936:$K$13936,$G$13853:$K$13853),SUMPRODUCT($G$13936:$K$13936,$G$13866:$K$13866)),0)</f>
        <v>0.196232339089482</v>
      </c>
    </row>
    <row r="14028" customFormat="false" ht="15" hidden="false" customHeight="false" outlineLevel="0" collapsed="false">
      <c r="A14028" s="5" t="s">
        <v>486</v>
      </c>
      <c r="C14028" s="25" t="n">
        <f aca="false">CHOOSE(C14021,C13998,C13999,C14000,C14001)*C14027</f>
        <v>57.1846693092622</v>
      </c>
    </row>
    <row r="14029" customFormat="false" ht="15" hidden="false" customHeight="false" outlineLevel="0" collapsed="false">
      <c r="A14029" s="5" t="s">
        <v>487</v>
      </c>
      <c r="C14029" s="21" t="n">
        <f aca="false">CHOOSE(C14021,C14003,C14004,C14005,C14006)</f>
        <v>0.556474096185497</v>
      </c>
    </row>
    <row r="14030" customFormat="false" ht="15" hidden="false" customHeight="false" outlineLevel="0" collapsed="false">
      <c r="A14030" s="5" t="s">
        <v>488</v>
      </c>
      <c r="C14030" s="20" t="n">
        <f aca="false">IF(C13937=1,C14026,C14025)</f>
        <v>2</v>
      </c>
    </row>
    <row r="14031" customFormat="false" ht="15" hidden="false" customHeight="false" outlineLevel="0" collapsed="false">
      <c r="A14031" s="5" t="s">
        <v>489</v>
      </c>
      <c r="C14031" s="33" t="n">
        <f aca="false">CHOOSE($C$13773,Assumptions!$C$77,Assumptions!$C$96,Assumptions!$C$115)</f>
        <v>90</v>
      </c>
    </row>
    <row r="14032" customFormat="false" ht="15" hidden="false" customHeight="false" outlineLevel="0" collapsed="false">
      <c r="A14032" s="5" t="s">
        <v>490</v>
      </c>
      <c r="C14032" s="25" t="n">
        <f aca="false">INDEX($G$13790:$K$13790,C14025)*CHOOSE($C$13773,Assumptions!$C$76,Assumptions!$C$95,Assumptions!$C$114)+MAX(0,INDEX($G$13902:$K$13902,C14025))</f>
        <v>244.547592</v>
      </c>
    </row>
    <row r="14033" customFormat="false" ht="15" hidden="false" customHeight="false" outlineLevel="0" collapsed="false">
      <c r="A14033" s="23" t="s">
        <v>491</v>
      </c>
      <c r="B14033" s="24"/>
      <c r="C14033" s="24"/>
      <c r="D14033" s="24"/>
      <c r="E14033" s="24"/>
      <c r="F14033" s="24"/>
      <c r="G14033" s="24"/>
      <c r="H14033" s="24"/>
      <c r="I14033" s="24"/>
      <c r="J14033" s="24"/>
      <c r="K14033" s="24"/>
    </row>
    <row r="14034" customFormat="false" ht="15" hidden="false" customHeight="false" outlineLevel="0" collapsed="false">
      <c r="A14034" s="5" t="s">
        <v>457</v>
      </c>
      <c r="C14034" s="25" t="n">
        <f aca="false">INDEX($G$13827:$K$13827,C14025)</f>
        <v>212.7968</v>
      </c>
    </row>
    <row r="14035" customFormat="false" ht="15" hidden="false" customHeight="false" outlineLevel="0" collapsed="false">
      <c r="A14035" s="5" t="s">
        <v>458</v>
      </c>
      <c r="C14035" s="25" t="n">
        <f aca="false">INDEX($G$13840:$K$13840,C14025)</f>
        <v>509.6</v>
      </c>
    </row>
    <row r="14036" customFormat="false" ht="15" hidden="false" customHeight="false" outlineLevel="0" collapsed="false">
      <c r="A14036" s="5" t="s">
        <v>459</v>
      </c>
      <c r="C14036" s="25" t="n">
        <f aca="false">INDEX($G$13853:$K$13853,C14025)</f>
        <v>250</v>
      </c>
    </row>
    <row r="14037" customFormat="false" ht="15" hidden="false" customHeight="false" outlineLevel="0" collapsed="false">
      <c r="A14037" s="5" t="s">
        <v>460</v>
      </c>
      <c r="C14037" s="25" t="n">
        <f aca="false">INDEX($G$13866:$K$13866,C14025)</f>
        <v>300</v>
      </c>
    </row>
    <row r="14038" customFormat="false" ht="15" hidden="false" customHeight="false" outlineLevel="0" collapsed="false">
      <c r="A14038" s="23" t="s">
        <v>461</v>
      </c>
      <c r="B14038" s="24"/>
      <c r="C14038" s="24"/>
      <c r="D14038" s="24"/>
      <c r="E14038" s="24"/>
      <c r="F14038" s="24"/>
      <c r="G14038" s="24"/>
      <c r="H14038" s="24"/>
      <c r="I14038" s="24"/>
      <c r="J14038" s="24"/>
      <c r="K14038" s="24"/>
    </row>
    <row r="14039" customFormat="false" ht="15" hidden="false" customHeight="false" outlineLevel="0" collapsed="false">
      <c r="A14039" s="5" t="s">
        <v>457</v>
      </c>
      <c r="C14039" s="26" t="n">
        <f aca="false">Assumptions!$M$53</f>
        <v>1</v>
      </c>
    </row>
    <row r="14040" customFormat="false" ht="15" hidden="false" customHeight="false" outlineLevel="0" collapsed="false">
      <c r="A14040" s="5" t="s">
        <v>458</v>
      </c>
      <c r="C14040" s="26" t="n">
        <f aca="false">Assumptions!$M$54</f>
        <v>2</v>
      </c>
    </row>
    <row r="14041" customFormat="false" ht="15" hidden="false" customHeight="false" outlineLevel="0" collapsed="false">
      <c r="A14041" s="5" t="s">
        <v>459</v>
      </c>
      <c r="C14041" s="26" t="n">
        <f aca="false">Assumptions!$M$55</f>
        <v>3</v>
      </c>
    </row>
    <row r="14042" customFormat="false" ht="15" hidden="false" customHeight="false" outlineLevel="0" collapsed="false">
      <c r="A14042" s="5" t="s">
        <v>460</v>
      </c>
      <c r="C14042" s="26" t="n">
        <f aca="false">Assumptions!$M$56</f>
        <v>4</v>
      </c>
    </row>
    <row r="14043" customFormat="false" ht="15" hidden="false" customHeight="false" outlineLevel="0" collapsed="false">
      <c r="A14043" s="23" t="s">
        <v>462</v>
      </c>
      <c r="B14043" s="24"/>
      <c r="C14043" s="24"/>
      <c r="D14043" s="24"/>
      <c r="E14043" s="24"/>
      <c r="F14043" s="24"/>
      <c r="G14043" s="24"/>
      <c r="H14043" s="24"/>
      <c r="I14043" s="24"/>
      <c r="J14043" s="24"/>
      <c r="K14043" s="24"/>
    </row>
    <row r="14044" customFormat="false" ht="15" hidden="false" customHeight="false" outlineLevel="0" collapsed="false">
      <c r="A14044" s="5" t="s">
        <v>457</v>
      </c>
      <c r="C14044" s="34" t="n">
        <f aca="false">Assumptions!$Q$53</f>
        <v>0</v>
      </c>
    </row>
    <row r="14045" customFormat="false" ht="15" hidden="false" customHeight="false" outlineLevel="0" collapsed="false">
      <c r="A14045" s="5" t="s">
        <v>458</v>
      </c>
      <c r="C14045" s="34" t="n">
        <f aca="false">Assumptions!$Q$54</f>
        <v>0</v>
      </c>
    </row>
    <row r="14046" customFormat="false" ht="15" hidden="false" customHeight="false" outlineLevel="0" collapsed="false">
      <c r="A14046" s="5" t="s">
        <v>459</v>
      </c>
      <c r="C14046" s="34" t="n">
        <f aca="false">Assumptions!$Q$55</f>
        <v>0</v>
      </c>
    </row>
    <row r="14047" customFormat="false" ht="15" hidden="false" customHeight="false" outlineLevel="0" collapsed="false">
      <c r="A14047" s="5" t="s">
        <v>460</v>
      </c>
      <c r="C14047" s="34" t="n">
        <f aca="false">Assumptions!$Q$56</f>
        <v>0</v>
      </c>
    </row>
    <row r="14048" customFormat="false" ht="15" hidden="false" customHeight="false" outlineLevel="0" collapsed="false">
      <c r="A14048" s="23" t="s">
        <v>463</v>
      </c>
      <c r="B14048" s="24"/>
      <c r="C14048" s="24"/>
      <c r="D14048" s="24"/>
      <c r="E14048" s="24"/>
      <c r="F14048" s="24"/>
      <c r="G14048" s="24"/>
      <c r="H14048" s="24"/>
      <c r="I14048" s="24"/>
      <c r="J14048" s="24"/>
      <c r="K14048" s="24"/>
    </row>
    <row r="14049" customFormat="false" ht="15" hidden="false" customHeight="false" outlineLevel="0" collapsed="false">
      <c r="A14049" s="5" t="s">
        <v>457</v>
      </c>
      <c r="C14049" s="25" t="n">
        <f aca="false">IF(C14044&gt;0,MIN(C14034,C14044*$C$14032),0)</f>
        <v>0</v>
      </c>
    </row>
    <row r="14050" customFormat="false" ht="15" hidden="false" customHeight="false" outlineLevel="0" collapsed="false">
      <c r="A14050" s="5" t="s">
        <v>458</v>
      </c>
      <c r="C14050" s="25" t="n">
        <f aca="false">IF(C14045&gt;0,MIN(C14035,C14045*$C$14032),0)</f>
        <v>0</v>
      </c>
    </row>
    <row r="14051" customFormat="false" ht="15" hidden="false" customHeight="false" outlineLevel="0" collapsed="false">
      <c r="A14051" s="5" t="s">
        <v>459</v>
      </c>
      <c r="C14051" s="25" t="n">
        <f aca="false">IF(C14046&gt;0,MIN(C14036,C14046*$C$14032),0)</f>
        <v>0</v>
      </c>
    </row>
    <row r="14052" customFormat="false" ht="15" hidden="false" customHeight="false" outlineLevel="0" collapsed="false">
      <c r="A14052" s="5" t="s">
        <v>460</v>
      </c>
      <c r="C14052" s="25" t="n">
        <f aca="false">IF(C14047&gt;0,MIN(C14037,C14047*$C$14032),0)</f>
        <v>0</v>
      </c>
    </row>
    <row r="14053" customFormat="false" ht="15" hidden="false" customHeight="false" outlineLevel="0" collapsed="false">
      <c r="A14053" s="23" t="s">
        <v>464</v>
      </c>
      <c r="B14053" s="24"/>
      <c r="C14053" s="24"/>
      <c r="D14053" s="24"/>
      <c r="E14053" s="24"/>
      <c r="F14053" s="24"/>
      <c r="G14053" s="24"/>
      <c r="H14053" s="24"/>
      <c r="I14053" s="24"/>
      <c r="J14053" s="24"/>
      <c r="K14053" s="24"/>
    </row>
    <row r="14054" customFormat="false" ht="15" hidden="false" customHeight="false" outlineLevel="0" collapsed="false">
      <c r="A14054" s="5" t="s">
        <v>457</v>
      </c>
      <c r="C14054" s="25" t="n">
        <f aca="false">IF(C14044&gt;0,C14034-C14049,0)</f>
        <v>0</v>
      </c>
    </row>
    <row r="14055" customFormat="false" ht="15" hidden="false" customHeight="false" outlineLevel="0" collapsed="false">
      <c r="A14055" s="5" t="s">
        <v>458</v>
      </c>
      <c r="C14055" s="25" t="n">
        <f aca="false">IF(C14045&gt;0,C14035-C14050,0)</f>
        <v>0</v>
      </c>
    </row>
    <row r="14056" customFormat="false" ht="15" hidden="false" customHeight="false" outlineLevel="0" collapsed="false">
      <c r="A14056" s="5" t="s">
        <v>459</v>
      </c>
      <c r="C14056" s="25" t="n">
        <f aca="false">IF(C14046&gt;0,C14036-C14051,0)</f>
        <v>0</v>
      </c>
    </row>
    <row r="14057" customFormat="false" ht="15" hidden="false" customHeight="false" outlineLevel="0" collapsed="false">
      <c r="A14057" s="5" t="s">
        <v>460</v>
      </c>
      <c r="C14057" s="25" t="n">
        <f aca="false">IF(C14047&gt;0,C14037-C14052,0)</f>
        <v>0</v>
      </c>
    </row>
    <row r="14058" customFormat="false" ht="15" hidden="false" customHeight="false" outlineLevel="0" collapsed="false">
      <c r="A14058" s="23" t="s">
        <v>465</v>
      </c>
      <c r="B14058" s="24"/>
      <c r="C14058" s="24"/>
      <c r="D14058" s="24"/>
      <c r="E14058" s="24"/>
      <c r="F14058" s="24"/>
      <c r="G14058" s="24"/>
      <c r="H14058" s="24"/>
      <c r="I14058" s="24"/>
      <c r="J14058" s="24"/>
      <c r="K14058" s="24"/>
    </row>
    <row r="14059" customFormat="false" ht="15" hidden="false" customHeight="false" outlineLevel="0" collapsed="false">
      <c r="A14059" s="5" t="s">
        <v>457</v>
      </c>
      <c r="C14059" s="25" t="n">
        <f aca="false">IF(C14044&gt;0,C14054,C14034)</f>
        <v>212.7968</v>
      </c>
    </row>
    <row r="14060" customFormat="false" ht="15" hidden="false" customHeight="false" outlineLevel="0" collapsed="false">
      <c r="A14060" s="5" t="s">
        <v>458</v>
      </c>
      <c r="C14060" s="25" t="n">
        <f aca="false">IF(C14045&gt;0,C14055,C14035)</f>
        <v>509.6</v>
      </c>
    </row>
    <row r="14061" customFormat="false" ht="15" hidden="false" customHeight="false" outlineLevel="0" collapsed="false">
      <c r="A14061" s="5" t="s">
        <v>459</v>
      </c>
      <c r="C14061" s="25" t="n">
        <f aca="false">IF(C14046&gt;0,C14056,C14036)</f>
        <v>250</v>
      </c>
    </row>
    <row r="14062" customFormat="false" ht="15" hidden="false" customHeight="false" outlineLevel="0" collapsed="false">
      <c r="A14062" s="5" t="s">
        <v>460</v>
      </c>
      <c r="C14062" s="25" t="n">
        <f aca="false">IF(C14047&gt;0,C14057,C14037)</f>
        <v>300</v>
      </c>
    </row>
    <row r="14063" customFormat="false" ht="15" hidden="false" customHeight="false" outlineLevel="0" collapsed="false">
      <c r="A14063" s="23" t="s">
        <v>466</v>
      </c>
      <c r="B14063" s="24"/>
      <c r="C14063" s="24"/>
      <c r="D14063" s="24"/>
      <c r="E14063" s="24"/>
      <c r="F14063" s="24"/>
      <c r="G14063" s="24"/>
      <c r="H14063" s="24"/>
      <c r="I14063" s="24"/>
      <c r="J14063" s="24"/>
      <c r="K14063" s="24"/>
    </row>
    <row r="14064" customFormat="false" ht="15" hidden="false" customHeight="false" outlineLevel="0" collapsed="false">
      <c r="A14064" s="5" t="s">
        <v>457</v>
      </c>
      <c r="C14064" s="20" t="n">
        <f aca="false">IF(C14044&gt;0,Assumptions!$C$17,C14039)</f>
        <v>1</v>
      </c>
    </row>
    <row r="14065" customFormat="false" ht="15" hidden="false" customHeight="false" outlineLevel="0" collapsed="false">
      <c r="A14065" s="5" t="s">
        <v>458</v>
      </c>
      <c r="C14065" s="20" t="n">
        <f aca="false">IF(C14045&gt;0,Assumptions!$C$17,C14040)</f>
        <v>2</v>
      </c>
    </row>
    <row r="14066" customFormat="false" ht="15" hidden="false" customHeight="false" outlineLevel="0" collapsed="false">
      <c r="A14066" s="5" t="s">
        <v>459</v>
      </c>
      <c r="C14066" s="20" t="n">
        <f aca="false">IF(C14046&gt;0,Assumptions!$C$17,C14041)</f>
        <v>3</v>
      </c>
    </row>
    <row r="14067" customFormat="false" ht="15" hidden="false" customHeight="false" outlineLevel="0" collapsed="false">
      <c r="A14067" s="5" t="s">
        <v>460</v>
      </c>
      <c r="C14067" s="20" t="n">
        <f aca="false">IF(C14047&gt;0,Assumptions!$C$17,C14042)</f>
        <v>4</v>
      </c>
    </row>
    <row r="14068" customFormat="false" ht="15" hidden="false" customHeight="false" outlineLevel="0" collapsed="false">
      <c r="A14068" s="23" t="s">
        <v>467</v>
      </c>
      <c r="B14068" s="24"/>
      <c r="C14068" s="24"/>
      <c r="D14068" s="24"/>
      <c r="E14068" s="24"/>
      <c r="F14068" s="24"/>
      <c r="G14068" s="24"/>
      <c r="H14068" s="24"/>
      <c r="I14068" s="24"/>
      <c r="J14068" s="24"/>
      <c r="K14068" s="24"/>
    </row>
    <row r="14069" customFormat="false" ht="15" hidden="false" customHeight="false" outlineLevel="0" collapsed="false">
      <c r="A14069" s="5" t="s">
        <v>457</v>
      </c>
      <c r="C14069" s="25" t="n">
        <f aca="false">SUMPRODUCT(($C$14064:$C$14067&lt;C14064)*$C$14059:$C$14062)</f>
        <v>0</v>
      </c>
    </row>
    <row r="14070" customFormat="false" ht="15" hidden="false" customHeight="false" outlineLevel="0" collapsed="false">
      <c r="A14070" s="5" t="s">
        <v>458</v>
      </c>
      <c r="C14070" s="25" t="n">
        <f aca="false">SUMPRODUCT(($C$14064:$C$14067&lt;C14065)*$C$14059:$C$14062)</f>
        <v>212.7968</v>
      </c>
    </row>
    <row r="14071" customFormat="false" ht="15" hidden="false" customHeight="false" outlineLevel="0" collapsed="false">
      <c r="A14071" s="5" t="s">
        <v>459</v>
      </c>
      <c r="C14071" s="25" t="n">
        <f aca="false">SUMPRODUCT(($C$14064:$C$14067&lt;C14066)*$C$14059:$C$14062)</f>
        <v>722.3968</v>
      </c>
    </row>
    <row r="14072" customFormat="false" ht="15" hidden="false" customHeight="false" outlineLevel="0" collapsed="false">
      <c r="A14072" s="5" t="s">
        <v>460</v>
      </c>
      <c r="C14072" s="25" t="n">
        <f aca="false">SUMPRODUCT(($C$14064:$C$14067&lt;C14067)*$C$14059:$C$14062)</f>
        <v>972.3968</v>
      </c>
    </row>
    <row r="14073" customFormat="false" ht="15" hidden="false" customHeight="false" outlineLevel="0" collapsed="false">
      <c r="A14073" s="23" t="s">
        <v>468</v>
      </c>
      <c r="B14073" s="24"/>
      <c r="C14073" s="24"/>
      <c r="D14073" s="24"/>
      <c r="E14073" s="24"/>
      <c r="F14073" s="24"/>
      <c r="G14073" s="24"/>
      <c r="H14073" s="24"/>
      <c r="I14073" s="24"/>
      <c r="J14073" s="24"/>
      <c r="K14073" s="24"/>
    </row>
    <row r="14074" customFormat="false" ht="15" hidden="false" customHeight="false" outlineLevel="0" collapsed="false">
      <c r="A14074" s="5" t="s">
        <v>457</v>
      </c>
      <c r="C14074" s="25" t="n">
        <f aca="false">SUMPRODUCT(($C$14064:$C$14067=C14064)*$C$14059:$C$14062)</f>
        <v>212.7968</v>
      </c>
    </row>
    <row r="14075" customFormat="false" ht="15" hidden="false" customHeight="false" outlineLevel="0" collapsed="false">
      <c r="A14075" s="5" t="s">
        <v>458</v>
      </c>
      <c r="C14075" s="25" t="n">
        <f aca="false">SUMPRODUCT(($C$14064:$C$14067=C14065)*$C$14059:$C$14062)</f>
        <v>509.6</v>
      </c>
    </row>
    <row r="14076" customFormat="false" ht="15" hidden="false" customHeight="false" outlineLevel="0" collapsed="false">
      <c r="A14076" s="5" t="s">
        <v>459</v>
      </c>
      <c r="C14076" s="25" t="n">
        <f aca="false">SUMPRODUCT(($C$14064:$C$14067=C14066)*$C$14059:$C$14062)</f>
        <v>250</v>
      </c>
    </row>
    <row r="14077" customFormat="false" ht="15" hidden="false" customHeight="false" outlineLevel="0" collapsed="false">
      <c r="A14077" s="5" t="s">
        <v>460</v>
      </c>
      <c r="C14077" s="25" t="n">
        <f aca="false">SUMPRODUCT(($C$14064:$C$14067=C14067)*$C$14059:$C$14062)</f>
        <v>300</v>
      </c>
    </row>
    <row r="14078" customFormat="false" ht="15" hidden="false" customHeight="false" outlineLevel="0" collapsed="false">
      <c r="A14078" s="23" t="s">
        <v>469</v>
      </c>
      <c r="B14078" s="24"/>
      <c r="C14078" s="24"/>
      <c r="D14078" s="24"/>
      <c r="E14078" s="24"/>
      <c r="F14078" s="24"/>
      <c r="G14078" s="24"/>
      <c r="H14078" s="24"/>
      <c r="I14078" s="24"/>
      <c r="J14078" s="24"/>
      <c r="K14078" s="24"/>
    </row>
    <row r="14079" customFormat="false" ht="15" hidden="false" customHeight="false" outlineLevel="0" collapsed="false">
      <c r="A14079" s="5" t="s">
        <v>457</v>
      </c>
      <c r="C14079" s="25" t="n">
        <f aca="false">IF(C14074=0,0,C14059/C14074*MAX(0,MIN(C14074,$C$14032-SUM($C$14049:$C$14052)-C14069)))</f>
        <v>212.7968</v>
      </c>
    </row>
    <row r="14080" customFormat="false" ht="15" hidden="false" customHeight="false" outlineLevel="0" collapsed="false">
      <c r="A14080" s="5" t="s">
        <v>458</v>
      </c>
      <c r="C14080" s="25" t="n">
        <f aca="false">IF(C14075=0,0,C14060/C14075*MAX(0,MIN(C14075,$C$14032-SUM($C$14049:$C$14052)-C14070)))</f>
        <v>31.7507919999999</v>
      </c>
    </row>
    <row r="14081" customFormat="false" ht="15" hidden="false" customHeight="false" outlineLevel="0" collapsed="false">
      <c r="A14081" s="5" t="s">
        <v>459</v>
      </c>
      <c r="C14081" s="25" t="n">
        <f aca="false">IF(C14076=0,0,C14061/C14076*MAX(0,MIN(C14076,$C$14032-SUM($C$14049:$C$14052)-C14071)))</f>
        <v>0</v>
      </c>
    </row>
    <row r="14082" customFormat="false" ht="15" hidden="false" customHeight="false" outlineLevel="0" collapsed="false">
      <c r="A14082" s="5" t="s">
        <v>460</v>
      </c>
      <c r="C14082" s="25" t="n">
        <f aca="false">IF(C14077=0,0,C14062/C14077*MAX(0,MIN(C14077,$C$14032-SUM($C$14049:$C$14052)-C14072)))</f>
        <v>0</v>
      </c>
    </row>
    <row r="14083" customFormat="false" ht="15" hidden="false" customHeight="false" outlineLevel="0" collapsed="false">
      <c r="A14083" s="23" t="s">
        <v>470</v>
      </c>
      <c r="B14083" s="24"/>
      <c r="C14083" s="24"/>
      <c r="D14083" s="24"/>
      <c r="E14083" s="24"/>
      <c r="F14083" s="24"/>
      <c r="G14083" s="24"/>
      <c r="H14083" s="24"/>
      <c r="I14083" s="24"/>
      <c r="J14083" s="24"/>
      <c r="K14083" s="24"/>
    </row>
    <row r="14084" customFormat="false" ht="15" hidden="false" customHeight="false" outlineLevel="0" collapsed="false">
      <c r="A14084" s="2" t="s">
        <v>457</v>
      </c>
      <c r="C14084" s="16" t="n">
        <f aca="false">C14049+C14079</f>
        <v>212.7968</v>
      </c>
    </row>
    <row r="14085" customFormat="false" ht="15" hidden="false" customHeight="false" outlineLevel="0" collapsed="false">
      <c r="A14085" s="2" t="s">
        <v>458</v>
      </c>
      <c r="C14085" s="16" t="n">
        <f aca="false">C14050+C14080</f>
        <v>31.7507919999999</v>
      </c>
    </row>
    <row r="14086" customFormat="false" ht="15" hidden="false" customHeight="false" outlineLevel="0" collapsed="false">
      <c r="A14086" s="2" t="s">
        <v>459</v>
      </c>
      <c r="C14086" s="16" t="n">
        <f aca="false">C14051+C14081</f>
        <v>0</v>
      </c>
    </row>
    <row r="14087" customFormat="false" ht="15" hidden="false" customHeight="false" outlineLevel="0" collapsed="false">
      <c r="A14087" s="2" t="s">
        <v>460</v>
      </c>
      <c r="C14087" s="16" t="n">
        <f aca="false">C14052+C14082</f>
        <v>0</v>
      </c>
    </row>
    <row r="14088" customFormat="false" ht="15" hidden="false" customHeight="false" outlineLevel="0" collapsed="false">
      <c r="A14088" s="23" t="s">
        <v>471</v>
      </c>
      <c r="B14088" s="24"/>
      <c r="C14088" s="24"/>
      <c r="D14088" s="24"/>
      <c r="E14088" s="24"/>
      <c r="F14088" s="24"/>
      <c r="G14088" s="24"/>
      <c r="H14088" s="24"/>
      <c r="I14088" s="24"/>
      <c r="J14088" s="24"/>
      <c r="K14088" s="24"/>
    </row>
    <row r="14089" customFormat="false" ht="15" hidden="false" customHeight="false" outlineLevel="0" collapsed="false">
      <c r="A14089" s="5" t="s">
        <v>457</v>
      </c>
      <c r="C14089" s="21" t="n">
        <f aca="false">IF(C14034=0,1,C14084/C14034)</f>
        <v>1</v>
      </c>
    </row>
    <row r="14090" customFormat="false" ht="15" hidden="false" customHeight="false" outlineLevel="0" collapsed="false">
      <c r="A14090" s="5" t="s">
        <v>458</v>
      </c>
      <c r="C14090" s="21" t="n">
        <f aca="false">IF(C14035=0,1,C14085/C14035)</f>
        <v>0.0623053218210359</v>
      </c>
    </row>
    <row r="14091" customFormat="false" ht="15" hidden="false" customHeight="false" outlineLevel="0" collapsed="false">
      <c r="A14091" s="5" t="s">
        <v>459</v>
      </c>
      <c r="C14091" s="21" t="n">
        <f aca="false">IF(C14036=0,1,C14086/C14036)</f>
        <v>0</v>
      </c>
    </row>
    <row r="14092" customFormat="false" ht="15" hidden="false" customHeight="false" outlineLevel="0" collapsed="false">
      <c r="A14092" s="5" t="s">
        <v>460</v>
      </c>
      <c r="C14092" s="21" t="n">
        <f aca="false">IF(C14037=0,1,C14087/C14037)</f>
        <v>0</v>
      </c>
    </row>
    <row r="14093" customFormat="false" ht="15" hidden="false" customHeight="false" outlineLevel="0" collapsed="false">
      <c r="A14093" s="23" t="s">
        <v>472</v>
      </c>
      <c r="B14093" s="24"/>
      <c r="C14093" s="24"/>
      <c r="D14093" s="24"/>
      <c r="E14093" s="24"/>
      <c r="F14093" s="24"/>
      <c r="G14093" s="24"/>
      <c r="H14093" s="24"/>
      <c r="I14093" s="24"/>
      <c r="J14093" s="24"/>
      <c r="K14093" s="24"/>
    </row>
    <row r="14094" customFormat="false" ht="15" hidden="false" customHeight="false" outlineLevel="0" collapsed="false">
      <c r="A14094" s="5" t="s">
        <v>457</v>
      </c>
      <c r="C14094" s="25" t="n">
        <f aca="false">C14034-C14084</f>
        <v>0</v>
      </c>
    </row>
    <row r="14095" customFormat="false" ht="15" hidden="false" customHeight="false" outlineLevel="0" collapsed="false">
      <c r="A14095" s="5" t="s">
        <v>458</v>
      </c>
      <c r="C14095" s="25" t="n">
        <f aca="false">C14035-C14085</f>
        <v>477.849208</v>
      </c>
    </row>
    <row r="14096" customFormat="false" ht="15" hidden="false" customHeight="false" outlineLevel="0" collapsed="false">
      <c r="A14096" s="5" t="s">
        <v>459</v>
      </c>
      <c r="C14096" s="25" t="n">
        <f aca="false">C14036-C14086</f>
        <v>250</v>
      </c>
    </row>
    <row r="14097" customFormat="false" ht="15" hidden="false" customHeight="false" outlineLevel="0" collapsed="false">
      <c r="A14097" s="5" t="s">
        <v>460</v>
      </c>
      <c r="C14097" s="25" t="n">
        <f aca="false">C14037-C14087</f>
        <v>300</v>
      </c>
    </row>
    <row r="14098" customFormat="false" ht="15" hidden="false" customHeight="false" outlineLevel="0" collapsed="false">
      <c r="A14098" s="23" t="s">
        <v>473</v>
      </c>
      <c r="B14098" s="24"/>
      <c r="C14098" s="24"/>
      <c r="D14098" s="24"/>
      <c r="E14098" s="24"/>
      <c r="F14098" s="24"/>
      <c r="G14098" s="24"/>
      <c r="H14098" s="24"/>
      <c r="I14098" s="24"/>
      <c r="J14098" s="24"/>
      <c r="K14098" s="24"/>
    </row>
    <row r="14099" customFormat="false" ht="15" hidden="false" customHeight="false" outlineLevel="0" collapsed="false">
      <c r="A14099" s="5" t="s">
        <v>457</v>
      </c>
      <c r="C14099" s="21" t="n">
        <f aca="false">IF(C14034=0,0,C14094/C14034)</f>
        <v>0</v>
      </c>
    </row>
    <row r="14100" customFormat="false" ht="15" hidden="false" customHeight="false" outlineLevel="0" collapsed="false">
      <c r="A14100" s="5" t="s">
        <v>458</v>
      </c>
      <c r="C14100" s="21" t="n">
        <f aca="false">IF(C14035=0,0,C14095/C14035)</f>
        <v>0.937694678178964</v>
      </c>
    </row>
    <row r="14101" customFormat="false" ht="15" hidden="false" customHeight="false" outlineLevel="0" collapsed="false">
      <c r="A14101" s="5" t="s">
        <v>459</v>
      </c>
      <c r="C14101" s="21" t="n">
        <f aca="false">IF(C14036=0,0,C14096/C14036)</f>
        <v>1</v>
      </c>
    </row>
    <row r="14102" customFormat="false" ht="15" hidden="false" customHeight="false" outlineLevel="0" collapsed="false">
      <c r="A14102" s="5" t="s">
        <v>460</v>
      </c>
      <c r="C14102" s="21" t="n">
        <f aca="false">IF(C14037=0,0,C14097/C14037)</f>
        <v>1</v>
      </c>
    </row>
    <row r="14103" customFormat="false" ht="15" hidden="false" customHeight="false" outlineLevel="0" collapsed="false">
      <c r="A14103" s="2" t="s">
        <v>474</v>
      </c>
      <c r="C14103" s="16" t="n">
        <f aca="false">MAX(0,$C$14032-SUM($C$14049:$C$14052)-SUM($C$14059:$C$14062))</f>
        <v>0</v>
      </c>
    </row>
    <row r="14104" customFormat="false" ht="15" hidden="false" customHeight="false" outlineLevel="0" collapsed="false">
      <c r="A14104" s="5" t="s">
        <v>492</v>
      </c>
      <c r="C14104" s="33" t="n">
        <f aca="false">MIN(C14031,100*CHOOSE(C14021,C14089,C14090,C14091,C14092))</f>
        <v>6.23053218210359</v>
      </c>
    </row>
    <row r="14105" customFormat="false" ht="15" hidden="false" customHeight="false" outlineLevel="0" collapsed="false">
      <c r="A14105" s="5" t="s">
        <v>493</v>
      </c>
      <c r="C14105" s="20" t="n">
        <f aca="false">IF(C13937=1,C14026+Assumptions!$C$36,C14025)</f>
        <v>3</v>
      </c>
    </row>
    <row r="14106" customFormat="false" ht="15" hidden="false" customHeight="false" outlineLevel="0" collapsed="false">
      <c r="A14106" s="23" t="s">
        <v>494</v>
      </c>
      <c r="B14106" s="24"/>
      <c r="C14106" s="24"/>
      <c r="D14106" s="24"/>
      <c r="E14106" s="24"/>
      <c r="F14106" s="24"/>
      <c r="G14106" s="24"/>
      <c r="H14106" s="24"/>
      <c r="I14106" s="24"/>
      <c r="J14106" s="24"/>
      <c r="K14106" s="24"/>
    </row>
    <row r="14107" customFormat="false" ht="15" hidden="false" customHeight="false" outlineLevel="0" collapsed="false">
      <c r="A14107" s="5" t="s">
        <v>495</v>
      </c>
      <c r="C14107" s="20" t="n">
        <f aca="false">COLUMN()-COLUMN($C$1)</f>
        <v>0</v>
      </c>
      <c r="D14107" s="20" t="n">
        <f aca="false">COLUMN()-COLUMN($C$1)</f>
        <v>1</v>
      </c>
      <c r="E14107" s="20" t="n">
        <f aca="false">COLUMN()-COLUMN($C$1)</f>
        <v>2</v>
      </c>
      <c r="F14107" s="20" t="n">
        <f aca="false">COLUMN()-COLUMN($C$1)</f>
        <v>3</v>
      </c>
      <c r="G14107" s="20" t="n">
        <f aca="false">COLUMN()-COLUMN($C$1)</f>
        <v>4</v>
      </c>
      <c r="H14107" s="20" t="n">
        <f aca="false">COLUMN()-COLUMN($C$1)</f>
        <v>5</v>
      </c>
      <c r="I14107" s="20" t="n">
        <f aca="false">COLUMN()-COLUMN($C$1)</f>
        <v>6</v>
      </c>
    </row>
    <row r="14108" customFormat="false" ht="15" hidden="false" customHeight="false" outlineLevel="0" collapsed="false">
      <c r="A14108" s="5" t="s">
        <v>496</v>
      </c>
      <c r="D14108" s="30" t="n">
        <f aca="false">CHOOSE($C$14021,G13819,G13832,G13845,G13858)</f>
        <v>0.113</v>
      </c>
      <c r="E14108" s="30" t="n">
        <f aca="false">CHOOSE($C$14021,H13819,H13832,H13845,H13858)</f>
        <v>0.1105</v>
      </c>
      <c r="F14108" s="30" t="n">
        <f aca="false">CHOOSE($C$14021,I13819,I13832,I13845,I13858)</f>
        <v>0.108</v>
      </c>
      <c r="G14108" s="30" t="n">
        <f aca="false">CHOOSE($C$14021,J13819,J13832,J13845,J13858)</f>
        <v>0.108</v>
      </c>
      <c r="H14108" s="30" t="n">
        <f aca="false">CHOOSE($C$14021,K13819,K13832,K13845,K13858)</f>
        <v>0.108</v>
      </c>
    </row>
    <row r="14109" customFormat="false" ht="15" hidden="false" customHeight="false" outlineLevel="0" collapsed="false">
      <c r="A14109" s="5" t="s">
        <v>497</v>
      </c>
      <c r="D14109" s="25" t="n">
        <f aca="false">IF(D14107&lt;=$C$14030,$C$14022*D14108,0)</f>
        <v>11.3</v>
      </c>
      <c r="E14109" s="25" t="n">
        <f aca="false">IF(E14107&lt;=$C$14030,$C$14022*E14108,0)</f>
        <v>11.05</v>
      </c>
      <c r="F14109" s="25" t="n">
        <f aca="false">IF(F14107&lt;=$C$14030,$C$14022*F14108,0)</f>
        <v>0</v>
      </c>
      <c r="G14109" s="25" t="n">
        <f aca="false">IF(G14107&lt;=$C$14030,$C$14022*G14108,0)</f>
        <v>0</v>
      </c>
      <c r="H14109" s="25" t="n">
        <f aca="false">IF(H14107&lt;=$C$14030,$C$14022*H14108,0)</f>
        <v>0</v>
      </c>
    </row>
    <row r="14110" customFormat="false" ht="15" hidden="false" customHeight="false" outlineLevel="0" collapsed="false">
      <c r="A14110" s="5" t="s">
        <v>498</v>
      </c>
      <c r="D14110" s="25" t="n">
        <f aca="false">IF(AND($C$13937=0,D14107=$C$14025),$C$14022*$C$14104/100,0)+IF(AND($C$13937=1,D14107=$C$14105),$C$14028,0)</f>
        <v>0</v>
      </c>
      <c r="E14110" s="25" t="n">
        <f aca="false">IF(AND($C$13937=0,E14107=$C$14025),$C$14022*$C$14104/100,0)+IF(AND($C$13937=1,E14107=$C$14105),$C$14028,0)</f>
        <v>0</v>
      </c>
      <c r="F14110" s="25" t="n">
        <f aca="false">IF(AND($C$13937=0,F14107=$C$14025),$C$14022*$C$14104/100,0)+IF(AND($C$13937=1,F14107=$C$14105),$C$14028,0)</f>
        <v>57.1846693092622</v>
      </c>
      <c r="G14110" s="25" t="n">
        <f aca="false">IF(AND($C$13937=0,G14107=$C$14025),$C$14022*$C$14104/100,0)+IF(AND($C$13937=1,G14107=$C$14105),$C$14028,0)</f>
        <v>0</v>
      </c>
      <c r="H14110" s="25" t="n">
        <f aca="false">IF(AND($C$13937=0,H14107=$C$14025),$C$14022*$C$14104/100,0)+IF(AND($C$13937=1,H14107=$C$14105),$C$14028,0)</f>
        <v>0</v>
      </c>
      <c r="I14110" s="25" t="n">
        <f aca="false">IF(AND($C$13937=0,I14107=$C$14025),$C$14022*$C$14104/100,0)+IF(AND($C$13937=1,I14107=$C$14105),$C$14028,0)</f>
        <v>0</v>
      </c>
    </row>
    <row r="14111" customFormat="false" ht="15" hidden="false" customHeight="false" outlineLevel="0" collapsed="false">
      <c r="A14111" s="2" t="s">
        <v>499</v>
      </c>
      <c r="C14111" s="16" t="n">
        <f aca="false">-$C$14024</f>
        <v>-78.39</v>
      </c>
      <c r="D14111" s="16" t="n">
        <f aca="false">D14109+D14110</f>
        <v>11.3</v>
      </c>
      <c r="E14111" s="16" t="n">
        <f aca="false">E14109+E14110</f>
        <v>11.05</v>
      </c>
      <c r="F14111" s="16" t="n">
        <f aca="false">F14109+F14110</f>
        <v>57.1846693092622</v>
      </c>
      <c r="G14111" s="16" t="n">
        <f aca="false">G14109+G14110</f>
        <v>0</v>
      </c>
      <c r="H14111" s="16" t="n">
        <f aca="false">H14109+H14110</f>
        <v>0</v>
      </c>
      <c r="I14111" s="16" t="n">
        <f aca="false">I14109+I14110</f>
        <v>0</v>
      </c>
    </row>
    <row r="14112" customFormat="false" ht="15" hidden="false" customHeight="false" outlineLevel="0" collapsed="false">
      <c r="A14112" s="5" t="s">
        <v>500</v>
      </c>
      <c r="C14112" s="25" t="n">
        <f aca="false">SUM($C$14109:$I$14109)</f>
        <v>22.35</v>
      </c>
    </row>
    <row r="14113" customFormat="false" ht="15" hidden="false" customHeight="false" outlineLevel="0" collapsed="false">
      <c r="A14113" s="5" t="s">
        <v>501</v>
      </c>
      <c r="C14113" s="25" t="n">
        <f aca="false">SUM($C$14110:$I$14110)</f>
        <v>57.1846693092622</v>
      </c>
    </row>
    <row r="14114" customFormat="false" ht="15" hidden="false" customHeight="false" outlineLevel="0" collapsed="false">
      <c r="A14114" s="5" t="s">
        <v>502</v>
      </c>
      <c r="C14114" s="25" t="n">
        <f aca="false">C14112+C14113</f>
        <v>79.5346693092622</v>
      </c>
    </row>
    <row r="14115" customFormat="false" ht="15" hidden="false" customHeight="false" outlineLevel="0" collapsed="false">
      <c r="A14115" s="5" t="s">
        <v>503</v>
      </c>
      <c r="C14115" s="25" t="n">
        <f aca="false">C14113-C14022*C14023/100</f>
        <v>-20.8153306907378</v>
      </c>
    </row>
    <row r="14116" customFormat="false" ht="15" hidden="false" customHeight="false" outlineLevel="0" collapsed="false">
      <c r="A14116" s="5" t="s">
        <v>504</v>
      </c>
      <c r="C14116" s="25" t="n">
        <f aca="false">C14114-C14024</f>
        <v>1.14466930926218</v>
      </c>
    </row>
    <row r="14117" customFormat="false" ht="15" hidden="false" customHeight="false" outlineLevel="0" collapsed="false">
      <c r="A14117" s="2" t="s">
        <v>385</v>
      </c>
      <c r="C14117" s="43" t="n">
        <f aca="false">C14114/C14024</f>
        <v>1.01460223637278</v>
      </c>
    </row>
    <row r="14118" customFormat="false" ht="15" hidden="false" customHeight="false" outlineLevel="0" collapsed="false">
      <c r="A14118" s="2" t="s">
        <v>384</v>
      </c>
      <c r="C14118" s="41" t="n">
        <f aca="false">IF(C14114&lt;=0,-1,IFERROR(IRR($C$14111:$I$14111,MAX(-0.9,C14117^(1/C14105)-1)),IRR($C$14111:$I$14111,0.1)))</f>
        <v>0.00564471067182124</v>
      </c>
    </row>
    <row r="14119" customFormat="false" ht="15" hidden="false" customHeight="false" outlineLevel="0" collapsed="false">
      <c r="A14119" s="5" t="s">
        <v>505</v>
      </c>
      <c r="C14119" s="31" t="n">
        <f aca="false">MAX($G$13913:$K$13913)</f>
        <v>28.415119196921</v>
      </c>
    </row>
    <row r="14120" customFormat="false" ht="15" hidden="false" customHeight="false" outlineLevel="0" collapsed="false">
      <c r="A14120" s="5" t="s">
        <v>506</v>
      </c>
      <c r="C14120" s="31" t="n">
        <f aca="false">MIN($G$13914:$K$13914)</f>
        <v>0.385776819020527</v>
      </c>
    </row>
    <row r="14121" customFormat="false" ht="15" hidden="false" customHeight="false" outlineLevel="0" collapsed="false">
      <c r="A14121" s="5" t="s">
        <v>507</v>
      </c>
      <c r="C14121" s="25" t="n">
        <f aca="false">SUM($G$13803:$K$13803)</f>
        <v>-462.2321963404</v>
      </c>
    </row>
    <row r="14125" customFormat="false" ht="15" hidden="false" customHeight="false" outlineLevel="0" collapsed="false">
      <c r="A14125" s="9" t="s">
        <v>666</v>
      </c>
      <c r="B14125" s="10"/>
      <c r="C14125" s="10"/>
      <c r="D14125" s="10"/>
      <c r="E14125" s="10"/>
      <c r="F14125" s="10"/>
      <c r="G14125" s="10"/>
      <c r="H14125" s="10"/>
      <c r="I14125" s="10"/>
      <c r="J14125" s="10"/>
      <c r="K14125" s="10"/>
    </row>
    <row r="14126" customFormat="false" ht="15" hidden="false" customHeight="false" outlineLevel="0" collapsed="false">
      <c r="A14126" s="5" t="s">
        <v>622</v>
      </c>
      <c r="C14126" s="11" t="n">
        <v>2</v>
      </c>
    </row>
    <row r="14127" customFormat="false" ht="15" hidden="false" customHeight="false" outlineLevel="0" collapsed="false">
      <c r="A14127" s="5" t="s">
        <v>623</v>
      </c>
      <c r="C14127" s="18" t="n">
        <v>0</v>
      </c>
    </row>
    <row r="14128" customFormat="false" ht="15" hidden="false" customHeight="false" outlineLevel="0" collapsed="false">
      <c r="A14128" s="5" t="s">
        <v>624</v>
      </c>
      <c r="C14128" s="18" t="n">
        <v>0</v>
      </c>
    </row>
    <row r="14129" customFormat="false" ht="15" hidden="false" customHeight="false" outlineLevel="0" collapsed="false">
      <c r="A14129" s="5" t="s">
        <v>625</v>
      </c>
      <c r="C14129" s="29" t="n">
        <f aca="false">Sensitivities!$A$52</f>
        <v>0</v>
      </c>
    </row>
    <row r="14130" customFormat="false" ht="15" hidden="false" customHeight="false" outlineLevel="0" collapsed="false">
      <c r="A14130" s="5" t="s">
        <v>626</v>
      </c>
      <c r="C14130" s="15" t="n">
        <v>0</v>
      </c>
    </row>
    <row r="14132" customFormat="false" ht="15" hidden="false" customHeight="false" outlineLevel="0" collapsed="false">
      <c r="A14132" s="23" t="s">
        <v>237</v>
      </c>
      <c r="B14132" s="24"/>
      <c r="C14132" s="24"/>
      <c r="D14132" s="24"/>
      <c r="E14132" s="24"/>
      <c r="F14132" s="24"/>
      <c r="G14132" s="24"/>
      <c r="H14132" s="24"/>
      <c r="I14132" s="24"/>
      <c r="J14132" s="24"/>
      <c r="K14132" s="24"/>
    </row>
    <row r="14133" customFormat="false" ht="15" hidden="false" customHeight="false" outlineLevel="0" collapsed="false">
      <c r="A14133" s="5" t="s">
        <v>238</v>
      </c>
      <c r="F14133" s="26" t="n">
        <f aca="false">Assumptions!$C$6</f>
        <v>2025</v>
      </c>
      <c r="G14133" s="20" t="n">
        <f aca="false">F14133+1</f>
        <v>2026</v>
      </c>
      <c r="H14133" s="20" t="n">
        <f aca="false">G14133+1</f>
        <v>2027</v>
      </c>
      <c r="I14133" s="20" t="n">
        <f aca="false">H14133+1</f>
        <v>2028</v>
      </c>
      <c r="J14133" s="20" t="n">
        <f aca="false">I14133+1</f>
        <v>2029</v>
      </c>
      <c r="K14133" s="20" t="n">
        <f aca="false">J14133+1</f>
        <v>2030</v>
      </c>
    </row>
    <row r="14134" customFormat="false" ht="15" hidden="false" customHeight="false" outlineLevel="0" collapsed="false">
      <c r="A14134" s="5" t="s">
        <v>239</v>
      </c>
      <c r="G14134" s="20" t="n">
        <f aca="false">G14133-Assumptions!$C$6</f>
        <v>1</v>
      </c>
      <c r="H14134" s="20" t="n">
        <f aca="false">H14133-Assumptions!$C$6</f>
        <v>2</v>
      </c>
      <c r="I14134" s="20" t="n">
        <f aca="false">I14133-Assumptions!$C$6</f>
        <v>3</v>
      </c>
      <c r="J14134" s="20" t="n">
        <f aca="false">J14133-Assumptions!$C$6</f>
        <v>4</v>
      </c>
      <c r="K14134" s="20" t="n">
        <f aca="false">K14133-Assumptions!$C$6</f>
        <v>5</v>
      </c>
    </row>
    <row r="14135" customFormat="false" ht="15" hidden="false" customHeight="false" outlineLevel="0" collapsed="false">
      <c r="A14135" s="5" t="s">
        <v>149</v>
      </c>
      <c r="G14135" s="21" t="n">
        <f aca="false">CHOOSE($C$14126,Assumptions!$G$65,Assumptions!$G$84,Assumptions!$G$103)+$C$14127</f>
        <v>-0.078</v>
      </c>
      <c r="H14135" s="21" t="n">
        <f aca="false">CHOOSE($C$14126,Assumptions!$H$65,Assumptions!$H$84,Assumptions!$H$103)+$C$14127</f>
        <v>-0.039</v>
      </c>
      <c r="I14135" s="21" t="n">
        <f aca="false">CHOOSE($C$14126,Assumptions!$I$65,Assumptions!$I$84,Assumptions!$I$103)+$C$14127</f>
        <v>-0.005</v>
      </c>
      <c r="J14135" s="21" t="n">
        <f aca="false">CHOOSE($C$14126,Assumptions!$J$65,Assumptions!$J$84,Assumptions!$J$103)+$C$14127</f>
        <v>-0.01</v>
      </c>
      <c r="K14135" s="21" t="n">
        <f aca="false">CHOOSE($C$14126,Assumptions!$K$65,Assumptions!$K$84,Assumptions!$K$103)+$C$14127</f>
        <v>-0.01</v>
      </c>
    </row>
    <row r="14136" customFormat="false" ht="15" hidden="false" customHeight="false" outlineLevel="0" collapsed="false">
      <c r="A14136" s="5" t="s">
        <v>150</v>
      </c>
      <c r="G14136" s="21" t="n">
        <f aca="false">CHOOSE($C$14126,Assumptions!$G$66,Assumptions!$G$85,Assumptions!$G$104)</f>
        <v>0.33</v>
      </c>
      <c r="H14136" s="21" t="n">
        <f aca="false">CHOOSE($C$14126,Assumptions!$H$66,Assumptions!$H$85,Assumptions!$H$104)</f>
        <v>0.318</v>
      </c>
      <c r="I14136" s="21" t="n">
        <f aca="false">CHOOSE($C$14126,Assumptions!$I$66,Assumptions!$I$85,Assumptions!$I$104)</f>
        <v>0.324</v>
      </c>
      <c r="J14136" s="21" t="n">
        <f aca="false">CHOOSE($C$14126,Assumptions!$J$66,Assumptions!$J$85,Assumptions!$J$104)</f>
        <v>0.33</v>
      </c>
      <c r="K14136" s="21" t="n">
        <f aca="false">CHOOSE($C$14126,Assumptions!$K$66,Assumptions!$K$85,Assumptions!$K$104)</f>
        <v>0.336</v>
      </c>
    </row>
    <row r="14137" customFormat="false" ht="15" hidden="false" customHeight="false" outlineLevel="0" collapsed="false">
      <c r="A14137" s="5" t="s">
        <v>151</v>
      </c>
      <c r="G14137" s="21" t="n">
        <f aca="false">CHOOSE($C$14126,Assumptions!$G$67,Assumptions!$G$86,Assumptions!$G$105)+$C$14128</f>
        <v>0.035</v>
      </c>
      <c r="H14137" s="21" t="n">
        <f aca="false">CHOOSE($C$14126,Assumptions!$H$67,Assumptions!$H$86,Assumptions!$H$105)+$C$14128</f>
        <v>0.023</v>
      </c>
      <c r="I14137" s="21" t="n">
        <f aca="false">CHOOSE($C$14126,Assumptions!$I$67,Assumptions!$I$86,Assumptions!$I$105)+$C$14128</f>
        <v>0.029</v>
      </c>
      <c r="J14137" s="21" t="n">
        <f aca="false">CHOOSE($C$14126,Assumptions!$J$67,Assumptions!$J$86,Assumptions!$J$105)+$C$14128</f>
        <v>0.035</v>
      </c>
      <c r="K14137" s="21" t="n">
        <f aca="false">CHOOSE($C$14126,Assumptions!$K$67,Assumptions!$K$86,Assumptions!$K$105)+$C$14128</f>
        <v>0.041</v>
      </c>
    </row>
    <row r="14138" customFormat="false" ht="15" hidden="false" customHeight="false" outlineLevel="0" collapsed="false">
      <c r="A14138" s="23" t="s">
        <v>240</v>
      </c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</row>
    <row r="14139" customFormat="false" ht="15" hidden="false" customHeight="false" outlineLevel="0" collapsed="false">
      <c r="A14139" s="2" t="s">
        <v>207</v>
      </c>
      <c r="F14139" s="27" t="n">
        <f aca="false">'Historical Financials'!E17</f>
        <v>2400</v>
      </c>
      <c r="G14139" s="16" t="n">
        <f aca="false">F14139*(1+G14135)</f>
        <v>2212.8</v>
      </c>
      <c r="H14139" s="16" t="n">
        <f aca="false">G14139*(1+H14135)</f>
        <v>2126.5008</v>
      </c>
      <c r="I14139" s="16" t="n">
        <f aca="false">H14139*(1+I14135)</f>
        <v>2115.868296</v>
      </c>
      <c r="J14139" s="16" t="n">
        <f aca="false">I14139*(1+J14135)</f>
        <v>2094.70961304</v>
      </c>
      <c r="K14139" s="16" t="n">
        <f aca="false">J14139*(1+K14135)</f>
        <v>2073.7625169096</v>
      </c>
    </row>
    <row r="14140" customFormat="false" ht="15" hidden="false" customHeight="false" outlineLevel="0" collapsed="false">
      <c r="A14140" s="5" t="s">
        <v>217</v>
      </c>
      <c r="G14140" s="25" t="n">
        <f aca="false">G14139*(1-G14136)</f>
        <v>1482.576</v>
      </c>
      <c r="H14140" s="25" t="n">
        <f aca="false">H14139*(1-H14136)</f>
        <v>1450.2735456</v>
      </c>
      <c r="I14140" s="25" t="n">
        <f aca="false">I14139*(1-I14136)</f>
        <v>1430.326968096</v>
      </c>
      <c r="J14140" s="25" t="n">
        <f aca="false">J14139*(1-J14136)</f>
        <v>1403.4554407368</v>
      </c>
      <c r="K14140" s="25" t="n">
        <f aca="false">K14139*(1-K14136)</f>
        <v>1376.97831122797</v>
      </c>
    </row>
    <row r="14141" customFormat="false" ht="15" hidden="false" customHeight="false" outlineLevel="0" collapsed="false">
      <c r="A14141" s="2" t="s">
        <v>218</v>
      </c>
      <c r="G14141" s="16" t="n">
        <f aca="false">G14139-G14140</f>
        <v>730.224</v>
      </c>
      <c r="H14141" s="16" t="n">
        <f aca="false">H14139-H14140</f>
        <v>676.2272544</v>
      </c>
      <c r="I14141" s="16" t="n">
        <f aca="false">I14139-I14140</f>
        <v>685.541327904</v>
      </c>
      <c r="J14141" s="16" t="n">
        <f aca="false">J14139-J14140</f>
        <v>691.2541723032</v>
      </c>
      <c r="K14141" s="16" t="n">
        <f aca="false">K14139-K14140</f>
        <v>696.784205681626</v>
      </c>
    </row>
    <row r="14142" customFormat="false" ht="15" hidden="false" customHeight="false" outlineLevel="0" collapsed="false">
      <c r="A14142" s="5" t="s">
        <v>241</v>
      </c>
      <c r="G14142" s="25" t="n">
        <f aca="false">G14141-G14143</f>
        <v>652.776</v>
      </c>
      <c r="H14142" s="25" t="n">
        <f aca="false">H14141-H14143</f>
        <v>627.317736</v>
      </c>
      <c r="I14142" s="25" t="n">
        <f aca="false">I14141-I14143</f>
        <v>624.18114732</v>
      </c>
      <c r="J14142" s="25" t="n">
        <f aca="false">J14141-J14143</f>
        <v>617.9393358468</v>
      </c>
      <c r="K14142" s="25" t="n">
        <f aca="false">K14141-K14143</f>
        <v>611.759942488332</v>
      </c>
    </row>
    <row r="14143" customFormat="false" ht="15" hidden="false" customHeight="false" outlineLevel="0" collapsed="false">
      <c r="A14143" s="2" t="s">
        <v>242</v>
      </c>
      <c r="G14143" s="16" t="n">
        <f aca="false">G14139*G14137</f>
        <v>77.448</v>
      </c>
      <c r="H14143" s="16" t="n">
        <f aca="false">H14139*H14137</f>
        <v>48.9095184</v>
      </c>
      <c r="I14143" s="16" t="n">
        <f aca="false">I14139*I14137</f>
        <v>61.360180584</v>
      </c>
      <c r="J14143" s="16" t="n">
        <f aca="false">J14139*J14137</f>
        <v>73.3148364564</v>
      </c>
      <c r="K14143" s="16" t="n">
        <f aca="false">K14139*K14137</f>
        <v>85.0242631932936</v>
      </c>
    </row>
    <row r="14144" customFormat="false" ht="15" hidden="false" customHeight="false" outlineLevel="0" collapsed="false">
      <c r="A14144" s="5" t="s">
        <v>243</v>
      </c>
      <c r="G14144" s="25" t="n">
        <f aca="false">G14139*'Historical Financials'!E22/'Historical Financials'!E17</f>
        <v>48.6816</v>
      </c>
      <c r="H14144" s="25" t="n">
        <f aca="false">H14139*'Historical Financials'!E22/'Historical Financials'!E17</f>
        <v>46.7830176</v>
      </c>
      <c r="I14144" s="25" t="n">
        <f aca="false">I14139*'Historical Financials'!E22/'Historical Financials'!E17</f>
        <v>46.549102512</v>
      </c>
      <c r="J14144" s="25" t="n">
        <f aca="false">J14139*'Historical Financials'!E22/'Historical Financials'!E17</f>
        <v>46.08361148688</v>
      </c>
      <c r="K14144" s="25" t="n">
        <f aca="false">K14139*'Historical Financials'!E22/'Historical Financials'!E17</f>
        <v>45.6227753720112</v>
      </c>
    </row>
    <row r="14145" customFormat="false" ht="15" hidden="false" customHeight="false" outlineLevel="0" collapsed="false">
      <c r="A14145" s="5" t="s">
        <v>244</v>
      </c>
      <c r="G14145" s="25" t="n">
        <f aca="false">G14139*'Historical Financials'!E23/'Historical Financials'!E17</f>
        <v>0</v>
      </c>
      <c r="H14145" s="25" t="n">
        <f aca="false">H14139*'Historical Financials'!E23/'Historical Financials'!E17</f>
        <v>0</v>
      </c>
      <c r="I14145" s="25" t="n">
        <f aca="false">I14139*'Historical Financials'!E23/'Historical Financials'!E17</f>
        <v>0</v>
      </c>
      <c r="J14145" s="25" t="n">
        <f aca="false">J14139*'Historical Financials'!E23/'Historical Financials'!E17</f>
        <v>0</v>
      </c>
      <c r="K14145" s="25" t="n">
        <f aca="false">K14139*'Historical Financials'!E23/'Historical Financials'!E17</f>
        <v>0</v>
      </c>
    </row>
    <row r="14146" customFormat="false" ht="15" hidden="false" customHeight="false" outlineLevel="0" collapsed="false">
      <c r="A14146" s="2" t="s">
        <v>245</v>
      </c>
      <c r="G14146" s="16" t="n">
        <f aca="false">G14143-G14144-G14145</f>
        <v>28.7664</v>
      </c>
      <c r="H14146" s="16" t="n">
        <f aca="false">H14143-H14144-H14145</f>
        <v>2.12650079999998</v>
      </c>
      <c r="I14146" s="16" t="n">
        <f aca="false">I14143-I14144-I14145</f>
        <v>14.811078072</v>
      </c>
      <c r="J14146" s="16" t="n">
        <f aca="false">J14143-J14144-J14145</f>
        <v>27.23122496952</v>
      </c>
      <c r="K14146" s="16" t="n">
        <f aca="false">K14143-K14144-K14145</f>
        <v>39.4014878212824</v>
      </c>
    </row>
    <row r="14147" customFormat="false" ht="15" hidden="false" customHeight="false" outlineLevel="0" collapsed="false">
      <c r="A14147" s="5" t="s">
        <v>246</v>
      </c>
      <c r="G14147" s="25" t="n">
        <f aca="false">G14173+G14186+G14199+G14212</f>
        <v>129.54</v>
      </c>
      <c r="H14147" s="25" t="n">
        <f aca="false">H14173+H14186+H14199+H14212</f>
        <v>130.7646348</v>
      </c>
      <c r="I14147" s="25" t="n">
        <f aca="false">I14173+I14186+I14199+I14212</f>
        <v>128.3492928</v>
      </c>
      <c r="J14147" s="25" t="n">
        <f aca="false">J14173+J14186+J14199+J14212</f>
        <v>127.7616928</v>
      </c>
      <c r="K14147" s="25" t="n">
        <f aca="false">K14173+K14186+K14199+K14212</f>
        <v>127.1740928</v>
      </c>
    </row>
    <row r="14148" customFormat="false" ht="15" hidden="false" customHeight="false" outlineLevel="0" collapsed="false">
      <c r="A14148" s="5" t="s">
        <v>247</v>
      </c>
      <c r="G14148" s="25" t="n">
        <f aca="false">G14174+G14187+G14200+G14213</f>
        <v>0</v>
      </c>
      <c r="H14148" s="25" t="n">
        <f aca="false">H14174+H14187+H14200+H14213</f>
        <v>0</v>
      </c>
      <c r="I14148" s="25" t="n">
        <f aca="false">I14174+I14187+I14200+I14213</f>
        <v>0</v>
      </c>
      <c r="J14148" s="25" t="n">
        <f aca="false">J14174+J14187+J14200+J14213</f>
        <v>0</v>
      </c>
      <c r="K14148" s="25" t="n">
        <f aca="false">K14174+K14187+K14200+K14213</f>
        <v>0</v>
      </c>
    </row>
    <row r="14149" customFormat="false" ht="15" hidden="false" customHeight="false" outlineLevel="0" collapsed="false">
      <c r="A14149" s="5" t="s">
        <v>212</v>
      </c>
      <c r="G14149" s="25" t="n">
        <f aca="false">G14147+G14148</f>
        <v>129.54</v>
      </c>
      <c r="H14149" s="25" t="n">
        <f aca="false">H14147+H14148</f>
        <v>130.7646348</v>
      </c>
      <c r="I14149" s="25" t="n">
        <f aca="false">I14147+I14148</f>
        <v>128.3492928</v>
      </c>
      <c r="J14149" s="25" t="n">
        <f aca="false">J14147+J14148</f>
        <v>127.7616928</v>
      </c>
      <c r="K14149" s="25" t="n">
        <f aca="false">K14147+K14148</f>
        <v>127.1740928</v>
      </c>
    </row>
    <row r="14150" customFormat="false" ht="15" hidden="false" customHeight="false" outlineLevel="0" collapsed="false">
      <c r="A14150" s="2" t="s">
        <v>223</v>
      </c>
      <c r="G14150" s="16" t="n">
        <f aca="false">G14146-G14149</f>
        <v>-100.7736</v>
      </c>
      <c r="H14150" s="16" t="n">
        <f aca="false">H14146-H14149</f>
        <v>-128.638134</v>
      </c>
      <c r="I14150" s="16" t="n">
        <f aca="false">I14146-I14149</f>
        <v>-113.538214728</v>
      </c>
      <c r="J14150" s="16" t="n">
        <f aca="false">J14146-J14149</f>
        <v>-100.53046783048</v>
      </c>
      <c r="K14150" s="16" t="n">
        <f aca="false">K14146-K14149</f>
        <v>-87.7726049787176</v>
      </c>
    </row>
    <row r="14151" customFormat="false" ht="15" hidden="false" customHeight="false" outlineLevel="0" collapsed="false">
      <c r="A14151" s="5" t="s">
        <v>213</v>
      </c>
      <c r="G14151" s="25" t="n">
        <f aca="false">MAX(0,G14150)*Assumptions!$C$9</f>
        <v>0</v>
      </c>
      <c r="H14151" s="25" t="n">
        <f aca="false">MAX(0,H14150)*Assumptions!$C$9</f>
        <v>0</v>
      </c>
      <c r="I14151" s="25" t="n">
        <f aca="false">MAX(0,I14150)*Assumptions!$C$9</f>
        <v>0</v>
      </c>
      <c r="J14151" s="25" t="n">
        <f aca="false">MAX(0,J14150)*Assumptions!$C$9</f>
        <v>0</v>
      </c>
      <c r="K14151" s="25" t="n">
        <f aca="false">MAX(0,K14150)*Assumptions!$C$9</f>
        <v>0</v>
      </c>
    </row>
    <row r="14152" customFormat="false" ht="15" hidden="false" customHeight="false" outlineLevel="0" collapsed="false">
      <c r="A14152" s="2" t="s">
        <v>248</v>
      </c>
      <c r="G14152" s="16" t="n">
        <f aca="false">G14150-G14151</f>
        <v>-100.7736</v>
      </c>
      <c r="H14152" s="16" t="n">
        <f aca="false">H14150-H14151</f>
        <v>-128.638134</v>
      </c>
      <c r="I14152" s="16" t="n">
        <f aca="false">I14150-I14151</f>
        <v>-113.538214728</v>
      </c>
      <c r="J14152" s="16" t="n">
        <f aca="false">J14150-J14151</f>
        <v>-100.53046783048</v>
      </c>
      <c r="K14152" s="16" t="n">
        <f aca="false">K14150-K14151</f>
        <v>-87.7726049787176</v>
      </c>
    </row>
    <row r="14153" customFormat="false" ht="15" hidden="false" customHeight="false" outlineLevel="0" collapsed="false">
      <c r="A14153" s="23" t="s">
        <v>249</v>
      </c>
      <c r="B14153" s="24"/>
      <c r="C14153" s="24"/>
      <c r="D14153" s="24"/>
      <c r="E14153" s="24"/>
      <c r="F14153" s="24"/>
      <c r="G14153" s="24"/>
      <c r="H14153" s="24"/>
      <c r="I14153" s="24"/>
      <c r="J14153" s="24"/>
      <c r="K14153" s="24"/>
    </row>
    <row r="14154" customFormat="false" ht="15" hidden="false" customHeight="false" outlineLevel="0" collapsed="false">
      <c r="A14154" s="5" t="s">
        <v>153</v>
      </c>
      <c r="G14154" s="25" t="n">
        <f aca="false">G14139*CHOOSE($C$14126,Assumptions!$C$69,Assumptions!$C$88,Assumptions!$C$107)</f>
        <v>42.0432</v>
      </c>
      <c r="H14154" s="25" t="n">
        <f aca="false">H14139*CHOOSE($C$14126,Assumptions!$C$69,Assumptions!$C$88,Assumptions!$C$107)</f>
        <v>40.4035152</v>
      </c>
      <c r="I14154" s="25" t="n">
        <f aca="false">I14139*CHOOSE($C$14126,Assumptions!$C$69,Assumptions!$C$88,Assumptions!$C$107)</f>
        <v>40.201497624</v>
      </c>
      <c r="J14154" s="25" t="n">
        <f aca="false">J14139*CHOOSE($C$14126,Assumptions!$C$69,Assumptions!$C$88,Assumptions!$C$107)</f>
        <v>39.79948264776</v>
      </c>
      <c r="K14154" s="25" t="n">
        <f aca="false">K14139*CHOOSE($C$14126,Assumptions!$C$69,Assumptions!$C$88,Assumptions!$C$107)</f>
        <v>39.4014878212824</v>
      </c>
    </row>
    <row r="14155" customFormat="false" ht="15" hidden="false" customHeight="false" outlineLevel="0" collapsed="false">
      <c r="A14155" s="5" t="s">
        <v>250</v>
      </c>
      <c r="G14155" s="25" t="n">
        <f aca="false">CHOOSE($C$14126,Assumptions!$C$70,Assumptions!$C$89,Assumptions!$C$108)*(G14139-F14139)+CHOOSE($C$14126,Assumptions!$C$71,Assumptions!$C$90,Assumptions!$C$109)*G14139</f>
        <v>-18.0384</v>
      </c>
      <c r="H14155" s="25" t="n">
        <f aca="false">CHOOSE($C$14126,Assumptions!$C$70,Assumptions!$C$89,Assumptions!$C$108)*(H14139-G14139)+CHOOSE($C$14126,Assumptions!$C$71,Assumptions!$C$90,Assumptions!$C$109)*H14139</f>
        <v>-6.10290239999999</v>
      </c>
      <c r="I14155" s="25" t="n">
        <f aca="false">CHOOSE($C$14126,Assumptions!$C$70,Assumptions!$C$89,Assumptions!$C$108)*(I14139-H14139)+CHOOSE($C$14126,Assumptions!$C$71,Assumptions!$C$90,Assumptions!$C$109)*I14139</f>
        <v>2.95583611199998</v>
      </c>
      <c r="J14155" s="25" t="n">
        <f aca="false">CHOOSE($C$14126,Assumptions!$C$70,Assumptions!$C$89,Assumptions!$C$108)*(J14139-I14139)+CHOOSE($C$14126,Assumptions!$C$71,Assumptions!$C$90,Assumptions!$C$109)*J14139</f>
        <v>1.65037727087999</v>
      </c>
      <c r="K14155" s="25" t="n">
        <f aca="false">CHOOSE($C$14126,Assumptions!$C$70,Assumptions!$C$89,Assumptions!$C$108)*(K14139-J14139)+CHOOSE($C$14126,Assumptions!$C$71,Assumptions!$C$90,Assumptions!$C$109)*K14139</f>
        <v>1.63387349817119</v>
      </c>
    </row>
    <row r="14156" customFormat="false" ht="15" hidden="false" customHeight="false" outlineLevel="0" collapsed="false">
      <c r="A14156" s="2" t="s">
        <v>251</v>
      </c>
      <c r="G14156" s="16" t="n">
        <f aca="false">G14152+G14144+G14145+G14148-G14154-G14155</f>
        <v>-76.0968</v>
      </c>
      <c r="H14156" s="16" t="n">
        <f aca="false">H14152+H14144+H14145+H14148-H14154-H14155</f>
        <v>-116.1557292</v>
      </c>
      <c r="I14156" s="16" t="n">
        <f aca="false">I14152+I14144+I14145+I14148-I14154-I14155</f>
        <v>-110.146445952</v>
      </c>
      <c r="J14156" s="16" t="n">
        <f aca="false">J14152+J14144+J14145+J14148-J14154-J14155</f>
        <v>-95.89671626224</v>
      </c>
      <c r="K14156" s="16" t="n">
        <f aca="false">K14152+K14144+K14145+K14148-K14154-K14155</f>
        <v>-83.18519092616</v>
      </c>
    </row>
    <row r="14158" customFormat="false" ht="15" hidden="false" customHeight="false" outlineLevel="0" collapsed="false">
      <c r="A14158" s="23" t="s">
        <v>253</v>
      </c>
      <c r="B14158" s="24"/>
      <c r="C14158" s="24"/>
      <c r="D14158" s="24"/>
      <c r="E14158" s="24"/>
      <c r="F14158" s="24"/>
      <c r="G14158" s="24"/>
      <c r="H14158" s="24"/>
      <c r="I14158" s="24"/>
      <c r="J14158" s="24"/>
      <c r="K14158" s="24"/>
    </row>
    <row r="14159" customFormat="false" ht="15" hidden="false" customHeight="false" outlineLevel="0" collapsed="false">
      <c r="A14159" s="5" t="s">
        <v>254</v>
      </c>
      <c r="G14159" s="29" t="n">
        <f aca="false">Assumptions!$G$49</f>
        <v>0.0425</v>
      </c>
      <c r="H14159" s="29" t="n">
        <f aca="false">Assumptions!$H$49</f>
        <v>0.04</v>
      </c>
      <c r="I14159" s="29" t="n">
        <f aca="false">Assumptions!$I$49</f>
        <v>0.0375</v>
      </c>
      <c r="J14159" s="29" t="n">
        <f aca="false">Assumptions!$J$49</f>
        <v>0.0375</v>
      </c>
      <c r="K14159" s="29" t="n">
        <f aca="false">Assumptions!$K$49</f>
        <v>0.0375</v>
      </c>
    </row>
    <row r="14160" customFormat="false" ht="15" hidden="false" customHeight="false" outlineLevel="0" collapsed="false">
      <c r="A14160" s="5" t="s">
        <v>255</v>
      </c>
      <c r="C14160" s="30" t="n">
        <f aca="false">CHOOSE($C$14126,Assumptions!$C$72,Assumptions!$C$91,Assumptions!$C$110)+$C$14129</f>
        <v>0.015</v>
      </c>
    </row>
    <row r="14161" customFormat="false" ht="15" hidden="false" customHeight="false" outlineLevel="0" collapsed="false">
      <c r="A14161" s="5" t="s">
        <v>256</v>
      </c>
      <c r="C14161" s="30" t="n">
        <f aca="false">CHOOSE($C$14126,Assumptions!$C$73,Assumptions!$C$92,Assumptions!$C$111)</f>
        <v>0.135</v>
      </c>
    </row>
    <row r="14162" customFormat="false" ht="15" hidden="false" customHeight="false" outlineLevel="0" collapsed="false">
      <c r="A14162" s="5" t="s">
        <v>257</v>
      </c>
      <c r="C14162" s="31" t="n">
        <f aca="false">CHOOSE($C$14126,Assumptions!$C$74,Assumptions!$C$93,Assumptions!$C$112)</f>
        <v>5.5</v>
      </c>
    </row>
    <row r="14163" customFormat="false" ht="15" hidden="false" customHeight="false" outlineLevel="0" collapsed="false">
      <c r="A14163" s="5" t="s">
        <v>258</v>
      </c>
      <c r="C14163" s="31" t="n">
        <f aca="false">CHOOSE($C$14126,Assumptions!$C$75,Assumptions!$C$94,Assumptions!$C$113)</f>
        <v>1.8</v>
      </c>
    </row>
    <row r="14164" customFormat="false" ht="15" hidden="false" customHeight="false" outlineLevel="0" collapsed="false">
      <c r="A14164" s="5" t="s">
        <v>259</v>
      </c>
      <c r="G14164" s="25" t="n">
        <f aca="false">G14169+G14182+G14195+G14208</f>
        <v>1250</v>
      </c>
      <c r="H14164" s="25" t="n">
        <f aca="false">H14169+H14182+H14195+H14208</f>
        <v>1281.0968</v>
      </c>
      <c r="I14164" s="25" t="n">
        <f aca="false">I14169+I14182+I14195+I14208</f>
        <v>1275.8968</v>
      </c>
      <c r="J14164" s="25" t="n">
        <f aca="false">J14169+J14182+J14195+J14208</f>
        <v>1270.6968</v>
      </c>
      <c r="K14164" s="25" t="n">
        <f aca="false">K14169+K14182+K14195+K14208</f>
        <v>1265.4968</v>
      </c>
    </row>
    <row r="14165" customFormat="false" ht="15" hidden="false" customHeight="false" outlineLevel="0" collapsed="false">
      <c r="A14165" s="5" t="s">
        <v>260</v>
      </c>
      <c r="G14165" s="25" t="n">
        <f aca="false">F14255</f>
        <v>45</v>
      </c>
      <c r="H14165" s="25" t="n">
        <f aca="false">G14255</f>
        <v>0</v>
      </c>
      <c r="I14165" s="25" t="n">
        <f aca="false">H14255</f>
        <v>-121.3557292</v>
      </c>
      <c r="J14165" s="25" t="n">
        <f aca="false">I14255</f>
        <v>-236.702175152</v>
      </c>
      <c r="K14165" s="25" t="n">
        <f aca="false">J14255</f>
        <v>-337.79889141424</v>
      </c>
    </row>
    <row r="14166" customFormat="false" ht="15" hidden="false" customHeight="false" outlineLevel="0" collapsed="false">
      <c r="A14166" s="5" t="s">
        <v>261</v>
      </c>
      <c r="G14166" s="25" t="n">
        <f aca="false">G14169*IF(G14170=1,$C$14161,IF(Assumptions!$I$53=1,MAX(G14159,Assumptions!$G$53)+Assumptions!$F$53+$C$14160,Assumptions!$E$53))+G14182*IF(G14183=1,$C$14161,IF(Assumptions!$I$54=1,MAX(G14159,Assumptions!$G$54)+Assumptions!$F$54+$C$14160,Assumptions!$E$54))+G14195*IF(G14196=1,$C$14161,IF(Assumptions!$I$55=1,MAX(G14159,Assumptions!$G$55)+Assumptions!$F$55+$C$14160,Assumptions!$E$55))+G14208*IF(G14209=1,$C$14161,IF(Assumptions!$I$56=1,MAX(G14159,Assumptions!$G$56)+Assumptions!$F$56+$C$14160,Assumptions!$E$56))</f>
        <v>129.54</v>
      </c>
      <c r="H14166" s="25" t="n">
        <f aca="false">H14169*IF(OR(H14170=1,G14321=1),$C$14161,IF(Assumptions!$I$53=1,MAX(H14159,Assumptions!$G$53)+Assumptions!$F$53+$C$14160,Assumptions!$E$53))+H14182*IF(OR(H14183=1,G14322=1),$C$14161,IF(Assumptions!$I$54=1,MAX(H14159,Assumptions!$G$54)+Assumptions!$F$54+$C$14160,Assumptions!$E$54))+H14195*IF(OR(H14196=1,G14323=1),$C$14161,IF(Assumptions!$I$55=1,MAX(H14159,Assumptions!$G$55)+Assumptions!$F$55+$C$14160,Assumptions!$E$55))+H14208*IF(OR(H14209=1,G14324=1),$C$14161,IF(Assumptions!$I$56=1,MAX(H14159,Assumptions!$G$56)+Assumptions!$F$56+$C$14160,Assumptions!$E$56))</f>
        <v>156.659468</v>
      </c>
      <c r="I14166" s="25" t="n">
        <f aca="false">I14169*IF(OR(I14170=1,H14321=1),$C$14161,IF(Assumptions!$I$53=1,MAX(I14159,Assumptions!$G$53)+Assumptions!$F$53+$C$14160,Assumptions!$E$53))+I14182*IF(OR(I14183=1,H14322=1),$C$14161,IF(Assumptions!$I$54=1,MAX(I14159,Assumptions!$G$54)+Assumptions!$F$54+$C$14160,Assumptions!$E$54))+I14195*IF(OR(I14196=1,H14323=1),$C$14161,IF(Assumptions!$I$55=1,MAX(I14159,Assumptions!$G$55)+Assumptions!$F$55+$C$14160,Assumptions!$E$55))+I14208*IF(OR(I14209=1,H14324=1),$C$14161,IF(Assumptions!$I$56=1,MAX(I14159,Assumptions!$G$56)+Assumptions!$F$56+$C$14160,Assumptions!$E$56))</f>
        <v>139.5604928</v>
      </c>
      <c r="J14166" s="25" t="n">
        <f aca="false">J14169*IF(OR(J14170=1,I14321=1),$C$14161,IF(Assumptions!$I$53=1,MAX(J14159,Assumptions!$G$53)+Assumptions!$F$53+$C$14160,Assumptions!$E$53))+J14182*IF(OR(J14183=1,I14322=1),$C$14161,IF(Assumptions!$I$54=1,MAX(J14159,Assumptions!$G$54)+Assumptions!$F$54+$C$14160,Assumptions!$E$54))+J14195*IF(OR(J14196=1,I14323=1),$C$14161,IF(Assumptions!$I$55=1,MAX(J14159,Assumptions!$G$55)+Assumptions!$F$55+$C$14160,Assumptions!$E$55))+J14208*IF(OR(J14209=1,I14324=1),$C$14161,IF(Assumptions!$I$56=1,MAX(J14159,Assumptions!$G$56)+Assumptions!$F$56+$C$14160,Assumptions!$E$56))</f>
        <v>134.0116928</v>
      </c>
      <c r="K14166" s="25" t="n">
        <f aca="false">K14169*IF(OR(K14170=1,J14321=1),$C$14161,IF(Assumptions!$I$53=1,MAX(K14159,Assumptions!$G$53)+Assumptions!$F$53+$C$14160,Assumptions!$E$53))+K14182*IF(OR(K14183=1,J14322=1),$C$14161,IF(Assumptions!$I$54=1,MAX(K14159,Assumptions!$G$54)+Assumptions!$F$54+$C$14160,Assumptions!$E$54))+K14195*IF(OR(K14196=1,J14323=1),$C$14161,IF(Assumptions!$I$55=1,MAX(K14159,Assumptions!$G$55)+Assumptions!$F$55+$C$14160,Assumptions!$E$55))+K14208*IF(OR(K14209=1,J14324=1),$C$14161,IF(Assumptions!$I$56=1,MAX(K14159,Assumptions!$G$56)+Assumptions!$F$56+$C$14160,Assumptions!$E$56))</f>
        <v>127.1740928</v>
      </c>
    </row>
    <row r="14167" customFormat="false" ht="15" hidden="false" customHeight="false" outlineLevel="0" collapsed="false">
      <c r="A14167" s="5" t="s">
        <v>262</v>
      </c>
      <c r="G14167" s="20" t="n">
        <f aca="false">IF(G14143&lt;=0,0,IF(AND((G14164-G14165)/G14143&lt;=$C$14162,G14143/G14166&gt;=$C$14163),1,0))</f>
        <v>0</v>
      </c>
      <c r="H14167" s="20" t="n">
        <f aca="false">IF(H14143&lt;=0,0,IF(AND((H14164-H14165)/H14143&lt;=$C$14162,H14143/H14166&gt;=$C$14163),1,0))</f>
        <v>0</v>
      </c>
      <c r="I14167" s="20" t="n">
        <f aca="false">IF(I14143&lt;=0,0,IF(AND((I14164-I14165)/I14143&lt;=$C$14162,I14143/I14166&gt;=$C$14163),1,0))</f>
        <v>0</v>
      </c>
      <c r="J14167" s="20" t="n">
        <f aca="false">IF(J14143&lt;=0,0,IF(AND((J14164-J14165)/J14143&lt;=$C$14162,J14143/J14166&gt;=$C$14163),1,0))</f>
        <v>0</v>
      </c>
      <c r="K14167" s="20" t="n">
        <f aca="false">IF(K14143&lt;=0,0,IF(AND((K14164-K14165)/K14143&lt;=$C$14162,K14143/K14166&gt;=$C$14163),1,0))</f>
        <v>0</v>
      </c>
    </row>
    <row r="14168" customFormat="false" ht="15" hidden="false" customHeight="false" outlineLevel="0" collapsed="false">
      <c r="A14168" s="23" t="s">
        <v>263</v>
      </c>
      <c r="B14168" s="24"/>
      <c r="C14168" s="24"/>
      <c r="D14168" s="24"/>
      <c r="E14168" s="24"/>
      <c r="F14168" s="24"/>
      <c r="G14168" s="24"/>
      <c r="H14168" s="24"/>
      <c r="I14168" s="24"/>
      <c r="J14168" s="24"/>
      <c r="K14168" s="24"/>
    </row>
    <row r="14169" customFormat="false" ht="15" hidden="false" customHeight="false" outlineLevel="0" collapsed="false">
      <c r="A14169" s="5" t="s">
        <v>264</v>
      </c>
      <c r="G14169" s="25" t="n">
        <f aca="false">F14180</f>
        <v>180</v>
      </c>
      <c r="H14169" s="25" t="n">
        <f aca="false">G14180</f>
        <v>216.2968</v>
      </c>
      <c r="I14169" s="25" t="n">
        <f aca="false">H14180</f>
        <v>216.2968</v>
      </c>
      <c r="J14169" s="25" t="n">
        <f aca="false">I14180</f>
        <v>216.2968</v>
      </c>
      <c r="K14169" s="25" t="n">
        <f aca="false">J14180</f>
        <v>216.2968</v>
      </c>
    </row>
    <row r="14170" customFormat="false" ht="15" hidden="false" customHeight="false" outlineLevel="0" collapsed="false">
      <c r="A14170" s="5" t="s">
        <v>265</v>
      </c>
      <c r="G14170" s="20" t="n">
        <f aca="false">IF(G14133=Assumptions!$K$53,1,0)</f>
        <v>0</v>
      </c>
      <c r="H14170" s="20" t="n">
        <f aca="false">IF(H14133=Assumptions!$K$53,1,0)</f>
        <v>1</v>
      </c>
      <c r="I14170" s="20" t="n">
        <f aca="false">IF(I14133=Assumptions!$K$53,1,0)</f>
        <v>0</v>
      </c>
      <c r="J14170" s="20" t="n">
        <f aca="false">IF(J14133=Assumptions!$K$53,1,0)</f>
        <v>0</v>
      </c>
      <c r="K14170" s="20" t="n">
        <f aca="false">IF(K14133=Assumptions!$K$53,1,0)</f>
        <v>0</v>
      </c>
    </row>
    <row r="14172" customFormat="false" ht="15" hidden="false" customHeight="false" outlineLevel="0" collapsed="false">
      <c r="A14172" s="5" t="s">
        <v>266</v>
      </c>
      <c r="G14172" s="30" t="n">
        <f aca="false">IF(Assumptions!$I$53=1,MAX(G14159,Assumptions!$G$53)+Assumptions!$F$53+$C$14160,Assumptions!$E$53)</f>
        <v>0.101</v>
      </c>
      <c r="H14172" s="30" t="n">
        <f aca="false">IF(G14321=1,$C$14161,IF(Assumptions!$I$53=1,MAX(H14159,Assumptions!$G$53)+Assumptions!$F$53+$C$14160,Assumptions!$E$53))</f>
        <v>0.0985</v>
      </c>
      <c r="I14172" s="30" t="n">
        <f aca="false">IF(H14321=1,$C$14161,IF(Assumptions!$I$53=1,MAX(I14159,Assumptions!$G$53)+Assumptions!$F$53+$C$14160,Assumptions!$E$53))</f>
        <v>0.096</v>
      </c>
      <c r="J14172" s="30" t="n">
        <f aca="false">IF(I14321=1,$C$14161,IF(Assumptions!$I$53=1,MAX(J14159,Assumptions!$G$53)+Assumptions!$F$53+$C$14160,Assumptions!$E$53))</f>
        <v>0.096</v>
      </c>
      <c r="K14172" s="30" t="n">
        <f aca="false">IF(J14321=1,$C$14161,IF(Assumptions!$I$53=1,MAX(K14159,Assumptions!$G$53)+Assumptions!$F$53+$C$14160,Assumptions!$E$53))</f>
        <v>0.096</v>
      </c>
    </row>
    <row r="14173" customFormat="false" ht="15" hidden="false" customHeight="false" outlineLevel="0" collapsed="false">
      <c r="A14173" s="5" t="s">
        <v>267</v>
      </c>
      <c r="G14173" s="25" t="n">
        <f aca="false">G14169*G14172</f>
        <v>18.18</v>
      </c>
      <c r="H14173" s="25" t="n">
        <f aca="false">H14169*H14172</f>
        <v>21.3052348</v>
      </c>
      <c r="I14173" s="25" t="n">
        <f aca="false">I14169*I14172</f>
        <v>20.7644928</v>
      </c>
      <c r="J14173" s="25" t="n">
        <f aca="false">J14169*J14172</f>
        <v>20.7644928</v>
      </c>
      <c r="K14173" s="25" t="n">
        <f aca="false">K14169*K14172</f>
        <v>20.7644928</v>
      </c>
    </row>
    <row r="14174" customFormat="false" ht="15" hidden="false" customHeight="false" outlineLevel="0" collapsed="false">
      <c r="A14174" s="5" t="s">
        <v>268</v>
      </c>
      <c r="G14174" s="25" t="n">
        <f aca="false">G14169*Assumptions!$H$53</f>
        <v>0</v>
      </c>
      <c r="H14174" s="25" t="n">
        <f aca="false">H14169*Assumptions!$H$53</f>
        <v>0</v>
      </c>
      <c r="I14174" s="25" t="n">
        <f aca="false">I14169*Assumptions!$H$53</f>
        <v>0</v>
      </c>
      <c r="J14174" s="25" t="n">
        <f aca="false">J14169*Assumptions!$H$53</f>
        <v>0</v>
      </c>
      <c r="K14174" s="25" t="n">
        <f aca="false">K14169*Assumptions!$H$53</f>
        <v>0</v>
      </c>
    </row>
    <row r="14175" customFormat="false" ht="15" hidden="false" customHeight="false" outlineLevel="0" collapsed="false">
      <c r="A14175" s="5" t="s">
        <v>269</v>
      </c>
      <c r="G14175" s="25" t="n">
        <f aca="false">MIN(G14169,Assumptions!$L$53*Assumptions!$C$53)</f>
        <v>0</v>
      </c>
      <c r="H14175" s="25" t="n">
        <f aca="false">MIN(H14169,Assumptions!$L$53*Assumptions!$C$53)</f>
        <v>0</v>
      </c>
      <c r="I14175" s="25" t="n">
        <f aca="false">MIN(I14169,Assumptions!$L$53*Assumptions!$C$53)</f>
        <v>0</v>
      </c>
      <c r="J14175" s="25" t="n">
        <f aca="false">MIN(J14169,Assumptions!$L$53*Assumptions!$C$53)</f>
        <v>0</v>
      </c>
      <c r="K14175" s="25" t="n">
        <f aca="false">MIN(K14169,Assumptions!$L$53*Assumptions!$C$53)</f>
        <v>0</v>
      </c>
    </row>
    <row r="14176" customFormat="false" ht="15" hidden="false" customHeight="false" outlineLevel="0" collapsed="false">
      <c r="A14176" s="5" t="s">
        <v>270</v>
      </c>
      <c r="G14176" s="25" t="n">
        <f aca="false">IF(AND(Assumptions!$P$53=1,G14133&lt;Assumptions!$K$53),MIN(MAX(0,-G14247),MAX(0,Assumptions!$D$53-G14169)),0)</f>
        <v>36.2968000000001</v>
      </c>
      <c r="H14176" s="25" t="n">
        <f aca="false">IF(AND(Assumptions!$P$53=1,OR(H14133&lt;Assumptions!$K$53,G14321=1)),MIN(MAX(0,-H14247),MAX(0,Assumptions!$D$53-H14169)),0)</f>
        <v>0</v>
      </c>
      <c r="I14176" s="25" t="n">
        <f aca="false">IF(AND(Assumptions!$P$53=1,OR(I14133&lt;Assumptions!$K$53,H14321=1)),MIN(MAX(0,-I14247),MAX(0,Assumptions!$D$53-I14169)),0)</f>
        <v>0</v>
      </c>
      <c r="J14176" s="25" t="n">
        <f aca="false">IF(AND(Assumptions!$P$53=1,OR(J14133&lt;Assumptions!$K$53,I14321=1)),MIN(MAX(0,-J14247),MAX(0,Assumptions!$D$53-J14169)),0)</f>
        <v>0</v>
      </c>
      <c r="K14176" s="25" t="n">
        <f aca="false">IF(AND(Assumptions!$P$53=1,OR(K14133&lt;Assumptions!$K$53,J14321=1)),MIN(MAX(0,-K14247),MAX(0,Assumptions!$D$53-K14169)),0)</f>
        <v>0</v>
      </c>
    </row>
    <row r="14177" customFormat="false" ht="15" hidden="false" customHeight="false" outlineLevel="0" collapsed="false">
      <c r="A14177" s="5" t="s">
        <v>271</v>
      </c>
      <c r="G14177" s="25" t="n">
        <f aca="false">G14170*MIN(G14169-G14175+G14174,MAX(0,G14249-Assumptions!$C$12*G14167))</f>
        <v>0</v>
      </c>
      <c r="H14177" s="25" t="n">
        <f aca="false">H14170*MIN(H14169-H14175+H14174,MAX(0,H14249-Assumptions!$C$12*H14167))</f>
        <v>0</v>
      </c>
      <c r="I14177" s="25" t="n">
        <f aca="false">I14170*MIN(I14169-I14175+I14174,MAX(0,I14249-Assumptions!$C$12*I14167))</f>
        <v>0</v>
      </c>
      <c r="J14177" s="25" t="n">
        <f aca="false">J14170*MIN(J14169-J14175+J14174,MAX(0,J14249-Assumptions!$C$12*J14167))</f>
        <v>0</v>
      </c>
      <c r="K14177" s="25" t="n">
        <f aca="false">K14170*MIN(K14169-K14175+K14174,MAX(0,K14249-Assumptions!$C$12*K14167))</f>
        <v>0</v>
      </c>
    </row>
    <row r="14178" customFormat="false" ht="15" hidden="false" customHeight="false" outlineLevel="0" collapsed="false">
      <c r="A14178" s="5" t="s">
        <v>272</v>
      </c>
      <c r="G14178" s="25" t="n">
        <f aca="false">Assumptions!$N$53*MIN(G14169+G14176+G14174-G14175-G14177,MAX(0,G14253))</f>
        <v>0</v>
      </c>
      <c r="H14178" s="25" t="n">
        <f aca="false">Assumptions!$N$53*MIN(H14169+H14176+H14174-H14175-H14177,MAX(0,H14253))</f>
        <v>0</v>
      </c>
      <c r="I14178" s="25" t="n">
        <f aca="false">Assumptions!$N$53*MIN(I14169+I14176+I14174-I14175-I14177,MAX(0,I14253))</f>
        <v>0</v>
      </c>
      <c r="J14178" s="25" t="n">
        <f aca="false">Assumptions!$N$53*MIN(J14169+J14176+J14174-J14175-J14177,MAX(0,J14253))</f>
        <v>0</v>
      </c>
      <c r="K14178" s="25" t="n">
        <f aca="false">Assumptions!$N$53*MIN(K14169+K14176+K14174-K14175-K14177,MAX(0,K14253))</f>
        <v>0</v>
      </c>
    </row>
    <row r="14179" customFormat="false" ht="15" hidden="false" customHeight="false" outlineLevel="0" collapsed="false">
      <c r="A14179" s="5" t="s">
        <v>273</v>
      </c>
      <c r="G14179" s="25" t="n">
        <f aca="false">G14170*(1-G14167)*(G14169-G14175+G14174-G14177)</f>
        <v>0</v>
      </c>
      <c r="H14179" s="25" t="n">
        <f aca="false">H14170*(1-H14167)*(H14169-H14175+H14174-H14177)</f>
        <v>216.2968</v>
      </c>
      <c r="I14179" s="25" t="n">
        <f aca="false">I14170*(1-I14167)*(I14169-I14175+I14174-I14177)</f>
        <v>0</v>
      </c>
      <c r="J14179" s="25" t="n">
        <f aca="false">J14170*(1-J14167)*(J14169-J14175+J14174-J14177)</f>
        <v>0</v>
      </c>
      <c r="K14179" s="25" t="n">
        <f aca="false">K14170*(1-K14167)*(K14169-K14175+K14174-K14177)</f>
        <v>0</v>
      </c>
    </row>
    <row r="14180" customFormat="false" ht="15" hidden="false" customHeight="false" outlineLevel="0" collapsed="false">
      <c r="A14180" s="2" t="s">
        <v>274</v>
      </c>
      <c r="F14180" s="27" t="n">
        <f aca="false">Assumptions!$C$53</f>
        <v>180</v>
      </c>
      <c r="G14180" s="16" t="n">
        <f aca="false">G14169+G14176+G14174-G14175-G14177-G14178</f>
        <v>216.2968</v>
      </c>
      <c r="H14180" s="16" t="n">
        <f aca="false">H14169+H14176+H14174-H14175-H14177-H14178</f>
        <v>216.2968</v>
      </c>
      <c r="I14180" s="16" t="n">
        <f aca="false">I14169+I14176+I14174-I14175-I14177-I14178</f>
        <v>216.2968</v>
      </c>
      <c r="J14180" s="16" t="n">
        <f aca="false">J14169+J14176+J14174-J14175-J14177-J14178</f>
        <v>216.2968</v>
      </c>
      <c r="K14180" s="16" t="n">
        <f aca="false">K14169+K14176+K14174-K14175-K14177-K14178</f>
        <v>216.2968</v>
      </c>
    </row>
    <row r="14181" customFormat="false" ht="15" hidden="false" customHeight="false" outlineLevel="0" collapsed="false">
      <c r="A14181" s="23" t="s">
        <v>275</v>
      </c>
      <c r="B14181" s="24"/>
      <c r="C14181" s="24"/>
      <c r="D14181" s="24"/>
      <c r="E14181" s="24"/>
      <c r="F14181" s="24"/>
      <c r="G14181" s="24"/>
      <c r="H14181" s="24"/>
      <c r="I14181" s="24"/>
      <c r="J14181" s="24"/>
      <c r="K14181" s="24"/>
    </row>
    <row r="14182" customFormat="false" ht="15" hidden="false" customHeight="false" outlineLevel="0" collapsed="false">
      <c r="A14182" s="5" t="s">
        <v>264</v>
      </c>
      <c r="G14182" s="25" t="n">
        <f aca="false">F14193</f>
        <v>520</v>
      </c>
      <c r="H14182" s="25" t="n">
        <f aca="false">G14193</f>
        <v>514.8</v>
      </c>
      <c r="I14182" s="25" t="n">
        <f aca="false">H14193</f>
        <v>509.6</v>
      </c>
      <c r="J14182" s="25" t="n">
        <f aca="false">I14193</f>
        <v>504.4</v>
      </c>
      <c r="K14182" s="25" t="n">
        <f aca="false">J14193</f>
        <v>499.2</v>
      </c>
    </row>
    <row r="14183" customFormat="false" ht="15" hidden="false" customHeight="false" outlineLevel="0" collapsed="false">
      <c r="A14183" s="5" t="s">
        <v>265</v>
      </c>
      <c r="G14183" s="20" t="n">
        <f aca="false">IF(G14133=Assumptions!$K$54,1,0)</f>
        <v>0</v>
      </c>
      <c r="H14183" s="20" t="n">
        <f aca="false">IF(H14133=Assumptions!$K$54,1,0)</f>
        <v>0</v>
      </c>
      <c r="I14183" s="20" t="n">
        <f aca="false">IF(I14133=Assumptions!$K$54,1,0)</f>
        <v>1</v>
      </c>
      <c r="J14183" s="20" t="n">
        <f aca="false">IF(J14133=Assumptions!$K$54,1,0)</f>
        <v>0</v>
      </c>
      <c r="K14183" s="20" t="n">
        <f aca="false">IF(K14133=Assumptions!$K$54,1,0)</f>
        <v>0</v>
      </c>
    </row>
    <row r="14185" customFormat="false" ht="15" hidden="false" customHeight="false" outlineLevel="0" collapsed="false">
      <c r="A14185" s="5" t="s">
        <v>266</v>
      </c>
      <c r="G14185" s="30" t="n">
        <f aca="false">IF(Assumptions!$I$54=1,MAX(G14159,Assumptions!$G$54)+Assumptions!$F$54+$C$14160,Assumptions!$E$54)</f>
        <v>0.118</v>
      </c>
      <c r="H14185" s="30" t="n">
        <f aca="false">IF(G14322=1,$C$14161,IF(Assumptions!$I$54=1,MAX(H14159,Assumptions!$G$54)+Assumptions!$F$54+$C$14160,Assumptions!$E$54))</f>
        <v>0.1155</v>
      </c>
      <c r="I14185" s="30" t="n">
        <f aca="false">IF(H14322=1,$C$14161,IF(Assumptions!$I$54=1,MAX(I14159,Assumptions!$G$54)+Assumptions!$F$54+$C$14160,Assumptions!$E$54))</f>
        <v>0.113</v>
      </c>
      <c r="J14185" s="30" t="n">
        <f aca="false">IF(I14322=1,$C$14161,IF(Assumptions!$I$54=1,MAX(J14159,Assumptions!$G$54)+Assumptions!$F$54+$C$14160,Assumptions!$E$54))</f>
        <v>0.113</v>
      </c>
      <c r="K14185" s="30" t="n">
        <f aca="false">IF(J14322=1,$C$14161,IF(Assumptions!$I$54=1,MAX(K14159,Assumptions!$G$54)+Assumptions!$F$54+$C$14160,Assumptions!$E$54))</f>
        <v>0.113</v>
      </c>
    </row>
    <row r="14186" customFormat="false" ht="15" hidden="false" customHeight="false" outlineLevel="0" collapsed="false">
      <c r="A14186" s="5" t="s">
        <v>267</v>
      </c>
      <c r="G14186" s="25" t="n">
        <f aca="false">G14182*G14185</f>
        <v>61.36</v>
      </c>
      <c r="H14186" s="25" t="n">
        <f aca="false">H14182*H14185</f>
        <v>59.4594</v>
      </c>
      <c r="I14186" s="25" t="n">
        <f aca="false">I14182*I14185</f>
        <v>57.5848</v>
      </c>
      <c r="J14186" s="25" t="n">
        <f aca="false">J14182*J14185</f>
        <v>56.9972</v>
      </c>
      <c r="K14186" s="25" t="n">
        <f aca="false">K14182*K14185</f>
        <v>56.4096</v>
      </c>
    </row>
    <row r="14187" customFormat="false" ht="15" hidden="false" customHeight="false" outlineLevel="0" collapsed="false">
      <c r="A14187" s="5" t="s">
        <v>268</v>
      </c>
      <c r="G14187" s="25" t="n">
        <f aca="false">G14182*Assumptions!$H$54</f>
        <v>0</v>
      </c>
      <c r="H14187" s="25" t="n">
        <f aca="false">H14182*Assumptions!$H$54</f>
        <v>0</v>
      </c>
      <c r="I14187" s="25" t="n">
        <f aca="false">I14182*Assumptions!$H$54</f>
        <v>0</v>
      </c>
      <c r="J14187" s="25" t="n">
        <f aca="false">J14182*Assumptions!$H$54</f>
        <v>0</v>
      </c>
      <c r="K14187" s="25" t="n">
        <f aca="false">K14182*Assumptions!$H$54</f>
        <v>0</v>
      </c>
    </row>
    <row r="14188" customFormat="false" ht="15" hidden="false" customHeight="false" outlineLevel="0" collapsed="false">
      <c r="A14188" s="5" t="s">
        <v>269</v>
      </c>
      <c r="G14188" s="25" t="n">
        <f aca="false">MIN(G14182,Assumptions!$L$54*Assumptions!$C$54)</f>
        <v>5.2</v>
      </c>
      <c r="H14188" s="25" t="n">
        <f aca="false">MIN(H14182,Assumptions!$L$54*Assumptions!$C$54)</f>
        <v>5.2</v>
      </c>
      <c r="I14188" s="25" t="n">
        <f aca="false">MIN(I14182,Assumptions!$L$54*Assumptions!$C$54)</f>
        <v>5.2</v>
      </c>
      <c r="J14188" s="25" t="n">
        <f aca="false">MIN(J14182,Assumptions!$L$54*Assumptions!$C$54)</f>
        <v>5.2</v>
      </c>
      <c r="K14188" s="25" t="n">
        <f aca="false">MIN(K14182,Assumptions!$L$54*Assumptions!$C$54)</f>
        <v>5.2</v>
      </c>
    </row>
    <row r="14189" customFormat="false" ht="15" hidden="false" customHeight="false" outlineLevel="0" collapsed="false">
      <c r="A14189" s="5" t="s">
        <v>270</v>
      </c>
      <c r="G14189" s="25" t="n">
        <f aca="false">IF(AND(Assumptions!$P$54=1,G14133&lt;Assumptions!$K$54),MIN(MAX(0,-G14247),MAX(0,Assumptions!$D$54-G14182)),0)</f>
        <v>0</v>
      </c>
      <c r="H14189" s="25" t="n">
        <f aca="false">IF(AND(Assumptions!$P$54=1,OR(H14133&lt;Assumptions!$K$54,G14322=1)),MIN(MAX(0,-H14247),MAX(0,Assumptions!$D$54-H14182)),0)</f>
        <v>0</v>
      </c>
      <c r="I14189" s="25" t="n">
        <f aca="false">IF(AND(Assumptions!$P$54=1,OR(I14133&lt;Assumptions!$K$54,H14322=1)),MIN(MAX(0,-I14247),MAX(0,Assumptions!$D$54-I14182)),0)</f>
        <v>0</v>
      </c>
      <c r="J14189" s="25" t="n">
        <f aca="false">IF(AND(Assumptions!$P$54=1,OR(J14133&lt;Assumptions!$K$54,I14322=1)),MIN(MAX(0,-J14247),MAX(0,Assumptions!$D$54-J14182)),0)</f>
        <v>0</v>
      </c>
      <c r="K14189" s="25" t="n">
        <f aca="false">IF(AND(Assumptions!$P$54=1,OR(K14133&lt;Assumptions!$K$54,J14322=1)),MIN(MAX(0,-K14247),MAX(0,Assumptions!$D$54-K14182)),0)</f>
        <v>0</v>
      </c>
    </row>
    <row r="14190" customFormat="false" ht="15" hidden="false" customHeight="false" outlineLevel="0" collapsed="false">
      <c r="A14190" s="5" t="s">
        <v>271</v>
      </c>
      <c r="G14190" s="25" t="n">
        <f aca="false">G14183*MIN(G14182-G14188+G14187,MAX(0,G14249-Assumptions!$C$12*G14167-G14177))</f>
        <v>0</v>
      </c>
      <c r="H14190" s="25" t="n">
        <f aca="false">H14183*MIN(H14182-H14188+H14187,MAX(0,H14249-Assumptions!$C$12*H14167-H14177))</f>
        <v>0</v>
      </c>
      <c r="I14190" s="25" t="n">
        <f aca="false">I14183*MIN(I14182-I14188+I14187,MAX(0,I14249-Assumptions!$C$12*I14167-I14177))</f>
        <v>0</v>
      </c>
      <c r="J14190" s="25" t="n">
        <f aca="false">J14183*MIN(J14182-J14188+J14187,MAX(0,J14249-Assumptions!$C$12*J14167-J14177))</f>
        <v>0</v>
      </c>
      <c r="K14190" s="25" t="n">
        <f aca="false">K14183*MIN(K14182-K14188+K14187,MAX(0,K14249-Assumptions!$C$12*K14167-K14177))</f>
        <v>0</v>
      </c>
    </row>
    <row r="14191" customFormat="false" ht="15" hidden="false" customHeight="false" outlineLevel="0" collapsed="false">
      <c r="A14191" s="5" t="s">
        <v>272</v>
      </c>
      <c r="G14191" s="25" t="n">
        <f aca="false">Assumptions!$N$54*MIN(G14182+G14189+G14187-G14188-G14190,MAX(0,G14253-G14178))</f>
        <v>0</v>
      </c>
      <c r="H14191" s="25" t="n">
        <f aca="false">Assumptions!$N$54*MIN(H14182+H14189+H14187-H14188-H14190,MAX(0,H14253-H14178))</f>
        <v>0</v>
      </c>
      <c r="I14191" s="25" t="n">
        <f aca="false">Assumptions!$N$54*MIN(I14182+I14189+I14187-I14188-I14190,MAX(0,I14253-I14178))</f>
        <v>0</v>
      </c>
      <c r="J14191" s="25" t="n">
        <f aca="false">Assumptions!$N$54*MIN(J14182+J14189+J14187-J14188-J14190,MAX(0,J14253-J14178))</f>
        <v>0</v>
      </c>
      <c r="K14191" s="25" t="n">
        <f aca="false">Assumptions!$N$54*MIN(K14182+K14189+K14187-K14188-K14190,MAX(0,K14253-K14178))</f>
        <v>0</v>
      </c>
    </row>
    <row r="14192" customFormat="false" ht="15" hidden="false" customHeight="false" outlineLevel="0" collapsed="false">
      <c r="A14192" s="5" t="s">
        <v>273</v>
      </c>
      <c r="G14192" s="25" t="n">
        <f aca="false">G14183*(1-G14167)*(G14182-G14188+G14187-G14190)</f>
        <v>0</v>
      </c>
      <c r="H14192" s="25" t="n">
        <f aca="false">H14183*(1-H14167)*(H14182-H14188+H14187-H14190)</f>
        <v>0</v>
      </c>
      <c r="I14192" s="25" t="n">
        <f aca="false">I14183*(1-I14167)*(I14182-I14188+I14187-I14190)</f>
        <v>504.4</v>
      </c>
      <c r="J14192" s="25" t="n">
        <f aca="false">J14183*(1-J14167)*(J14182-J14188+J14187-J14190)</f>
        <v>0</v>
      </c>
      <c r="K14192" s="25" t="n">
        <f aca="false">K14183*(1-K14167)*(K14182-K14188+K14187-K14190)</f>
        <v>0</v>
      </c>
    </row>
    <row r="14193" customFormat="false" ht="15" hidden="false" customHeight="false" outlineLevel="0" collapsed="false">
      <c r="A14193" s="2" t="s">
        <v>274</v>
      </c>
      <c r="F14193" s="27" t="n">
        <f aca="false">Assumptions!$C$54</f>
        <v>520</v>
      </c>
      <c r="G14193" s="16" t="n">
        <f aca="false">G14182+G14189+G14187-G14188-G14190-G14191</f>
        <v>514.8</v>
      </c>
      <c r="H14193" s="16" t="n">
        <f aca="false">H14182+H14189+H14187-H14188-H14190-H14191</f>
        <v>509.6</v>
      </c>
      <c r="I14193" s="16" t="n">
        <f aca="false">I14182+I14189+I14187-I14188-I14190-I14191</f>
        <v>504.4</v>
      </c>
      <c r="J14193" s="16" t="n">
        <f aca="false">J14182+J14189+J14187-J14188-J14190-J14191</f>
        <v>499.2</v>
      </c>
      <c r="K14193" s="16" t="n">
        <f aca="false">K14182+K14189+K14187-K14188-K14190-K14191</f>
        <v>494</v>
      </c>
    </row>
    <row r="14194" customFormat="false" ht="15" hidden="false" customHeight="false" outlineLevel="0" collapsed="false">
      <c r="A14194" s="23" t="s">
        <v>276</v>
      </c>
      <c r="B14194" s="24"/>
      <c r="C14194" s="24"/>
      <c r="D14194" s="24"/>
      <c r="E14194" s="24"/>
      <c r="F14194" s="24"/>
      <c r="G14194" s="24"/>
      <c r="H14194" s="24"/>
      <c r="I14194" s="24"/>
      <c r="J14194" s="24"/>
      <c r="K14194" s="24"/>
    </row>
    <row r="14195" customFormat="false" ht="15" hidden="false" customHeight="false" outlineLevel="0" collapsed="false">
      <c r="A14195" s="5" t="s">
        <v>264</v>
      </c>
      <c r="G14195" s="25" t="n">
        <f aca="false">F14206</f>
        <v>250</v>
      </c>
      <c r="H14195" s="25" t="n">
        <f aca="false">G14206</f>
        <v>250</v>
      </c>
      <c r="I14195" s="25" t="n">
        <f aca="false">H14206</f>
        <v>250</v>
      </c>
      <c r="J14195" s="25" t="n">
        <f aca="false">I14206</f>
        <v>250</v>
      </c>
      <c r="K14195" s="25" t="n">
        <f aca="false">J14206</f>
        <v>250</v>
      </c>
    </row>
    <row r="14196" customFormat="false" ht="15" hidden="false" customHeight="false" outlineLevel="0" collapsed="false">
      <c r="A14196" s="5" t="s">
        <v>265</v>
      </c>
      <c r="G14196" s="20" t="n">
        <f aca="false">IF(G14133=Assumptions!$K$55,1,0)</f>
        <v>0</v>
      </c>
      <c r="H14196" s="20" t="n">
        <f aca="false">IF(H14133=Assumptions!$K$55,1,0)</f>
        <v>0</v>
      </c>
      <c r="I14196" s="20" t="n">
        <f aca="false">IF(I14133=Assumptions!$K$55,1,0)</f>
        <v>0</v>
      </c>
      <c r="J14196" s="20" t="n">
        <f aca="false">IF(J14133=Assumptions!$K$55,1,0)</f>
        <v>1</v>
      </c>
      <c r="K14196" s="20" t="n">
        <f aca="false">IF(K14133=Assumptions!$K$55,1,0)</f>
        <v>0</v>
      </c>
    </row>
    <row r="14198" customFormat="false" ht="15" hidden="false" customHeight="false" outlineLevel="0" collapsed="false">
      <c r="A14198" s="5" t="s">
        <v>266</v>
      </c>
      <c r="G14198" s="30" t="n">
        <f aca="false">IF(Assumptions!$I$55=1,MAX(G14159,Assumptions!$G$55)+Assumptions!$F$55+$C$14160,Assumptions!$E$55)</f>
        <v>0.11</v>
      </c>
      <c r="H14198" s="30" t="n">
        <f aca="false">IF(G14323=1,$C$14161,IF(Assumptions!$I$55=1,MAX(H14159,Assumptions!$G$55)+Assumptions!$F$55+$C$14160,Assumptions!$E$55))</f>
        <v>0.11</v>
      </c>
      <c r="I14198" s="30" t="n">
        <f aca="false">IF(H14323=1,$C$14161,IF(Assumptions!$I$55=1,MAX(I14159,Assumptions!$G$55)+Assumptions!$F$55+$C$14160,Assumptions!$E$55))</f>
        <v>0.11</v>
      </c>
      <c r="J14198" s="30" t="n">
        <f aca="false">IF(I14323=1,$C$14161,IF(Assumptions!$I$55=1,MAX(J14159,Assumptions!$G$55)+Assumptions!$F$55+$C$14160,Assumptions!$E$55))</f>
        <v>0.11</v>
      </c>
      <c r="K14198" s="30" t="n">
        <f aca="false">IF(J14323=1,$C$14161,IF(Assumptions!$I$55=1,MAX(K14159,Assumptions!$G$55)+Assumptions!$F$55+$C$14160,Assumptions!$E$55))</f>
        <v>0.11</v>
      </c>
    </row>
    <row r="14199" customFormat="false" ht="15" hidden="false" customHeight="false" outlineLevel="0" collapsed="false">
      <c r="A14199" s="5" t="s">
        <v>267</v>
      </c>
      <c r="G14199" s="25" t="n">
        <f aca="false">G14195*G14198</f>
        <v>27.5</v>
      </c>
      <c r="H14199" s="25" t="n">
        <f aca="false">H14195*H14198</f>
        <v>27.5</v>
      </c>
      <c r="I14199" s="25" t="n">
        <f aca="false">I14195*I14198</f>
        <v>27.5</v>
      </c>
      <c r="J14199" s="25" t="n">
        <f aca="false">J14195*J14198</f>
        <v>27.5</v>
      </c>
      <c r="K14199" s="25" t="n">
        <f aca="false">K14195*K14198</f>
        <v>27.5</v>
      </c>
    </row>
    <row r="14200" customFormat="false" ht="15" hidden="false" customHeight="false" outlineLevel="0" collapsed="false">
      <c r="A14200" s="5" t="s">
        <v>268</v>
      </c>
      <c r="G14200" s="25" t="n">
        <f aca="false">G14195*Assumptions!$H$55</f>
        <v>0</v>
      </c>
      <c r="H14200" s="25" t="n">
        <f aca="false">H14195*Assumptions!$H$55</f>
        <v>0</v>
      </c>
      <c r="I14200" s="25" t="n">
        <f aca="false">I14195*Assumptions!$H$55</f>
        <v>0</v>
      </c>
      <c r="J14200" s="25" t="n">
        <f aca="false">J14195*Assumptions!$H$55</f>
        <v>0</v>
      </c>
      <c r="K14200" s="25" t="n">
        <f aca="false">K14195*Assumptions!$H$55</f>
        <v>0</v>
      </c>
    </row>
    <row r="14201" customFormat="false" ht="15" hidden="false" customHeight="false" outlineLevel="0" collapsed="false">
      <c r="A14201" s="5" t="s">
        <v>269</v>
      </c>
      <c r="G14201" s="25" t="n">
        <f aca="false">MIN(G14195,Assumptions!$L$55*Assumptions!$C$55)</f>
        <v>0</v>
      </c>
      <c r="H14201" s="25" t="n">
        <f aca="false">MIN(H14195,Assumptions!$L$55*Assumptions!$C$55)</f>
        <v>0</v>
      </c>
      <c r="I14201" s="25" t="n">
        <f aca="false">MIN(I14195,Assumptions!$L$55*Assumptions!$C$55)</f>
        <v>0</v>
      </c>
      <c r="J14201" s="25" t="n">
        <f aca="false">MIN(J14195,Assumptions!$L$55*Assumptions!$C$55)</f>
        <v>0</v>
      </c>
      <c r="K14201" s="25" t="n">
        <f aca="false">MIN(K14195,Assumptions!$L$55*Assumptions!$C$55)</f>
        <v>0</v>
      </c>
    </row>
    <row r="14202" customFormat="false" ht="15" hidden="false" customHeight="false" outlineLevel="0" collapsed="false">
      <c r="A14202" s="5" t="s">
        <v>270</v>
      </c>
      <c r="G14202" s="25" t="n">
        <f aca="false">IF(AND(Assumptions!$P$55=1,G14133&lt;Assumptions!$K$55),MIN(MAX(0,-G14247),MAX(0,Assumptions!$D$55-G14195)),0)</f>
        <v>0</v>
      </c>
      <c r="H14202" s="25" t="n">
        <f aca="false">IF(AND(Assumptions!$P$55=1,OR(H14133&lt;Assumptions!$K$55,G14323=1)),MIN(MAX(0,-H14247),MAX(0,Assumptions!$D$55-H14195)),0)</f>
        <v>0</v>
      </c>
      <c r="I14202" s="25" t="n">
        <f aca="false">IF(AND(Assumptions!$P$55=1,OR(I14133&lt;Assumptions!$K$55,H14323=1)),MIN(MAX(0,-I14247),MAX(0,Assumptions!$D$55-I14195)),0)</f>
        <v>0</v>
      </c>
      <c r="J14202" s="25" t="n">
        <f aca="false">IF(AND(Assumptions!$P$55=1,OR(J14133&lt;Assumptions!$K$55,I14323=1)),MIN(MAX(0,-J14247),MAX(0,Assumptions!$D$55-J14195)),0)</f>
        <v>0</v>
      </c>
      <c r="K14202" s="25" t="n">
        <f aca="false">IF(AND(Assumptions!$P$55=1,OR(K14133&lt;Assumptions!$K$55,J14323=1)),MIN(MAX(0,-K14247),MAX(0,Assumptions!$D$55-K14195)),0)</f>
        <v>0</v>
      </c>
    </row>
    <row r="14203" customFormat="false" ht="15" hidden="false" customHeight="false" outlineLevel="0" collapsed="false">
      <c r="A14203" s="5" t="s">
        <v>271</v>
      </c>
      <c r="G14203" s="25" t="n">
        <f aca="false">G14196*MIN(G14195-G14201+G14200,MAX(0,G14249-Assumptions!$C$12*G14167-G14177-G14190))</f>
        <v>0</v>
      </c>
      <c r="H14203" s="25" t="n">
        <f aca="false">H14196*MIN(H14195-H14201+H14200,MAX(0,H14249-Assumptions!$C$12*H14167-H14177-H14190))</f>
        <v>0</v>
      </c>
      <c r="I14203" s="25" t="n">
        <f aca="false">I14196*MIN(I14195-I14201+I14200,MAX(0,I14249-Assumptions!$C$12*I14167-I14177-I14190))</f>
        <v>0</v>
      </c>
      <c r="J14203" s="25" t="n">
        <f aca="false">J14196*MIN(J14195-J14201+J14200,MAX(0,J14249-Assumptions!$C$12*J14167-J14177-J14190))</f>
        <v>0</v>
      </c>
      <c r="K14203" s="25" t="n">
        <f aca="false">K14196*MIN(K14195-K14201+K14200,MAX(0,K14249-Assumptions!$C$12*K14167-K14177-K14190))</f>
        <v>0</v>
      </c>
    </row>
    <row r="14204" customFormat="false" ht="15" hidden="false" customHeight="false" outlineLevel="0" collapsed="false">
      <c r="A14204" s="5" t="s">
        <v>272</v>
      </c>
      <c r="G14204" s="25" t="n">
        <f aca="false">Assumptions!$N$55*MIN(G14195+G14202+G14200-G14201-G14203,MAX(0,G14253-G14178-G14191))</f>
        <v>0</v>
      </c>
      <c r="H14204" s="25" t="n">
        <f aca="false">Assumptions!$N$55*MIN(H14195+H14202+H14200-H14201-H14203,MAX(0,H14253-H14178-H14191))</f>
        <v>0</v>
      </c>
      <c r="I14204" s="25" t="n">
        <f aca="false">Assumptions!$N$55*MIN(I14195+I14202+I14200-I14201-I14203,MAX(0,I14253-I14178-I14191))</f>
        <v>0</v>
      </c>
      <c r="J14204" s="25" t="n">
        <f aca="false">Assumptions!$N$55*MIN(J14195+J14202+J14200-J14201-J14203,MAX(0,J14253-J14178-J14191))</f>
        <v>0</v>
      </c>
      <c r="K14204" s="25" t="n">
        <f aca="false">Assumptions!$N$55*MIN(K14195+K14202+K14200-K14201-K14203,MAX(0,K14253-K14178-K14191))</f>
        <v>0</v>
      </c>
    </row>
    <row r="14205" customFormat="false" ht="15" hidden="false" customHeight="false" outlineLevel="0" collapsed="false">
      <c r="A14205" s="5" t="s">
        <v>273</v>
      </c>
      <c r="G14205" s="25" t="n">
        <f aca="false">G14196*(1-G14167)*(G14195-G14201+G14200-G14203)</f>
        <v>0</v>
      </c>
      <c r="H14205" s="25" t="n">
        <f aca="false">H14196*(1-H14167)*(H14195-H14201+H14200-H14203)</f>
        <v>0</v>
      </c>
      <c r="I14205" s="25" t="n">
        <f aca="false">I14196*(1-I14167)*(I14195-I14201+I14200-I14203)</f>
        <v>0</v>
      </c>
      <c r="J14205" s="25" t="n">
        <f aca="false">J14196*(1-J14167)*(J14195-J14201+J14200-J14203)</f>
        <v>250</v>
      </c>
      <c r="K14205" s="25" t="n">
        <f aca="false">K14196*(1-K14167)*(K14195-K14201+K14200-K14203)</f>
        <v>0</v>
      </c>
    </row>
    <row r="14206" customFormat="false" ht="15" hidden="false" customHeight="false" outlineLevel="0" collapsed="false">
      <c r="A14206" s="2" t="s">
        <v>274</v>
      </c>
      <c r="F14206" s="27" t="n">
        <f aca="false">Assumptions!$C$55</f>
        <v>250</v>
      </c>
      <c r="G14206" s="16" t="n">
        <f aca="false">G14195+G14202+G14200-G14201-G14203-G14204</f>
        <v>250</v>
      </c>
      <c r="H14206" s="16" t="n">
        <f aca="false">H14195+H14202+H14200-H14201-H14203-H14204</f>
        <v>250</v>
      </c>
      <c r="I14206" s="16" t="n">
        <f aca="false">I14195+I14202+I14200-I14201-I14203-I14204</f>
        <v>250</v>
      </c>
      <c r="J14206" s="16" t="n">
        <f aca="false">J14195+J14202+J14200-J14201-J14203-J14204</f>
        <v>250</v>
      </c>
      <c r="K14206" s="16" t="n">
        <f aca="false">K14195+K14202+K14200-K14201-K14203-K14204</f>
        <v>250</v>
      </c>
    </row>
    <row r="14207" customFormat="false" ht="15" hidden="false" customHeight="false" outlineLevel="0" collapsed="false">
      <c r="A14207" s="23" t="s">
        <v>277</v>
      </c>
      <c r="B14207" s="24"/>
      <c r="C14207" s="24"/>
      <c r="D14207" s="24"/>
      <c r="E14207" s="24"/>
      <c r="F14207" s="24"/>
      <c r="G14207" s="24"/>
      <c r="H14207" s="24"/>
      <c r="I14207" s="24"/>
      <c r="J14207" s="24"/>
      <c r="K14207" s="24"/>
    </row>
    <row r="14208" customFormat="false" ht="15" hidden="false" customHeight="false" outlineLevel="0" collapsed="false">
      <c r="A14208" s="5" t="s">
        <v>264</v>
      </c>
      <c r="G14208" s="25" t="n">
        <f aca="false">F14219</f>
        <v>300</v>
      </c>
      <c r="H14208" s="25" t="n">
        <f aca="false">G14219</f>
        <v>300</v>
      </c>
      <c r="I14208" s="25" t="n">
        <f aca="false">H14219</f>
        <v>300</v>
      </c>
      <c r="J14208" s="25" t="n">
        <f aca="false">I14219</f>
        <v>300</v>
      </c>
      <c r="K14208" s="25" t="n">
        <f aca="false">J14219</f>
        <v>300</v>
      </c>
    </row>
    <row r="14209" customFormat="false" ht="15" hidden="false" customHeight="false" outlineLevel="0" collapsed="false">
      <c r="A14209" s="5" t="s">
        <v>265</v>
      </c>
      <c r="G14209" s="20" t="n">
        <f aca="false">IF(G14133=Assumptions!$K$56,1,0)</f>
        <v>0</v>
      </c>
      <c r="H14209" s="20" t="n">
        <f aca="false">IF(H14133=Assumptions!$K$56,1,0)</f>
        <v>1</v>
      </c>
      <c r="I14209" s="20" t="n">
        <f aca="false">IF(I14133=Assumptions!$K$56,1,0)</f>
        <v>0</v>
      </c>
      <c r="J14209" s="20" t="n">
        <f aca="false">IF(J14133=Assumptions!$K$56,1,0)</f>
        <v>0</v>
      </c>
      <c r="K14209" s="20" t="n">
        <f aca="false">IF(K14133=Assumptions!$K$56,1,0)</f>
        <v>0</v>
      </c>
    </row>
    <row r="14211" customFormat="false" ht="15" hidden="false" customHeight="false" outlineLevel="0" collapsed="false">
      <c r="A14211" s="5" t="s">
        <v>266</v>
      </c>
      <c r="G14211" s="30" t="n">
        <f aca="false">IF(Assumptions!$I$56=1,MAX(G14159,Assumptions!$G$56)+Assumptions!$F$56+$C$14160,Assumptions!$E$56)</f>
        <v>0.075</v>
      </c>
      <c r="H14211" s="30" t="n">
        <f aca="false">IF(G14324=1,$C$14161,IF(Assumptions!$I$56=1,MAX(H14159,Assumptions!$G$56)+Assumptions!$F$56+$C$14160,Assumptions!$E$56))</f>
        <v>0.075</v>
      </c>
      <c r="I14211" s="30" t="n">
        <f aca="false">IF(H14324=1,$C$14161,IF(Assumptions!$I$56=1,MAX(I14159,Assumptions!$G$56)+Assumptions!$F$56+$C$14160,Assumptions!$E$56))</f>
        <v>0.075</v>
      </c>
      <c r="J14211" s="30" t="n">
        <f aca="false">IF(I14324=1,$C$14161,IF(Assumptions!$I$56=1,MAX(J14159,Assumptions!$G$56)+Assumptions!$F$56+$C$14160,Assumptions!$E$56))</f>
        <v>0.075</v>
      </c>
      <c r="K14211" s="30" t="n">
        <f aca="false">IF(J14324=1,$C$14161,IF(Assumptions!$I$56=1,MAX(K14159,Assumptions!$G$56)+Assumptions!$F$56+$C$14160,Assumptions!$E$56))</f>
        <v>0.075</v>
      </c>
    </row>
    <row r="14212" customFormat="false" ht="15" hidden="false" customHeight="false" outlineLevel="0" collapsed="false">
      <c r="A14212" s="5" t="s">
        <v>267</v>
      </c>
      <c r="G14212" s="25" t="n">
        <f aca="false">G14208*G14211</f>
        <v>22.5</v>
      </c>
      <c r="H14212" s="25" t="n">
        <f aca="false">H14208*H14211</f>
        <v>22.5</v>
      </c>
      <c r="I14212" s="25" t="n">
        <f aca="false">I14208*I14211</f>
        <v>22.5</v>
      </c>
      <c r="J14212" s="25" t="n">
        <f aca="false">J14208*J14211</f>
        <v>22.5</v>
      </c>
      <c r="K14212" s="25" t="n">
        <f aca="false">K14208*K14211</f>
        <v>22.5</v>
      </c>
    </row>
    <row r="14213" customFormat="false" ht="15" hidden="false" customHeight="false" outlineLevel="0" collapsed="false">
      <c r="A14213" s="5" t="s">
        <v>268</v>
      </c>
      <c r="G14213" s="25" t="n">
        <f aca="false">G14208*Assumptions!$H$56</f>
        <v>0</v>
      </c>
      <c r="H14213" s="25" t="n">
        <f aca="false">H14208*Assumptions!$H$56</f>
        <v>0</v>
      </c>
      <c r="I14213" s="25" t="n">
        <f aca="false">I14208*Assumptions!$H$56</f>
        <v>0</v>
      </c>
      <c r="J14213" s="25" t="n">
        <f aca="false">J14208*Assumptions!$H$56</f>
        <v>0</v>
      </c>
      <c r="K14213" s="25" t="n">
        <f aca="false">K14208*Assumptions!$H$56</f>
        <v>0</v>
      </c>
    </row>
    <row r="14214" customFormat="false" ht="15" hidden="false" customHeight="false" outlineLevel="0" collapsed="false">
      <c r="A14214" s="5" t="s">
        <v>269</v>
      </c>
      <c r="G14214" s="25" t="n">
        <f aca="false">MIN(G14208,Assumptions!$L$56*Assumptions!$C$56)</f>
        <v>0</v>
      </c>
      <c r="H14214" s="25" t="n">
        <f aca="false">MIN(H14208,Assumptions!$L$56*Assumptions!$C$56)</f>
        <v>0</v>
      </c>
      <c r="I14214" s="25" t="n">
        <f aca="false">MIN(I14208,Assumptions!$L$56*Assumptions!$C$56)</f>
        <v>0</v>
      </c>
      <c r="J14214" s="25" t="n">
        <f aca="false">MIN(J14208,Assumptions!$L$56*Assumptions!$C$56)</f>
        <v>0</v>
      </c>
      <c r="K14214" s="25" t="n">
        <f aca="false">MIN(K14208,Assumptions!$L$56*Assumptions!$C$56)</f>
        <v>0</v>
      </c>
    </row>
    <row r="14215" customFormat="false" ht="15" hidden="false" customHeight="false" outlineLevel="0" collapsed="false">
      <c r="A14215" s="5" t="s">
        <v>270</v>
      </c>
      <c r="G14215" s="25" t="n">
        <f aca="false">IF(AND(Assumptions!$P$56=1,G14133&lt;Assumptions!$K$56),MIN(MAX(0,-G14247),MAX(0,Assumptions!$D$56-G14208)),0)</f>
        <v>0</v>
      </c>
      <c r="H14215" s="25" t="n">
        <f aca="false">IF(AND(Assumptions!$P$56=1,OR(H14133&lt;Assumptions!$K$56,G14324=1)),MIN(MAX(0,-H14247),MAX(0,Assumptions!$D$56-H14208)),0)</f>
        <v>0</v>
      </c>
      <c r="I14215" s="25" t="n">
        <f aca="false">IF(AND(Assumptions!$P$56=1,OR(I14133&lt;Assumptions!$K$56,H14324=1)),MIN(MAX(0,-I14247),MAX(0,Assumptions!$D$56-I14208)),0)</f>
        <v>0</v>
      </c>
      <c r="J14215" s="25" t="n">
        <f aca="false">IF(AND(Assumptions!$P$56=1,OR(J14133&lt;Assumptions!$K$56,I14324=1)),MIN(MAX(0,-J14247),MAX(0,Assumptions!$D$56-J14208)),0)</f>
        <v>0</v>
      </c>
      <c r="K14215" s="25" t="n">
        <f aca="false">IF(AND(Assumptions!$P$56=1,OR(K14133&lt;Assumptions!$K$56,J14324=1)),MIN(MAX(0,-K14247),MAX(0,Assumptions!$D$56-K14208)),0)</f>
        <v>0</v>
      </c>
    </row>
    <row r="14216" customFormat="false" ht="15" hidden="false" customHeight="false" outlineLevel="0" collapsed="false">
      <c r="A14216" s="5" t="s">
        <v>271</v>
      </c>
      <c r="G14216" s="25" t="n">
        <f aca="false">G14209*MIN(G14208-G14214+G14213,MAX(0,G14249-Assumptions!$C$12*G14167-G14177-G14190-G14203))</f>
        <v>0</v>
      </c>
      <c r="H14216" s="25" t="n">
        <f aca="false">H14209*MIN(H14208-H14214+H14213,MAX(0,H14249-Assumptions!$C$12*H14167-H14177-H14190-H14203))</f>
        <v>0</v>
      </c>
      <c r="I14216" s="25" t="n">
        <f aca="false">I14209*MIN(I14208-I14214+I14213,MAX(0,I14249-Assumptions!$C$12*I14167-I14177-I14190-I14203))</f>
        <v>0</v>
      </c>
      <c r="J14216" s="25" t="n">
        <f aca="false">J14209*MIN(J14208-J14214+J14213,MAX(0,J14249-Assumptions!$C$12*J14167-J14177-J14190-J14203))</f>
        <v>0</v>
      </c>
      <c r="K14216" s="25" t="n">
        <f aca="false">K14209*MIN(K14208-K14214+K14213,MAX(0,K14249-Assumptions!$C$12*K14167-K14177-K14190-K14203))</f>
        <v>0</v>
      </c>
    </row>
    <row r="14217" customFormat="false" ht="15" hidden="false" customHeight="false" outlineLevel="0" collapsed="false">
      <c r="A14217" s="5" t="s">
        <v>272</v>
      </c>
      <c r="G14217" s="25" t="n">
        <f aca="false">Assumptions!$N$56*MIN(G14208+G14215+G14213-G14214-G14216,MAX(0,G14253-G14178-G14191-G14204))</f>
        <v>0</v>
      </c>
      <c r="H14217" s="25" t="n">
        <f aca="false">Assumptions!$N$56*MIN(H14208+H14215+H14213-H14214-H14216,MAX(0,H14253-H14178-H14191-H14204))</f>
        <v>0</v>
      </c>
      <c r="I14217" s="25" t="n">
        <f aca="false">Assumptions!$N$56*MIN(I14208+I14215+I14213-I14214-I14216,MAX(0,I14253-I14178-I14191-I14204))</f>
        <v>0</v>
      </c>
      <c r="J14217" s="25" t="n">
        <f aca="false">Assumptions!$N$56*MIN(J14208+J14215+J14213-J14214-J14216,MAX(0,J14253-J14178-J14191-J14204))</f>
        <v>0</v>
      </c>
      <c r="K14217" s="25" t="n">
        <f aca="false">Assumptions!$N$56*MIN(K14208+K14215+K14213-K14214-K14216,MAX(0,K14253-K14178-K14191-K14204))</f>
        <v>0</v>
      </c>
    </row>
    <row r="14218" customFormat="false" ht="15" hidden="false" customHeight="false" outlineLevel="0" collapsed="false">
      <c r="A14218" s="5" t="s">
        <v>273</v>
      </c>
      <c r="G14218" s="25" t="n">
        <f aca="false">G14209*(1-G14167)*(G14208-G14214+G14213-G14216)</f>
        <v>0</v>
      </c>
      <c r="H14218" s="25" t="n">
        <f aca="false">H14209*(1-H14167)*(H14208-H14214+H14213-H14216)</f>
        <v>300</v>
      </c>
      <c r="I14218" s="25" t="n">
        <f aca="false">I14209*(1-I14167)*(I14208-I14214+I14213-I14216)</f>
        <v>0</v>
      </c>
      <c r="J14218" s="25" t="n">
        <f aca="false">J14209*(1-J14167)*(J14208-J14214+J14213-J14216)</f>
        <v>0</v>
      </c>
      <c r="K14218" s="25" t="n">
        <f aca="false">K14209*(1-K14167)*(K14208-K14214+K14213-K14216)</f>
        <v>0</v>
      </c>
    </row>
    <row r="14219" customFormat="false" ht="15" hidden="false" customHeight="false" outlineLevel="0" collapsed="false">
      <c r="A14219" s="2" t="s">
        <v>274</v>
      </c>
      <c r="F14219" s="27" t="n">
        <f aca="false">Assumptions!$C$56</f>
        <v>300</v>
      </c>
      <c r="G14219" s="16" t="n">
        <f aca="false">G14208+G14215+G14213-G14214-G14216-G14217</f>
        <v>300</v>
      </c>
      <c r="H14219" s="16" t="n">
        <f aca="false">H14208+H14215+H14213-H14214-H14216-H14217</f>
        <v>300</v>
      </c>
      <c r="I14219" s="16" t="n">
        <f aca="false">I14208+I14215+I14213-I14214-I14216-I14217</f>
        <v>300</v>
      </c>
      <c r="J14219" s="16" t="n">
        <f aca="false">J14208+J14215+J14213-J14214-J14216-J14217</f>
        <v>300</v>
      </c>
      <c r="K14219" s="16" t="n">
        <f aca="false">K14208+K14215+K14213-K14214-K14216-K14217</f>
        <v>300</v>
      </c>
    </row>
    <row r="14220" customFormat="false" ht="15" hidden="false" customHeight="false" outlineLevel="0" collapsed="false">
      <c r="A14220" s="23" t="s">
        <v>278</v>
      </c>
      <c r="B14220" s="24"/>
      <c r="C14220" s="24"/>
      <c r="D14220" s="24"/>
      <c r="E14220" s="24"/>
      <c r="F14220" s="24"/>
      <c r="G14220" s="24"/>
      <c r="H14220" s="24"/>
      <c r="I14220" s="24"/>
      <c r="J14220" s="24"/>
      <c r="K14220" s="24"/>
    </row>
    <row r="14221" customFormat="false" ht="15" hidden="false" customHeight="false" outlineLevel="0" collapsed="false">
      <c r="A14221" s="2" t="s">
        <v>279</v>
      </c>
      <c r="F14221" s="16" t="n">
        <f aca="false">F14180+F14193+F14206+F14219</f>
        <v>1250</v>
      </c>
      <c r="G14221" s="16" t="n">
        <f aca="false">G14180+G14193+G14206+G14219</f>
        <v>1281.0968</v>
      </c>
      <c r="H14221" s="16" t="n">
        <f aca="false">H14180+H14193+H14206+H14219</f>
        <v>1275.8968</v>
      </c>
      <c r="I14221" s="16" t="n">
        <f aca="false">I14180+I14193+I14206+I14219</f>
        <v>1270.6968</v>
      </c>
      <c r="J14221" s="16" t="n">
        <f aca="false">J14180+J14193+J14206+J14219</f>
        <v>1265.4968</v>
      </c>
      <c r="K14221" s="16" t="n">
        <f aca="false">K14180+K14193+K14206+K14219</f>
        <v>1260.2968</v>
      </c>
    </row>
    <row r="14222" customFormat="false" ht="15" hidden="false" customHeight="false" outlineLevel="0" collapsed="false">
      <c r="A14222" s="5" t="s">
        <v>280</v>
      </c>
      <c r="G14222" s="25" t="n">
        <f aca="false">G14170*Assumptions!$C$53+G14183*Assumptions!$C$54+G14196*Assumptions!$C$55+G14209*Assumptions!$C$56</f>
        <v>0</v>
      </c>
      <c r="H14222" s="25" t="n">
        <f aca="false">H14170*Assumptions!$C$53+H14183*Assumptions!$C$54+H14196*Assumptions!$C$55+H14209*Assumptions!$C$56</f>
        <v>480</v>
      </c>
      <c r="I14222" s="25" t="n">
        <f aca="false">I14170*Assumptions!$C$53+I14183*Assumptions!$C$54+I14196*Assumptions!$C$55+I14209*Assumptions!$C$56</f>
        <v>520</v>
      </c>
      <c r="J14222" s="25" t="n">
        <f aca="false">J14170*Assumptions!$C$53+J14183*Assumptions!$C$54+J14196*Assumptions!$C$55+J14209*Assumptions!$C$56</f>
        <v>250</v>
      </c>
      <c r="K14222" s="25" t="n">
        <f aca="false">K14170*Assumptions!$C$53+K14183*Assumptions!$C$54+K14196*Assumptions!$C$55+K14209*Assumptions!$C$56</f>
        <v>0</v>
      </c>
    </row>
    <row r="14223" customFormat="false" ht="15" hidden="false" customHeight="false" outlineLevel="0" collapsed="false">
      <c r="A14223" s="23" t="s">
        <v>281</v>
      </c>
      <c r="B14223" s="24"/>
      <c r="C14223" s="24"/>
      <c r="D14223" s="24"/>
      <c r="E14223" s="24"/>
      <c r="F14223" s="24"/>
      <c r="G14223" s="24"/>
      <c r="H14223" s="24"/>
      <c r="I14223" s="24"/>
      <c r="J14223" s="24"/>
      <c r="K14223" s="24"/>
    </row>
    <row r="14224" customFormat="false" ht="15" hidden="false" customHeight="false" outlineLevel="0" collapsed="false">
      <c r="A14224" s="5" t="s">
        <v>282</v>
      </c>
      <c r="C14224" s="25" t="n">
        <f aca="false">SUMPRODUCT($G$14170:$K$14170,$G$14169:$K$14169-$G$14175:$K$14175+$G$14174:$K$14174)</f>
        <v>216.2968</v>
      </c>
    </row>
    <row r="14225" customFormat="false" ht="15" hidden="false" customHeight="false" outlineLevel="0" collapsed="false">
      <c r="A14225" s="5" t="s">
        <v>283</v>
      </c>
      <c r="C14225" s="25" t="n">
        <f aca="false">SUMPRODUCT($G$14170:$K$14170,$G$14177:$K$14177)</f>
        <v>0</v>
      </c>
    </row>
    <row r="14226" customFormat="false" ht="15" hidden="false" customHeight="false" outlineLevel="0" collapsed="false">
      <c r="A14226" s="5" t="s">
        <v>284</v>
      </c>
      <c r="C14226" s="5" t="str">
        <f aca="false">IF(SUM($G$14170:$K$14170)=0,"n/a (beyond horizon)",IF(SUMPRODUCT($G$14170:$K$14170,$G$14167:$K$14167)&gt;0,"REFINANCING PASS","REFINANCING FAILURE"))</f>
        <v>REFINANCING FAILURE</v>
      </c>
    </row>
    <row r="14227" customFormat="false" ht="15" hidden="false" customHeight="false" outlineLevel="0" collapsed="false">
      <c r="A14227" s="5" t="s">
        <v>285</v>
      </c>
      <c r="C14227" s="5" t="str">
        <f aca="false">IF(SUM($G$14170:$K$14170)=0,"n/a",IF(C14225&gt;=C14224-0.001,"Repaid from cash",IF(SUMPRODUCT($G$14170:$K$14170,$G$14167:$K$14167)&gt;0,IF(C14225&gt;0,"Partly repaid; remainder refinanced","Refinanced"),IF(SUM($G$14179:$K$14179)&gt;0.001,IF(C14225&gt;0,"Partial repayment; PAYMENT DEFAULT","PAYMENT DEFAULT"),"Repaid from cash"))))</f>
        <v>PAYMENT DEFAULT</v>
      </c>
    </row>
    <row r="14228" customFormat="false" ht="15" hidden="false" customHeight="false" outlineLevel="0" collapsed="false">
      <c r="A14228" s="5" t="s">
        <v>286</v>
      </c>
      <c r="C14228" s="25" t="n">
        <f aca="false">SUMPRODUCT($G$14183:$K$14183,$G$14182:$K$14182-$G$14188:$K$14188+$G$14187:$K$14187)</f>
        <v>504.4</v>
      </c>
    </row>
    <row r="14229" customFormat="false" ht="15" hidden="false" customHeight="false" outlineLevel="0" collapsed="false">
      <c r="A14229" s="5" t="s">
        <v>287</v>
      </c>
      <c r="C14229" s="25" t="n">
        <f aca="false">SUMPRODUCT($G$14183:$K$14183,$G$14190:$K$14190)</f>
        <v>0</v>
      </c>
    </row>
    <row r="14230" customFormat="false" ht="15" hidden="false" customHeight="false" outlineLevel="0" collapsed="false">
      <c r="A14230" s="5" t="s">
        <v>288</v>
      </c>
      <c r="C14230" s="5" t="str">
        <f aca="false">IF(SUM($G$14183:$K$14183)=0,"n/a (beyond horizon)",IF(SUMPRODUCT($G$14183:$K$14183,$G$14167:$K$14167)&gt;0,"REFINANCING PASS","REFINANCING FAILURE"))</f>
        <v>REFINANCING FAILURE</v>
      </c>
    </row>
    <row r="14231" customFormat="false" ht="15" hidden="false" customHeight="false" outlineLevel="0" collapsed="false">
      <c r="A14231" s="5" t="s">
        <v>289</v>
      </c>
      <c r="C14231" s="5" t="str">
        <f aca="false">IF(SUM($G$14183:$K$14183)=0,"n/a",IF(C14229&gt;=C14228-0.001,"Repaid from cash",IF(SUMPRODUCT($G$14183:$K$14183,$G$14167:$K$14167)&gt;0,IF(C14229&gt;0,"Partly repaid; remainder refinanced","Refinanced"),IF(SUM($G$14192:$K$14192)&gt;0.001,IF(C14229&gt;0,"Partial repayment; PAYMENT DEFAULT","PAYMENT DEFAULT"),"Repaid from cash"))))</f>
        <v>PAYMENT DEFAULT</v>
      </c>
    </row>
    <row r="14232" customFormat="false" ht="15" hidden="false" customHeight="false" outlineLevel="0" collapsed="false">
      <c r="A14232" s="5" t="s">
        <v>290</v>
      </c>
      <c r="C14232" s="25" t="n">
        <f aca="false">SUMPRODUCT($G$14196:$K$14196,$G$14195:$K$14195-$G$14201:$K$14201+$G$14200:$K$14200)</f>
        <v>250</v>
      </c>
    </row>
    <row r="14233" customFormat="false" ht="15" hidden="false" customHeight="false" outlineLevel="0" collapsed="false">
      <c r="A14233" s="5" t="s">
        <v>291</v>
      </c>
      <c r="C14233" s="25" t="n">
        <f aca="false">SUMPRODUCT($G$14196:$K$14196,$G$14203:$K$14203)</f>
        <v>0</v>
      </c>
    </row>
    <row r="14234" customFormat="false" ht="15" hidden="false" customHeight="false" outlineLevel="0" collapsed="false">
      <c r="A14234" s="5" t="s">
        <v>292</v>
      </c>
      <c r="C14234" s="5" t="str">
        <f aca="false">IF(SUM($G$14196:$K$14196)=0,"n/a (beyond horizon)",IF(SUMPRODUCT($G$14196:$K$14196,$G$14167:$K$14167)&gt;0,"REFINANCING PASS","REFINANCING FAILURE"))</f>
        <v>REFINANCING FAILURE</v>
      </c>
    </row>
    <row r="14235" customFormat="false" ht="15" hidden="false" customHeight="false" outlineLevel="0" collapsed="false">
      <c r="A14235" s="5" t="s">
        <v>293</v>
      </c>
      <c r="C14235" s="5" t="str">
        <f aca="false">IF(SUM($G$14196:$K$14196)=0,"n/a",IF(C14233&gt;=C14232-0.001,"Repaid from cash",IF(SUMPRODUCT($G$14196:$K$14196,$G$14167:$K$14167)&gt;0,IF(C14233&gt;0,"Partly repaid; remainder refinanced","Refinanced"),IF(SUM($G$14205:$K$14205)&gt;0.001,IF(C14233&gt;0,"Partial repayment; PAYMENT DEFAULT","PAYMENT DEFAULT"),"Repaid from cash"))))</f>
        <v>PAYMENT DEFAULT</v>
      </c>
    </row>
    <row r="14236" customFormat="false" ht="15" hidden="false" customHeight="false" outlineLevel="0" collapsed="false">
      <c r="A14236" s="5" t="s">
        <v>294</v>
      </c>
      <c r="C14236" s="25" t="n">
        <f aca="false">SUMPRODUCT($G$14209:$K$14209,$G$14208:$K$14208-$G$14214:$K$14214+$G$14213:$K$14213)</f>
        <v>300</v>
      </c>
    </row>
    <row r="14237" customFormat="false" ht="15" hidden="false" customHeight="false" outlineLevel="0" collapsed="false">
      <c r="A14237" s="5" t="s">
        <v>295</v>
      </c>
      <c r="C14237" s="25" t="n">
        <f aca="false">SUMPRODUCT($G$14209:$K$14209,$G$14216:$K$14216)</f>
        <v>0</v>
      </c>
    </row>
    <row r="14238" customFormat="false" ht="15" hidden="false" customHeight="false" outlineLevel="0" collapsed="false">
      <c r="A14238" s="5" t="s">
        <v>296</v>
      </c>
      <c r="C14238" s="5" t="str">
        <f aca="false">IF(SUM($G$14209:$K$14209)=0,"n/a (beyond horizon)",IF(SUMPRODUCT($G$14209:$K$14209,$G$14167:$K$14167)&gt;0,"REFINANCING PASS","REFINANCING FAILURE"))</f>
        <v>REFINANCING FAILURE</v>
      </c>
    </row>
    <row r="14239" customFormat="false" ht="15" hidden="false" customHeight="false" outlineLevel="0" collapsed="false">
      <c r="A14239" s="5" t="s">
        <v>297</v>
      </c>
      <c r="C14239" s="5" t="str">
        <f aca="false">IF(SUM($G$14209:$K$14209)=0,"n/a",IF(C14237&gt;=C14236-0.001,"Repaid from cash",IF(SUMPRODUCT($G$14209:$K$14209,$G$14167:$K$14167)&gt;0,IF(C14237&gt;0,"Partly repaid; remainder refinanced","Refinanced"),IF(SUM($G$14218:$K$14218)&gt;0.001,IF(C14237&gt;0,"Partial repayment; PAYMENT DEFAULT","PAYMENT DEFAULT"),"Repaid from cash"))))</f>
        <v>PAYMENT DEFAULT</v>
      </c>
    </row>
    <row r="14240" customFormat="false" ht="15" hidden="false" customHeight="false" outlineLevel="0" collapsed="false">
      <c r="A14240" s="5" t="s">
        <v>298</v>
      </c>
      <c r="C14240" s="20" t="n">
        <f aca="false">IF(C14226="REFINANCING FAILURE",1,0)+IF(C14230="REFINANCING FAILURE",1,0)+IF(C14234="REFINANCING FAILURE",1,0)+IF(C14238="REFINANCING FAILURE",1,0)</f>
        <v>4</v>
      </c>
    </row>
    <row r="14242" customFormat="false" ht="15" hidden="false" customHeight="false" outlineLevel="0" collapsed="false">
      <c r="A14242" s="23" t="s">
        <v>300</v>
      </c>
      <c r="B14242" s="24"/>
      <c r="C14242" s="24"/>
      <c r="D14242" s="24"/>
      <c r="E14242" s="24"/>
      <c r="F14242" s="24"/>
      <c r="G14242" s="24"/>
      <c r="H14242" s="24"/>
      <c r="I14242" s="24"/>
      <c r="J14242" s="24"/>
      <c r="K14242" s="24"/>
    </row>
    <row r="14243" customFormat="false" ht="15" hidden="false" customHeight="false" outlineLevel="0" collapsed="false">
      <c r="A14243" s="5" t="s">
        <v>260</v>
      </c>
      <c r="G14243" s="25" t="n">
        <f aca="false">F14255</f>
        <v>45</v>
      </c>
      <c r="H14243" s="25" t="n">
        <f aca="false">G14255</f>
        <v>0</v>
      </c>
      <c r="I14243" s="25" t="n">
        <f aca="false">H14255</f>
        <v>-121.3557292</v>
      </c>
      <c r="J14243" s="25" t="n">
        <f aca="false">I14255</f>
        <v>-236.702175152</v>
      </c>
      <c r="K14243" s="25" t="n">
        <f aca="false">J14255</f>
        <v>-337.79889141424</v>
      </c>
    </row>
    <row r="14244" customFormat="false" ht="15" hidden="false" customHeight="false" outlineLevel="0" collapsed="false">
      <c r="A14244" s="5" t="s">
        <v>301</v>
      </c>
      <c r="G14244" s="25" t="n">
        <f aca="false">G14156</f>
        <v>-76.0968</v>
      </c>
      <c r="H14244" s="25" t="n">
        <f aca="false">H14156</f>
        <v>-116.1557292</v>
      </c>
      <c r="I14244" s="25" t="n">
        <f aca="false">I14156</f>
        <v>-110.146445952</v>
      </c>
      <c r="J14244" s="25" t="n">
        <f aca="false">J14156</f>
        <v>-95.89671626224</v>
      </c>
      <c r="K14244" s="25" t="n">
        <f aca="false">K14156</f>
        <v>-83.18519092616</v>
      </c>
    </row>
    <row r="14245" customFormat="false" ht="15" hidden="false" customHeight="false" outlineLevel="0" collapsed="false">
      <c r="A14245" s="5" t="s">
        <v>302</v>
      </c>
      <c r="G14245" s="25" t="n">
        <f aca="false">CHOOSE($C$14126,Assumptions!$G$68,Assumptions!$G$87,Assumptions!$G$106)</f>
        <v>0</v>
      </c>
      <c r="H14245" s="25" t="n">
        <f aca="false">CHOOSE($C$14126,Assumptions!$H$68,Assumptions!$H$87,Assumptions!$H$106)</f>
        <v>0</v>
      </c>
      <c r="I14245" s="25" t="n">
        <f aca="false">CHOOSE($C$14126,Assumptions!$I$68,Assumptions!$I$87,Assumptions!$I$106)</f>
        <v>0</v>
      </c>
      <c r="J14245" s="25" t="n">
        <f aca="false">CHOOSE($C$14126,Assumptions!$J$68,Assumptions!$J$87,Assumptions!$J$106)</f>
        <v>0</v>
      </c>
      <c r="K14245" s="25" t="n">
        <f aca="false">CHOOSE($C$14126,Assumptions!$K$68,Assumptions!$K$87,Assumptions!$K$106)</f>
        <v>0</v>
      </c>
    </row>
    <row r="14246" customFormat="false" ht="15" hidden="false" customHeight="false" outlineLevel="0" collapsed="false">
      <c r="A14246" s="5" t="s">
        <v>303</v>
      </c>
      <c r="G14246" s="25" t="n">
        <f aca="false">G14175+G14188+G14201+G14214</f>
        <v>5.2</v>
      </c>
      <c r="H14246" s="25" t="n">
        <f aca="false">H14175+H14188+H14201+H14214</f>
        <v>5.2</v>
      </c>
      <c r="I14246" s="25" t="n">
        <f aca="false">I14175+I14188+I14201+I14214</f>
        <v>5.2</v>
      </c>
      <c r="J14246" s="25" t="n">
        <f aca="false">J14175+J14188+J14201+J14214</f>
        <v>5.2</v>
      </c>
      <c r="K14246" s="25" t="n">
        <f aca="false">K14175+K14188+K14201+K14214</f>
        <v>5.2</v>
      </c>
    </row>
    <row r="14247" customFormat="false" ht="15" hidden="false" customHeight="false" outlineLevel="0" collapsed="false">
      <c r="A14247" s="2" t="s">
        <v>304</v>
      </c>
      <c r="G14247" s="16" t="n">
        <f aca="false">G14243+G14244+G14245-G14246</f>
        <v>-36.2968000000001</v>
      </c>
      <c r="H14247" s="16" t="n">
        <f aca="false">H14243+H14244+H14245-H14246</f>
        <v>-121.3557292</v>
      </c>
      <c r="I14247" s="16" t="n">
        <f aca="false">I14243+I14244+I14245-I14246</f>
        <v>-236.702175152</v>
      </c>
      <c r="J14247" s="16" t="n">
        <f aca="false">J14243+J14244+J14245-J14246</f>
        <v>-337.79889141424</v>
      </c>
      <c r="K14247" s="16" t="n">
        <f aca="false">K14243+K14244+K14245-K14246</f>
        <v>-426.1840823404</v>
      </c>
    </row>
    <row r="14248" customFormat="false" ht="15" hidden="false" customHeight="false" outlineLevel="0" collapsed="false">
      <c r="A14248" s="5" t="s">
        <v>305</v>
      </c>
      <c r="G14248" s="25" t="n">
        <f aca="false">G14176+G14189+G14202+G14215</f>
        <v>36.2968000000001</v>
      </c>
      <c r="H14248" s="25" t="n">
        <f aca="false">H14176+H14189+H14202+H14215</f>
        <v>0</v>
      </c>
      <c r="I14248" s="25" t="n">
        <f aca="false">I14176+I14189+I14202+I14215</f>
        <v>0</v>
      </c>
      <c r="J14248" s="25" t="n">
        <f aca="false">J14176+J14189+J14202+J14215</f>
        <v>0</v>
      </c>
      <c r="K14248" s="25" t="n">
        <f aca="false">K14176+K14189+K14202+K14215</f>
        <v>0</v>
      </c>
    </row>
    <row r="14249" customFormat="false" ht="15" hidden="false" customHeight="false" outlineLevel="0" collapsed="false">
      <c r="A14249" s="2" t="s">
        <v>306</v>
      </c>
      <c r="G14249" s="16" t="n">
        <f aca="false">G14247+G14248</f>
        <v>0</v>
      </c>
      <c r="H14249" s="16" t="n">
        <f aca="false">H14247+H14248</f>
        <v>-121.3557292</v>
      </c>
      <c r="I14249" s="16" t="n">
        <f aca="false">I14247+I14248</f>
        <v>-236.702175152</v>
      </c>
      <c r="J14249" s="16" t="n">
        <f aca="false">J14247+J14248</f>
        <v>-337.79889141424</v>
      </c>
      <c r="K14249" s="16" t="n">
        <f aca="false">K14247+K14248</f>
        <v>-426.1840823404</v>
      </c>
    </row>
    <row r="14250" customFormat="false" ht="15" hidden="false" customHeight="false" outlineLevel="0" collapsed="false">
      <c r="A14250" s="5" t="s">
        <v>307</v>
      </c>
      <c r="G14250" s="25" t="n">
        <f aca="false">G14177+G14190+G14203+G14216</f>
        <v>0</v>
      </c>
      <c r="H14250" s="25" t="n">
        <f aca="false">H14177+H14190+H14203+H14216</f>
        <v>0</v>
      </c>
      <c r="I14250" s="25" t="n">
        <f aca="false">I14177+I14190+I14203+I14216</f>
        <v>0</v>
      </c>
      <c r="J14250" s="25" t="n">
        <f aca="false">J14177+J14190+J14203+J14216</f>
        <v>0</v>
      </c>
      <c r="K14250" s="25" t="n">
        <f aca="false">K14177+K14190+K14203+K14216</f>
        <v>0</v>
      </c>
    </row>
    <row r="14251" customFormat="false" ht="15" hidden="false" customHeight="false" outlineLevel="0" collapsed="false">
      <c r="A14251" s="2" t="s">
        <v>308</v>
      </c>
      <c r="G14251" s="16" t="n">
        <f aca="false">G14249-G14250</f>
        <v>0</v>
      </c>
      <c r="H14251" s="16" t="n">
        <f aca="false">H14249-H14250</f>
        <v>-121.3557292</v>
      </c>
      <c r="I14251" s="16" t="n">
        <f aca="false">I14249-I14250</f>
        <v>-236.702175152</v>
      </c>
      <c r="J14251" s="16" t="n">
        <f aca="false">J14249-J14250</f>
        <v>-337.79889141424</v>
      </c>
      <c r="K14251" s="16" t="n">
        <f aca="false">K14249-K14250</f>
        <v>-426.1840823404</v>
      </c>
    </row>
    <row r="14252" customFormat="false" ht="15" hidden="false" customHeight="false" outlineLevel="0" collapsed="false">
      <c r="A14252" s="5" t="s">
        <v>309</v>
      </c>
      <c r="G14252" s="25" t="n">
        <f aca="false">MAX(0,-G14251)</f>
        <v>-0</v>
      </c>
      <c r="H14252" s="25" t="n">
        <f aca="false">MAX(0,-H14251)</f>
        <v>121.3557292</v>
      </c>
      <c r="I14252" s="25" t="n">
        <f aca="false">MAX(0,-I14251)</f>
        <v>236.702175152</v>
      </c>
      <c r="J14252" s="25" t="n">
        <f aca="false">MAX(0,-J14251)</f>
        <v>337.79889141424</v>
      </c>
      <c r="K14252" s="25" t="n">
        <f aca="false">MAX(0,-K14251)</f>
        <v>426.1840823404</v>
      </c>
    </row>
    <row r="14253" customFormat="false" ht="15" hidden="false" customHeight="false" outlineLevel="0" collapsed="false">
      <c r="A14253" s="5" t="s">
        <v>310</v>
      </c>
      <c r="G14253" s="25" t="n">
        <f aca="false">MAX(0,G14251-Assumptions!$C$12)*Assumptions!$C$13</f>
        <v>0</v>
      </c>
      <c r="H14253" s="25" t="n">
        <f aca="false">MAX(0,H14251-Assumptions!$C$12)*Assumptions!$C$13</f>
        <v>0</v>
      </c>
      <c r="I14253" s="25" t="n">
        <f aca="false">MAX(0,I14251-Assumptions!$C$12)*Assumptions!$C$13</f>
        <v>0</v>
      </c>
      <c r="J14253" s="25" t="n">
        <f aca="false">MAX(0,J14251-Assumptions!$C$12)*Assumptions!$C$13</f>
        <v>0</v>
      </c>
      <c r="K14253" s="25" t="n">
        <f aca="false">MAX(0,K14251-Assumptions!$C$12)*Assumptions!$C$13</f>
        <v>0</v>
      </c>
    </row>
    <row r="14254" customFormat="false" ht="15" hidden="false" customHeight="false" outlineLevel="0" collapsed="false">
      <c r="A14254" s="5" t="s">
        <v>311</v>
      </c>
      <c r="G14254" s="25" t="n">
        <f aca="false">G14178+G14191+G14204+G14217</f>
        <v>0</v>
      </c>
      <c r="H14254" s="25" t="n">
        <f aca="false">H14178+H14191+H14204+H14217</f>
        <v>0</v>
      </c>
      <c r="I14254" s="25" t="n">
        <f aca="false">I14178+I14191+I14204+I14217</f>
        <v>0</v>
      </c>
      <c r="J14254" s="25" t="n">
        <f aca="false">J14178+J14191+J14204+J14217</f>
        <v>0</v>
      </c>
      <c r="K14254" s="25" t="n">
        <f aca="false">K14178+K14191+K14204+K14217</f>
        <v>0</v>
      </c>
    </row>
    <row r="14255" customFormat="false" ht="15" hidden="false" customHeight="false" outlineLevel="0" collapsed="false">
      <c r="A14255" s="2" t="s">
        <v>312</v>
      </c>
      <c r="F14255" s="27" t="n">
        <f aca="false">Assumptions!$C$11</f>
        <v>45</v>
      </c>
      <c r="G14255" s="16" t="n">
        <f aca="false">G14251-G14254</f>
        <v>0</v>
      </c>
      <c r="H14255" s="16" t="n">
        <f aca="false">H14251-H14254</f>
        <v>-121.3557292</v>
      </c>
      <c r="I14255" s="16" t="n">
        <f aca="false">I14251-I14254</f>
        <v>-236.702175152</v>
      </c>
      <c r="J14255" s="16" t="n">
        <f aca="false">J14251-J14254</f>
        <v>-337.79889141424</v>
      </c>
      <c r="K14255" s="16" t="n">
        <f aca="false">K14251-K14254</f>
        <v>-426.1840823404</v>
      </c>
    </row>
    <row r="14256" customFormat="false" ht="15" hidden="false" customHeight="false" outlineLevel="0" collapsed="false">
      <c r="A14256" s="5" t="s">
        <v>313</v>
      </c>
      <c r="G14256" s="25" t="n">
        <f aca="false">G14179+G14192+G14205+G14218</f>
        <v>0</v>
      </c>
      <c r="H14256" s="25" t="n">
        <f aca="false">H14179+H14192+H14205+H14218</f>
        <v>516.2968</v>
      </c>
      <c r="I14256" s="25" t="n">
        <f aca="false">I14179+I14192+I14205+I14218</f>
        <v>504.4</v>
      </c>
      <c r="J14256" s="25" t="n">
        <f aca="false">J14179+J14192+J14205+J14218</f>
        <v>250</v>
      </c>
      <c r="K14256" s="25" t="n">
        <f aca="false">K14179+K14192+K14205+K14218</f>
        <v>0</v>
      </c>
    </row>
    <row r="14257" customFormat="false" ht="15" hidden="false" customHeight="false" outlineLevel="0" collapsed="false">
      <c r="A14257" s="5" t="s">
        <v>314</v>
      </c>
      <c r="G14257" s="20" t="n">
        <f aca="false">IF(OR(G14252&gt;0.001,G14256&gt;0.001),1,0)</f>
        <v>0</v>
      </c>
      <c r="H14257" s="20" t="n">
        <f aca="false">IF(OR(H14252&gt;0.001,H14256&gt;0.001),1,0)</f>
        <v>1</v>
      </c>
      <c r="I14257" s="20" t="n">
        <f aca="false">IF(OR(I14252&gt;0.001,I14256&gt;0.001),1,0)</f>
        <v>1</v>
      </c>
      <c r="J14257" s="20" t="n">
        <f aca="false">IF(OR(J14252&gt;0.001,J14256&gt;0.001),1,0)</f>
        <v>1</v>
      </c>
      <c r="K14257" s="20" t="n">
        <f aca="false">IF(OR(K14252&gt;0.001,K14256&gt;0.001),1,0)</f>
        <v>1</v>
      </c>
    </row>
    <row r="14258" customFormat="false" ht="15" hidden="false" customHeight="false" outlineLevel="0" collapsed="false">
      <c r="A14258" s="5" t="s">
        <v>315</v>
      </c>
      <c r="G14258" s="20" t="n">
        <f aca="false">IF(G14257=1,1,0)</f>
        <v>0</v>
      </c>
      <c r="H14258" s="20" t="n">
        <f aca="false">IF(AND(H14257=1,SUM($G$14257:G14257)=0),1,0)</f>
        <v>1</v>
      </c>
      <c r="I14258" s="20" t="n">
        <f aca="false">IF(AND(I14257=1,SUM($G$14257:H14257)=0),1,0)</f>
        <v>0</v>
      </c>
      <c r="J14258" s="20" t="n">
        <f aca="false">IF(AND(J14257=1,SUM($G$14257:I14257)=0),1,0)</f>
        <v>0</v>
      </c>
      <c r="K14258" s="20" t="n">
        <f aca="false">IF(AND(K14257=1,SUM($G$14257:J14257)=0),1,0)</f>
        <v>0</v>
      </c>
    </row>
    <row r="14259" customFormat="false" ht="15" hidden="false" customHeight="false" outlineLevel="0" collapsed="false">
      <c r="A14259" s="5" t="s">
        <v>316</v>
      </c>
      <c r="G14259" s="25" t="n">
        <f aca="false">(G14221-F14221)-(G14248+G14148-G14246-G14250-G14254)</f>
        <v>0</v>
      </c>
      <c r="H14259" s="25" t="n">
        <f aca="false">(H14221-G14221)-(H14248+H14148-H14246-H14250-H14254)</f>
        <v>-4.52970994047064E-014</v>
      </c>
      <c r="I14259" s="25" t="n">
        <f aca="false">(I14221-H14221)-(I14248+I14148-I14246-I14250-I14254)</f>
        <v>1.82076576038526E-013</v>
      </c>
      <c r="J14259" s="25" t="n">
        <f aca="false">(J14221-I14221)-(J14248+J14148-J14246-J14250-J14254)</f>
        <v>-2.72670774847938E-013</v>
      </c>
      <c r="K14259" s="25" t="n">
        <f aca="false">(K14221-J14221)-(K14248+K14148-K14246-K14250-K14254)</f>
        <v>1.82076576038526E-013</v>
      </c>
    </row>
    <row r="14261" customFormat="false" ht="15" hidden="false" customHeight="false" outlineLevel="0" collapsed="false">
      <c r="A14261" s="23" t="s">
        <v>318</v>
      </c>
      <c r="B14261" s="24"/>
      <c r="C14261" s="24"/>
      <c r="D14261" s="24"/>
      <c r="E14261" s="24"/>
      <c r="F14261" s="24"/>
      <c r="G14261" s="24"/>
      <c r="H14261" s="24"/>
      <c r="I14261" s="24"/>
      <c r="J14261" s="24"/>
      <c r="K14261" s="24"/>
    </row>
    <row r="14262" customFormat="false" ht="15" hidden="false" customHeight="false" outlineLevel="0" collapsed="false">
      <c r="A14262" s="5" t="s">
        <v>319</v>
      </c>
      <c r="G14262" s="25" t="n">
        <f aca="false">G14221</f>
        <v>1281.0968</v>
      </c>
      <c r="H14262" s="25" t="n">
        <f aca="false">H14221</f>
        <v>1275.8968</v>
      </c>
      <c r="I14262" s="25" t="n">
        <f aca="false">I14221</f>
        <v>1270.6968</v>
      </c>
      <c r="J14262" s="25" t="n">
        <f aca="false">J14221</f>
        <v>1265.4968</v>
      </c>
      <c r="K14262" s="25" t="n">
        <f aca="false">K14221</f>
        <v>1260.2968</v>
      </c>
    </row>
    <row r="14263" customFormat="false" ht="15" hidden="false" customHeight="false" outlineLevel="0" collapsed="false">
      <c r="A14263" s="5" t="s">
        <v>320</v>
      </c>
      <c r="G14263" s="25" t="n">
        <f aca="false">Assumptions!$O$53*G14180+Assumptions!$O$54*G14193+Assumptions!$O$55*G14206+Assumptions!$O$56*G14219</f>
        <v>981.0968</v>
      </c>
      <c r="H14263" s="25" t="n">
        <f aca="false">Assumptions!$O$53*H14180+Assumptions!$O$54*H14193+Assumptions!$O$55*H14206+Assumptions!$O$56*H14219</f>
        <v>975.8968</v>
      </c>
      <c r="I14263" s="25" t="n">
        <f aca="false">Assumptions!$O$53*I14180+Assumptions!$O$54*I14193+Assumptions!$O$55*I14206+Assumptions!$O$56*I14219</f>
        <v>970.6968</v>
      </c>
      <c r="J14263" s="25" t="n">
        <f aca="false">Assumptions!$O$53*J14180+Assumptions!$O$54*J14193+Assumptions!$O$55*J14206+Assumptions!$O$56*J14219</f>
        <v>965.4968</v>
      </c>
      <c r="K14263" s="25" t="n">
        <f aca="false">Assumptions!$O$53*K14180+Assumptions!$O$54*K14193+Assumptions!$O$55*K14206+Assumptions!$O$56*K14219</f>
        <v>960.2968</v>
      </c>
    </row>
    <row r="14264" customFormat="false" ht="15" hidden="false" customHeight="false" outlineLevel="0" collapsed="false">
      <c r="A14264" s="5" t="s">
        <v>321</v>
      </c>
      <c r="G14264" s="25" t="n">
        <f aca="false">G14262-G14255</f>
        <v>1281.0968</v>
      </c>
      <c r="H14264" s="25" t="n">
        <f aca="false">H14262-H14255</f>
        <v>1397.2525292</v>
      </c>
      <c r="I14264" s="25" t="n">
        <f aca="false">I14262-I14255</f>
        <v>1507.398975152</v>
      </c>
      <c r="J14264" s="25" t="n">
        <f aca="false">J14262-J14255</f>
        <v>1603.29569141424</v>
      </c>
      <c r="K14264" s="25" t="n">
        <f aca="false">K14262-K14255</f>
        <v>1686.4808823404</v>
      </c>
    </row>
    <row r="14265" customFormat="false" ht="15" hidden="false" customHeight="false" outlineLevel="0" collapsed="false">
      <c r="A14265" s="5" t="s">
        <v>322</v>
      </c>
      <c r="G14265" s="31" t="n">
        <f aca="false">IF(G14143&gt;0,G14262/G14143,0)</f>
        <v>16.5413800227249</v>
      </c>
      <c r="H14265" s="31" t="n">
        <f aca="false">IF(H14143&gt;0,H14262/H14143,0)</f>
        <v>26.0868812807611</v>
      </c>
      <c r="I14265" s="31" t="n">
        <f aca="false">IF(I14143&gt;0,I14262/I14143,0)</f>
        <v>20.7088178018065</v>
      </c>
      <c r="J14265" s="31" t="n">
        <f aca="false">IF(J14143&gt;0,J14262/J14143,0)</f>
        <v>17.2611283222678</v>
      </c>
      <c r="K14265" s="31" t="n">
        <f aca="false">IF(K14143&gt;0,K14262/K14143,0)</f>
        <v>14.8227900209479</v>
      </c>
    </row>
    <row r="14266" customFormat="false" ht="15" hidden="false" customHeight="false" outlineLevel="0" collapsed="false">
      <c r="A14266" s="5" t="s">
        <v>323</v>
      </c>
      <c r="G14266" s="31" t="n">
        <f aca="false">IF(G14143&gt;0,G14264/G14143,0)</f>
        <v>16.5413800227249</v>
      </c>
      <c r="H14266" s="31" t="n">
        <f aca="false">IF(H14143&gt;0,H14264/H14143,0)</f>
        <v>28.5681105622991</v>
      </c>
      <c r="I14266" s="31" t="n">
        <f aca="false">IF(I14143&gt;0,I14264/I14143,0)</f>
        <v>24.5664038274533</v>
      </c>
      <c r="J14266" s="31" t="n">
        <f aca="false">IF(J14143&gt;0,J14264/J14143,0)</f>
        <v>21.8686389946149</v>
      </c>
      <c r="K14266" s="31" t="n">
        <f aca="false">IF(K14143&gt;0,K14264/K14143,0)</f>
        <v>19.8352895867661</v>
      </c>
    </row>
    <row r="14267" customFormat="false" ht="15" hidden="false" customHeight="false" outlineLevel="0" collapsed="false">
      <c r="A14267" s="5" t="s">
        <v>324</v>
      </c>
      <c r="G14267" s="31" t="n">
        <f aca="false">IF(G14147&gt;0,G14143/G14147,0)</f>
        <v>0.597869383974062</v>
      </c>
      <c r="H14267" s="31" t="n">
        <f aca="false">IF(H14147&gt;0,H14143/H14147,0)</f>
        <v>0.374027109660081</v>
      </c>
      <c r="I14267" s="31" t="n">
        <f aca="false">IF(I14147&gt;0,I14143/I14147,0)</f>
        <v>0.478071824514175</v>
      </c>
      <c r="J14267" s="31" t="n">
        <f aca="false">IF(J14147&gt;0,J14143/J14147,0)</f>
        <v>0.573840521753012</v>
      </c>
      <c r="K14267" s="31" t="n">
        <f aca="false">IF(K14147&gt;0,K14143/K14147,0)</f>
        <v>0.668565910880975</v>
      </c>
    </row>
    <row r="14268" customFormat="false" ht="15" hidden="false" customHeight="false" outlineLevel="0" collapsed="false">
      <c r="A14268" s="5" t="s">
        <v>325</v>
      </c>
      <c r="G14268" s="31" t="n">
        <f aca="false">IF(G14147&gt;0,G14146/G14147,0)</f>
        <v>0.222065771190366</v>
      </c>
      <c r="H14268" s="31" t="n">
        <f aca="false">IF(H14147&gt;0,H14146/H14147,0)</f>
        <v>0.0162620482460903</v>
      </c>
      <c r="I14268" s="31" t="n">
        <f aca="false">IF(I14147&gt;0,I14146/I14147,0)</f>
        <v>0.115396647296525</v>
      </c>
      <c r="J14268" s="31" t="n">
        <f aca="false">IF(J14147&gt;0,J14146/J14147,0)</f>
        <v>0.213140765222547</v>
      </c>
      <c r="K14268" s="31" t="n">
        <f aca="false">IF(K14147&gt;0,K14146/K14147,0)</f>
        <v>0.309823226993622</v>
      </c>
    </row>
    <row r="14269" customFormat="false" ht="15" hidden="false" customHeight="false" outlineLevel="0" collapsed="false">
      <c r="A14269" s="5" t="s">
        <v>182</v>
      </c>
      <c r="G14269" s="21" t="n">
        <f aca="false">IF(G14262&gt;0,G14156/G14262,0)</f>
        <v>-0.0593997268590477</v>
      </c>
      <c r="H14269" s="21" t="n">
        <f aca="false">IF(H14262&gt;0,H14156/H14262,0)</f>
        <v>-0.0910384987249753</v>
      </c>
      <c r="I14269" s="21" t="n">
        <f aca="false">IF(I14262&gt;0,I14156/I14262,0)</f>
        <v>-0.086681925973214</v>
      </c>
      <c r="J14269" s="21" t="n">
        <f aca="false">IF(J14262&gt;0,J14156/J14262,0)</f>
        <v>-0.0757779207835532</v>
      </c>
      <c r="K14269" s="21" t="n">
        <f aca="false">IF(K14262&gt;0,K14156/K14262,0)</f>
        <v>-0.0660044450848086</v>
      </c>
    </row>
    <row r="14270" customFormat="false" ht="15" hidden="false" customHeight="false" outlineLevel="0" collapsed="false">
      <c r="A14270" s="5" t="s">
        <v>326</v>
      </c>
      <c r="G14270" s="31" t="n">
        <f aca="false">IF(G14147+G14246&gt;0,(G14143-G14154-G14151)/(G14147+G14246),0)</f>
        <v>0.262763841472466</v>
      </c>
      <c r="H14270" s="31" t="n">
        <f aca="false">IF(H14147+H14246&gt;0,(H14143-H14154-H14151)/(H14147+H14246),0)</f>
        <v>0.0625604092748976</v>
      </c>
      <c r="I14270" s="31" t="n">
        <f aca="false">IF(I14147+I14246&gt;0,(I14143-I14154-I14151)/(I14147+I14246),0)</f>
        <v>0.158433508080696</v>
      </c>
      <c r="J14270" s="31" t="n">
        <f aca="false">IF(J14147+J14246&gt;0,(J14143-J14154-J14151)/(J14147+J14246),0)</f>
        <v>0.252067742993116</v>
      </c>
      <c r="K14270" s="31" t="n">
        <f aca="false">IF(K14147+K14246&gt;0,(K14143-K14154-K14151)/(K14147+K14246),0)</f>
        <v>0.344650334570687</v>
      </c>
    </row>
    <row r="14271" customFormat="false" ht="15" hidden="false" customHeight="false" outlineLevel="0" collapsed="false">
      <c r="A14271" s="5" t="s">
        <v>327</v>
      </c>
      <c r="G14271" s="25" t="n">
        <f aca="false">MAX(0,G14255)+Assumptions!$P$53*MAX(0,Assumptions!$D$53-G14180)+Assumptions!$P$54*MAX(0,Assumptions!$D$54-G14193)+Assumptions!$P$55*MAX(0,Assumptions!$D$55-G14206)+Assumptions!$P$56*MAX(0,Assumptions!$D$56-G14219)</f>
        <v>83.7032</v>
      </c>
      <c r="H14271" s="25" t="n">
        <f aca="false">MAX(0,H14255)+Assumptions!$P$53*MAX(0,Assumptions!$D$53-H14180)+Assumptions!$P$54*MAX(0,Assumptions!$D$54-H14193)+Assumptions!$P$55*MAX(0,Assumptions!$D$55-H14206)+Assumptions!$P$56*MAX(0,Assumptions!$D$56-H14219)</f>
        <v>83.7032</v>
      </c>
      <c r="I14271" s="25" t="n">
        <f aca="false">MAX(0,I14255)+Assumptions!$P$53*MAX(0,Assumptions!$D$53-I14180)+Assumptions!$P$54*MAX(0,Assumptions!$D$54-I14193)+Assumptions!$P$55*MAX(0,Assumptions!$D$55-I14206)+Assumptions!$P$56*MAX(0,Assumptions!$D$56-I14219)</f>
        <v>83.7032</v>
      </c>
      <c r="J14271" s="25" t="n">
        <f aca="false">MAX(0,J14255)+Assumptions!$P$53*MAX(0,Assumptions!$D$53-J14180)+Assumptions!$P$54*MAX(0,Assumptions!$D$54-J14193)+Assumptions!$P$55*MAX(0,Assumptions!$D$55-J14206)+Assumptions!$P$56*MAX(0,Assumptions!$D$56-J14219)</f>
        <v>83.7032</v>
      </c>
      <c r="K14271" s="25" t="n">
        <f aca="false">MAX(0,K14255)+Assumptions!$P$53*MAX(0,Assumptions!$D$53-K14180)+Assumptions!$P$54*MAX(0,Assumptions!$D$54-K14193)+Assumptions!$P$55*MAX(0,Assumptions!$D$55-K14206)+Assumptions!$P$56*MAX(0,Assumptions!$D$56-K14219)</f>
        <v>83.7032</v>
      </c>
    </row>
    <row r="14272" customFormat="false" ht="15" hidden="false" customHeight="false" outlineLevel="0" collapsed="false">
      <c r="A14272" s="5" t="s">
        <v>328</v>
      </c>
      <c r="G14272" s="21" t="n">
        <f aca="false">IF(G14262&gt;0,G14262/(G14262+MAX(0,G14143*CHOOSE($C$14126,Assumptions!$C$76,Assumptions!$C$95,Assumptions!$C$114)-G14264)),0)</f>
        <v>1</v>
      </c>
      <c r="H14272" s="21" t="n">
        <f aca="false">IF(H14262&gt;0,H14262/(H14262+MAX(0,H14143*CHOOSE($C$14126,Assumptions!$C$76,Assumptions!$C$95,Assumptions!$C$114)-H14264)),0)</f>
        <v>1</v>
      </c>
      <c r="I14272" s="21" t="n">
        <f aca="false">IF(I14262&gt;0,I14262/(I14262+MAX(0,I14143*CHOOSE($C$14126,Assumptions!$C$76,Assumptions!$C$95,Assumptions!$C$114)-I14264)),0)</f>
        <v>1</v>
      </c>
      <c r="J14272" s="21" t="n">
        <f aca="false">IF(J14262&gt;0,J14262/(J14262+MAX(0,J14143*CHOOSE($C$14126,Assumptions!$C$76,Assumptions!$C$95,Assumptions!$C$114)-J14264)),0)</f>
        <v>1</v>
      </c>
      <c r="K14272" s="21" t="n">
        <f aca="false">IF(K14262&gt;0,K14262/(K14262+MAX(0,K14143*CHOOSE($C$14126,Assumptions!$C$76,Assumptions!$C$95,Assumptions!$C$114)-K14264)),0)</f>
        <v>1</v>
      </c>
    </row>
    <row r="14273" customFormat="false" ht="15" hidden="false" customHeight="false" outlineLevel="0" collapsed="false">
      <c r="A14273" s="5" t="s">
        <v>329</v>
      </c>
      <c r="G14273" s="21" t="n">
        <f aca="false">IF(G14262&gt;0,MAX(0,G14255)/G14262,0)</f>
        <v>0</v>
      </c>
      <c r="H14273" s="21" t="n">
        <f aca="false">IF(H14262&gt;0,MAX(0,H14255)/H14262,0)</f>
        <v>0</v>
      </c>
      <c r="I14273" s="21" t="n">
        <f aca="false">IF(I14262&gt;0,MAX(0,I14255)/I14262,0)</f>
        <v>0</v>
      </c>
      <c r="J14273" s="21" t="n">
        <f aca="false">IF(J14262&gt;0,MAX(0,J14255)/J14262,0)</f>
        <v>0</v>
      </c>
      <c r="K14273" s="21" t="n">
        <f aca="false">IF(K14262&gt;0,MAX(0,K14255)/K14262,0)</f>
        <v>0</v>
      </c>
    </row>
    <row r="14274" customFormat="false" ht="15" hidden="false" customHeight="false" outlineLevel="0" collapsed="false">
      <c r="A14274" s="5" t="s">
        <v>330</v>
      </c>
      <c r="G14274" s="25" t="n">
        <f aca="false">Assumptions!$C$27*(1-CHOOSE($C$14126,Assumptions!$C$79,Assumptions!$C$98,Assumptions!$C$117))</f>
        <v>884</v>
      </c>
      <c r="H14274" s="25" t="n">
        <f aca="false">Assumptions!$C$27*(1-CHOOSE($C$14126,Assumptions!$C$79,Assumptions!$C$98,Assumptions!$C$117))</f>
        <v>884</v>
      </c>
      <c r="I14274" s="25" t="n">
        <f aca="false">Assumptions!$C$27*(1-CHOOSE($C$14126,Assumptions!$C$79,Assumptions!$C$98,Assumptions!$C$117))</f>
        <v>884</v>
      </c>
      <c r="J14274" s="25" t="n">
        <f aca="false">Assumptions!$C$27*(1-CHOOSE($C$14126,Assumptions!$C$79,Assumptions!$C$98,Assumptions!$C$117))</f>
        <v>884</v>
      </c>
      <c r="K14274" s="25" t="n">
        <f aca="false">Assumptions!$C$27*(1-CHOOSE($C$14126,Assumptions!$C$79,Assumptions!$C$98,Assumptions!$C$117))</f>
        <v>884</v>
      </c>
    </row>
    <row r="14275" customFormat="false" ht="15" hidden="false" customHeight="false" outlineLevel="0" collapsed="false">
      <c r="A14275" s="23" t="s">
        <v>331</v>
      </c>
      <c r="B14275" s="24"/>
      <c r="C14275" s="24"/>
      <c r="D14275" s="24"/>
      <c r="E14275" s="24"/>
      <c r="F14275" s="24"/>
      <c r="G14275" s="24"/>
      <c r="H14275" s="24"/>
      <c r="I14275" s="24"/>
      <c r="J14275" s="24"/>
      <c r="K14275" s="24"/>
    </row>
    <row r="14276" customFormat="false" ht="15" hidden="false" customHeight="false" outlineLevel="0" collapsed="false">
      <c r="A14276" s="23" t="s">
        <v>332</v>
      </c>
      <c r="B14276" s="24"/>
      <c r="C14276" s="24"/>
      <c r="D14276" s="24"/>
      <c r="E14276" s="24"/>
      <c r="F14276" s="24"/>
      <c r="G14276" s="24"/>
      <c r="H14276" s="24"/>
      <c r="I14276" s="24"/>
      <c r="J14276" s="24"/>
      <c r="K14276" s="24"/>
    </row>
    <row r="14277" customFormat="false" ht="15" hidden="false" customHeight="false" outlineLevel="0" collapsed="false">
      <c r="A14277" s="5" t="s">
        <v>333</v>
      </c>
      <c r="G14277" s="31" t="n">
        <f aca="false">IF(G14143&gt;0,G14264/G14143,99)</f>
        <v>16.5413800227249</v>
      </c>
      <c r="H14277" s="31" t="n">
        <f aca="false">IF(H14143&gt;0,H14264/H14143,99)</f>
        <v>28.5681105622991</v>
      </c>
      <c r="I14277" s="31" t="n">
        <f aca="false">IF(I14143&gt;0,I14264/I14143,99)</f>
        <v>24.5664038274533</v>
      </c>
      <c r="J14277" s="31" t="n">
        <f aca="false">IF(J14143&gt;0,J14264/J14143,99)</f>
        <v>21.8686389946149</v>
      </c>
      <c r="K14277" s="31" t="n">
        <f aca="false">IF(K14143&gt;0,K14264/K14143,99)</f>
        <v>19.8352895867661</v>
      </c>
    </row>
    <row r="14278" customFormat="false" ht="15" hidden="false" customHeight="false" outlineLevel="0" collapsed="false">
      <c r="A14278" s="5" t="s">
        <v>334</v>
      </c>
      <c r="G14278" s="32" t="n">
        <f aca="false">Assumptions!$G$61</f>
        <v>8.5</v>
      </c>
      <c r="H14278" s="32" t="n">
        <f aca="false">Assumptions!$H$61</f>
        <v>8.5</v>
      </c>
      <c r="I14278" s="32" t="n">
        <f aca="false">Assumptions!$I$61</f>
        <v>8.5</v>
      </c>
      <c r="J14278" s="32" t="n">
        <f aca="false">Assumptions!$J$61</f>
        <v>8.5</v>
      </c>
      <c r="K14278" s="32" t="n">
        <f aca="false">Assumptions!$K$61</f>
        <v>8.5</v>
      </c>
    </row>
    <row r="14279" customFormat="false" ht="15" hidden="false" customHeight="false" outlineLevel="0" collapsed="false">
      <c r="A14279" s="5" t="s">
        <v>335</v>
      </c>
      <c r="G14279" s="31" t="n">
        <f aca="false">G14278-G14277</f>
        <v>-8.04138002272492</v>
      </c>
      <c r="H14279" s="31" t="n">
        <f aca="false">H14278-H14277</f>
        <v>-20.0681105622991</v>
      </c>
      <c r="I14279" s="31" t="n">
        <f aca="false">I14278-I14277</f>
        <v>-16.0664038274533</v>
      </c>
      <c r="J14279" s="31" t="n">
        <f aca="false">J14278-J14277</f>
        <v>-13.3686389946149</v>
      </c>
      <c r="K14279" s="31" t="n">
        <f aca="false">K14278-K14277</f>
        <v>-11.3352895867661</v>
      </c>
    </row>
    <row r="14280" customFormat="false" ht="15" hidden="false" customHeight="false" outlineLevel="0" collapsed="false">
      <c r="A14280" s="5" t="s">
        <v>336</v>
      </c>
      <c r="G14280" s="21" t="n">
        <f aca="false">IF(G14278=0,0,G14279/ABS(G14278))</f>
        <v>-0.946044708555873</v>
      </c>
      <c r="H14280" s="21" t="n">
        <f aca="false">IF(H14278=0,0,H14279/ABS(H14278))</f>
        <v>-2.36095418379989</v>
      </c>
      <c r="I14280" s="21" t="n">
        <f aca="false">IF(I14278=0,0,I14279/ABS(I14278))</f>
        <v>-1.89016515617097</v>
      </c>
      <c r="J14280" s="21" t="n">
        <f aca="false">IF(J14278=0,0,J14279/ABS(J14278))</f>
        <v>-1.57278105818998</v>
      </c>
      <c r="K14280" s="21" t="n">
        <f aca="false">IF(K14278=0,0,K14279/ABS(K14278))</f>
        <v>-1.33356348079602</v>
      </c>
    </row>
    <row r="14281" customFormat="false" ht="15" hidden="false" customHeight="false" outlineLevel="0" collapsed="false">
      <c r="A14281" s="5" t="s">
        <v>337</v>
      </c>
      <c r="G14281" s="20" t="n">
        <f aca="false">IF(G14279&lt;0,1,0)</f>
        <v>1</v>
      </c>
      <c r="H14281" s="20" t="n">
        <f aca="false">IF(H14279&lt;0,1,0)</f>
        <v>1</v>
      </c>
      <c r="I14281" s="20" t="n">
        <f aca="false">IF(I14279&lt;0,1,0)</f>
        <v>1</v>
      </c>
      <c r="J14281" s="20" t="n">
        <f aca="false">IF(J14279&lt;0,1,0)</f>
        <v>1</v>
      </c>
      <c r="K14281" s="20" t="n">
        <f aca="false">IF(K14279&lt;0,1,0)</f>
        <v>1</v>
      </c>
    </row>
    <row r="14282" customFormat="false" ht="15" hidden="false" customHeight="false" outlineLevel="0" collapsed="false">
      <c r="A14282" s="5" t="s">
        <v>338</v>
      </c>
      <c r="C14282" s="20" t="n">
        <f aca="false">IFERROR(INDEX($G$14133:$K$14133,MATCH(1,$G$14281:$K$14281,0)),0)</f>
        <v>2026</v>
      </c>
    </row>
    <row r="14283" customFormat="false" ht="15" hidden="false" customHeight="false" outlineLevel="0" collapsed="false">
      <c r="A14283" s="5" t="s">
        <v>339</v>
      </c>
      <c r="C14283" s="21" t="n">
        <f aca="false">MIN($G$14280:$K$14280)</f>
        <v>-2.36095418379989</v>
      </c>
    </row>
    <row r="14284" customFormat="false" ht="15" hidden="false" customHeight="false" outlineLevel="0" collapsed="false">
      <c r="A14284" s="5" t="s">
        <v>340</v>
      </c>
      <c r="G14284" s="20" t="n">
        <f aca="false">G14281</f>
        <v>1</v>
      </c>
      <c r="H14284" s="20" t="n">
        <f aca="false">H14281</f>
        <v>1</v>
      </c>
      <c r="I14284" s="20" t="n">
        <f aca="false">I14281</f>
        <v>1</v>
      </c>
      <c r="J14284" s="20" t="n">
        <f aca="false">J14281</f>
        <v>1</v>
      </c>
      <c r="K14284" s="20" t="n">
        <f aca="false">K14281</f>
        <v>1</v>
      </c>
    </row>
    <row r="14285" customFormat="false" ht="15" hidden="false" customHeight="false" outlineLevel="0" collapsed="false">
      <c r="A14285" s="5" t="s">
        <v>341</v>
      </c>
      <c r="C14285" s="20" t="n">
        <f aca="false">SUM($G$14284:$K$14284)</f>
        <v>5</v>
      </c>
    </row>
    <row r="14286" customFormat="false" ht="15" hidden="false" customHeight="false" outlineLevel="0" collapsed="false">
      <c r="A14286" s="5" t="s">
        <v>342</v>
      </c>
      <c r="C14286" s="21" t="n">
        <f aca="false">MIN(C14283)</f>
        <v>-2.36095418379989</v>
      </c>
    </row>
    <row r="14288" customFormat="false" ht="15" hidden="false" customHeight="false" outlineLevel="0" collapsed="false">
      <c r="A14288" s="23" t="s">
        <v>444</v>
      </c>
      <c r="B14288" s="24"/>
      <c r="C14288" s="24"/>
      <c r="D14288" s="24"/>
      <c r="E14288" s="24"/>
      <c r="F14288" s="24"/>
      <c r="G14288" s="24"/>
      <c r="H14288" s="24"/>
      <c r="I14288" s="24"/>
      <c r="J14288" s="24"/>
      <c r="K14288" s="24"/>
    </row>
    <row r="14289" customFormat="false" ht="15" hidden="false" customHeight="false" outlineLevel="0" collapsed="false">
      <c r="A14289" s="5" t="s">
        <v>445</v>
      </c>
      <c r="G14289" s="20" t="n">
        <f aca="false">IF($C$14290=1,G14258,IF(G14143=MIN($G$14143:$K$14143),1,0))</f>
        <v>0</v>
      </c>
      <c r="H14289" s="20" t="n">
        <f aca="false">IF($C$14290=1,H14258,IF(AND(H14143=MIN($G$14143:$K$14143),SUM($G$14289:G14289)=0),1,0))</f>
        <v>1</v>
      </c>
      <c r="I14289" s="20" t="n">
        <f aca="false">IF($C$14290=1,I14258,IF(AND(I14143=MIN($G$14143:$K$14143),SUM($G$14289:H14289)=0),1,0))</f>
        <v>0</v>
      </c>
      <c r="J14289" s="20" t="n">
        <f aca="false">IF($C$14290=1,J14258,IF(AND(J14143=MIN($G$14143:$K$14143),SUM($G$14289:I14289)=0),1,0))</f>
        <v>0</v>
      </c>
      <c r="K14289" s="20" t="n">
        <f aca="false">IF($C$14290=1,K14258,IF(AND(K14143=MIN($G$14143:$K$14143),SUM($G$14289:J14289)=0),1,0))</f>
        <v>0</v>
      </c>
    </row>
    <row r="14290" customFormat="false" ht="15" hidden="false" customHeight="false" outlineLevel="0" collapsed="false">
      <c r="A14290" s="5" t="s">
        <v>446</v>
      </c>
      <c r="C14290" s="20" t="n">
        <f aca="false">IF(SUM($G$14258:$K$14258)&gt;0,1,0)</f>
        <v>1</v>
      </c>
    </row>
    <row r="14291" customFormat="false" ht="15" hidden="false" customHeight="false" outlineLevel="0" collapsed="false">
      <c r="A14291" s="5" t="s">
        <v>447</v>
      </c>
      <c r="C14291" s="20" t="n">
        <f aca="false">SUMPRODUCT($G$14289:$K$14289,$G$14133:$K$14133)</f>
        <v>2027</v>
      </c>
    </row>
    <row r="14292" customFormat="false" ht="15" hidden="false" customHeight="false" outlineLevel="0" collapsed="false">
      <c r="A14292" s="5" t="s">
        <v>448</v>
      </c>
      <c r="C14292" s="25" t="n">
        <f aca="false">SUMPRODUCT($G$14289:$K$14289,$G$14143:$K$14143)</f>
        <v>48.9095184</v>
      </c>
    </row>
    <row r="14293" customFormat="false" ht="15" hidden="false" customHeight="false" outlineLevel="0" collapsed="false">
      <c r="A14293" s="5" t="s">
        <v>449</v>
      </c>
      <c r="C14293" s="25" t="n">
        <f aca="false">MAX(0,SUMPRODUCT($G$14289:$K$14289,$G$14255:$K$14255))</f>
        <v>0</v>
      </c>
    </row>
    <row r="14294" customFormat="false" ht="15" hidden="false" customHeight="false" outlineLevel="0" collapsed="false">
      <c r="A14294" s="5" t="s">
        <v>450</v>
      </c>
      <c r="C14294" s="25" t="n">
        <f aca="false">(CHOOSE($C$14126,Assumptions!$C$78,Assumptions!$C$97,Assumptions!$C$116)+$C$14130)*C14292</f>
        <v>195.6380736</v>
      </c>
    </row>
    <row r="14295" customFormat="false" ht="15" hidden="false" customHeight="false" outlineLevel="0" collapsed="false">
      <c r="A14295" s="5" t="s">
        <v>451</v>
      </c>
      <c r="C14295" s="25" t="n">
        <f aca="false">Assumptions!$C$27*(1-CHOOSE($C$14126,Assumptions!$C$79,Assumptions!$C$98,Assumptions!$C$117))*CHOOSE($C$14126,Assumptions!$C$80,Assumptions!$C$99,Assumptions!$C$118)</f>
        <v>530.4</v>
      </c>
    </row>
    <row r="14296" customFormat="false" ht="15" hidden="false" customHeight="false" outlineLevel="0" collapsed="false">
      <c r="A14296" s="5" t="s">
        <v>452</v>
      </c>
      <c r="C14296" s="25" t="n">
        <f aca="false">MAX(C14294,C14295)+C14293</f>
        <v>530.4</v>
      </c>
    </row>
    <row r="14297" customFormat="false" ht="15" hidden="false" customHeight="false" outlineLevel="0" collapsed="false">
      <c r="A14297" s="2" t="s">
        <v>453</v>
      </c>
      <c r="C14297" s="16" t="n">
        <f aca="false">IF(ISNUMBER(Assumptions!$C$14),Assumptions!$C$14,C14296)</f>
        <v>530.4</v>
      </c>
    </row>
    <row r="14298" customFormat="false" ht="15" hidden="false" customHeight="false" outlineLevel="0" collapsed="false">
      <c r="A14298" s="5" t="s">
        <v>454</v>
      </c>
      <c r="C14298" s="25" t="n">
        <f aca="false">C14297*Assumptions!$C$15</f>
        <v>21.216</v>
      </c>
    </row>
    <row r="14299" customFormat="false" ht="15" hidden="false" customHeight="false" outlineLevel="0" collapsed="false">
      <c r="A14299" s="2" t="s">
        <v>455</v>
      </c>
      <c r="C14299" s="16" t="n">
        <f aca="false">C14297-C14298</f>
        <v>509.184</v>
      </c>
    </row>
    <row r="14300" customFormat="false" ht="15" hidden="false" customHeight="false" outlineLevel="0" collapsed="false">
      <c r="A14300" s="23" t="s">
        <v>456</v>
      </c>
      <c r="B14300" s="24"/>
      <c r="C14300" s="24"/>
      <c r="D14300" s="24"/>
      <c r="E14300" s="24"/>
      <c r="F14300" s="24"/>
      <c r="G14300" s="24"/>
      <c r="H14300" s="24"/>
      <c r="I14300" s="24"/>
      <c r="J14300" s="24"/>
      <c r="K14300" s="24"/>
    </row>
    <row r="14301" customFormat="false" ht="15" hidden="false" customHeight="false" outlineLevel="0" collapsed="false">
      <c r="A14301" s="5" t="s">
        <v>457</v>
      </c>
      <c r="C14301" s="25" t="n">
        <f aca="false">SUMPRODUCT($G$14289:$K$14289,$G$14180:$K$14180)*(1+SUMPRODUCT($G$14289:$K$14289,$G$14172:$K$14172)*Assumptions!$C$16/12)</f>
        <v>221.6231087</v>
      </c>
    </row>
    <row r="14302" customFormat="false" ht="15" hidden="false" customHeight="false" outlineLevel="0" collapsed="false">
      <c r="A14302" s="5" t="s">
        <v>458</v>
      </c>
      <c r="C14302" s="25" t="n">
        <f aca="false">SUMPRODUCT($G$14289:$K$14289,$G$14193:$K$14193)*(1+SUMPRODUCT($G$14289:$K$14289,$G$14185:$K$14185)*Assumptions!$C$16/12)</f>
        <v>524.3147</v>
      </c>
    </row>
    <row r="14303" customFormat="false" ht="15" hidden="false" customHeight="false" outlineLevel="0" collapsed="false">
      <c r="A14303" s="5" t="s">
        <v>459</v>
      </c>
      <c r="C14303" s="25" t="n">
        <f aca="false">SUMPRODUCT($G$14289:$K$14289,$G$14206:$K$14206)*(1+SUMPRODUCT($G$14289:$K$14289,$G$14198:$K$14198)*Assumptions!$C$16/12)</f>
        <v>256.875</v>
      </c>
    </row>
    <row r="14304" customFormat="false" ht="15" hidden="false" customHeight="false" outlineLevel="0" collapsed="false">
      <c r="A14304" s="5" t="s">
        <v>460</v>
      </c>
      <c r="C14304" s="25" t="n">
        <f aca="false">SUMPRODUCT($G$14289:$K$14289,$G$14219:$K$14219)*(1+SUMPRODUCT($G$14289:$K$14289,$G$14211:$K$14211)*Assumptions!$C$16/12)</f>
        <v>305.625</v>
      </c>
    </row>
    <row r="14305" customFormat="false" ht="15" hidden="false" customHeight="false" outlineLevel="0" collapsed="false">
      <c r="A14305" s="23" t="s">
        <v>461</v>
      </c>
      <c r="B14305" s="24"/>
      <c r="C14305" s="24"/>
      <c r="D14305" s="24"/>
      <c r="E14305" s="24"/>
      <c r="F14305" s="24"/>
      <c r="G14305" s="24"/>
      <c r="H14305" s="24"/>
      <c r="I14305" s="24"/>
      <c r="J14305" s="24"/>
      <c r="K14305" s="24"/>
    </row>
    <row r="14306" customFormat="false" ht="15" hidden="false" customHeight="false" outlineLevel="0" collapsed="false">
      <c r="A14306" s="5" t="s">
        <v>457</v>
      </c>
      <c r="C14306" s="26" t="n">
        <f aca="false">Assumptions!$M$53</f>
        <v>1</v>
      </c>
    </row>
    <row r="14307" customFormat="false" ht="15" hidden="false" customHeight="false" outlineLevel="0" collapsed="false">
      <c r="A14307" s="5" t="s">
        <v>458</v>
      </c>
      <c r="C14307" s="26" t="n">
        <f aca="false">Assumptions!$M$54</f>
        <v>2</v>
      </c>
    </row>
    <row r="14308" customFormat="false" ht="15" hidden="false" customHeight="false" outlineLevel="0" collapsed="false">
      <c r="A14308" s="5" t="s">
        <v>459</v>
      </c>
      <c r="C14308" s="26" t="n">
        <f aca="false">Assumptions!$M$55</f>
        <v>3</v>
      </c>
    </row>
    <row r="14309" customFormat="false" ht="15" hidden="false" customHeight="false" outlineLevel="0" collapsed="false">
      <c r="A14309" s="5" t="s">
        <v>460</v>
      </c>
      <c r="C14309" s="26" t="n">
        <f aca="false">Assumptions!$M$56</f>
        <v>4</v>
      </c>
    </row>
    <row r="14310" customFormat="false" ht="15" hidden="false" customHeight="false" outlineLevel="0" collapsed="false">
      <c r="A14310" s="23" t="s">
        <v>462</v>
      </c>
      <c r="B14310" s="24"/>
      <c r="C14310" s="24"/>
      <c r="D14310" s="24"/>
      <c r="E14310" s="24"/>
      <c r="F14310" s="24"/>
      <c r="G14310" s="24"/>
      <c r="H14310" s="24"/>
      <c r="I14310" s="24"/>
      <c r="J14310" s="24"/>
      <c r="K14310" s="24"/>
    </row>
    <row r="14311" customFormat="false" ht="15" hidden="false" customHeight="false" outlineLevel="0" collapsed="false">
      <c r="A14311" s="5" t="s">
        <v>457</v>
      </c>
      <c r="C14311" s="34" t="n">
        <f aca="false">Assumptions!$Q$53</f>
        <v>0</v>
      </c>
    </row>
    <row r="14312" customFormat="false" ht="15" hidden="false" customHeight="false" outlineLevel="0" collapsed="false">
      <c r="A14312" s="5" t="s">
        <v>458</v>
      </c>
      <c r="C14312" s="34" t="n">
        <f aca="false">Assumptions!$Q$54</f>
        <v>0</v>
      </c>
    </row>
    <row r="14313" customFormat="false" ht="15" hidden="false" customHeight="false" outlineLevel="0" collapsed="false">
      <c r="A14313" s="5" t="s">
        <v>459</v>
      </c>
      <c r="C14313" s="34" t="n">
        <f aca="false">Assumptions!$Q$55</f>
        <v>0</v>
      </c>
    </row>
    <row r="14314" customFormat="false" ht="15" hidden="false" customHeight="false" outlineLevel="0" collapsed="false">
      <c r="A14314" s="5" t="s">
        <v>460</v>
      </c>
      <c r="C14314" s="34" t="n">
        <f aca="false">Assumptions!$Q$56</f>
        <v>0</v>
      </c>
    </row>
    <row r="14315" customFormat="false" ht="15" hidden="false" customHeight="false" outlineLevel="0" collapsed="false">
      <c r="A14315" s="23" t="s">
        <v>463</v>
      </c>
      <c r="B14315" s="24"/>
      <c r="C14315" s="24"/>
      <c r="D14315" s="24"/>
      <c r="E14315" s="24"/>
      <c r="F14315" s="24"/>
      <c r="G14315" s="24"/>
      <c r="H14315" s="24"/>
      <c r="I14315" s="24"/>
      <c r="J14315" s="24"/>
      <c r="K14315" s="24"/>
    </row>
    <row r="14316" customFormat="false" ht="15" hidden="false" customHeight="false" outlineLevel="0" collapsed="false">
      <c r="A14316" s="5" t="s">
        <v>457</v>
      </c>
      <c r="C14316" s="25" t="n">
        <f aca="false">IF(C14311&gt;0,MIN(C14301,C14311*$C$14299),0)</f>
        <v>0</v>
      </c>
    </row>
    <row r="14317" customFormat="false" ht="15" hidden="false" customHeight="false" outlineLevel="0" collapsed="false">
      <c r="A14317" s="5" t="s">
        <v>458</v>
      </c>
      <c r="C14317" s="25" t="n">
        <f aca="false">IF(C14312&gt;0,MIN(C14302,C14312*$C$14299),0)</f>
        <v>0</v>
      </c>
    </row>
    <row r="14318" customFormat="false" ht="15" hidden="false" customHeight="false" outlineLevel="0" collapsed="false">
      <c r="A14318" s="5" t="s">
        <v>459</v>
      </c>
      <c r="C14318" s="25" t="n">
        <f aca="false">IF(C14313&gt;0,MIN(C14303,C14313*$C$14299),0)</f>
        <v>0</v>
      </c>
    </row>
    <row r="14319" customFormat="false" ht="15" hidden="false" customHeight="false" outlineLevel="0" collapsed="false">
      <c r="A14319" s="5" t="s">
        <v>460</v>
      </c>
      <c r="C14319" s="25" t="n">
        <f aca="false">IF(C14314&gt;0,MIN(C14304,C14314*$C$14299),0)</f>
        <v>0</v>
      </c>
    </row>
    <row r="14320" customFormat="false" ht="15" hidden="false" customHeight="false" outlineLevel="0" collapsed="false">
      <c r="A14320" s="23" t="s">
        <v>464</v>
      </c>
      <c r="B14320" s="24"/>
      <c r="C14320" s="24"/>
      <c r="D14320" s="24"/>
      <c r="E14320" s="24"/>
      <c r="F14320" s="24"/>
      <c r="G14320" s="24"/>
      <c r="H14320" s="24"/>
      <c r="I14320" s="24"/>
      <c r="J14320" s="24"/>
      <c r="K14320" s="24"/>
    </row>
    <row r="14321" customFormat="false" ht="15" hidden="false" customHeight="false" outlineLevel="0" collapsed="false">
      <c r="A14321" s="5" t="s">
        <v>457</v>
      </c>
      <c r="C14321" s="25" t="n">
        <f aca="false">IF(C14311&gt;0,C14301-C14316,0)</f>
        <v>0</v>
      </c>
      <c r="G14321" s="20" t="n">
        <f aca="false">IF(AND(G14170=1,G14167=1),1,0)</f>
        <v>0</v>
      </c>
      <c r="H14321" s="20" t="n">
        <f aca="false">IF(G14321=1,1,IF(AND(H14170=1,H14167=1),1,0))</f>
        <v>0</v>
      </c>
      <c r="I14321" s="20" t="n">
        <f aca="false">IF(H14321=1,1,IF(AND(I14170=1,I14167=1),1,0))</f>
        <v>0</v>
      </c>
      <c r="J14321" s="20" t="n">
        <f aca="false">IF(I14321=1,1,IF(AND(J14170=1,J14167=1),1,0))</f>
        <v>0</v>
      </c>
      <c r="K14321" s="20" t="n">
        <f aca="false">IF(J14321=1,1,IF(AND(K14170=1,K14167=1),1,0))</f>
        <v>0</v>
      </c>
    </row>
    <row r="14322" customFormat="false" ht="15" hidden="false" customHeight="false" outlineLevel="0" collapsed="false">
      <c r="A14322" s="5" t="s">
        <v>458</v>
      </c>
      <c r="C14322" s="25" t="n">
        <f aca="false">IF(C14312&gt;0,C14302-C14317,0)</f>
        <v>0</v>
      </c>
      <c r="G14322" s="20" t="n">
        <f aca="false">IF(AND(G14183=1,G14167=1),1,0)</f>
        <v>0</v>
      </c>
      <c r="H14322" s="20" t="n">
        <f aca="false">IF(G14322=1,1,IF(AND(H14183=1,H14167=1),1,0))</f>
        <v>0</v>
      </c>
      <c r="I14322" s="20" t="n">
        <f aca="false">IF(H14322=1,1,IF(AND(I14183=1,I14167=1),1,0))</f>
        <v>0</v>
      </c>
      <c r="J14322" s="20" t="n">
        <f aca="false">IF(I14322=1,1,IF(AND(J14183=1,J14167=1),1,0))</f>
        <v>0</v>
      </c>
      <c r="K14322" s="20" t="n">
        <f aca="false">IF(J14322=1,1,IF(AND(K14183=1,K14167=1),1,0))</f>
        <v>0</v>
      </c>
    </row>
    <row r="14323" customFormat="false" ht="15" hidden="false" customHeight="false" outlineLevel="0" collapsed="false">
      <c r="A14323" s="5" t="s">
        <v>459</v>
      </c>
      <c r="C14323" s="25" t="n">
        <f aca="false">IF(C14313&gt;0,C14303-C14318,0)</f>
        <v>0</v>
      </c>
      <c r="G14323" s="20" t="n">
        <f aca="false">IF(AND(G14196=1,G14167=1),1,0)</f>
        <v>0</v>
      </c>
      <c r="H14323" s="20" t="n">
        <f aca="false">IF(G14323=1,1,IF(AND(H14196=1,H14167=1),1,0))</f>
        <v>0</v>
      </c>
      <c r="I14323" s="20" t="n">
        <f aca="false">IF(H14323=1,1,IF(AND(I14196=1,I14167=1),1,0))</f>
        <v>0</v>
      </c>
      <c r="J14323" s="20" t="n">
        <f aca="false">IF(I14323=1,1,IF(AND(J14196=1,J14167=1),1,0))</f>
        <v>0</v>
      </c>
      <c r="K14323" s="20" t="n">
        <f aca="false">IF(J14323=1,1,IF(AND(K14196=1,K14167=1),1,0))</f>
        <v>0</v>
      </c>
    </row>
    <row r="14324" customFormat="false" ht="15" hidden="false" customHeight="false" outlineLevel="0" collapsed="false">
      <c r="A14324" s="5" t="s">
        <v>460</v>
      </c>
      <c r="C14324" s="25" t="n">
        <f aca="false">IF(C14314&gt;0,C14304-C14319,0)</f>
        <v>0</v>
      </c>
      <c r="G14324" s="20" t="n">
        <f aca="false">IF(AND(G14209=1,G14167=1),1,0)</f>
        <v>0</v>
      </c>
      <c r="H14324" s="20" t="n">
        <f aca="false">IF(G14324=1,1,IF(AND(H14209=1,H14167=1),1,0))</f>
        <v>0</v>
      </c>
      <c r="I14324" s="20" t="n">
        <f aca="false">IF(H14324=1,1,IF(AND(I14209=1,I14167=1),1,0))</f>
        <v>0</v>
      </c>
      <c r="J14324" s="20" t="n">
        <f aca="false">IF(I14324=1,1,IF(AND(J14209=1,J14167=1),1,0))</f>
        <v>0</v>
      </c>
      <c r="K14324" s="20" t="n">
        <f aca="false">IF(J14324=1,1,IF(AND(K14209=1,K14167=1),1,0))</f>
        <v>0</v>
      </c>
    </row>
    <row r="14325" customFormat="false" ht="15" hidden="false" customHeight="false" outlineLevel="0" collapsed="false">
      <c r="A14325" s="23" t="s">
        <v>465</v>
      </c>
      <c r="B14325" s="24"/>
      <c r="C14325" s="24"/>
      <c r="D14325" s="24"/>
      <c r="E14325" s="24"/>
      <c r="F14325" s="24"/>
      <c r="G14325" s="24"/>
      <c r="H14325" s="24"/>
      <c r="I14325" s="24"/>
      <c r="J14325" s="24"/>
      <c r="K14325" s="24"/>
    </row>
    <row r="14326" customFormat="false" ht="15" hidden="false" customHeight="false" outlineLevel="0" collapsed="false">
      <c r="A14326" s="5" t="s">
        <v>457</v>
      </c>
      <c r="C14326" s="25" t="n">
        <f aca="false">IF(C14311&gt;0,C14321,C14301)</f>
        <v>221.6231087</v>
      </c>
    </row>
    <row r="14327" customFormat="false" ht="15" hidden="false" customHeight="false" outlineLevel="0" collapsed="false">
      <c r="A14327" s="5" t="s">
        <v>458</v>
      </c>
      <c r="C14327" s="25" t="n">
        <f aca="false">IF(C14312&gt;0,C14322,C14302)</f>
        <v>524.3147</v>
      </c>
    </row>
    <row r="14328" customFormat="false" ht="15" hidden="false" customHeight="false" outlineLevel="0" collapsed="false">
      <c r="A14328" s="5" t="s">
        <v>459</v>
      </c>
      <c r="C14328" s="25" t="n">
        <f aca="false">IF(C14313&gt;0,C14323,C14303)</f>
        <v>256.875</v>
      </c>
    </row>
    <row r="14329" customFormat="false" ht="15" hidden="false" customHeight="false" outlineLevel="0" collapsed="false">
      <c r="A14329" s="5" t="s">
        <v>460</v>
      </c>
      <c r="C14329" s="25" t="n">
        <f aca="false">IF(C14314&gt;0,C14324,C14304)</f>
        <v>305.625</v>
      </c>
    </row>
    <row r="14330" customFormat="false" ht="15" hidden="false" customHeight="false" outlineLevel="0" collapsed="false">
      <c r="A14330" s="23" t="s">
        <v>466</v>
      </c>
      <c r="B14330" s="24"/>
      <c r="C14330" s="24"/>
      <c r="D14330" s="24"/>
      <c r="E14330" s="24"/>
      <c r="F14330" s="24"/>
      <c r="G14330" s="24"/>
      <c r="H14330" s="24"/>
      <c r="I14330" s="24"/>
      <c r="J14330" s="24"/>
      <c r="K14330" s="24"/>
    </row>
    <row r="14331" customFormat="false" ht="15" hidden="false" customHeight="false" outlineLevel="0" collapsed="false">
      <c r="A14331" s="5" t="s">
        <v>457</v>
      </c>
      <c r="C14331" s="20" t="n">
        <f aca="false">IF(C14311&gt;0,Assumptions!$C$17,C14306)</f>
        <v>1</v>
      </c>
    </row>
    <row r="14332" customFormat="false" ht="15" hidden="false" customHeight="false" outlineLevel="0" collapsed="false">
      <c r="A14332" s="5" t="s">
        <v>458</v>
      </c>
      <c r="C14332" s="20" t="n">
        <f aca="false">IF(C14312&gt;0,Assumptions!$C$17,C14307)</f>
        <v>2</v>
      </c>
    </row>
    <row r="14333" customFormat="false" ht="15" hidden="false" customHeight="false" outlineLevel="0" collapsed="false">
      <c r="A14333" s="5" t="s">
        <v>459</v>
      </c>
      <c r="C14333" s="20" t="n">
        <f aca="false">IF(C14313&gt;0,Assumptions!$C$17,C14308)</f>
        <v>3</v>
      </c>
    </row>
    <row r="14334" customFormat="false" ht="15" hidden="false" customHeight="false" outlineLevel="0" collapsed="false">
      <c r="A14334" s="5" t="s">
        <v>460</v>
      </c>
      <c r="C14334" s="20" t="n">
        <f aca="false">IF(C14314&gt;0,Assumptions!$C$17,C14309)</f>
        <v>4</v>
      </c>
    </row>
    <row r="14335" customFormat="false" ht="15" hidden="false" customHeight="false" outlineLevel="0" collapsed="false">
      <c r="A14335" s="23" t="s">
        <v>467</v>
      </c>
      <c r="B14335" s="24"/>
      <c r="C14335" s="24"/>
      <c r="D14335" s="24"/>
      <c r="E14335" s="24"/>
      <c r="F14335" s="24"/>
      <c r="G14335" s="24"/>
      <c r="H14335" s="24"/>
      <c r="I14335" s="24"/>
      <c r="J14335" s="24"/>
      <c r="K14335" s="24"/>
    </row>
    <row r="14336" customFormat="false" ht="15" hidden="false" customHeight="false" outlineLevel="0" collapsed="false">
      <c r="A14336" s="5" t="s">
        <v>457</v>
      </c>
      <c r="C14336" s="25" t="n">
        <f aca="false">SUMPRODUCT(($C$14331:$C$14334&lt;C14331)*$C$14326:$C$14329)</f>
        <v>0</v>
      </c>
    </row>
    <row r="14337" customFormat="false" ht="15" hidden="false" customHeight="false" outlineLevel="0" collapsed="false">
      <c r="A14337" s="5" t="s">
        <v>458</v>
      </c>
      <c r="C14337" s="25" t="n">
        <f aca="false">SUMPRODUCT(($C$14331:$C$14334&lt;C14332)*$C$14326:$C$14329)</f>
        <v>221.6231087</v>
      </c>
    </row>
    <row r="14338" customFormat="false" ht="15" hidden="false" customHeight="false" outlineLevel="0" collapsed="false">
      <c r="A14338" s="5" t="s">
        <v>459</v>
      </c>
      <c r="C14338" s="25" t="n">
        <f aca="false">SUMPRODUCT(($C$14331:$C$14334&lt;C14333)*$C$14326:$C$14329)</f>
        <v>745.9378087</v>
      </c>
    </row>
    <row r="14339" customFormat="false" ht="15" hidden="false" customHeight="false" outlineLevel="0" collapsed="false">
      <c r="A14339" s="5" t="s">
        <v>460</v>
      </c>
      <c r="C14339" s="25" t="n">
        <f aca="false">SUMPRODUCT(($C$14331:$C$14334&lt;C14334)*$C$14326:$C$14329)</f>
        <v>1002.8128087</v>
      </c>
    </row>
    <row r="14340" customFormat="false" ht="15" hidden="false" customHeight="false" outlineLevel="0" collapsed="false">
      <c r="A14340" s="23" t="s">
        <v>468</v>
      </c>
      <c r="B14340" s="24"/>
      <c r="C14340" s="24"/>
      <c r="D14340" s="24"/>
      <c r="E14340" s="24"/>
      <c r="F14340" s="24"/>
      <c r="G14340" s="24"/>
      <c r="H14340" s="24"/>
      <c r="I14340" s="24"/>
      <c r="J14340" s="24"/>
      <c r="K14340" s="24"/>
    </row>
    <row r="14341" customFormat="false" ht="15" hidden="false" customHeight="false" outlineLevel="0" collapsed="false">
      <c r="A14341" s="5" t="s">
        <v>457</v>
      </c>
      <c r="C14341" s="25" t="n">
        <f aca="false">SUMPRODUCT(($C$14331:$C$14334=C14331)*$C$14326:$C$14329)</f>
        <v>221.6231087</v>
      </c>
    </row>
    <row r="14342" customFormat="false" ht="15" hidden="false" customHeight="false" outlineLevel="0" collapsed="false">
      <c r="A14342" s="5" t="s">
        <v>458</v>
      </c>
      <c r="C14342" s="25" t="n">
        <f aca="false">SUMPRODUCT(($C$14331:$C$14334=C14332)*$C$14326:$C$14329)</f>
        <v>524.3147</v>
      </c>
    </row>
    <row r="14343" customFormat="false" ht="15" hidden="false" customHeight="false" outlineLevel="0" collapsed="false">
      <c r="A14343" s="5" t="s">
        <v>459</v>
      </c>
      <c r="C14343" s="25" t="n">
        <f aca="false">SUMPRODUCT(($C$14331:$C$14334=C14333)*$C$14326:$C$14329)</f>
        <v>256.875</v>
      </c>
    </row>
    <row r="14344" customFormat="false" ht="15" hidden="false" customHeight="false" outlineLevel="0" collapsed="false">
      <c r="A14344" s="5" t="s">
        <v>460</v>
      </c>
      <c r="C14344" s="25" t="n">
        <f aca="false">SUMPRODUCT(($C$14331:$C$14334=C14334)*$C$14326:$C$14329)</f>
        <v>305.625</v>
      </c>
    </row>
    <row r="14345" customFormat="false" ht="15" hidden="false" customHeight="false" outlineLevel="0" collapsed="false">
      <c r="A14345" s="23" t="s">
        <v>469</v>
      </c>
      <c r="B14345" s="24"/>
      <c r="C14345" s="24"/>
      <c r="D14345" s="24"/>
      <c r="E14345" s="24"/>
      <c r="F14345" s="24"/>
      <c r="G14345" s="24"/>
      <c r="H14345" s="24"/>
      <c r="I14345" s="24"/>
      <c r="J14345" s="24"/>
      <c r="K14345" s="24"/>
    </row>
    <row r="14346" customFormat="false" ht="15" hidden="false" customHeight="false" outlineLevel="0" collapsed="false">
      <c r="A14346" s="5" t="s">
        <v>457</v>
      </c>
      <c r="C14346" s="25" t="n">
        <f aca="false">IF(C14341=0,0,C14326/C14341*MAX(0,MIN(C14341,$C$14299-SUM($C$14316:$C$14319)-C14336)))</f>
        <v>221.6231087</v>
      </c>
    </row>
    <row r="14347" customFormat="false" ht="15" hidden="false" customHeight="false" outlineLevel="0" collapsed="false">
      <c r="A14347" s="5" t="s">
        <v>458</v>
      </c>
      <c r="C14347" s="25" t="n">
        <f aca="false">IF(C14342=0,0,C14327/C14342*MAX(0,MIN(C14342,$C$14299-SUM($C$14316:$C$14319)-C14337)))</f>
        <v>287.5608913</v>
      </c>
    </row>
    <row r="14348" customFormat="false" ht="15" hidden="false" customHeight="false" outlineLevel="0" collapsed="false">
      <c r="A14348" s="5" t="s">
        <v>459</v>
      </c>
      <c r="C14348" s="25" t="n">
        <f aca="false">IF(C14343=0,0,C14328/C14343*MAX(0,MIN(C14343,$C$14299-SUM($C$14316:$C$14319)-C14338)))</f>
        <v>0</v>
      </c>
    </row>
    <row r="14349" customFormat="false" ht="15" hidden="false" customHeight="false" outlineLevel="0" collapsed="false">
      <c r="A14349" s="5" t="s">
        <v>460</v>
      </c>
      <c r="C14349" s="25" t="n">
        <f aca="false">IF(C14344=0,0,C14329/C14344*MAX(0,MIN(C14344,$C$14299-SUM($C$14316:$C$14319)-C14339)))</f>
        <v>0</v>
      </c>
    </row>
    <row r="14350" customFormat="false" ht="15" hidden="false" customHeight="false" outlineLevel="0" collapsed="false">
      <c r="A14350" s="23" t="s">
        <v>470</v>
      </c>
      <c r="B14350" s="24"/>
      <c r="C14350" s="24"/>
      <c r="D14350" s="24"/>
      <c r="E14350" s="24"/>
      <c r="F14350" s="24"/>
      <c r="G14350" s="24"/>
      <c r="H14350" s="24"/>
      <c r="I14350" s="24"/>
      <c r="J14350" s="24"/>
      <c r="K14350" s="24"/>
    </row>
    <row r="14351" customFormat="false" ht="15" hidden="false" customHeight="false" outlineLevel="0" collapsed="false">
      <c r="A14351" s="2" t="s">
        <v>457</v>
      </c>
      <c r="C14351" s="16" t="n">
        <f aca="false">C14316+C14346</f>
        <v>221.6231087</v>
      </c>
    </row>
    <row r="14352" customFormat="false" ht="15" hidden="false" customHeight="false" outlineLevel="0" collapsed="false">
      <c r="A14352" s="2" t="s">
        <v>458</v>
      </c>
      <c r="C14352" s="16" t="n">
        <f aca="false">C14317+C14347</f>
        <v>287.5608913</v>
      </c>
    </row>
    <row r="14353" customFormat="false" ht="15" hidden="false" customHeight="false" outlineLevel="0" collapsed="false">
      <c r="A14353" s="2" t="s">
        <v>459</v>
      </c>
      <c r="C14353" s="16" t="n">
        <f aca="false">C14318+C14348</f>
        <v>0</v>
      </c>
    </row>
    <row r="14354" customFormat="false" ht="15" hidden="false" customHeight="false" outlineLevel="0" collapsed="false">
      <c r="A14354" s="2" t="s">
        <v>460</v>
      </c>
      <c r="C14354" s="16" t="n">
        <f aca="false">C14319+C14349</f>
        <v>0</v>
      </c>
    </row>
    <row r="14355" customFormat="false" ht="15" hidden="false" customHeight="false" outlineLevel="0" collapsed="false">
      <c r="A14355" s="23" t="s">
        <v>471</v>
      </c>
      <c r="B14355" s="24"/>
      <c r="C14355" s="24"/>
      <c r="D14355" s="24"/>
      <c r="E14355" s="24"/>
      <c r="F14355" s="24"/>
      <c r="G14355" s="24"/>
      <c r="H14355" s="24"/>
      <c r="I14355" s="24"/>
      <c r="J14355" s="24"/>
      <c r="K14355" s="24"/>
    </row>
    <row r="14356" customFormat="false" ht="15" hidden="false" customHeight="false" outlineLevel="0" collapsed="false">
      <c r="A14356" s="5" t="s">
        <v>457</v>
      </c>
      <c r="C14356" s="21" t="n">
        <f aca="false">IF(C14301=0,1,C14351/C14301)</f>
        <v>1</v>
      </c>
    </row>
    <row r="14357" customFormat="false" ht="15" hidden="false" customHeight="false" outlineLevel="0" collapsed="false">
      <c r="A14357" s="5" t="s">
        <v>458</v>
      </c>
      <c r="C14357" s="21" t="n">
        <f aca="false">IF(C14302=0,1,C14352/C14302)</f>
        <v>0.548450942344359</v>
      </c>
    </row>
    <row r="14358" customFormat="false" ht="15" hidden="false" customHeight="false" outlineLevel="0" collapsed="false">
      <c r="A14358" s="5" t="s">
        <v>459</v>
      </c>
      <c r="C14358" s="21" t="n">
        <f aca="false">IF(C14303=0,1,C14353/C14303)</f>
        <v>0</v>
      </c>
    </row>
    <row r="14359" customFormat="false" ht="15" hidden="false" customHeight="false" outlineLevel="0" collapsed="false">
      <c r="A14359" s="5" t="s">
        <v>460</v>
      </c>
      <c r="C14359" s="21" t="n">
        <f aca="false">IF(C14304=0,1,C14354/C14304)</f>
        <v>0</v>
      </c>
    </row>
    <row r="14360" customFormat="false" ht="15" hidden="false" customHeight="false" outlineLevel="0" collapsed="false">
      <c r="A14360" s="23" t="s">
        <v>472</v>
      </c>
      <c r="B14360" s="24"/>
      <c r="C14360" s="24"/>
      <c r="D14360" s="24"/>
      <c r="E14360" s="24"/>
      <c r="F14360" s="24"/>
      <c r="G14360" s="24"/>
      <c r="H14360" s="24"/>
      <c r="I14360" s="24"/>
      <c r="J14360" s="24"/>
      <c r="K14360" s="24"/>
    </row>
    <row r="14361" customFormat="false" ht="15" hidden="false" customHeight="false" outlineLevel="0" collapsed="false">
      <c r="A14361" s="5" t="s">
        <v>457</v>
      </c>
      <c r="C14361" s="25" t="n">
        <f aca="false">C14301-C14351</f>
        <v>0</v>
      </c>
    </row>
    <row r="14362" customFormat="false" ht="15" hidden="false" customHeight="false" outlineLevel="0" collapsed="false">
      <c r="A14362" s="5" t="s">
        <v>458</v>
      </c>
      <c r="C14362" s="25" t="n">
        <f aca="false">C14302-C14352</f>
        <v>236.7538087</v>
      </c>
    </row>
    <row r="14363" customFormat="false" ht="15" hidden="false" customHeight="false" outlineLevel="0" collapsed="false">
      <c r="A14363" s="5" t="s">
        <v>459</v>
      </c>
      <c r="C14363" s="25" t="n">
        <f aca="false">C14303-C14353</f>
        <v>256.875</v>
      </c>
    </row>
    <row r="14364" customFormat="false" ht="15" hidden="false" customHeight="false" outlineLevel="0" collapsed="false">
      <c r="A14364" s="5" t="s">
        <v>460</v>
      </c>
      <c r="C14364" s="25" t="n">
        <f aca="false">C14304-C14354</f>
        <v>305.625</v>
      </c>
    </row>
    <row r="14365" customFormat="false" ht="15" hidden="false" customHeight="false" outlineLevel="0" collapsed="false">
      <c r="A14365" s="23" t="s">
        <v>473</v>
      </c>
      <c r="B14365" s="24"/>
      <c r="C14365" s="24"/>
      <c r="D14365" s="24"/>
      <c r="E14365" s="24"/>
      <c r="F14365" s="24"/>
      <c r="G14365" s="24"/>
      <c r="H14365" s="24"/>
      <c r="I14365" s="24"/>
      <c r="J14365" s="24"/>
      <c r="K14365" s="24"/>
    </row>
    <row r="14366" customFormat="false" ht="15" hidden="false" customHeight="false" outlineLevel="0" collapsed="false">
      <c r="A14366" s="5" t="s">
        <v>457</v>
      </c>
      <c r="C14366" s="21" t="n">
        <f aca="false">IF(C14301=0,0,C14361/C14301)</f>
        <v>0</v>
      </c>
    </row>
    <row r="14367" customFormat="false" ht="15" hidden="false" customHeight="false" outlineLevel="0" collapsed="false">
      <c r="A14367" s="5" t="s">
        <v>458</v>
      </c>
      <c r="C14367" s="21" t="n">
        <f aca="false">IF(C14302=0,0,C14362/C14302)</f>
        <v>0.451549057655641</v>
      </c>
    </row>
    <row r="14368" customFormat="false" ht="15" hidden="false" customHeight="false" outlineLevel="0" collapsed="false">
      <c r="A14368" s="5" t="s">
        <v>459</v>
      </c>
      <c r="C14368" s="21" t="n">
        <f aca="false">IF(C14303=0,0,C14363/C14303)</f>
        <v>1</v>
      </c>
    </row>
    <row r="14369" customFormat="false" ht="15" hidden="false" customHeight="false" outlineLevel="0" collapsed="false">
      <c r="A14369" s="5" t="s">
        <v>460</v>
      </c>
      <c r="C14369" s="21" t="n">
        <f aca="false">IF(C14304=0,0,C14364/C14304)</f>
        <v>1</v>
      </c>
    </row>
    <row r="14370" customFormat="false" ht="15" hidden="false" customHeight="false" outlineLevel="0" collapsed="false">
      <c r="A14370" s="2" t="s">
        <v>474</v>
      </c>
      <c r="C14370" s="16" t="n">
        <f aca="false">MAX(0,$C$14299-SUM($C$14316:$C$14319)-SUM($C$14326:$C$14329))</f>
        <v>0</v>
      </c>
    </row>
    <row r="14371" customFormat="false" ht="15" hidden="false" customHeight="false" outlineLevel="0" collapsed="false">
      <c r="A14371" s="5" t="s">
        <v>475</v>
      </c>
      <c r="C14371" s="25" t="n">
        <f aca="false">SUM($C$14351:$C$14354)+C14370+C14298-C14297</f>
        <v>0</v>
      </c>
    </row>
    <row r="14373" customFormat="false" ht="15" hidden="false" customHeight="false" outlineLevel="0" collapsed="false">
      <c r="A14373" s="23" t="s">
        <v>478</v>
      </c>
      <c r="B14373" s="24"/>
      <c r="C14373" s="24"/>
      <c r="D14373" s="24"/>
      <c r="E14373" s="24"/>
      <c r="F14373" s="24"/>
      <c r="G14373" s="24"/>
      <c r="H14373" s="24"/>
      <c r="I14373" s="24"/>
      <c r="J14373" s="24"/>
      <c r="K14373" s="24"/>
    </row>
    <row r="14374" customFormat="false" ht="15" hidden="false" customHeight="false" outlineLevel="0" collapsed="false">
      <c r="A14374" s="5" t="s">
        <v>479</v>
      </c>
      <c r="C14374" s="26" t="n">
        <f aca="false">Assumptions!$C$30</f>
        <v>2</v>
      </c>
    </row>
    <row r="14375" customFormat="false" ht="15" hidden="false" customHeight="false" outlineLevel="0" collapsed="false">
      <c r="A14375" s="5" t="s">
        <v>480</v>
      </c>
      <c r="C14375" s="28" t="n">
        <f aca="false">Assumptions!$C$31</f>
        <v>100</v>
      </c>
    </row>
    <row r="14376" customFormat="false" ht="15" hidden="false" customHeight="false" outlineLevel="0" collapsed="false">
      <c r="A14376" s="5" t="s">
        <v>481</v>
      </c>
      <c r="C14376" s="39" t="n">
        <f aca="false">Assumptions!$C$32</f>
        <v>78</v>
      </c>
    </row>
    <row r="14377" customFormat="false" ht="15" hidden="false" customHeight="false" outlineLevel="0" collapsed="false">
      <c r="A14377" s="5" t="s">
        <v>482</v>
      </c>
      <c r="C14377" s="25" t="n">
        <f aca="false">C14375*C14376/100*(1+Assumptions!$C$33)</f>
        <v>78.39</v>
      </c>
    </row>
    <row r="14378" customFormat="false" ht="15" hidden="false" customHeight="false" outlineLevel="0" collapsed="false">
      <c r="A14378" s="5" t="s">
        <v>483</v>
      </c>
      <c r="C14378" s="26" t="n">
        <f aca="false">Assumptions!$C$34</f>
        <v>2</v>
      </c>
    </row>
    <row r="14379" customFormat="false" ht="15" hidden="false" customHeight="false" outlineLevel="0" collapsed="false">
      <c r="A14379" s="5" t="s">
        <v>484</v>
      </c>
      <c r="C14379" s="20" t="n">
        <f aca="false">IF(C14290=1,SUMPRODUCT($G$14258:$K$14258,$G$14134:$K$14134),0)</f>
        <v>2</v>
      </c>
    </row>
    <row r="14380" customFormat="false" ht="15" hidden="false" customHeight="false" outlineLevel="0" collapsed="false">
      <c r="A14380" s="5" t="s">
        <v>485</v>
      </c>
      <c r="C14380" s="21" t="n">
        <f aca="false">IFERROR(C14375/CHOOSE(C14374,SUMPRODUCT($G$14289:$K$14289,$G$14180:$K$14180),SUMPRODUCT($G$14289:$K$14289,$G$14193:$K$14193),SUMPRODUCT($G$14289:$K$14289,$G$14206:$K$14206),SUMPRODUCT($G$14289:$K$14289,$G$14219:$K$14219)),0)</f>
        <v>0.196232339089482</v>
      </c>
    </row>
    <row r="14381" customFormat="false" ht="15" hidden="false" customHeight="false" outlineLevel="0" collapsed="false">
      <c r="A14381" s="5" t="s">
        <v>486</v>
      </c>
      <c r="C14381" s="25" t="n">
        <f aca="false">CHOOSE(C14374,C14351,C14352,C14353,C14354)*C14380</f>
        <v>56.4287463304553</v>
      </c>
    </row>
    <row r="14382" customFormat="false" ht="15" hidden="false" customHeight="false" outlineLevel="0" collapsed="false">
      <c r="A14382" s="5" t="s">
        <v>487</v>
      </c>
      <c r="C14382" s="21" t="n">
        <f aca="false">CHOOSE(C14374,C14356,C14357,C14358,C14359)</f>
        <v>0.548450942344359</v>
      </c>
    </row>
    <row r="14383" customFormat="false" ht="15" hidden="false" customHeight="false" outlineLevel="0" collapsed="false">
      <c r="A14383" s="5" t="s">
        <v>488</v>
      </c>
      <c r="C14383" s="20" t="n">
        <f aca="false">IF(C14290=1,C14379,C14378)</f>
        <v>2</v>
      </c>
    </row>
    <row r="14384" customFormat="false" ht="15" hidden="false" customHeight="false" outlineLevel="0" collapsed="false">
      <c r="A14384" s="5" t="s">
        <v>489</v>
      </c>
      <c r="C14384" s="33" t="n">
        <f aca="false">CHOOSE($C$14126,Assumptions!$C$77,Assumptions!$C$96,Assumptions!$C$115)</f>
        <v>90</v>
      </c>
    </row>
    <row r="14385" customFormat="false" ht="15" hidden="false" customHeight="false" outlineLevel="0" collapsed="false">
      <c r="A14385" s="5" t="s">
        <v>490</v>
      </c>
      <c r="C14385" s="25" t="n">
        <f aca="false">INDEX($G$14143:$K$14143,C14378)*CHOOSE($C$14126,Assumptions!$C$76,Assumptions!$C$95,Assumptions!$C$114)+MAX(0,INDEX($G$14255:$K$14255,C14378))</f>
        <v>244.547592</v>
      </c>
    </row>
    <row r="14386" customFormat="false" ht="15" hidden="false" customHeight="false" outlineLevel="0" collapsed="false">
      <c r="A14386" s="23" t="s">
        <v>491</v>
      </c>
      <c r="B14386" s="24"/>
      <c r="C14386" s="24"/>
      <c r="D14386" s="24"/>
      <c r="E14386" s="24"/>
      <c r="F14386" s="24"/>
      <c r="G14386" s="24"/>
      <c r="H14386" s="24"/>
      <c r="I14386" s="24"/>
      <c r="J14386" s="24"/>
      <c r="K14386" s="24"/>
    </row>
    <row r="14387" customFormat="false" ht="15" hidden="false" customHeight="false" outlineLevel="0" collapsed="false">
      <c r="A14387" s="5" t="s">
        <v>457</v>
      </c>
      <c r="C14387" s="25" t="n">
        <f aca="false">INDEX($G$14180:$K$14180,C14378)</f>
        <v>216.2968</v>
      </c>
    </row>
    <row r="14388" customFormat="false" ht="15" hidden="false" customHeight="false" outlineLevel="0" collapsed="false">
      <c r="A14388" s="5" t="s">
        <v>458</v>
      </c>
      <c r="C14388" s="25" t="n">
        <f aca="false">INDEX($G$14193:$K$14193,C14378)</f>
        <v>509.6</v>
      </c>
    </row>
    <row r="14389" customFormat="false" ht="15" hidden="false" customHeight="false" outlineLevel="0" collapsed="false">
      <c r="A14389" s="5" t="s">
        <v>459</v>
      </c>
      <c r="C14389" s="25" t="n">
        <f aca="false">INDEX($G$14206:$K$14206,C14378)</f>
        <v>250</v>
      </c>
    </row>
    <row r="14390" customFormat="false" ht="15" hidden="false" customHeight="false" outlineLevel="0" collapsed="false">
      <c r="A14390" s="5" t="s">
        <v>460</v>
      </c>
      <c r="C14390" s="25" t="n">
        <f aca="false">INDEX($G$14219:$K$14219,C14378)</f>
        <v>300</v>
      </c>
    </row>
    <row r="14391" customFormat="false" ht="15" hidden="false" customHeight="false" outlineLevel="0" collapsed="false">
      <c r="A14391" s="23" t="s">
        <v>461</v>
      </c>
      <c r="B14391" s="24"/>
      <c r="C14391" s="24"/>
      <c r="D14391" s="24"/>
      <c r="E14391" s="24"/>
      <c r="F14391" s="24"/>
      <c r="G14391" s="24"/>
      <c r="H14391" s="24"/>
      <c r="I14391" s="24"/>
      <c r="J14391" s="24"/>
      <c r="K14391" s="24"/>
    </row>
    <row r="14392" customFormat="false" ht="15" hidden="false" customHeight="false" outlineLevel="0" collapsed="false">
      <c r="A14392" s="5" t="s">
        <v>457</v>
      </c>
      <c r="C14392" s="26" t="n">
        <f aca="false">Assumptions!$M$53</f>
        <v>1</v>
      </c>
    </row>
    <row r="14393" customFormat="false" ht="15" hidden="false" customHeight="false" outlineLevel="0" collapsed="false">
      <c r="A14393" s="5" t="s">
        <v>458</v>
      </c>
      <c r="C14393" s="26" t="n">
        <f aca="false">Assumptions!$M$54</f>
        <v>2</v>
      </c>
    </row>
    <row r="14394" customFormat="false" ht="15" hidden="false" customHeight="false" outlineLevel="0" collapsed="false">
      <c r="A14394" s="5" t="s">
        <v>459</v>
      </c>
      <c r="C14394" s="26" t="n">
        <f aca="false">Assumptions!$M$55</f>
        <v>3</v>
      </c>
    </row>
    <row r="14395" customFormat="false" ht="15" hidden="false" customHeight="false" outlineLevel="0" collapsed="false">
      <c r="A14395" s="5" t="s">
        <v>460</v>
      </c>
      <c r="C14395" s="26" t="n">
        <f aca="false">Assumptions!$M$56</f>
        <v>4</v>
      </c>
    </row>
    <row r="14396" customFormat="false" ht="15" hidden="false" customHeight="false" outlineLevel="0" collapsed="false">
      <c r="A14396" s="23" t="s">
        <v>462</v>
      </c>
      <c r="B14396" s="24"/>
      <c r="C14396" s="24"/>
      <c r="D14396" s="24"/>
      <c r="E14396" s="24"/>
      <c r="F14396" s="24"/>
      <c r="G14396" s="24"/>
      <c r="H14396" s="24"/>
      <c r="I14396" s="24"/>
      <c r="J14396" s="24"/>
      <c r="K14396" s="24"/>
    </row>
    <row r="14397" customFormat="false" ht="15" hidden="false" customHeight="false" outlineLevel="0" collapsed="false">
      <c r="A14397" s="5" t="s">
        <v>457</v>
      </c>
      <c r="C14397" s="34" t="n">
        <f aca="false">Assumptions!$Q$53</f>
        <v>0</v>
      </c>
    </row>
    <row r="14398" customFormat="false" ht="15" hidden="false" customHeight="false" outlineLevel="0" collapsed="false">
      <c r="A14398" s="5" t="s">
        <v>458</v>
      </c>
      <c r="C14398" s="34" t="n">
        <f aca="false">Assumptions!$Q$54</f>
        <v>0</v>
      </c>
    </row>
    <row r="14399" customFormat="false" ht="15" hidden="false" customHeight="false" outlineLevel="0" collapsed="false">
      <c r="A14399" s="5" t="s">
        <v>459</v>
      </c>
      <c r="C14399" s="34" t="n">
        <f aca="false">Assumptions!$Q$55</f>
        <v>0</v>
      </c>
    </row>
    <row r="14400" customFormat="false" ht="15" hidden="false" customHeight="false" outlineLevel="0" collapsed="false">
      <c r="A14400" s="5" t="s">
        <v>460</v>
      </c>
      <c r="C14400" s="34" t="n">
        <f aca="false">Assumptions!$Q$56</f>
        <v>0</v>
      </c>
    </row>
    <row r="14401" customFormat="false" ht="15" hidden="false" customHeight="false" outlineLevel="0" collapsed="false">
      <c r="A14401" s="23" t="s">
        <v>463</v>
      </c>
      <c r="B14401" s="24"/>
      <c r="C14401" s="24"/>
      <c r="D14401" s="24"/>
      <c r="E14401" s="24"/>
      <c r="F14401" s="24"/>
      <c r="G14401" s="24"/>
      <c r="H14401" s="24"/>
      <c r="I14401" s="24"/>
      <c r="J14401" s="24"/>
      <c r="K14401" s="24"/>
    </row>
    <row r="14402" customFormat="false" ht="15" hidden="false" customHeight="false" outlineLevel="0" collapsed="false">
      <c r="A14402" s="5" t="s">
        <v>457</v>
      </c>
      <c r="C14402" s="25" t="n">
        <f aca="false">IF(C14397&gt;0,MIN(C14387,C14397*$C$14385),0)</f>
        <v>0</v>
      </c>
    </row>
    <row r="14403" customFormat="false" ht="15" hidden="false" customHeight="false" outlineLevel="0" collapsed="false">
      <c r="A14403" s="5" t="s">
        <v>458</v>
      </c>
      <c r="C14403" s="25" t="n">
        <f aca="false">IF(C14398&gt;0,MIN(C14388,C14398*$C$14385),0)</f>
        <v>0</v>
      </c>
    </row>
    <row r="14404" customFormat="false" ht="15" hidden="false" customHeight="false" outlineLevel="0" collapsed="false">
      <c r="A14404" s="5" t="s">
        <v>459</v>
      </c>
      <c r="C14404" s="25" t="n">
        <f aca="false">IF(C14399&gt;0,MIN(C14389,C14399*$C$14385),0)</f>
        <v>0</v>
      </c>
    </row>
    <row r="14405" customFormat="false" ht="15" hidden="false" customHeight="false" outlineLevel="0" collapsed="false">
      <c r="A14405" s="5" t="s">
        <v>460</v>
      </c>
      <c r="C14405" s="25" t="n">
        <f aca="false">IF(C14400&gt;0,MIN(C14390,C14400*$C$14385),0)</f>
        <v>0</v>
      </c>
    </row>
    <row r="14406" customFormat="false" ht="15" hidden="false" customHeight="false" outlineLevel="0" collapsed="false">
      <c r="A14406" s="23" t="s">
        <v>464</v>
      </c>
      <c r="B14406" s="24"/>
      <c r="C14406" s="24"/>
      <c r="D14406" s="24"/>
      <c r="E14406" s="24"/>
      <c r="F14406" s="24"/>
      <c r="G14406" s="24"/>
      <c r="H14406" s="24"/>
      <c r="I14406" s="24"/>
      <c r="J14406" s="24"/>
      <c r="K14406" s="24"/>
    </row>
    <row r="14407" customFormat="false" ht="15" hidden="false" customHeight="false" outlineLevel="0" collapsed="false">
      <c r="A14407" s="5" t="s">
        <v>457</v>
      </c>
      <c r="C14407" s="25" t="n">
        <f aca="false">IF(C14397&gt;0,C14387-C14402,0)</f>
        <v>0</v>
      </c>
    </row>
    <row r="14408" customFormat="false" ht="15" hidden="false" customHeight="false" outlineLevel="0" collapsed="false">
      <c r="A14408" s="5" t="s">
        <v>458</v>
      </c>
      <c r="C14408" s="25" t="n">
        <f aca="false">IF(C14398&gt;0,C14388-C14403,0)</f>
        <v>0</v>
      </c>
    </row>
    <row r="14409" customFormat="false" ht="15" hidden="false" customHeight="false" outlineLevel="0" collapsed="false">
      <c r="A14409" s="5" t="s">
        <v>459</v>
      </c>
      <c r="C14409" s="25" t="n">
        <f aca="false">IF(C14399&gt;0,C14389-C14404,0)</f>
        <v>0</v>
      </c>
    </row>
    <row r="14410" customFormat="false" ht="15" hidden="false" customHeight="false" outlineLevel="0" collapsed="false">
      <c r="A14410" s="5" t="s">
        <v>460</v>
      </c>
      <c r="C14410" s="25" t="n">
        <f aca="false">IF(C14400&gt;0,C14390-C14405,0)</f>
        <v>0</v>
      </c>
    </row>
    <row r="14411" customFormat="false" ht="15" hidden="false" customHeight="false" outlineLevel="0" collapsed="false">
      <c r="A14411" s="23" t="s">
        <v>465</v>
      </c>
      <c r="B14411" s="24"/>
      <c r="C14411" s="24"/>
      <c r="D14411" s="24"/>
      <c r="E14411" s="24"/>
      <c r="F14411" s="24"/>
      <c r="G14411" s="24"/>
      <c r="H14411" s="24"/>
      <c r="I14411" s="24"/>
      <c r="J14411" s="24"/>
      <c r="K14411" s="24"/>
    </row>
    <row r="14412" customFormat="false" ht="15" hidden="false" customHeight="false" outlineLevel="0" collapsed="false">
      <c r="A14412" s="5" t="s">
        <v>457</v>
      </c>
      <c r="C14412" s="25" t="n">
        <f aca="false">IF(C14397&gt;0,C14407,C14387)</f>
        <v>216.2968</v>
      </c>
    </row>
    <row r="14413" customFormat="false" ht="15" hidden="false" customHeight="false" outlineLevel="0" collapsed="false">
      <c r="A14413" s="5" t="s">
        <v>458</v>
      </c>
      <c r="C14413" s="25" t="n">
        <f aca="false">IF(C14398&gt;0,C14408,C14388)</f>
        <v>509.6</v>
      </c>
    </row>
    <row r="14414" customFormat="false" ht="15" hidden="false" customHeight="false" outlineLevel="0" collapsed="false">
      <c r="A14414" s="5" t="s">
        <v>459</v>
      </c>
      <c r="C14414" s="25" t="n">
        <f aca="false">IF(C14399&gt;0,C14409,C14389)</f>
        <v>250</v>
      </c>
    </row>
    <row r="14415" customFormat="false" ht="15" hidden="false" customHeight="false" outlineLevel="0" collapsed="false">
      <c r="A14415" s="5" t="s">
        <v>460</v>
      </c>
      <c r="C14415" s="25" t="n">
        <f aca="false">IF(C14400&gt;0,C14410,C14390)</f>
        <v>300</v>
      </c>
    </row>
    <row r="14416" customFormat="false" ht="15" hidden="false" customHeight="false" outlineLevel="0" collapsed="false">
      <c r="A14416" s="23" t="s">
        <v>466</v>
      </c>
      <c r="B14416" s="24"/>
      <c r="C14416" s="24"/>
      <c r="D14416" s="24"/>
      <c r="E14416" s="24"/>
      <c r="F14416" s="24"/>
      <c r="G14416" s="24"/>
      <c r="H14416" s="24"/>
      <c r="I14416" s="24"/>
      <c r="J14416" s="24"/>
      <c r="K14416" s="24"/>
    </row>
    <row r="14417" customFormat="false" ht="15" hidden="false" customHeight="false" outlineLevel="0" collapsed="false">
      <c r="A14417" s="5" t="s">
        <v>457</v>
      </c>
      <c r="C14417" s="20" t="n">
        <f aca="false">IF(C14397&gt;0,Assumptions!$C$17,C14392)</f>
        <v>1</v>
      </c>
    </row>
    <row r="14418" customFormat="false" ht="15" hidden="false" customHeight="false" outlineLevel="0" collapsed="false">
      <c r="A14418" s="5" t="s">
        <v>458</v>
      </c>
      <c r="C14418" s="20" t="n">
        <f aca="false">IF(C14398&gt;0,Assumptions!$C$17,C14393)</f>
        <v>2</v>
      </c>
    </row>
    <row r="14419" customFormat="false" ht="15" hidden="false" customHeight="false" outlineLevel="0" collapsed="false">
      <c r="A14419" s="5" t="s">
        <v>459</v>
      </c>
      <c r="C14419" s="20" t="n">
        <f aca="false">IF(C14399&gt;0,Assumptions!$C$17,C14394)</f>
        <v>3</v>
      </c>
    </row>
    <row r="14420" customFormat="false" ht="15" hidden="false" customHeight="false" outlineLevel="0" collapsed="false">
      <c r="A14420" s="5" t="s">
        <v>460</v>
      </c>
      <c r="C14420" s="20" t="n">
        <f aca="false">IF(C14400&gt;0,Assumptions!$C$17,C14395)</f>
        <v>4</v>
      </c>
    </row>
    <row r="14421" customFormat="false" ht="15" hidden="false" customHeight="false" outlineLevel="0" collapsed="false">
      <c r="A14421" s="23" t="s">
        <v>467</v>
      </c>
      <c r="B14421" s="24"/>
      <c r="C14421" s="24"/>
      <c r="D14421" s="24"/>
      <c r="E14421" s="24"/>
      <c r="F14421" s="24"/>
      <c r="G14421" s="24"/>
      <c r="H14421" s="24"/>
      <c r="I14421" s="24"/>
      <c r="J14421" s="24"/>
      <c r="K14421" s="24"/>
    </row>
    <row r="14422" customFormat="false" ht="15" hidden="false" customHeight="false" outlineLevel="0" collapsed="false">
      <c r="A14422" s="5" t="s">
        <v>457</v>
      </c>
      <c r="C14422" s="25" t="n">
        <f aca="false">SUMPRODUCT(($C$14417:$C$14420&lt;C14417)*$C$14412:$C$14415)</f>
        <v>0</v>
      </c>
    </row>
    <row r="14423" customFormat="false" ht="15" hidden="false" customHeight="false" outlineLevel="0" collapsed="false">
      <c r="A14423" s="5" t="s">
        <v>458</v>
      </c>
      <c r="C14423" s="25" t="n">
        <f aca="false">SUMPRODUCT(($C$14417:$C$14420&lt;C14418)*$C$14412:$C$14415)</f>
        <v>216.2968</v>
      </c>
    </row>
    <row r="14424" customFormat="false" ht="15" hidden="false" customHeight="false" outlineLevel="0" collapsed="false">
      <c r="A14424" s="5" t="s">
        <v>459</v>
      </c>
      <c r="C14424" s="25" t="n">
        <f aca="false">SUMPRODUCT(($C$14417:$C$14420&lt;C14419)*$C$14412:$C$14415)</f>
        <v>725.8968</v>
      </c>
    </row>
    <row r="14425" customFormat="false" ht="15" hidden="false" customHeight="false" outlineLevel="0" collapsed="false">
      <c r="A14425" s="5" t="s">
        <v>460</v>
      </c>
      <c r="C14425" s="25" t="n">
        <f aca="false">SUMPRODUCT(($C$14417:$C$14420&lt;C14420)*$C$14412:$C$14415)</f>
        <v>975.8968</v>
      </c>
    </row>
    <row r="14426" customFormat="false" ht="15" hidden="false" customHeight="false" outlineLevel="0" collapsed="false">
      <c r="A14426" s="23" t="s">
        <v>468</v>
      </c>
      <c r="B14426" s="24"/>
      <c r="C14426" s="24"/>
      <c r="D14426" s="24"/>
      <c r="E14426" s="24"/>
      <c r="F14426" s="24"/>
      <c r="G14426" s="24"/>
      <c r="H14426" s="24"/>
      <c r="I14426" s="24"/>
      <c r="J14426" s="24"/>
      <c r="K14426" s="24"/>
    </row>
    <row r="14427" customFormat="false" ht="15" hidden="false" customHeight="false" outlineLevel="0" collapsed="false">
      <c r="A14427" s="5" t="s">
        <v>457</v>
      </c>
      <c r="C14427" s="25" t="n">
        <f aca="false">SUMPRODUCT(($C$14417:$C$14420=C14417)*$C$14412:$C$14415)</f>
        <v>216.2968</v>
      </c>
    </row>
    <row r="14428" customFormat="false" ht="15" hidden="false" customHeight="false" outlineLevel="0" collapsed="false">
      <c r="A14428" s="5" t="s">
        <v>458</v>
      </c>
      <c r="C14428" s="25" t="n">
        <f aca="false">SUMPRODUCT(($C$14417:$C$14420=C14418)*$C$14412:$C$14415)</f>
        <v>509.6</v>
      </c>
    </row>
    <row r="14429" customFormat="false" ht="15" hidden="false" customHeight="false" outlineLevel="0" collapsed="false">
      <c r="A14429" s="5" t="s">
        <v>459</v>
      </c>
      <c r="C14429" s="25" t="n">
        <f aca="false">SUMPRODUCT(($C$14417:$C$14420=C14419)*$C$14412:$C$14415)</f>
        <v>250</v>
      </c>
    </row>
    <row r="14430" customFormat="false" ht="15" hidden="false" customHeight="false" outlineLevel="0" collapsed="false">
      <c r="A14430" s="5" t="s">
        <v>460</v>
      </c>
      <c r="C14430" s="25" t="n">
        <f aca="false">SUMPRODUCT(($C$14417:$C$14420=C14420)*$C$14412:$C$14415)</f>
        <v>300</v>
      </c>
    </row>
    <row r="14431" customFormat="false" ht="15" hidden="false" customHeight="false" outlineLevel="0" collapsed="false">
      <c r="A14431" s="23" t="s">
        <v>469</v>
      </c>
      <c r="B14431" s="24"/>
      <c r="C14431" s="24"/>
      <c r="D14431" s="24"/>
      <c r="E14431" s="24"/>
      <c r="F14431" s="24"/>
      <c r="G14431" s="24"/>
      <c r="H14431" s="24"/>
      <c r="I14431" s="24"/>
      <c r="J14431" s="24"/>
      <c r="K14431" s="24"/>
    </row>
    <row r="14432" customFormat="false" ht="15" hidden="false" customHeight="false" outlineLevel="0" collapsed="false">
      <c r="A14432" s="5" t="s">
        <v>457</v>
      </c>
      <c r="C14432" s="25" t="n">
        <f aca="false">IF(C14427=0,0,C14412/C14427*MAX(0,MIN(C14427,$C$14385-SUM($C$14402:$C$14405)-C14422)))</f>
        <v>216.2968</v>
      </c>
    </row>
    <row r="14433" customFormat="false" ht="15" hidden="false" customHeight="false" outlineLevel="0" collapsed="false">
      <c r="A14433" s="5" t="s">
        <v>458</v>
      </c>
      <c r="C14433" s="25" t="n">
        <f aca="false">IF(C14428=0,0,C14413/C14428*MAX(0,MIN(C14428,$C$14385-SUM($C$14402:$C$14405)-C14423)))</f>
        <v>28.2507919999998</v>
      </c>
    </row>
    <row r="14434" customFormat="false" ht="15" hidden="false" customHeight="false" outlineLevel="0" collapsed="false">
      <c r="A14434" s="5" t="s">
        <v>459</v>
      </c>
      <c r="C14434" s="25" t="n">
        <f aca="false">IF(C14429=0,0,C14414/C14429*MAX(0,MIN(C14429,$C$14385-SUM($C$14402:$C$14405)-C14424)))</f>
        <v>0</v>
      </c>
    </row>
    <row r="14435" customFormat="false" ht="15" hidden="false" customHeight="false" outlineLevel="0" collapsed="false">
      <c r="A14435" s="5" t="s">
        <v>460</v>
      </c>
      <c r="C14435" s="25" t="n">
        <f aca="false">IF(C14430=0,0,C14415/C14430*MAX(0,MIN(C14430,$C$14385-SUM($C$14402:$C$14405)-C14425)))</f>
        <v>0</v>
      </c>
    </row>
    <row r="14436" customFormat="false" ht="15" hidden="false" customHeight="false" outlineLevel="0" collapsed="false">
      <c r="A14436" s="23" t="s">
        <v>470</v>
      </c>
      <c r="B14436" s="24"/>
      <c r="C14436" s="24"/>
      <c r="D14436" s="24"/>
      <c r="E14436" s="24"/>
      <c r="F14436" s="24"/>
      <c r="G14436" s="24"/>
      <c r="H14436" s="24"/>
      <c r="I14436" s="24"/>
      <c r="J14436" s="24"/>
      <c r="K14436" s="24"/>
    </row>
    <row r="14437" customFormat="false" ht="15" hidden="false" customHeight="false" outlineLevel="0" collapsed="false">
      <c r="A14437" s="2" t="s">
        <v>457</v>
      </c>
      <c r="C14437" s="16" t="n">
        <f aca="false">C14402+C14432</f>
        <v>216.2968</v>
      </c>
    </row>
    <row r="14438" customFormat="false" ht="15" hidden="false" customHeight="false" outlineLevel="0" collapsed="false">
      <c r="A14438" s="2" t="s">
        <v>458</v>
      </c>
      <c r="C14438" s="16" t="n">
        <f aca="false">C14403+C14433</f>
        <v>28.2507919999998</v>
      </c>
    </row>
    <row r="14439" customFormat="false" ht="15" hidden="false" customHeight="false" outlineLevel="0" collapsed="false">
      <c r="A14439" s="2" t="s">
        <v>459</v>
      </c>
      <c r="C14439" s="16" t="n">
        <f aca="false">C14404+C14434</f>
        <v>0</v>
      </c>
    </row>
    <row r="14440" customFormat="false" ht="15" hidden="false" customHeight="false" outlineLevel="0" collapsed="false">
      <c r="A14440" s="2" t="s">
        <v>460</v>
      </c>
      <c r="C14440" s="16" t="n">
        <f aca="false">C14405+C14435</f>
        <v>0</v>
      </c>
    </row>
    <row r="14441" customFormat="false" ht="15" hidden="false" customHeight="false" outlineLevel="0" collapsed="false">
      <c r="A14441" s="23" t="s">
        <v>471</v>
      </c>
      <c r="B14441" s="24"/>
      <c r="C14441" s="24"/>
      <c r="D14441" s="24"/>
      <c r="E14441" s="24"/>
      <c r="F14441" s="24"/>
      <c r="G14441" s="24"/>
      <c r="H14441" s="24"/>
      <c r="I14441" s="24"/>
      <c r="J14441" s="24"/>
      <c r="K14441" s="24"/>
    </row>
    <row r="14442" customFormat="false" ht="15" hidden="false" customHeight="false" outlineLevel="0" collapsed="false">
      <c r="A14442" s="5" t="s">
        <v>457</v>
      </c>
      <c r="C14442" s="21" t="n">
        <f aca="false">IF(C14387=0,1,C14437/C14387)</f>
        <v>1</v>
      </c>
    </row>
    <row r="14443" customFormat="false" ht="15" hidden="false" customHeight="false" outlineLevel="0" collapsed="false">
      <c r="A14443" s="5" t="s">
        <v>458</v>
      </c>
      <c r="C14443" s="21" t="n">
        <f aca="false">IF(C14388=0,1,C14438/C14388)</f>
        <v>0.0554371899529039</v>
      </c>
    </row>
    <row r="14444" customFormat="false" ht="15" hidden="false" customHeight="false" outlineLevel="0" collapsed="false">
      <c r="A14444" s="5" t="s">
        <v>459</v>
      </c>
      <c r="C14444" s="21" t="n">
        <f aca="false">IF(C14389=0,1,C14439/C14389)</f>
        <v>0</v>
      </c>
    </row>
    <row r="14445" customFormat="false" ht="15" hidden="false" customHeight="false" outlineLevel="0" collapsed="false">
      <c r="A14445" s="5" t="s">
        <v>460</v>
      </c>
      <c r="C14445" s="21" t="n">
        <f aca="false">IF(C14390=0,1,C14440/C14390)</f>
        <v>0</v>
      </c>
    </row>
    <row r="14446" customFormat="false" ht="15" hidden="false" customHeight="false" outlineLevel="0" collapsed="false">
      <c r="A14446" s="23" t="s">
        <v>472</v>
      </c>
      <c r="B14446" s="24"/>
      <c r="C14446" s="24"/>
      <c r="D14446" s="24"/>
      <c r="E14446" s="24"/>
      <c r="F14446" s="24"/>
      <c r="G14446" s="24"/>
      <c r="H14446" s="24"/>
      <c r="I14446" s="24"/>
      <c r="J14446" s="24"/>
      <c r="K14446" s="24"/>
    </row>
    <row r="14447" customFormat="false" ht="15" hidden="false" customHeight="false" outlineLevel="0" collapsed="false">
      <c r="A14447" s="5" t="s">
        <v>457</v>
      </c>
      <c r="C14447" s="25" t="n">
        <f aca="false">C14387-C14437</f>
        <v>0</v>
      </c>
    </row>
    <row r="14448" customFormat="false" ht="15" hidden="false" customHeight="false" outlineLevel="0" collapsed="false">
      <c r="A14448" s="5" t="s">
        <v>458</v>
      </c>
      <c r="C14448" s="25" t="n">
        <f aca="false">C14388-C14438</f>
        <v>481.349208</v>
      </c>
    </row>
    <row r="14449" customFormat="false" ht="15" hidden="false" customHeight="false" outlineLevel="0" collapsed="false">
      <c r="A14449" s="5" t="s">
        <v>459</v>
      </c>
      <c r="C14449" s="25" t="n">
        <f aca="false">C14389-C14439</f>
        <v>250</v>
      </c>
    </row>
    <row r="14450" customFormat="false" ht="15" hidden="false" customHeight="false" outlineLevel="0" collapsed="false">
      <c r="A14450" s="5" t="s">
        <v>460</v>
      </c>
      <c r="C14450" s="25" t="n">
        <f aca="false">C14390-C14440</f>
        <v>300</v>
      </c>
    </row>
    <row r="14451" customFormat="false" ht="15" hidden="false" customHeight="false" outlineLevel="0" collapsed="false">
      <c r="A14451" s="23" t="s">
        <v>473</v>
      </c>
      <c r="B14451" s="24"/>
      <c r="C14451" s="24"/>
      <c r="D14451" s="24"/>
      <c r="E14451" s="24"/>
      <c r="F14451" s="24"/>
      <c r="G14451" s="24"/>
      <c r="H14451" s="24"/>
      <c r="I14451" s="24"/>
      <c r="J14451" s="24"/>
      <c r="K14451" s="24"/>
    </row>
    <row r="14452" customFormat="false" ht="15" hidden="false" customHeight="false" outlineLevel="0" collapsed="false">
      <c r="A14452" s="5" t="s">
        <v>457</v>
      </c>
      <c r="C14452" s="21" t="n">
        <f aca="false">IF(C14387=0,0,C14447/C14387)</f>
        <v>0</v>
      </c>
    </row>
    <row r="14453" customFormat="false" ht="15" hidden="false" customHeight="false" outlineLevel="0" collapsed="false">
      <c r="A14453" s="5" t="s">
        <v>458</v>
      </c>
      <c r="C14453" s="21" t="n">
        <f aca="false">IF(C14388=0,0,C14448/C14388)</f>
        <v>0.944562810047096</v>
      </c>
    </row>
    <row r="14454" customFormat="false" ht="15" hidden="false" customHeight="false" outlineLevel="0" collapsed="false">
      <c r="A14454" s="5" t="s">
        <v>459</v>
      </c>
      <c r="C14454" s="21" t="n">
        <f aca="false">IF(C14389=0,0,C14449/C14389)</f>
        <v>1</v>
      </c>
    </row>
    <row r="14455" customFormat="false" ht="15" hidden="false" customHeight="false" outlineLevel="0" collapsed="false">
      <c r="A14455" s="5" t="s">
        <v>460</v>
      </c>
      <c r="C14455" s="21" t="n">
        <f aca="false">IF(C14390=0,0,C14450/C14390)</f>
        <v>1</v>
      </c>
    </row>
    <row r="14456" customFormat="false" ht="15" hidden="false" customHeight="false" outlineLevel="0" collapsed="false">
      <c r="A14456" s="2" t="s">
        <v>474</v>
      </c>
      <c r="C14456" s="16" t="n">
        <f aca="false">MAX(0,$C$14385-SUM($C$14402:$C$14405)-SUM($C$14412:$C$14415))</f>
        <v>0</v>
      </c>
    </row>
    <row r="14457" customFormat="false" ht="15" hidden="false" customHeight="false" outlineLevel="0" collapsed="false">
      <c r="A14457" s="5" t="s">
        <v>492</v>
      </c>
      <c r="C14457" s="33" t="n">
        <f aca="false">MIN(C14384,100*CHOOSE(C14374,C14442,C14443,C14444,C14445))</f>
        <v>5.54371899529039</v>
      </c>
    </row>
    <row r="14458" customFormat="false" ht="15" hidden="false" customHeight="false" outlineLevel="0" collapsed="false">
      <c r="A14458" s="5" t="s">
        <v>493</v>
      </c>
      <c r="C14458" s="20" t="n">
        <f aca="false">IF(C14290=1,C14379+Assumptions!$C$36,C14378)</f>
        <v>3</v>
      </c>
    </row>
    <row r="14459" customFormat="false" ht="15" hidden="false" customHeight="false" outlineLevel="0" collapsed="false">
      <c r="A14459" s="23" t="s">
        <v>494</v>
      </c>
      <c r="B14459" s="24"/>
      <c r="C14459" s="24"/>
      <c r="D14459" s="24"/>
      <c r="E14459" s="24"/>
      <c r="F14459" s="24"/>
      <c r="G14459" s="24"/>
      <c r="H14459" s="24"/>
      <c r="I14459" s="24"/>
      <c r="J14459" s="24"/>
      <c r="K14459" s="24"/>
    </row>
    <row r="14460" customFormat="false" ht="15" hidden="false" customHeight="false" outlineLevel="0" collapsed="false">
      <c r="A14460" s="5" t="s">
        <v>495</v>
      </c>
      <c r="C14460" s="20" t="n">
        <f aca="false">COLUMN()-COLUMN($C$1)</f>
        <v>0</v>
      </c>
      <c r="D14460" s="20" t="n">
        <f aca="false">COLUMN()-COLUMN($C$1)</f>
        <v>1</v>
      </c>
      <c r="E14460" s="20" t="n">
        <f aca="false">COLUMN()-COLUMN($C$1)</f>
        <v>2</v>
      </c>
      <c r="F14460" s="20" t="n">
        <f aca="false">COLUMN()-COLUMN($C$1)</f>
        <v>3</v>
      </c>
      <c r="G14460" s="20" t="n">
        <f aca="false">COLUMN()-COLUMN($C$1)</f>
        <v>4</v>
      </c>
      <c r="H14460" s="20" t="n">
        <f aca="false">COLUMN()-COLUMN($C$1)</f>
        <v>5</v>
      </c>
      <c r="I14460" s="20" t="n">
        <f aca="false">COLUMN()-COLUMN($C$1)</f>
        <v>6</v>
      </c>
    </row>
    <row r="14461" customFormat="false" ht="15" hidden="false" customHeight="false" outlineLevel="0" collapsed="false">
      <c r="A14461" s="5" t="s">
        <v>496</v>
      </c>
      <c r="D14461" s="30" t="n">
        <f aca="false">CHOOSE($C$14374,G14172,G14185,G14198,G14211)</f>
        <v>0.118</v>
      </c>
      <c r="E14461" s="30" t="n">
        <f aca="false">CHOOSE($C$14374,H14172,H14185,H14198,H14211)</f>
        <v>0.1155</v>
      </c>
      <c r="F14461" s="30" t="n">
        <f aca="false">CHOOSE($C$14374,I14172,I14185,I14198,I14211)</f>
        <v>0.113</v>
      </c>
      <c r="G14461" s="30" t="n">
        <f aca="false">CHOOSE($C$14374,J14172,J14185,J14198,J14211)</f>
        <v>0.113</v>
      </c>
      <c r="H14461" s="30" t="n">
        <f aca="false">CHOOSE($C$14374,K14172,K14185,K14198,K14211)</f>
        <v>0.113</v>
      </c>
    </row>
    <row r="14462" customFormat="false" ht="15" hidden="false" customHeight="false" outlineLevel="0" collapsed="false">
      <c r="A14462" s="5" t="s">
        <v>497</v>
      </c>
      <c r="D14462" s="25" t="n">
        <f aca="false">IF(D14460&lt;=$C$14383,$C$14375*D14461,0)</f>
        <v>11.8</v>
      </c>
      <c r="E14462" s="25" t="n">
        <f aca="false">IF(E14460&lt;=$C$14383,$C$14375*E14461,0)</f>
        <v>11.55</v>
      </c>
      <c r="F14462" s="25" t="n">
        <f aca="false">IF(F14460&lt;=$C$14383,$C$14375*F14461,0)</f>
        <v>0</v>
      </c>
      <c r="G14462" s="25" t="n">
        <f aca="false">IF(G14460&lt;=$C$14383,$C$14375*G14461,0)</f>
        <v>0</v>
      </c>
      <c r="H14462" s="25" t="n">
        <f aca="false">IF(H14460&lt;=$C$14383,$C$14375*H14461,0)</f>
        <v>0</v>
      </c>
    </row>
    <row r="14463" customFormat="false" ht="15" hidden="false" customHeight="false" outlineLevel="0" collapsed="false">
      <c r="A14463" s="5" t="s">
        <v>498</v>
      </c>
      <c r="D14463" s="25" t="n">
        <f aca="false">IF(AND($C$14290=0,D14460=$C$14378),$C$14375*$C$14457/100,0)+IF(AND($C$14290=1,D14460=$C$14458),$C$14381,0)</f>
        <v>0</v>
      </c>
      <c r="E14463" s="25" t="n">
        <f aca="false">IF(AND($C$14290=0,E14460=$C$14378),$C$14375*$C$14457/100,0)+IF(AND($C$14290=1,E14460=$C$14458),$C$14381,0)</f>
        <v>0</v>
      </c>
      <c r="F14463" s="25" t="n">
        <f aca="false">IF(AND($C$14290=0,F14460=$C$14378),$C$14375*$C$14457/100,0)+IF(AND($C$14290=1,F14460=$C$14458),$C$14381,0)</f>
        <v>56.4287463304553</v>
      </c>
      <c r="G14463" s="25" t="n">
        <f aca="false">IF(AND($C$14290=0,G14460=$C$14378),$C$14375*$C$14457/100,0)+IF(AND($C$14290=1,G14460=$C$14458),$C$14381,0)</f>
        <v>0</v>
      </c>
      <c r="H14463" s="25" t="n">
        <f aca="false">IF(AND($C$14290=0,H14460=$C$14378),$C$14375*$C$14457/100,0)+IF(AND($C$14290=1,H14460=$C$14458),$C$14381,0)</f>
        <v>0</v>
      </c>
      <c r="I14463" s="25" t="n">
        <f aca="false">IF(AND($C$14290=0,I14460=$C$14378),$C$14375*$C$14457/100,0)+IF(AND($C$14290=1,I14460=$C$14458),$C$14381,0)</f>
        <v>0</v>
      </c>
    </row>
    <row r="14464" customFormat="false" ht="15" hidden="false" customHeight="false" outlineLevel="0" collapsed="false">
      <c r="A14464" s="2" t="s">
        <v>499</v>
      </c>
      <c r="C14464" s="16" t="n">
        <f aca="false">-$C$14377</f>
        <v>-78.39</v>
      </c>
      <c r="D14464" s="16" t="n">
        <f aca="false">D14462+D14463</f>
        <v>11.8</v>
      </c>
      <c r="E14464" s="16" t="n">
        <f aca="false">E14462+E14463</f>
        <v>11.55</v>
      </c>
      <c r="F14464" s="16" t="n">
        <f aca="false">F14462+F14463</f>
        <v>56.4287463304553</v>
      </c>
      <c r="G14464" s="16" t="n">
        <f aca="false">G14462+G14463</f>
        <v>0</v>
      </c>
      <c r="H14464" s="16" t="n">
        <f aca="false">H14462+H14463</f>
        <v>0</v>
      </c>
      <c r="I14464" s="16" t="n">
        <f aca="false">I14462+I14463</f>
        <v>0</v>
      </c>
    </row>
    <row r="14465" customFormat="false" ht="15" hidden="false" customHeight="false" outlineLevel="0" collapsed="false">
      <c r="A14465" s="5" t="s">
        <v>500</v>
      </c>
      <c r="C14465" s="25" t="n">
        <f aca="false">SUM($C$14462:$I$14462)</f>
        <v>23.35</v>
      </c>
    </row>
    <row r="14466" customFormat="false" ht="15" hidden="false" customHeight="false" outlineLevel="0" collapsed="false">
      <c r="A14466" s="5" t="s">
        <v>501</v>
      </c>
      <c r="C14466" s="25" t="n">
        <f aca="false">SUM($C$14463:$I$14463)</f>
        <v>56.4287463304553</v>
      </c>
    </row>
    <row r="14467" customFormat="false" ht="15" hidden="false" customHeight="false" outlineLevel="0" collapsed="false">
      <c r="A14467" s="5" t="s">
        <v>502</v>
      </c>
      <c r="C14467" s="25" t="n">
        <f aca="false">C14465+C14466</f>
        <v>79.7787463304553</v>
      </c>
    </row>
    <row r="14468" customFormat="false" ht="15" hidden="false" customHeight="false" outlineLevel="0" collapsed="false">
      <c r="A14468" s="5" t="s">
        <v>503</v>
      </c>
      <c r="C14468" s="25" t="n">
        <f aca="false">C14466-C14375*C14376/100</f>
        <v>-21.5712536695447</v>
      </c>
    </row>
    <row r="14469" customFormat="false" ht="15" hidden="false" customHeight="false" outlineLevel="0" collapsed="false">
      <c r="A14469" s="5" t="s">
        <v>504</v>
      </c>
      <c r="C14469" s="25" t="n">
        <f aca="false">C14467-C14377</f>
        <v>1.38874633045526</v>
      </c>
    </row>
    <row r="14470" customFormat="false" ht="15" hidden="false" customHeight="false" outlineLevel="0" collapsed="false">
      <c r="A14470" s="2" t="s">
        <v>385</v>
      </c>
      <c r="C14470" s="43" t="n">
        <f aca="false">C14467/C14377</f>
        <v>1.01771586082989</v>
      </c>
    </row>
    <row r="14471" customFormat="false" ht="15" hidden="false" customHeight="false" outlineLevel="0" collapsed="false">
      <c r="A14471" s="2" t="s">
        <v>384</v>
      </c>
      <c r="C14471" s="41" t="n">
        <f aca="false">IF(C14467&lt;=0,-1,IFERROR(IRR($C$14464:$I$14464,MAX(-0.9,C14470^(1/C14458)-1)),IRR($C$14464:$I$14464,0.1)))</f>
        <v>0.00688989684099931</v>
      </c>
    </row>
    <row r="14472" customFormat="false" ht="15" hidden="false" customHeight="false" outlineLevel="0" collapsed="false">
      <c r="A14472" s="5" t="s">
        <v>505</v>
      </c>
      <c r="C14472" s="31" t="n">
        <f aca="false">MAX($G$14266:$K$14266)</f>
        <v>28.5681105622991</v>
      </c>
    </row>
    <row r="14473" customFormat="false" ht="15" hidden="false" customHeight="false" outlineLevel="0" collapsed="false">
      <c r="A14473" s="5" t="s">
        <v>506</v>
      </c>
      <c r="C14473" s="31" t="n">
        <f aca="false">MIN($G$14267:$K$14267)</f>
        <v>0.374027109660081</v>
      </c>
    </row>
    <row r="14474" customFormat="false" ht="15" hidden="false" customHeight="false" outlineLevel="0" collapsed="false">
      <c r="A14474" s="5" t="s">
        <v>507</v>
      </c>
      <c r="C14474" s="25" t="n">
        <f aca="false">SUM($G$14156:$K$14156)</f>
        <v>-481.4808823404</v>
      </c>
    </row>
    <row r="14478" customFormat="false" ht="15" hidden="false" customHeight="false" outlineLevel="0" collapsed="false">
      <c r="A14478" s="9" t="s">
        <v>667</v>
      </c>
      <c r="B14478" s="10"/>
      <c r="C14478" s="10"/>
      <c r="D14478" s="10"/>
      <c r="E14478" s="10"/>
      <c r="F14478" s="10"/>
      <c r="G14478" s="10"/>
      <c r="H14478" s="10"/>
      <c r="I14478" s="10"/>
      <c r="J14478" s="10"/>
      <c r="K14478" s="10"/>
    </row>
    <row r="14479" customFormat="false" ht="15" hidden="false" customHeight="false" outlineLevel="0" collapsed="false">
      <c r="A14479" s="5" t="s">
        <v>622</v>
      </c>
      <c r="C14479" s="11" t="n">
        <v>2</v>
      </c>
    </row>
    <row r="14480" customFormat="false" ht="15" hidden="false" customHeight="false" outlineLevel="0" collapsed="false">
      <c r="A14480" s="5" t="s">
        <v>623</v>
      </c>
      <c r="C14480" s="18" t="n">
        <v>0</v>
      </c>
    </row>
    <row r="14481" customFormat="false" ht="15" hidden="false" customHeight="false" outlineLevel="0" collapsed="false">
      <c r="A14481" s="5" t="s">
        <v>624</v>
      </c>
      <c r="C14481" s="18" t="n">
        <v>0</v>
      </c>
    </row>
    <row r="14482" customFormat="false" ht="15" hidden="false" customHeight="false" outlineLevel="0" collapsed="false">
      <c r="A14482" s="5" t="s">
        <v>625</v>
      </c>
      <c r="C14482" s="29" t="n">
        <f aca="false">Sensitivities!$A$53</f>
        <v>0.01</v>
      </c>
    </row>
    <row r="14483" customFormat="false" ht="15" hidden="false" customHeight="false" outlineLevel="0" collapsed="false">
      <c r="A14483" s="5" t="s">
        <v>626</v>
      </c>
      <c r="C14483" s="15" t="n">
        <v>0</v>
      </c>
    </row>
    <row r="14485" customFormat="false" ht="15" hidden="false" customHeight="false" outlineLevel="0" collapsed="false">
      <c r="A14485" s="23" t="s">
        <v>237</v>
      </c>
      <c r="B14485" s="24"/>
      <c r="C14485" s="24"/>
      <c r="D14485" s="24"/>
      <c r="E14485" s="24"/>
      <c r="F14485" s="24"/>
      <c r="G14485" s="24"/>
      <c r="H14485" s="24"/>
      <c r="I14485" s="24"/>
      <c r="J14485" s="24"/>
      <c r="K14485" s="24"/>
    </row>
    <row r="14486" customFormat="false" ht="15" hidden="false" customHeight="false" outlineLevel="0" collapsed="false">
      <c r="A14486" s="5" t="s">
        <v>238</v>
      </c>
      <c r="F14486" s="26" t="n">
        <f aca="false">Assumptions!$C$6</f>
        <v>2025</v>
      </c>
      <c r="G14486" s="20" t="n">
        <f aca="false">F14486+1</f>
        <v>2026</v>
      </c>
      <c r="H14486" s="20" t="n">
        <f aca="false">G14486+1</f>
        <v>2027</v>
      </c>
      <c r="I14486" s="20" t="n">
        <f aca="false">H14486+1</f>
        <v>2028</v>
      </c>
      <c r="J14486" s="20" t="n">
        <f aca="false">I14486+1</f>
        <v>2029</v>
      </c>
      <c r="K14486" s="20" t="n">
        <f aca="false">J14486+1</f>
        <v>2030</v>
      </c>
    </row>
    <row r="14487" customFormat="false" ht="15" hidden="false" customHeight="false" outlineLevel="0" collapsed="false">
      <c r="A14487" s="5" t="s">
        <v>239</v>
      </c>
      <c r="G14487" s="20" t="n">
        <f aca="false">G14486-Assumptions!$C$6</f>
        <v>1</v>
      </c>
      <c r="H14487" s="20" t="n">
        <f aca="false">H14486-Assumptions!$C$6</f>
        <v>2</v>
      </c>
      <c r="I14487" s="20" t="n">
        <f aca="false">I14486-Assumptions!$C$6</f>
        <v>3</v>
      </c>
      <c r="J14487" s="20" t="n">
        <f aca="false">J14486-Assumptions!$C$6</f>
        <v>4</v>
      </c>
      <c r="K14487" s="20" t="n">
        <f aca="false">K14486-Assumptions!$C$6</f>
        <v>5</v>
      </c>
    </row>
    <row r="14488" customFormat="false" ht="15" hidden="false" customHeight="false" outlineLevel="0" collapsed="false">
      <c r="A14488" s="5" t="s">
        <v>149</v>
      </c>
      <c r="G14488" s="21" t="n">
        <f aca="false">CHOOSE($C$14479,Assumptions!$G$65,Assumptions!$G$84,Assumptions!$G$103)+$C$14480</f>
        <v>-0.078</v>
      </c>
      <c r="H14488" s="21" t="n">
        <f aca="false">CHOOSE($C$14479,Assumptions!$H$65,Assumptions!$H$84,Assumptions!$H$103)+$C$14480</f>
        <v>-0.039</v>
      </c>
      <c r="I14488" s="21" t="n">
        <f aca="false">CHOOSE($C$14479,Assumptions!$I$65,Assumptions!$I$84,Assumptions!$I$103)+$C$14480</f>
        <v>-0.005</v>
      </c>
      <c r="J14488" s="21" t="n">
        <f aca="false">CHOOSE($C$14479,Assumptions!$J$65,Assumptions!$J$84,Assumptions!$J$103)+$C$14480</f>
        <v>-0.01</v>
      </c>
      <c r="K14488" s="21" t="n">
        <f aca="false">CHOOSE($C$14479,Assumptions!$K$65,Assumptions!$K$84,Assumptions!$K$103)+$C$14480</f>
        <v>-0.01</v>
      </c>
    </row>
    <row r="14489" customFormat="false" ht="15" hidden="false" customHeight="false" outlineLevel="0" collapsed="false">
      <c r="A14489" s="5" t="s">
        <v>150</v>
      </c>
      <c r="G14489" s="21" t="n">
        <f aca="false">CHOOSE($C$14479,Assumptions!$G$66,Assumptions!$G$85,Assumptions!$G$104)</f>
        <v>0.33</v>
      </c>
      <c r="H14489" s="21" t="n">
        <f aca="false">CHOOSE($C$14479,Assumptions!$H$66,Assumptions!$H$85,Assumptions!$H$104)</f>
        <v>0.318</v>
      </c>
      <c r="I14489" s="21" t="n">
        <f aca="false">CHOOSE($C$14479,Assumptions!$I$66,Assumptions!$I$85,Assumptions!$I$104)</f>
        <v>0.324</v>
      </c>
      <c r="J14489" s="21" t="n">
        <f aca="false">CHOOSE($C$14479,Assumptions!$J$66,Assumptions!$J$85,Assumptions!$J$104)</f>
        <v>0.33</v>
      </c>
      <c r="K14489" s="21" t="n">
        <f aca="false">CHOOSE($C$14479,Assumptions!$K$66,Assumptions!$K$85,Assumptions!$K$104)</f>
        <v>0.336</v>
      </c>
    </row>
    <row r="14490" customFormat="false" ht="15" hidden="false" customHeight="false" outlineLevel="0" collapsed="false">
      <c r="A14490" s="5" t="s">
        <v>151</v>
      </c>
      <c r="G14490" s="21" t="n">
        <f aca="false">CHOOSE($C$14479,Assumptions!$G$67,Assumptions!$G$86,Assumptions!$G$105)+$C$14481</f>
        <v>0.035</v>
      </c>
      <c r="H14490" s="21" t="n">
        <f aca="false">CHOOSE($C$14479,Assumptions!$H$67,Assumptions!$H$86,Assumptions!$H$105)+$C$14481</f>
        <v>0.023</v>
      </c>
      <c r="I14490" s="21" t="n">
        <f aca="false">CHOOSE($C$14479,Assumptions!$I$67,Assumptions!$I$86,Assumptions!$I$105)+$C$14481</f>
        <v>0.029</v>
      </c>
      <c r="J14490" s="21" t="n">
        <f aca="false">CHOOSE($C$14479,Assumptions!$J$67,Assumptions!$J$86,Assumptions!$J$105)+$C$14481</f>
        <v>0.035</v>
      </c>
      <c r="K14490" s="21" t="n">
        <f aca="false">CHOOSE($C$14479,Assumptions!$K$67,Assumptions!$K$86,Assumptions!$K$105)+$C$14481</f>
        <v>0.041</v>
      </c>
    </row>
    <row r="14491" customFormat="false" ht="15" hidden="false" customHeight="false" outlineLevel="0" collapsed="false">
      <c r="A14491" s="23" t="s">
        <v>240</v>
      </c>
      <c r="B14491" s="24"/>
      <c r="C14491" s="24"/>
      <c r="D14491" s="24"/>
      <c r="E14491" s="24"/>
      <c r="F14491" s="24"/>
      <c r="G14491" s="24"/>
      <c r="H14491" s="24"/>
      <c r="I14491" s="24"/>
      <c r="J14491" s="24"/>
      <c r="K14491" s="24"/>
    </row>
    <row r="14492" customFormat="false" ht="15" hidden="false" customHeight="false" outlineLevel="0" collapsed="false">
      <c r="A14492" s="2" t="s">
        <v>207</v>
      </c>
      <c r="F14492" s="27" t="n">
        <f aca="false">'Historical Financials'!E17</f>
        <v>2400</v>
      </c>
      <c r="G14492" s="16" t="n">
        <f aca="false">F14492*(1+G14488)</f>
        <v>2212.8</v>
      </c>
      <c r="H14492" s="16" t="n">
        <f aca="false">G14492*(1+H14488)</f>
        <v>2126.5008</v>
      </c>
      <c r="I14492" s="16" t="n">
        <f aca="false">H14492*(1+I14488)</f>
        <v>2115.868296</v>
      </c>
      <c r="J14492" s="16" t="n">
        <f aca="false">I14492*(1+J14488)</f>
        <v>2094.70961304</v>
      </c>
      <c r="K14492" s="16" t="n">
        <f aca="false">J14492*(1+K14488)</f>
        <v>2073.7625169096</v>
      </c>
    </row>
    <row r="14493" customFormat="false" ht="15" hidden="false" customHeight="false" outlineLevel="0" collapsed="false">
      <c r="A14493" s="5" t="s">
        <v>217</v>
      </c>
      <c r="G14493" s="25" t="n">
        <f aca="false">G14492*(1-G14489)</f>
        <v>1482.576</v>
      </c>
      <c r="H14493" s="25" t="n">
        <f aca="false">H14492*(1-H14489)</f>
        <v>1450.2735456</v>
      </c>
      <c r="I14493" s="25" t="n">
        <f aca="false">I14492*(1-I14489)</f>
        <v>1430.326968096</v>
      </c>
      <c r="J14493" s="25" t="n">
        <f aca="false">J14492*(1-J14489)</f>
        <v>1403.4554407368</v>
      </c>
      <c r="K14493" s="25" t="n">
        <f aca="false">K14492*(1-K14489)</f>
        <v>1376.97831122797</v>
      </c>
    </row>
    <row r="14494" customFormat="false" ht="15" hidden="false" customHeight="false" outlineLevel="0" collapsed="false">
      <c r="A14494" s="2" t="s">
        <v>218</v>
      </c>
      <c r="G14494" s="16" t="n">
        <f aca="false">G14492-G14493</f>
        <v>730.224</v>
      </c>
      <c r="H14494" s="16" t="n">
        <f aca="false">H14492-H14493</f>
        <v>676.2272544</v>
      </c>
      <c r="I14494" s="16" t="n">
        <f aca="false">I14492-I14493</f>
        <v>685.541327904</v>
      </c>
      <c r="J14494" s="16" t="n">
        <f aca="false">J14492-J14493</f>
        <v>691.2541723032</v>
      </c>
      <c r="K14494" s="16" t="n">
        <f aca="false">K14492-K14493</f>
        <v>696.784205681626</v>
      </c>
    </row>
    <row r="14495" customFormat="false" ht="15" hidden="false" customHeight="false" outlineLevel="0" collapsed="false">
      <c r="A14495" s="5" t="s">
        <v>241</v>
      </c>
      <c r="G14495" s="25" t="n">
        <f aca="false">G14494-G14496</f>
        <v>652.776</v>
      </c>
      <c r="H14495" s="25" t="n">
        <f aca="false">H14494-H14496</f>
        <v>627.317736</v>
      </c>
      <c r="I14495" s="25" t="n">
        <f aca="false">I14494-I14496</f>
        <v>624.18114732</v>
      </c>
      <c r="J14495" s="25" t="n">
        <f aca="false">J14494-J14496</f>
        <v>617.9393358468</v>
      </c>
      <c r="K14495" s="25" t="n">
        <f aca="false">K14494-K14496</f>
        <v>611.759942488332</v>
      </c>
    </row>
    <row r="14496" customFormat="false" ht="15" hidden="false" customHeight="false" outlineLevel="0" collapsed="false">
      <c r="A14496" s="2" t="s">
        <v>242</v>
      </c>
      <c r="G14496" s="16" t="n">
        <f aca="false">G14492*G14490</f>
        <v>77.448</v>
      </c>
      <c r="H14496" s="16" t="n">
        <f aca="false">H14492*H14490</f>
        <v>48.9095184</v>
      </c>
      <c r="I14496" s="16" t="n">
        <f aca="false">I14492*I14490</f>
        <v>61.360180584</v>
      </c>
      <c r="J14496" s="16" t="n">
        <f aca="false">J14492*J14490</f>
        <v>73.3148364564</v>
      </c>
      <c r="K14496" s="16" t="n">
        <f aca="false">K14492*K14490</f>
        <v>85.0242631932936</v>
      </c>
    </row>
    <row r="14497" customFormat="false" ht="15" hidden="false" customHeight="false" outlineLevel="0" collapsed="false">
      <c r="A14497" s="5" t="s">
        <v>243</v>
      </c>
      <c r="G14497" s="25" t="n">
        <f aca="false">G14492*'Historical Financials'!E22/'Historical Financials'!E17</f>
        <v>48.6816</v>
      </c>
      <c r="H14497" s="25" t="n">
        <f aca="false">H14492*'Historical Financials'!E22/'Historical Financials'!E17</f>
        <v>46.7830176</v>
      </c>
      <c r="I14497" s="25" t="n">
        <f aca="false">I14492*'Historical Financials'!E22/'Historical Financials'!E17</f>
        <v>46.549102512</v>
      </c>
      <c r="J14497" s="25" t="n">
        <f aca="false">J14492*'Historical Financials'!E22/'Historical Financials'!E17</f>
        <v>46.08361148688</v>
      </c>
      <c r="K14497" s="25" t="n">
        <f aca="false">K14492*'Historical Financials'!E22/'Historical Financials'!E17</f>
        <v>45.6227753720112</v>
      </c>
    </row>
    <row r="14498" customFormat="false" ht="15" hidden="false" customHeight="false" outlineLevel="0" collapsed="false">
      <c r="A14498" s="5" t="s">
        <v>244</v>
      </c>
      <c r="G14498" s="25" t="n">
        <f aca="false">G14492*'Historical Financials'!E23/'Historical Financials'!E17</f>
        <v>0</v>
      </c>
      <c r="H14498" s="25" t="n">
        <f aca="false">H14492*'Historical Financials'!E23/'Historical Financials'!E17</f>
        <v>0</v>
      </c>
      <c r="I14498" s="25" t="n">
        <f aca="false">I14492*'Historical Financials'!E23/'Historical Financials'!E17</f>
        <v>0</v>
      </c>
      <c r="J14498" s="25" t="n">
        <f aca="false">J14492*'Historical Financials'!E23/'Historical Financials'!E17</f>
        <v>0</v>
      </c>
      <c r="K14498" s="25" t="n">
        <f aca="false">K14492*'Historical Financials'!E23/'Historical Financials'!E17</f>
        <v>0</v>
      </c>
    </row>
    <row r="14499" customFormat="false" ht="15" hidden="false" customHeight="false" outlineLevel="0" collapsed="false">
      <c r="A14499" s="2" t="s">
        <v>245</v>
      </c>
      <c r="G14499" s="16" t="n">
        <f aca="false">G14496-G14497-G14498</f>
        <v>28.7664</v>
      </c>
      <c r="H14499" s="16" t="n">
        <f aca="false">H14496-H14497-H14498</f>
        <v>2.12650079999998</v>
      </c>
      <c r="I14499" s="16" t="n">
        <f aca="false">I14496-I14497-I14498</f>
        <v>14.811078072</v>
      </c>
      <c r="J14499" s="16" t="n">
        <f aca="false">J14496-J14497-J14498</f>
        <v>27.23122496952</v>
      </c>
      <c r="K14499" s="16" t="n">
        <f aca="false">K14496-K14497-K14498</f>
        <v>39.4014878212824</v>
      </c>
    </row>
    <row r="14500" customFormat="false" ht="15" hidden="false" customHeight="false" outlineLevel="0" collapsed="false">
      <c r="A14500" s="5" t="s">
        <v>246</v>
      </c>
      <c r="G14500" s="25" t="n">
        <f aca="false">G14526+G14539+G14552+G14565</f>
        <v>136.54</v>
      </c>
      <c r="H14500" s="25" t="n">
        <f aca="false">H14526+H14539+H14552+H14565</f>
        <v>138.8351028</v>
      </c>
      <c r="I14500" s="25" t="n">
        <f aca="false">I14526+I14539+I14552+I14565</f>
        <v>136.3502608</v>
      </c>
      <c r="J14500" s="25" t="n">
        <f aca="false">J14526+J14539+J14552+J14565</f>
        <v>135.7106608</v>
      </c>
      <c r="K14500" s="25" t="n">
        <f aca="false">K14526+K14539+K14552+K14565</f>
        <v>135.0710608</v>
      </c>
    </row>
    <row r="14501" customFormat="false" ht="15" hidden="false" customHeight="false" outlineLevel="0" collapsed="false">
      <c r="A14501" s="5" t="s">
        <v>247</v>
      </c>
      <c r="G14501" s="25" t="n">
        <f aca="false">G14527+G14540+G14553+G14566</f>
        <v>0</v>
      </c>
      <c r="H14501" s="25" t="n">
        <f aca="false">H14527+H14540+H14553+H14566</f>
        <v>0</v>
      </c>
      <c r="I14501" s="25" t="n">
        <f aca="false">I14527+I14540+I14553+I14566</f>
        <v>0</v>
      </c>
      <c r="J14501" s="25" t="n">
        <f aca="false">J14527+J14540+J14553+J14566</f>
        <v>0</v>
      </c>
      <c r="K14501" s="25" t="n">
        <f aca="false">K14527+K14540+K14553+K14566</f>
        <v>0</v>
      </c>
    </row>
    <row r="14502" customFormat="false" ht="15" hidden="false" customHeight="false" outlineLevel="0" collapsed="false">
      <c r="A14502" s="5" t="s">
        <v>212</v>
      </c>
      <c r="G14502" s="25" t="n">
        <f aca="false">G14500+G14501</f>
        <v>136.54</v>
      </c>
      <c r="H14502" s="25" t="n">
        <f aca="false">H14500+H14501</f>
        <v>138.8351028</v>
      </c>
      <c r="I14502" s="25" t="n">
        <f aca="false">I14500+I14501</f>
        <v>136.3502608</v>
      </c>
      <c r="J14502" s="25" t="n">
        <f aca="false">J14500+J14501</f>
        <v>135.7106608</v>
      </c>
      <c r="K14502" s="25" t="n">
        <f aca="false">K14500+K14501</f>
        <v>135.0710608</v>
      </c>
    </row>
    <row r="14503" customFormat="false" ht="15" hidden="false" customHeight="false" outlineLevel="0" collapsed="false">
      <c r="A14503" s="2" t="s">
        <v>223</v>
      </c>
      <c r="G14503" s="16" t="n">
        <f aca="false">G14499-G14502</f>
        <v>-107.7736</v>
      </c>
      <c r="H14503" s="16" t="n">
        <f aca="false">H14499-H14502</f>
        <v>-136.708602</v>
      </c>
      <c r="I14503" s="16" t="n">
        <f aca="false">I14499-I14502</f>
        <v>-121.539182728</v>
      </c>
      <c r="J14503" s="16" t="n">
        <f aca="false">J14499-J14502</f>
        <v>-108.47943583048</v>
      </c>
      <c r="K14503" s="16" t="n">
        <f aca="false">K14499-K14502</f>
        <v>-95.6695729787176</v>
      </c>
    </row>
    <row r="14504" customFormat="false" ht="15" hidden="false" customHeight="false" outlineLevel="0" collapsed="false">
      <c r="A14504" s="5" t="s">
        <v>213</v>
      </c>
      <c r="G14504" s="25" t="n">
        <f aca="false">MAX(0,G14503)*Assumptions!$C$9</f>
        <v>0</v>
      </c>
      <c r="H14504" s="25" t="n">
        <f aca="false">MAX(0,H14503)*Assumptions!$C$9</f>
        <v>0</v>
      </c>
      <c r="I14504" s="25" t="n">
        <f aca="false">MAX(0,I14503)*Assumptions!$C$9</f>
        <v>0</v>
      </c>
      <c r="J14504" s="25" t="n">
        <f aca="false">MAX(0,J14503)*Assumptions!$C$9</f>
        <v>0</v>
      </c>
      <c r="K14504" s="25" t="n">
        <f aca="false">MAX(0,K14503)*Assumptions!$C$9</f>
        <v>0</v>
      </c>
    </row>
    <row r="14505" customFormat="false" ht="15" hidden="false" customHeight="false" outlineLevel="0" collapsed="false">
      <c r="A14505" s="2" t="s">
        <v>248</v>
      </c>
      <c r="G14505" s="16" t="n">
        <f aca="false">G14503-G14504</f>
        <v>-107.7736</v>
      </c>
      <c r="H14505" s="16" t="n">
        <f aca="false">H14503-H14504</f>
        <v>-136.708602</v>
      </c>
      <c r="I14505" s="16" t="n">
        <f aca="false">I14503-I14504</f>
        <v>-121.539182728</v>
      </c>
      <c r="J14505" s="16" t="n">
        <f aca="false">J14503-J14504</f>
        <v>-108.47943583048</v>
      </c>
      <c r="K14505" s="16" t="n">
        <f aca="false">K14503-K14504</f>
        <v>-95.6695729787176</v>
      </c>
    </row>
    <row r="14506" customFormat="false" ht="15" hidden="false" customHeight="false" outlineLevel="0" collapsed="false">
      <c r="A14506" s="23" t="s">
        <v>249</v>
      </c>
      <c r="B14506" s="24"/>
      <c r="C14506" s="24"/>
      <c r="D14506" s="24"/>
      <c r="E14506" s="24"/>
      <c r="F14506" s="24"/>
      <c r="G14506" s="24"/>
      <c r="H14506" s="24"/>
      <c r="I14506" s="24"/>
      <c r="J14506" s="24"/>
      <c r="K14506" s="24"/>
    </row>
    <row r="14507" customFormat="false" ht="15" hidden="false" customHeight="false" outlineLevel="0" collapsed="false">
      <c r="A14507" s="5" t="s">
        <v>153</v>
      </c>
      <c r="G14507" s="25" t="n">
        <f aca="false">G14492*CHOOSE($C$14479,Assumptions!$C$69,Assumptions!$C$88,Assumptions!$C$107)</f>
        <v>42.0432</v>
      </c>
      <c r="H14507" s="25" t="n">
        <f aca="false">H14492*CHOOSE($C$14479,Assumptions!$C$69,Assumptions!$C$88,Assumptions!$C$107)</f>
        <v>40.4035152</v>
      </c>
      <c r="I14507" s="25" t="n">
        <f aca="false">I14492*CHOOSE($C$14479,Assumptions!$C$69,Assumptions!$C$88,Assumptions!$C$107)</f>
        <v>40.201497624</v>
      </c>
      <c r="J14507" s="25" t="n">
        <f aca="false">J14492*CHOOSE($C$14479,Assumptions!$C$69,Assumptions!$C$88,Assumptions!$C$107)</f>
        <v>39.79948264776</v>
      </c>
      <c r="K14507" s="25" t="n">
        <f aca="false">K14492*CHOOSE($C$14479,Assumptions!$C$69,Assumptions!$C$88,Assumptions!$C$107)</f>
        <v>39.4014878212824</v>
      </c>
    </row>
    <row r="14508" customFormat="false" ht="15" hidden="false" customHeight="false" outlineLevel="0" collapsed="false">
      <c r="A14508" s="5" t="s">
        <v>250</v>
      </c>
      <c r="G14508" s="25" t="n">
        <f aca="false">CHOOSE($C$14479,Assumptions!$C$70,Assumptions!$C$89,Assumptions!$C$108)*(G14492-F14492)+CHOOSE($C$14479,Assumptions!$C$71,Assumptions!$C$90,Assumptions!$C$109)*G14492</f>
        <v>-18.0384</v>
      </c>
      <c r="H14508" s="25" t="n">
        <f aca="false">CHOOSE($C$14479,Assumptions!$C$70,Assumptions!$C$89,Assumptions!$C$108)*(H14492-G14492)+CHOOSE($C$14479,Assumptions!$C$71,Assumptions!$C$90,Assumptions!$C$109)*H14492</f>
        <v>-6.10290239999999</v>
      </c>
      <c r="I14508" s="25" t="n">
        <f aca="false">CHOOSE($C$14479,Assumptions!$C$70,Assumptions!$C$89,Assumptions!$C$108)*(I14492-H14492)+CHOOSE($C$14479,Assumptions!$C$71,Assumptions!$C$90,Assumptions!$C$109)*I14492</f>
        <v>2.95583611199998</v>
      </c>
      <c r="J14508" s="25" t="n">
        <f aca="false">CHOOSE($C$14479,Assumptions!$C$70,Assumptions!$C$89,Assumptions!$C$108)*(J14492-I14492)+CHOOSE($C$14479,Assumptions!$C$71,Assumptions!$C$90,Assumptions!$C$109)*J14492</f>
        <v>1.65037727087999</v>
      </c>
      <c r="K14508" s="25" t="n">
        <f aca="false">CHOOSE($C$14479,Assumptions!$C$70,Assumptions!$C$89,Assumptions!$C$108)*(K14492-J14492)+CHOOSE($C$14479,Assumptions!$C$71,Assumptions!$C$90,Assumptions!$C$109)*K14492</f>
        <v>1.63387349817119</v>
      </c>
    </row>
    <row r="14509" customFormat="false" ht="15" hidden="false" customHeight="false" outlineLevel="0" collapsed="false">
      <c r="A14509" s="2" t="s">
        <v>251</v>
      </c>
      <c r="G14509" s="16" t="n">
        <f aca="false">G14505+G14497+G14498+G14501-G14507-G14508</f>
        <v>-83.0968</v>
      </c>
      <c r="H14509" s="16" t="n">
        <f aca="false">H14505+H14497+H14498+H14501-H14507-H14508</f>
        <v>-124.2261972</v>
      </c>
      <c r="I14509" s="16" t="n">
        <f aca="false">I14505+I14497+I14498+I14501-I14507-I14508</f>
        <v>-118.147413952</v>
      </c>
      <c r="J14509" s="16" t="n">
        <f aca="false">J14505+J14497+J14498+J14501-J14507-J14508</f>
        <v>-103.84568426224</v>
      </c>
      <c r="K14509" s="16" t="n">
        <f aca="false">K14505+K14497+K14498+K14501-K14507-K14508</f>
        <v>-91.08215892616</v>
      </c>
    </row>
    <row r="14511" customFormat="false" ht="15" hidden="false" customHeight="false" outlineLevel="0" collapsed="false">
      <c r="A14511" s="23" t="s">
        <v>253</v>
      </c>
      <c r="B14511" s="24"/>
      <c r="C14511" s="24"/>
      <c r="D14511" s="24"/>
      <c r="E14511" s="24"/>
      <c r="F14511" s="24"/>
      <c r="G14511" s="24"/>
      <c r="H14511" s="24"/>
      <c r="I14511" s="24"/>
      <c r="J14511" s="24"/>
      <c r="K14511" s="24"/>
    </row>
    <row r="14512" customFormat="false" ht="15" hidden="false" customHeight="false" outlineLevel="0" collapsed="false">
      <c r="A14512" s="5" t="s">
        <v>254</v>
      </c>
      <c r="G14512" s="29" t="n">
        <f aca="false">Assumptions!$G$49</f>
        <v>0.0425</v>
      </c>
      <c r="H14512" s="29" t="n">
        <f aca="false">Assumptions!$H$49</f>
        <v>0.04</v>
      </c>
      <c r="I14512" s="29" t="n">
        <f aca="false">Assumptions!$I$49</f>
        <v>0.0375</v>
      </c>
      <c r="J14512" s="29" t="n">
        <f aca="false">Assumptions!$J$49</f>
        <v>0.0375</v>
      </c>
      <c r="K14512" s="29" t="n">
        <f aca="false">Assumptions!$K$49</f>
        <v>0.0375</v>
      </c>
    </row>
    <row r="14513" customFormat="false" ht="15" hidden="false" customHeight="false" outlineLevel="0" collapsed="false">
      <c r="A14513" s="5" t="s">
        <v>255</v>
      </c>
      <c r="C14513" s="30" t="n">
        <f aca="false">CHOOSE($C$14479,Assumptions!$C$72,Assumptions!$C$91,Assumptions!$C$110)+$C$14482</f>
        <v>0.025</v>
      </c>
    </row>
    <row r="14514" customFormat="false" ht="15" hidden="false" customHeight="false" outlineLevel="0" collapsed="false">
      <c r="A14514" s="5" t="s">
        <v>256</v>
      </c>
      <c r="C14514" s="30" t="n">
        <f aca="false">CHOOSE($C$14479,Assumptions!$C$73,Assumptions!$C$92,Assumptions!$C$111)</f>
        <v>0.135</v>
      </c>
    </row>
    <row r="14515" customFormat="false" ht="15" hidden="false" customHeight="false" outlineLevel="0" collapsed="false">
      <c r="A14515" s="5" t="s">
        <v>257</v>
      </c>
      <c r="C14515" s="31" t="n">
        <f aca="false">CHOOSE($C$14479,Assumptions!$C$74,Assumptions!$C$93,Assumptions!$C$112)</f>
        <v>5.5</v>
      </c>
    </row>
    <row r="14516" customFormat="false" ht="15" hidden="false" customHeight="false" outlineLevel="0" collapsed="false">
      <c r="A14516" s="5" t="s">
        <v>258</v>
      </c>
      <c r="C14516" s="31" t="n">
        <f aca="false">CHOOSE($C$14479,Assumptions!$C$75,Assumptions!$C$94,Assumptions!$C$113)</f>
        <v>1.8</v>
      </c>
    </row>
    <row r="14517" customFormat="false" ht="15" hidden="false" customHeight="false" outlineLevel="0" collapsed="false">
      <c r="A14517" s="5" t="s">
        <v>259</v>
      </c>
      <c r="G14517" s="25" t="n">
        <f aca="false">G14522+G14535+G14548+G14561</f>
        <v>1250</v>
      </c>
      <c r="H14517" s="25" t="n">
        <f aca="false">H14522+H14535+H14548+H14561</f>
        <v>1288.0968</v>
      </c>
      <c r="I14517" s="25" t="n">
        <f aca="false">I14522+I14535+I14548+I14561</f>
        <v>1282.8968</v>
      </c>
      <c r="J14517" s="25" t="n">
        <f aca="false">J14522+J14535+J14548+J14561</f>
        <v>1277.6968</v>
      </c>
      <c r="K14517" s="25" t="n">
        <f aca="false">K14522+K14535+K14548+K14561</f>
        <v>1272.4968</v>
      </c>
    </row>
    <row r="14518" customFormat="false" ht="15" hidden="false" customHeight="false" outlineLevel="0" collapsed="false">
      <c r="A14518" s="5" t="s">
        <v>260</v>
      </c>
      <c r="G14518" s="25" t="n">
        <f aca="false">F14608</f>
        <v>45</v>
      </c>
      <c r="H14518" s="25" t="n">
        <f aca="false">G14608</f>
        <v>0</v>
      </c>
      <c r="I14518" s="25" t="n">
        <f aca="false">H14608</f>
        <v>-129.4261972</v>
      </c>
      <c r="J14518" s="25" t="n">
        <f aca="false">I14608</f>
        <v>-252.773611152</v>
      </c>
      <c r="K14518" s="25" t="n">
        <f aca="false">J14608</f>
        <v>-361.81929541424</v>
      </c>
    </row>
    <row r="14519" customFormat="false" ht="15" hidden="false" customHeight="false" outlineLevel="0" collapsed="false">
      <c r="A14519" s="5" t="s">
        <v>261</v>
      </c>
      <c r="G14519" s="25" t="n">
        <f aca="false">G14522*IF(G14523=1,$C$14514,IF(Assumptions!$I$53=1,MAX(G14512,Assumptions!$G$53)+Assumptions!$F$53+$C$14513,Assumptions!$E$53))+G14535*IF(G14536=1,$C$14514,IF(Assumptions!$I$54=1,MAX(G14512,Assumptions!$G$54)+Assumptions!$F$54+$C$14513,Assumptions!$E$54))+G14548*IF(G14549=1,$C$14514,IF(Assumptions!$I$55=1,MAX(G14512,Assumptions!$G$55)+Assumptions!$F$55+$C$14513,Assumptions!$E$55))+G14561*IF(G14562=1,$C$14514,IF(Assumptions!$I$56=1,MAX(G14512,Assumptions!$G$56)+Assumptions!$F$56+$C$14513,Assumptions!$E$56))</f>
        <v>136.54</v>
      </c>
      <c r="H14519" s="25" t="n">
        <f aca="false">H14522*IF(OR(H14523=1,G14674=1),$C$14514,IF(Assumptions!$I$53=1,MAX(H14512,Assumptions!$G$53)+Assumptions!$F$53+$C$14513,Assumptions!$E$53))+H14535*IF(OR(H14536=1,G14675=1),$C$14514,IF(Assumptions!$I$54=1,MAX(H14512,Assumptions!$G$54)+Assumptions!$F$54+$C$14513,Assumptions!$E$54))+H14548*IF(OR(H14549=1,G14676=1),$C$14514,IF(Assumptions!$I$55=1,MAX(H14512,Assumptions!$G$55)+Assumptions!$F$55+$C$14513,Assumptions!$E$55))+H14561*IF(OR(H14562=1,G14677=1),$C$14514,IF(Assumptions!$I$56=1,MAX(H14512,Assumptions!$G$56)+Assumptions!$F$56+$C$14513,Assumptions!$E$56))</f>
        <v>162.752468</v>
      </c>
      <c r="I14519" s="25" t="n">
        <f aca="false">I14522*IF(OR(I14523=1,H14674=1),$C$14514,IF(Assumptions!$I$53=1,MAX(I14512,Assumptions!$G$53)+Assumptions!$F$53+$C$14513,Assumptions!$E$53))+I14535*IF(OR(I14536=1,H14675=1),$C$14514,IF(Assumptions!$I$54=1,MAX(I14512,Assumptions!$G$54)+Assumptions!$F$54+$C$14513,Assumptions!$E$54))+I14548*IF(OR(I14549=1,H14676=1),$C$14514,IF(Assumptions!$I$55=1,MAX(I14512,Assumptions!$G$55)+Assumptions!$F$55+$C$14513,Assumptions!$E$55))+I14561*IF(OR(I14562=1,H14677=1),$C$14514,IF(Assumptions!$I$56=1,MAX(I14512,Assumptions!$G$56)+Assumptions!$F$56+$C$14513,Assumptions!$E$56))</f>
        <v>142.4654608</v>
      </c>
      <c r="J14519" s="25" t="n">
        <f aca="false">J14522*IF(OR(J14523=1,I14674=1),$C$14514,IF(Assumptions!$I$53=1,MAX(J14512,Assumptions!$G$53)+Assumptions!$F$53+$C$14513,Assumptions!$E$53))+J14535*IF(OR(J14536=1,I14675=1),$C$14514,IF(Assumptions!$I$54=1,MAX(J14512,Assumptions!$G$54)+Assumptions!$F$54+$C$14513,Assumptions!$E$54))+J14548*IF(OR(J14549=1,I14676=1),$C$14514,IF(Assumptions!$I$55=1,MAX(J14512,Assumptions!$G$55)+Assumptions!$F$55+$C$14513,Assumptions!$E$55))+J14561*IF(OR(J14562=1,I14677=1),$C$14514,IF(Assumptions!$I$56=1,MAX(J14512,Assumptions!$G$56)+Assumptions!$F$56+$C$14513,Assumptions!$E$56))</f>
        <v>141.9606608</v>
      </c>
      <c r="K14519" s="25" t="n">
        <f aca="false">K14522*IF(OR(K14523=1,J14674=1),$C$14514,IF(Assumptions!$I$53=1,MAX(K14512,Assumptions!$G$53)+Assumptions!$F$53+$C$14513,Assumptions!$E$53))+K14535*IF(OR(K14536=1,J14675=1),$C$14514,IF(Assumptions!$I$54=1,MAX(K14512,Assumptions!$G$54)+Assumptions!$F$54+$C$14513,Assumptions!$E$54))+K14548*IF(OR(K14549=1,J14676=1),$C$14514,IF(Assumptions!$I$55=1,MAX(K14512,Assumptions!$G$55)+Assumptions!$F$55+$C$14513,Assumptions!$E$55))+K14561*IF(OR(K14562=1,J14677=1),$C$14514,IF(Assumptions!$I$56=1,MAX(K14512,Assumptions!$G$56)+Assumptions!$F$56+$C$14513,Assumptions!$E$56))</f>
        <v>135.0710608</v>
      </c>
    </row>
    <row r="14520" customFormat="false" ht="15" hidden="false" customHeight="false" outlineLevel="0" collapsed="false">
      <c r="A14520" s="5" t="s">
        <v>262</v>
      </c>
      <c r="G14520" s="20" t="n">
        <f aca="false">IF(G14496&lt;=0,0,IF(AND((G14517-G14518)/G14496&lt;=$C$14515,G14496/G14519&gt;=$C$14516),1,0))</f>
        <v>0</v>
      </c>
      <c r="H14520" s="20" t="n">
        <f aca="false">IF(H14496&lt;=0,0,IF(AND((H14517-H14518)/H14496&lt;=$C$14515,H14496/H14519&gt;=$C$14516),1,0))</f>
        <v>0</v>
      </c>
      <c r="I14520" s="20" t="n">
        <f aca="false">IF(I14496&lt;=0,0,IF(AND((I14517-I14518)/I14496&lt;=$C$14515,I14496/I14519&gt;=$C$14516),1,0))</f>
        <v>0</v>
      </c>
      <c r="J14520" s="20" t="n">
        <f aca="false">IF(J14496&lt;=0,0,IF(AND((J14517-J14518)/J14496&lt;=$C$14515,J14496/J14519&gt;=$C$14516),1,0))</f>
        <v>0</v>
      </c>
      <c r="K14520" s="20" t="n">
        <f aca="false">IF(K14496&lt;=0,0,IF(AND((K14517-K14518)/K14496&lt;=$C$14515,K14496/K14519&gt;=$C$14516),1,0))</f>
        <v>0</v>
      </c>
    </row>
    <row r="14521" customFormat="false" ht="15" hidden="false" customHeight="false" outlineLevel="0" collapsed="false">
      <c r="A14521" s="23" t="s">
        <v>263</v>
      </c>
      <c r="B14521" s="24"/>
      <c r="C14521" s="24"/>
      <c r="D14521" s="24"/>
      <c r="E14521" s="24"/>
      <c r="F14521" s="24"/>
      <c r="G14521" s="24"/>
      <c r="H14521" s="24"/>
      <c r="I14521" s="24"/>
      <c r="J14521" s="24"/>
      <c r="K14521" s="24"/>
    </row>
    <row r="14522" customFormat="false" ht="15" hidden="false" customHeight="false" outlineLevel="0" collapsed="false">
      <c r="A14522" s="5" t="s">
        <v>264</v>
      </c>
      <c r="G14522" s="25" t="n">
        <f aca="false">F14533</f>
        <v>180</v>
      </c>
      <c r="H14522" s="25" t="n">
        <f aca="false">G14533</f>
        <v>223.2968</v>
      </c>
      <c r="I14522" s="25" t="n">
        <f aca="false">H14533</f>
        <v>223.2968</v>
      </c>
      <c r="J14522" s="25" t="n">
        <f aca="false">I14533</f>
        <v>223.2968</v>
      </c>
      <c r="K14522" s="25" t="n">
        <f aca="false">J14533</f>
        <v>223.2968</v>
      </c>
    </row>
    <row r="14523" customFormat="false" ht="15" hidden="false" customHeight="false" outlineLevel="0" collapsed="false">
      <c r="A14523" s="5" t="s">
        <v>265</v>
      </c>
      <c r="G14523" s="20" t="n">
        <f aca="false">IF(G14486=Assumptions!$K$53,1,0)</f>
        <v>0</v>
      </c>
      <c r="H14523" s="20" t="n">
        <f aca="false">IF(H14486=Assumptions!$K$53,1,0)</f>
        <v>1</v>
      </c>
      <c r="I14523" s="20" t="n">
        <f aca="false">IF(I14486=Assumptions!$K$53,1,0)</f>
        <v>0</v>
      </c>
      <c r="J14523" s="20" t="n">
        <f aca="false">IF(J14486=Assumptions!$K$53,1,0)</f>
        <v>0</v>
      </c>
      <c r="K14523" s="20" t="n">
        <f aca="false">IF(K14486=Assumptions!$K$53,1,0)</f>
        <v>0</v>
      </c>
    </row>
    <row r="14525" customFormat="false" ht="15" hidden="false" customHeight="false" outlineLevel="0" collapsed="false">
      <c r="A14525" s="5" t="s">
        <v>266</v>
      </c>
      <c r="G14525" s="30" t="n">
        <f aca="false">IF(Assumptions!$I$53=1,MAX(G14512,Assumptions!$G$53)+Assumptions!$F$53+$C$14513,Assumptions!$E$53)</f>
        <v>0.111</v>
      </c>
      <c r="H14525" s="30" t="n">
        <f aca="false">IF(G14674=1,$C$14514,IF(Assumptions!$I$53=1,MAX(H14512,Assumptions!$G$53)+Assumptions!$F$53+$C$14513,Assumptions!$E$53))</f>
        <v>0.1085</v>
      </c>
      <c r="I14525" s="30" t="n">
        <f aca="false">IF(H14674=1,$C$14514,IF(Assumptions!$I$53=1,MAX(I14512,Assumptions!$G$53)+Assumptions!$F$53+$C$14513,Assumptions!$E$53))</f>
        <v>0.106</v>
      </c>
      <c r="J14525" s="30" t="n">
        <f aca="false">IF(I14674=1,$C$14514,IF(Assumptions!$I$53=1,MAX(J14512,Assumptions!$G$53)+Assumptions!$F$53+$C$14513,Assumptions!$E$53))</f>
        <v>0.106</v>
      </c>
      <c r="K14525" s="30" t="n">
        <f aca="false">IF(J14674=1,$C$14514,IF(Assumptions!$I$53=1,MAX(K14512,Assumptions!$G$53)+Assumptions!$F$53+$C$14513,Assumptions!$E$53))</f>
        <v>0.106</v>
      </c>
    </row>
    <row r="14526" customFormat="false" ht="15" hidden="false" customHeight="false" outlineLevel="0" collapsed="false">
      <c r="A14526" s="5" t="s">
        <v>267</v>
      </c>
      <c r="G14526" s="25" t="n">
        <f aca="false">G14522*G14525</f>
        <v>19.98</v>
      </c>
      <c r="H14526" s="25" t="n">
        <f aca="false">H14522*H14525</f>
        <v>24.2277028</v>
      </c>
      <c r="I14526" s="25" t="n">
        <f aca="false">I14522*I14525</f>
        <v>23.6694608</v>
      </c>
      <c r="J14526" s="25" t="n">
        <f aca="false">J14522*J14525</f>
        <v>23.6694608</v>
      </c>
      <c r="K14526" s="25" t="n">
        <f aca="false">K14522*K14525</f>
        <v>23.6694608</v>
      </c>
    </row>
    <row r="14527" customFormat="false" ht="15" hidden="false" customHeight="false" outlineLevel="0" collapsed="false">
      <c r="A14527" s="5" t="s">
        <v>268</v>
      </c>
      <c r="G14527" s="25" t="n">
        <f aca="false">G14522*Assumptions!$H$53</f>
        <v>0</v>
      </c>
      <c r="H14527" s="25" t="n">
        <f aca="false">H14522*Assumptions!$H$53</f>
        <v>0</v>
      </c>
      <c r="I14527" s="25" t="n">
        <f aca="false">I14522*Assumptions!$H$53</f>
        <v>0</v>
      </c>
      <c r="J14527" s="25" t="n">
        <f aca="false">J14522*Assumptions!$H$53</f>
        <v>0</v>
      </c>
      <c r="K14527" s="25" t="n">
        <f aca="false">K14522*Assumptions!$H$53</f>
        <v>0</v>
      </c>
    </row>
    <row r="14528" customFormat="false" ht="15" hidden="false" customHeight="false" outlineLevel="0" collapsed="false">
      <c r="A14528" s="5" t="s">
        <v>269</v>
      </c>
      <c r="G14528" s="25" t="n">
        <f aca="false">MIN(G14522,Assumptions!$L$53*Assumptions!$C$53)</f>
        <v>0</v>
      </c>
      <c r="H14528" s="25" t="n">
        <f aca="false">MIN(H14522,Assumptions!$L$53*Assumptions!$C$53)</f>
        <v>0</v>
      </c>
      <c r="I14528" s="25" t="n">
        <f aca="false">MIN(I14522,Assumptions!$L$53*Assumptions!$C$53)</f>
        <v>0</v>
      </c>
      <c r="J14528" s="25" t="n">
        <f aca="false">MIN(J14522,Assumptions!$L$53*Assumptions!$C$53)</f>
        <v>0</v>
      </c>
      <c r="K14528" s="25" t="n">
        <f aca="false">MIN(K14522,Assumptions!$L$53*Assumptions!$C$53)</f>
        <v>0</v>
      </c>
    </row>
    <row r="14529" customFormat="false" ht="15" hidden="false" customHeight="false" outlineLevel="0" collapsed="false">
      <c r="A14529" s="5" t="s">
        <v>270</v>
      </c>
      <c r="G14529" s="25" t="n">
        <f aca="false">IF(AND(Assumptions!$P$53=1,G14486&lt;Assumptions!$K$53),MIN(MAX(0,-G14600),MAX(0,Assumptions!$D$53-G14522)),0)</f>
        <v>43.2968</v>
      </c>
      <c r="H14529" s="25" t="n">
        <f aca="false">IF(AND(Assumptions!$P$53=1,OR(H14486&lt;Assumptions!$K$53,G14674=1)),MIN(MAX(0,-H14600),MAX(0,Assumptions!$D$53-H14522)),0)</f>
        <v>0</v>
      </c>
      <c r="I14529" s="25" t="n">
        <f aca="false">IF(AND(Assumptions!$P$53=1,OR(I14486&lt;Assumptions!$K$53,H14674=1)),MIN(MAX(0,-I14600),MAX(0,Assumptions!$D$53-I14522)),0)</f>
        <v>0</v>
      </c>
      <c r="J14529" s="25" t="n">
        <f aca="false">IF(AND(Assumptions!$P$53=1,OR(J14486&lt;Assumptions!$K$53,I14674=1)),MIN(MAX(0,-J14600),MAX(0,Assumptions!$D$53-J14522)),0)</f>
        <v>0</v>
      </c>
      <c r="K14529" s="25" t="n">
        <f aca="false">IF(AND(Assumptions!$P$53=1,OR(K14486&lt;Assumptions!$K$53,J14674=1)),MIN(MAX(0,-K14600),MAX(0,Assumptions!$D$53-K14522)),0)</f>
        <v>0</v>
      </c>
    </row>
    <row r="14530" customFormat="false" ht="15" hidden="false" customHeight="false" outlineLevel="0" collapsed="false">
      <c r="A14530" s="5" t="s">
        <v>271</v>
      </c>
      <c r="G14530" s="25" t="n">
        <f aca="false">G14523*MIN(G14522-G14528+G14527,MAX(0,G14602-Assumptions!$C$12*G14520))</f>
        <v>0</v>
      </c>
      <c r="H14530" s="25" t="n">
        <f aca="false">H14523*MIN(H14522-H14528+H14527,MAX(0,H14602-Assumptions!$C$12*H14520))</f>
        <v>0</v>
      </c>
      <c r="I14530" s="25" t="n">
        <f aca="false">I14523*MIN(I14522-I14528+I14527,MAX(0,I14602-Assumptions!$C$12*I14520))</f>
        <v>0</v>
      </c>
      <c r="J14530" s="25" t="n">
        <f aca="false">J14523*MIN(J14522-J14528+J14527,MAX(0,J14602-Assumptions!$C$12*J14520))</f>
        <v>0</v>
      </c>
      <c r="K14530" s="25" t="n">
        <f aca="false">K14523*MIN(K14522-K14528+K14527,MAX(0,K14602-Assumptions!$C$12*K14520))</f>
        <v>0</v>
      </c>
    </row>
    <row r="14531" customFormat="false" ht="15" hidden="false" customHeight="false" outlineLevel="0" collapsed="false">
      <c r="A14531" s="5" t="s">
        <v>272</v>
      </c>
      <c r="G14531" s="25" t="n">
        <f aca="false">Assumptions!$N$53*MIN(G14522+G14529+G14527-G14528-G14530,MAX(0,G14606))</f>
        <v>0</v>
      </c>
      <c r="H14531" s="25" t="n">
        <f aca="false">Assumptions!$N$53*MIN(H14522+H14529+H14527-H14528-H14530,MAX(0,H14606))</f>
        <v>0</v>
      </c>
      <c r="I14531" s="25" t="n">
        <f aca="false">Assumptions!$N$53*MIN(I14522+I14529+I14527-I14528-I14530,MAX(0,I14606))</f>
        <v>0</v>
      </c>
      <c r="J14531" s="25" t="n">
        <f aca="false">Assumptions!$N$53*MIN(J14522+J14529+J14527-J14528-J14530,MAX(0,J14606))</f>
        <v>0</v>
      </c>
      <c r="K14531" s="25" t="n">
        <f aca="false">Assumptions!$N$53*MIN(K14522+K14529+K14527-K14528-K14530,MAX(0,K14606))</f>
        <v>0</v>
      </c>
    </row>
    <row r="14532" customFormat="false" ht="15" hidden="false" customHeight="false" outlineLevel="0" collapsed="false">
      <c r="A14532" s="5" t="s">
        <v>273</v>
      </c>
      <c r="G14532" s="25" t="n">
        <f aca="false">G14523*(1-G14520)*(G14522-G14528+G14527-G14530)</f>
        <v>0</v>
      </c>
      <c r="H14532" s="25" t="n">
        <f aca="false">H14523*(1-H14520)*(H14522-H14528+H14527-H14530)</f>
        <v>223.2968</v>
      </c>
      <c r="I14532" s="25" t="n">
        <f aca="false">I14523*(1-I14520)*(I14522-I14528+I14527-I14530)</f>
        <v>0</v>
      </c>
      <c r="J14532" s="25" t="n">
        <f aca="false">J14523*(1-J14520)*(J14522-J14528+J14527-J14530)</f>
        <v>0</v>
      </c>
      <c r="K14532" s="25" t="n">
        <f aca="false">K14523*(1-K14520)*(K14522-K14528+K14527-K14530)</f>
        <v>0</v>
      </c>
    </row>
    <row r="14533" customFormat="false" ht="15" hidden="false" customHeight="false" outlineLevel="0" collapsed="false">
      <c r="A14533" s="2" t="s">
        <v>274</v>
      </c>
      <c r="F14533" s="27" t="n">
        <f aca="false">Assumptions!$C$53</f>
        <v>180</v>
      </c>
      <c r="G14533" s="16" t="n">
        <f aca="false">G14522+G14529+G14527-G14528-G14530-G14531</f>
        <v>223.2968</v>
      </c>
      <c r="H14533" s="16" t="n">
        <f aca="false">H14522+H14529+H14527-H14528-H14530-H14531</f>
        <v>223.2968</v>
      </c>
      <c r="I14533" s="16" t="n">
        <f aca="false">I14522+I14529+I14527-I14528-I14530-I14531</f>
        <v>223.2968</v>
      </c>
      <c r="J14533" s="16" t="n">
        <f aca="false">J14522+J14529+J14527-J14528-J14530-J14531</f>
        <v>223.2968</v>
      </c>
      <c r="K14533" s="16" t="n">
        <f aca="false">K14522+K14529+K14527-K14528-K14530-K14531</f>
        <v>223.2968</v>
      </c>
    </row>
    <row r="14534" customFormat="false" ht="15" hidden="false" customHeight="false" outlineLevel="0" collapsed="false">
      <c r="A14534" s="23" t="s">
        <v>275</v>
      </c>
      <c r="B14534" s="24"/>
      <c r="C14534" s="24"/>
      <c r="D14534" s="24"/>
      <c r="E14534" s="24"/>
      <c r="F14534" s="24"/>
      <c r="G14534" s="24"/>
      <c r="H14534" s="24"/>
      <c r="I14534" s="24"/>
      <c r="J14534" s="24"/>
      <c r="K14534" s="24"/>
    </row>
    <row r="14535" customFormat="false" ht="15" hidden="false" customHeight="false" outlineLevel="0" collapsed="false">
      <c r="A14535" s="5" t="s">
        <v>264</v>
      </c>
      <c r="G14535" s="25" t="n">
        <f aca="false">F14546</f>
        <v>520</v>
      </c>
      <c r="H14535" s="25" t="n">
        <f aca="false">G14546</f>
        <v>514.8</v>
      </c>
      <c r="I14535" s="25" t="n">
        <f aca="false">H14546</f>
        <v>509.6</v>
      </c>
      <c r="J14535" s="25" t="n">
        <f aca="false">I14546</f>
        <v>504.4</v>
      </c>
      <c r="K14535" s="25" t="n">
        <f aca="false">J14546</f>
        <v>499.2</v>
      </c>
    </row>
    <row r="14536" customFormat="false" ht="15" hidden="false" customHeight="false" outlineLevel="0" collapsed="false">
      <c r="A14536" s="5" t="s">
        <v>265</v>
      </c>
      <c r="G14536" s="20" t="n">
        <f aca="false">IF(G14486=Assumptions!$K$54,1,0)</f>
        <v>0</v>
      </c>
      <c r="H14536" s="20" t="n">
        <f aca="false">IF(H14486=Assumptions!$K$54,1,0)</f>
        <v>0</v>
      </c>
      <c r="I14536" s="20" t="n">
        <f aca="false">IF(I14486=Assumptions!$K$54,1,0)</f>
        <v>1</v>
      </c>
      <c r="J14536" s="20" t="n">
        <f aca="false">IF(J14486=Assumptions!$K$54,1,0)</f>
        <v>0</v>
      </c>
      <c r="K14536" s="20" t="n">
        <f aca="false">IF(K14486=Assumptions!$K$54,1,0)</f>
        <v>0</v>
      </c>
    </row>
    <row r="14538" customFormat="false" ht="15" hidden="false" customHeight="false" outlineLevel="0" collapsed="false">
      <c r="A14538" s="5" t="s">
        <v>266</v>
      </c>
      <c r="G14538" s="30" t="n">
        <f aca="false">IF(Assumptions!$I$54=1,MAX(G14512,Assumptions!$G$54)+Assumptions!$F$54+$C$14513,Assumptions!$E$54)</f>
        <v>0.128</v>
      </c>
      <c r="H14538" s="30" t="n">
        <f aca="false">IF(G14675=1,$C$14514,IF(Assumptions!$I$54=1,MAX(H14512,Assumptions!$G$54)+Assumptions!$F$54+$C$14513,Assumptions!$E$54))</f>
        <v>0.1255</v>
      </c>
      <c r="I14538" s="30" t="n">
        <f aca="false">IF(H14675=1,$C$14514,IF(Assumptions!$I$54=1,MAX(I14512,Assumptions!$G$54)+Assumptions!$F$54+$C$14513,Assumptions!$E$54))</f>
        <v>0.123</v>
      </c>
      <c r="J14538" s="30" t="n">
        <f aca="false">IF(I14675=1,$C$14514,IF(Assumptions!$I$54=1,MAX(J14512,Assumptions!$G$54)+Assumptions!$F$54+$C$14513,Assumptions!$E$54))</f>
        <v>0.123</v>
      </c>
      <c r="K14538" s="30" t="n">
        <f aca="false">IF(J14675=1,$C$14514,IF(Assumptions!$I$54=1,MAX(K14512,Assumptions!$G$54)+Assumptions!$F$54+$C$14513,Assumptions!$E$54))</f>
        <v>0.123</v>
      </c>
    </row>
    <row r="14539" customFormat="false" ht="15" hidden="false" customHeight="false" outlineLevel="0" collapsed="false">
      <c r="A14539" s="5" t="s">
        <v>267</v>
      </c>
      <c r="G14539" s="25" t="n">
        <f aca="false">G14535*G14538</f>
        <v>66.56</v>
      </c>
      <c r="H14539" s="25" t="n">
        <f aca="false">H14535*H14538</f>
        <v>64.6074</v>
      </c>
      <c r="I14539" s="25" t="n">
        <f aca="false">I14535*I14538</f>
        <v>62.6808</v>
      </c>
      <c r="J14539" s="25" t="n">
        <f aca="false">J14535*J14538</f>
        <v>62.0412</v>
      </c>
      <c r="K14539" s="25" t="n">
        <f aca="false">K14535*K14538</f>
        <v>61.4016</v>
      </c>
    </row>
    <row r="14540" customFormat="false" ht="15" hidden="false" customHeight="false" outlineLevel="0" collapsed="false">
      <c r="A14540" s="5" t="s">
        <v>268</v>
      </c>
      <c r="G14540" s="25" t="n">
        <f aca="false">G14535*Assumptions!$H$54</f>
        <v>0</v>
      </c>
      <c r="H14540" s="25" t="n">
        <f aca="false">H14535*Assumptions!$H$54</f>
        <v>0</v>
      </c>
      <c r="I14540" s="25" t="n">
        <f aca="false">I14535*Assumptions!$H$54</f>
        <v>0</v>
      </c>
      <c r="J14540" s="25" t="n">
        <f aca="false">J14535*Assumptions!$H$54</f>
        <v>0</v>
      </c>
      <c r="K14540" s="25" t="n">
        <f aca="false">K14535*Assumptions!$H$54</f>
        <v>0</v>
      </c>
    </row>
    <row r="14541" customFormat="false" ht="15" hidden="false" customHeight="false" outlineLevel="0" collapsed="false">
      <c r="A14541" s="5" t="s">
        <v>269</v>
      </c>
      <c r="G14541" s="25" t="n">
        <f aca="false">MIN(G14535,Assumptions!$L$54*Assumptions!$C$54)</f>
        <v>5.2</v>
      </c>
      <c r="H14541" s="25" t="n">
        <f aca="false">MIN(H14535,Assumptions!$L$54*Assumptions!$C$54)</f>
        <v>5.2</v>
      </c>
      <c r="I14541" s="25" t="n">
        <f aca="false">MIN(I14535,Assumptions!$L$54*Assumptions!$C$54)</f>
        <v>5.2</v>
      </c>
      <c r="J14541" s="25" t="n">
        <f aca="false">MIN(J14535,Assumptions!$L$54*Assumptions!$C$54)</f>
        <v>5.2</v>
      </c>
      <c r="K14541" s="25" t="n">
        <f aca="false">MIN(K14535,Assumptions!$L$54*Assumptions!$C$54)</f>
        <v>5.2</v>
      </c>
    </row>
    <row r="14542" customFormat="false" ht="15" hidden="false" customHeight="false" outlineLevel="0" collapsed="false">
      <c r="A14542" s="5" t="s">
        <v>270</v>
      </c>
      <c r="G14542" s="25" t="n">
        <f aca="false">IF(AND(Assumptions!$P$54=1,G14486&lt;Assumptions!$K$54),MIN(MAX(0,-G14600),MAX(0,Assumptions!$D$54-G14535)),0)</f>
        <v>0</v>
      </c>
      <c r="H14542" s="25" t="n">
        <f aca="false">IF(AND(Assumptions!$P$54=1,OR(H14486&lt;Assumptions!$K$54,G14675=1)),MIN(MAX(0,-H14600),MAX(0,Assumptions!$D$54-H14535)),0)</f>
        <v>0</v>
      </c>
      <c r="I14542" s="25" t="n">
        <f aca="false">IF(AND(Assumptions!$P$54=1,OR(I14486&lt;Assumptions!$K$54,H14675=1)),MIN(MAX(0,-I14600),MAX(0,Assumptions!$D$54-I14535)),0)</f>
        <v>0</v>
      </c>
      <c r="J14542" s="25" t="n">
        <f aca="false">IF(AND(Assumptions!$P$54=1,OR(J14486&lt;Assumptions!$K$54,I14675=1)),MIN(MAX(0,-J14600),MAX(0,Assumptions!$D$54-J14535)),0)</f>
        <v>0</v>
      </c>
      <c r="K14542" s="25" t="n">
        <f aca="false">IF(AND(Assumptions!$P$54=1,OR(K14486&lt;Assumptions!$K$54,J14675=1)),MIN(MAX(0,-K14600),MAX(0,Assumptions!$D$54-K14535)),0)</f>
        <v>0</v>
      </c>
    </row>
    <row r="14543" customFormat="false" ht="15" hidden="false" customHeight="false" outlineLevel="0" collapsed="false">
      <c r="A14543" s="5" t="s">
        <v>271</v>
      </c>
      <c r="G14543" s="25" t="n">
        <f aca="false">G14536*MIN(G14535-G14541+G14540,MAX(0,G14602-Assumptions!$C$12*G14520-G14530))</f>
        <v>0</v>
      </c>
      <c r="H14543" s="25" t="n">
        <f aca="false">H14536*MIN(H14535-H14541+H14540,MAX(0,H14602-Assumptions!$C$12*H14520-H14530))</f>
        <v>0</v>
      </c>
      <c r="I14543" s="25" t="n">
        <f aca="false">I14536*MIN(I14535-I14541+I14540,MAX(0,I14602-Assumptions!$C$12*I14520-I14530))</f>
        <v>0</v>
      </c>
      <c r="J14543" s="25" t="n">
        <f aca="false">J14536*MIN(J14535-J14541+J14540,MAX(0,J14602-Assumptions!$C$12*J14520-J14530))</f>
        <v>0</v>
      </c>
      <c r="K14543" s="25" t="n">
        <f aca="false">K14536*MIN(K14535-K14541+K14540,MAX(0,K14602-Assumptions!$C$12*K14520-K14530))</f>
        <v>0</v>
      </c>
    </row>
    <row r="14544" customFormat="false" ht="15" hidden="false" customHeight="false" outlineLevel="0" collapsed="false">
      <c r="A14544" s="5" t="s">
        <v>272</v>
      </c>
      <c r="G14544" s="25" t="n">
        <f aca="false">Assumptions!$N$54*MIN(G14535+G14542+G14540-G14541-G14543,MAX(0,G14606-G14531))</f>
        <v>0</v>
      </c>
      <c r="H14544" s="25" t="n">
        <f aca="false">Assumptions!$N$54*MIN(H14535+H14542+H14540-H14541-H14543,MAX(0,H14606-H14531))</f>
        <v>0</v>
      </c>
      <c r="I14544" s="25" t="n">
        <f aca="false">Assumptions!$N$54*MIN(I14535+I14542+I14540-I14541-I14543,MAX(0,I14606-I14531))</f>
        <v>0</v>
      </c>
      <c r="J14544" s="25" t="n">
        <f aca="false">Assumptions!$N$54*MIN(J14535+J14542+J14540-J14541-J14543,MAX(0,J14606-J14531))</f>
        <v>0</v>
      </c>
      <c r="K14544" s="25" t="n">
        <f aca="false">Assumptions!$N$54*MIN(K14535+K14542+K14540-K14541-K14543,MAX(0,K14606-K14531))</f>
        <v>0</v>
      </c>
    </row>
    <row r="14545" customFormat="false" ht="15" hidden="false" customHeight="false" outlineLevel="0" collapsed="false">
      <c r="A14545" s="5" t="s">
        <v>273</v>
      </c>
      <c r="G14545" s="25" t="n">
        <f aca="false">G14536*(1-G14520)*(G14535-G14541+G14540-G14543)</f>
        <v>0</v>
      </c>
      <c r="H14545" s="25" t="n">
        <f aca="false">H14536*(1-H14520)*(H14535-H14541+H14540-H14543)</f>
        <v>0</v>
      </c>
      <c r="I14545" s="25" t="n">
        <f aca="false">I14536*(1-I14520)*(I14535-I14541+I14540-I14543)</f>
        <v>504.4</v>
      </c>
      <c r="J14545" s="25" t="n">
        <f aca="false">J14536*(1-J14520)*(J14535-J14541+J14540-J14543)</f>
        <v>0</v>
      </c>
      <c r="K14545" s="25" t="n">
        <f aca="false">K14536*(1-K14520)*(K14535-K14541+K14540-K14543)</f>
        <v>0</v>
      </c>
    </row>
    <row r="14546" customFormat="false" ht="15" hidden="false" customHeight="false" outlineLevel="0" collapsed="false">
      <c r="A14546" s="2" t="s">
        <v>274</v>
      </c>
      <c r="F14546" s="27" t="n">
        <f aca="false">Assumptions!$C$54</f>
        <v>520</v>
      </c>
      <c r="G14546" s="16" t="n">
        <f aca="false">G14535+G14542+G14540-G14541-G14543-G14544</f>
        <v>514.8</v>
      </c>
      <c r="H14546" s="16" t="n">
        <f aca="false">H14535+H14542+H14540-H14541-H14543-H14544</f>
        <v>509.6</v>
      </c>
      <c r="I14546" s="16" t="n">
        <f aca="false">I14535+I14542+I14540-I14541-I14543-I14544</f>
        <v>504.4</v>
      </c>
      <c r="J14546" s="16" t="n">
        <f aca="false">J14535+J14542+J14540-J14541-J14543-J14544</f>
        <v>499.2</v>
      </c>
      <c r="K14546" s="16" t="n">
        <f aca="false">K14535+K14542+K14540-K14541-K14543-K14544</f>
        <v>494</v>
      </c>
    </row>
    <row r="14547" customFormat="false" ht="15" hidden="false" customHeight="false" outlineLevel="0" collapsed="false">
      <c r="A14547" s="23" t="s">
        <v>276</v>
      </c>
      <c r="B14547" s="24"/>
      <c r="C14547" s="24"/>
      <c r="D14547" s="24"/>
      <c r="E14547" s="24"/>
      <c r="F14547" s="24"/>
      <c r="G14547" s="24"/>
      <c r="H14547" s="24"/>
      <c r="I14547" s="24"/>
      <c r="J14547" s="24"/>
      <c r="K14547" s="24"/>
    </row>
    <row r="14548" customFormat="false" ht="15" hidden="false" customHeight="false" outlineLevel="0" collapsed="false">
      <c r="A14548" s="5" t="s">
        <v>264</v>
      </c>
      <c r="G14548" s="25" t="n">
        <f aca="false">F14559</f>
        <v>250</v>
      </c>
      <c r="H14548" s="25" t="n">
        <f aca="false">G14559</f>
        <v>250</v>
      </c>
      <c r="I14548" s="25" t="n">
        <f aca="false">H14559</f>
        <v>250</v>
      </c>
      <c r="J14548" s="25" t="n">
        <f aca="false">I14559</f>
        <v>250</v>
      </c>
      <c r="K14548" s="25" t="n">
        <f aca="false">J14559</f>
        <v>250</v>
      </c>
    </row>
    <row r="14549" customFormat="false" ht="15" hidden="false" customHeight="false" outlineLevel="0" collapsed="false">
      <c r="A14549" s="5" t="s">
        <v>265</v>
      </c>
      <c r="G14549" s="20" t="n">
        <f aca="false">IF(G14486=Assumptions!$K$55,1,0)</f>
        <v>0</v>
      </c>
      <c r="H14549" s="20" t="n">
        <f aca="false">IF(H14486=Assumptions!$K$55,1,0)</f>
        <v>0</v>
      </c>
      <c r="I14549" s="20" t="n">
        <f aca="false">IF(I14486=Assumptions!$K$55,1,0)</f>
        <v>0</v>
      </c>
      <c r="J14549" s="20" t="n">
        <f aca="false">IF(J14486=Assumptions!$K$55,1,0)</f>
        <v>1</v>
      </c>
      <c r="K14549" s="20" t="n">
        <f aca="false">IF(K14486=Assumptions!$K$55,1,0)</f>
        <v>0</v>
      </c>
    </row>
    <row r="14551" customFormat="false" ht="15" hidden="false" customHeight="false" outlineLevel="0" collapsed="false">
      <c r="A14551" s="5" t="s">
        <v>266</v>
      </c>
      <c r="G14551" s="30" t="n">
        <f aca="false">IF(Assumptions!$I$55=1,MAX(G14512,Assumptions!$G$55)+Assumptions!$F$55+$C$14513,Assumptions!$E$55)</f>
        <v>0.11</v>
      </c>
      <c r="H14551" s="30" t="n">
        <f aca="false">IF(G14676=1,$C$14514,IF(Assumptions!$I$55=1,MAX(H14512,Assumptions!$G$55)+Assumptions!$F$55+$C$14513,Assumptions!$E$55))</f>
        <v>0.11</v>
      </c>
      <c r="I14551" s="30" t="n">
        <f aca="false">IF(H14676=1,$C$14514,IF(Assumptions!$I$55=1,MAX(I14512,Assumptions!$G$55)+Assumptions!$F$55+$C$14513,Assumptions!$E$55))</f>
        <v>0.11</v>
      </c>
      <c r="J14551" s="30" t="n">
        <f aca="false">IF(I14676=1,$C$14514,IF(Assumptions!$I$55=1,MAX(J14512,Assumptions!$G$55)+Assumptions!$F$55+$C$14513,Assumptions!$E$55))</f>
        <v>0.11</v>
      </c>
      <c r="K14551" s="30" t="n">
        <f aca="false">IF(J14676=1,$C$14514,IF(Assumptions!$I$55=1,MAX(K14512,Assumptions!$G$55)+Assumptions!$F$55+$C$14513,Assumptions!$E$55))</f>
        <v>0.11</v>
      </c>
    </row>
    <row r="14552" customFormat="false" ht="15" hidden="false" customHeight="false" outlineLevel="0" collapsed="false">
      <c r="A14552" s="5" t="s">
        <v>267</v>
      </c>
      <c r="G14552" s="25" t="n">
        <f aca="false">G14548*G14551</f>
        <v>27.5</v>
      </c>
      <c r="H14552" s="25" t="n">
        <f aca="false">H14548*H14551</f>
        <v>27.5</v>
      </c>
      <c r="I14552" s="25" t="n">
        <f aca="false">I14548*I14551</f>
        <v>27.5</v>
      </c>
      <c r="J14552" s="25" t="n">
        <f aca="false">J14548*J14551</f>
        <v>27.5</v>
      </c>
      <c r="K14552" s="25" t="n">
        <f aca="false">K14548*K14551</f>
        <v>27.5</v>
      </c>
    </row>
    <row r="14553" customFormat="false" ht="15" hidden="false" customHeight="false" outlineLevel="0" collapsed="false">
      <c r="A14553" s="5" t="s">
        <v>268</v>
      </c>
      <c r="G14553" s="25" t="n">
        <f aca="false">G14548*Assumptions!$H$55</f>
        <v>0</v>
      </c>
      <c r="H14553" s="25" t="n">
        <f aca="false">H14548*Assumptions!$H$55</f>
        <v>0</v>
      </c>
      <c r="I14553" s="25" t="n">
        <f aca="false">I14548*Assumptions!$H$55</f>
        <v>0</v>
      </c>
      <c r="J14553" s="25" t="n">
        <f aca="false">J14548*Assumptions!$H$55</f>
        <v>0</v>
      </c>
      <c r="K14553" s="25" t="n">
        <f aca="false">K14548*Assumptions!$H$55</f>
        <v>0</v>
      </c>
    </row>
    <row r="14554" customFormat="false" ht="15" hidden="false" customHeight="false" outlineLevel="0" collapsed="false">
      <c r="A14554" s="5" t="s">
        <v>269</v>
      </c>
      <c r="G14554" s="25" t="n">
        <f aca="false">MIN(G14548,Assumptions!$L$55*Assumptions!$C$55)</f>
        <v>0</v>
      </c>
      <c r="H14554" s="25" t="n">
        <f aca="false">MIN(H14548,Assumptions!$L$55*Assumptions!$C$55)</f>
        <v>0</v>
      </c>
      <c r="I14554" s="25" t="n">
        <f aca="false">MIN(I14548,Assumptions!$L$55*Assumptions!$C$55)</f>
        <v>0</v>
      </c>
      <c r="J14554" s="25" t="n">
        <f aca="false">MIN(J14548,Assumptions!$L$55*Assumptions!$C$55)</f>
        <v>0</v>
      </c>
      <c r="K14554" s="25" t="n">
        <f aca="false">MIN(K14548,Assumptions!$L$55*Assumptions!$C$55)</f>
        <v>0</v>
      </c>
    </row>
    <row r="14555" customFormat="false" ht="15" hidden="false" customHeight="false" outlineLevel="0" collapsed="false">
      <c r="A14555" s="5" t="s">
        <v>270</v>
      </c>
      <c r="G14555" s="25" t="n">
        <f aca="false">IF(AND(Assumptions!$P$55=1,G14486&lt;Assumptions!$K$55),MIN(MAX(0,-G14600),MAX(0,Assumptions!$D$55-G14548)),0)</f>
        <v>0</v>
      </c>
      <c r="H14555" s="25" t="n">
        <f aca="false">IF(AND(Assumptions!$P$55=1,OR(H14486&lt;Assumptions!$K$55,G14676=1)),MIN(MAX(0,-H14600),MAX(0,Assumptions!$D$55-H14548)),0)</f>
        <v>0</v>
      </c>
      <c r="I14555" s="25" t="n">
        <f aca="false">IF(AND(Assumptions!$P$55=1,OR(I14486&lt;Assumptions!$K$55,H14676=1)),MIN(MAX(0,-I14600),MAX(0,Assumptions!$D$55-I14548)),0)</f>
        <v>0</v>
      </c>
      <c r="J14555" s="25" t="n">
        <f aca="false">IF(AND(Assumptions!$P$55=1,OR(J14486&lt;Assumptions!$K$55,I14676=1)),MIN(MAX(0,-J14600),MAX(0,Assumptions!$D$55-J14548)),0)</f>
        <v>0</v>
      </c>
      <c r="K14555" s="25" t="n">
        <f aca="false">IF(AND(Assumptions!$P$55=1,OR(K14486&lt;Assumptions!$K$55,J14676=1)),MIN(MAX(0,-K14600),MAX(0,Assumptions!$D$55-K14548)),0)</f>
        <v>0</v>
      </c>
    </row>
    <row r="14556" customFormat="false" ht="15" hidden="false" customHeight="false" outlineLevel="0" collapsed="false">
      <c r="A14556" s="5" t="s">
        <v>271</v>
      </c>
      <c r="G14556" s="25" t="n">
        <f aca="false">G14549*MIN(G14548-G14554+G14553,MAX(0,G14602-Assumptions!$C$12*G14520-G14530-G14543))</f>
        <v>0</v>
      </c>
      <c r="H14556" s="25" t="n">
        <f aca="false">H14549*MIN(H14548-H14554+H14553,MAX(0,H14602-Assumptions!$C$12*H14520-H14530-H14543))</f>
        <v>0</v>
      </c>
      <c r="I14556" s="25" t="n">
        <f aca="false">I14549*MIN(I14548-I14554+I14553,MAX(0,I14602-Assumptions!$C$12*I14520-I14530-I14543))</f>
        <v>0</v>
      </c>
      <c r="J14556" s="25" t="n">
        <f aca="false">J14549*MIN(J14548-J14554+J14553,MAX(0,J14602-Assumptions!$C$12*J14520-J14530-J14543))</f>
        <v>0</v>
      </c>
      <c r="K14556" s="25" t="n">
        <f aca="false">K14549*MIN(K14548-K14554+K14553,MAX(0,K14602-Assumptions!$C$12*K14520-K14530-K14543))</f>
        <v>0</v>
      </c>
    </row>
    <row r="14557" customFormat="false" ht="15" hidden="false" customHeight="false" outlineLevel="0" collapsed="false">
      <c r="A14557" s="5" t="s">
        <v>272</v>
      </c>
      <c r="G14557" s="25" t="n">
        <f aca="false">Assumptions!$N$55*MIN(G14548+G14555+G14553-G14554-G14556,MAX(0,G14606-G14531-G14544))</f>
        <v>0</v>
      </c>
      <c r="H14557" s="25" t="n">
        <f aca="false">Assumptions!$N$55*MIN(H14548+H14555+H14553-H14554-H14556,MAX(0,H14606-H14531-H14544))</f>
        <v>0</v>
      </c>
      <c r="I14557" s="25" t="n">
        <f aca="false">Assumptions!$N$55*MIN(I14548+I14555+I14553-I14554-I14556,MAX(0,I14606-I14531-I14544))</f>
        <v>0</v>
      </c>
      <c r="J14557" s="25" t="n">
        <f aca="false">Assumptions!$N$55*MIN(J14548+J14555+J14553-J14554-J14556,MAX(0,J14606-J14531-J14544))</f>
        <v>0</v>
      </c>
      <c r="K14557" s="25" t="n">
        <f aca="false">Assumptions!$N$55*MIN(K14548+K14555+K14553-K14554-K14556,MAX(0,K14606-K14531-K14544))</f>
        <v>0</v>
      </c>
    </row>
    <row r="14558" customFormat="false" ht="15" hidden="false" customHeight="false" outlineLevel="0" collapsed="false">
      <c r="A14558" s="5" t="s">
        <v>273</v>
      </c>
      <c r="G14558" s="25" t="n">
        <f aca="false">G14549*(1-G14520)*(G14548-G14554+G14553-G14556)</f>
        <v>0</v>
      </c>
      <c r="H14558" s="25" t="n">
        <f aca="false">H14549*(1-H14520)*(H14548-H14554+H14553-H14556)</f>
        <v>0</v>
      </c>
      <c r="I14558" s="25" t="n">
        <f aca="false">I14549*(1-I14520)*(I14548-I14554+I14553-I14556)</f>
        <v>0</v>
      </c>
      <c r="J14558" s="25" t="n">
        <f aca="false">J14549*(1-J14520)*(J14548-J14554+J14553-J14556)</f>
        <v>250</v>
      </c>
      <c r="K14558" s="25" t="n">
        <f aca="false">K14549*(1-K14520)*(K14548-K14554+K14553-K14556)</f>
        <v>0</v>
      </c>
    </row>
    <row r="14559" customFormat="false" ht="15" hidden="false" customHeight="false" outlineLevel="0" collapsed="false">
      <c r="A14559" s="2" t="s">
        <v>274</v>
      </c>
      <c r="F14559" s="27" t="n">
        <f aca="false">Assumptions!$C$55</f>
        <v>250</v>
      </c>
      <c r="G14559" s="16" t="n">
        <f aca="false">G14548+G14555+G14553-G14554-G14556-G14557</f>
        <v>250</v>
      </c>
      <c r="H14559" s="16" t="n">
        <f aca="false">H14548+H14555+H14553-H14554-H14556-H14557</f>
        <v>250</v>
      </c>
      <c r="I14559" s="16" t="n">
        <f aca="false">I14548+I14555+I14553-I14554-I14556-I14557</f>
        <v>250</v>
      </c>
      <c r="J14559" s="16" t="n">
        <f aca="false">J14548+J14555+J14553-J14554-J14556-J14557</f>
        <v>250</v>
      </c>
      <c r="K14559" s="16" t="n">
        <f aca="false">K14548+K14555+K14553-K14554-K14556-K14557</f>
        <v>250</v>
      </c>
    </row>
    <row r="14560" customFormat="false" ht="15" hidden="false" customHeight="false" outlineLevel="0" collapsed="false">
      <c r="A14560" s="23" t="s">
        <v>277</v>
      </c>
      <c r="B14560" s="24"/>
      <c r="C14560" s="24"/>
      <c r="D14560" s="24"/>
      <c r="E14560" s="24"/>
      <c r="F14560" s="24"/>
      <c r="G14560" s="24"/>
      <c r="H14560" s="24"/>
      <c r="I14560" s="24"/>
      <c r="J14560" s="24"/>
      <c r="K14560" s="24"/>
    </row>
    <row r="14561" customFormat="false" ht="15" hidden="false" customHeight="false" outlineLevel="0" collapsed="false">
      <c r="A14561" s="5" t="s">
        <v>264</v>
      </c>
      <c r="G14561" s="25" t="n">
        <f aca="false">F14572</f>
        <v>300</v>
      </c>
      <c r="H14561" s="25" t="n">
        <f aca="false">G14572</f>
        <v>300</v>
      </c>
      <c r="I14561" s="25" t="n">
        <f aca="false">H14572</f>
        <v>300</v>
      </c>
      <c r="J14561" s="25" t="n">
        <f aca="false">I14572</f>
        <v>300</v>
      </c>
      <c r="K14561" s="25" t="n">
        <f aca="false">J14572</f>
        <v>300</v>
      </c>
    </row>
    <row r="14562" customFormat="false" ht="15" hidden="false" customHeight="false" outlineLevel="0" collapsed="false">
      <c r="A14562" s="5" t="s">
        <v>265</v>
      </c>
      <c r="G14562" s="20" t="n">
        <f aca="false">IF(G14486=Assumptions!$K$56,1,0)</f>
        <v>0</v>
      </c>
      <c r="H14562" s="20" t="n">
        <f aca="false">IF(H14486=Assumptions!$K$56,1,0)</f>
        <v>1</v>
      </c>
      <c r="I14562" s="20" t="n">
        <f aca="false">IF(I14486=Assumptions!$K$56,1,0)</f>
        <v>0</v>
      </c>
      <c r="J14562" s="20" t="n">
        <f aca="false">IF(J14486=Assumptions!$K$56,1,0)</f>
        <v>0</v>
      </c>
      <c r="K14562" s="20" t="n">
        <f aca="false">IF(K14486=Assumptions!$K$56,1,0)</f>
        <v>0</v>
      </c>
    </row>
    <row r="14564" customFormat="false" ht="15" hidden="false" customHeight="false" outlineLevel="0" collapsed="false">
      <c r="A14564" s="5" t="s">
        <v>266</v>
      </c>
      <c r="G14564" s="30" t="n">
        <f aca="false">IF(Assumptions!$I$56=1,MAX(G14512,Assumptions!$G$56)+Assumptions!$F$56+$C$14513,Assumptions!$E$56)</f>
        <v>0.075</v>
      </c>
      <c r="H14564" s="30" t="n">
        <f aca="false">IF(G14677=1,$C$14514,IF(Assumptions!$I$56=1,MAX(H14512,Assumptions!$G$56)+Assumptions!$F$56+$C$14513,Assumptions!$E$56))</f>
        <v>0.075</v>
      </c>
      <c r="I14564" s="30" t="n">
        <f aca="false">IF(H14677=1,$C$14514,IF(Assumptions!$I$56=1,MAX(I14512,Assumptions!$G$56)+Assumptions!$F$56+$C$14513,Assumptions!$E$56))</f>
        <v>0.075</v>
      </c>
      <c r="J14564" s="30" t="n">
        <f aca="false">IF(I14677=1,$C$14514,IF(Assumptions!$I$56=1,MAX(J14512,Assumptions!$G$56)+Assumptions!$F$56+$C$14513,Assumptions!$E$56))</f>
        <v>0.075</v>
      </c>
      <c r="K14564" s="30" t="n">
        <f aca="false">IF(J14677=1,$C$14514,IF(Assumptions!$I$56=1,MAX(K14512,Assumptions!$G$56)+Assumptions!$F$56+$C$14513,Assumptions!$E$56))</f>
        <v>0.075</v>
      </c>
    </row>
    <row r="14565" customFormat="false" ht="15" hidden="false" customHeight="false" outlineLevel="0" collapsed="false">
      <c r="A14565" s="5" t="s">
        <v>267</v>
      </c>
      <c r="G14565" s="25" t="n">
        <f aca="false">G14561*G14564</f>
        <v>22.5</v>
      </c>
      <c r="H14565" s="25" t="n">
        <f aca="false">H14561*H14564</f>
        <v>22.5</v>
      </c>
      <c r="I14565" s="25" t="n">
        <f aca="false">I14561*I14564</f>
        <v>22.5</v>
      </c>
      <c r="J14565" s="25" t="n">
        <f aca="false">J14561*J14564</f>
        <v>22.5</v>
      </c>
      <c r="K14565" s="25" t="n">
        <f aca="false">K14561*K14564</f>
        <v>22.5</v>
      </c>
    </row>
    <row r="14566" customFormat="false" ht="15" hidden="false" customHeight="false" outlineLevel="0" collapsed="false">
      <c r="A14566" s="5" t="s">
        <v>268</v>
      </c>
      <c r="G14566" s="25" t="n">
        <f aca="false">G14561*Assumptions!$H$56</f>
        <v>0</v>
      </c>
      <c r="H14566" s="25" t="n">
        <f aca="false">H14561*Assumptions!$H$56</f>
        <v>0</v>
      </c>
      <c r="I14566" s="25" t="n">
        <f aca="false">I14561*Assumptions!$H$56</f>
        <v>0</v>
      </c>
      <c r="J14566" s="25" t="n">
        <f aca="false">J14561*Assumptions!$H$56</f>
        <v>0</v>
      </c>
      <c r="K14566" s="25" t="n">
        <f aca="false">K14561*Assumptions!$H$56</f>
        <v>0</v>
      </c>
    </row>
    <row r="14567" customFormat="false" ht="15" hidden="false" customHeight="false" outlineLevel="0" collapsed="false">
      <c r="A14567" s="5" t="s">
        <v>269</v>
      </c>
      <c r="G14567" s="25" t="n">
        <f aca="false">MIN(G14561,Assumptions!$L$56*Assumptions!$C$56)</f>
        <v>0</v>
      </c>
      <c r="H14567" s="25" t="n">
        <f aca="false">MIN(H14561,Assumptions!$L$56*Assumptions!$C$56)</f>
        <v>0</v>
      </c>
      <c r="I14567" s="25" t="n">
        <f aca="false">MIN(I14561,Assumptions!$L$56*Assumptions!$C$56)</f>
        <v>0</v>
      </c>
      <c r="J14567" s="25" t="n">
        <f aca="false">MIN(J14561,Assumptions!$L$56*Assumptions!$C$56)</f>
        <v>0</v>
      </c>
      <c r="K14567" s="25" t="n">
        <f aca="false">MIN(K14561,Assumptions!$L$56*Assumptions!$C$56)</f>
        <v>0</v>
      </c>
    </row>
    <row r="14568" customFormat="false" ht="15" hidden="false" customHeight="false" outlineLevel="0" collapsed="false">
      <c r="A14568" s="5" t="s">
        <v>270</v>
      </c>
      <c r="G14568" s="25" t="n">
        <f aca="false">IF(AND(Assumptions!$P$56=1,G14486&lt;Assumptions!$K$56),MIN(MAX(0,-G14600),MAX(0,Assumptions!$D$56-G14561)),0)</f>
        <v>0</v>
      </c>
      <c r="H14568" s="25" t="n">
        <f aca="false">IF(AND(Assumptions!$P$56=1,OR(H14486&lt;Assumptions!$K$56,G14677=1)),MIN(MAX(0,-H14600),MAX(0,Assumptions!$D$56-H14561)),0)</f>
        <v>0</v>
      </c>
      <c r="I14568" s="25" t="n">
        <f aca="false">IF(AND(Assumptions!$P$56=1,OR(I14486&lt;Assumptions!$K$56,H14677=1)),MIN(MAX(0,-I14600),MAX(0,Assumptions!$D$56-I14561)),0)</f>
        <v>0</v>
      </c>
      <c r="J14568" s="25" t="n">
        <f aca="false">IF(AND(Assumptions!$P$56=1,OR(J14486&lt;Assumptions!$K$56,I14677=1)),MIN(MAX(0,-J14600),MAX(0,Assumptions!$D$56-J14561)),0)</f>
        <v>0</v>
      </c>
      <c r="K14568" s="25" t="n">
        <f aca="false">IF(AND(Assumptions!$P$56=1,OR(K14486&lt;Assumptions!$K$56,J14677=1)),MIN(MAX(0,-K14600),MAX(0,Assumptions!$D$56-K14561)),0)</f>
        <v>0</v>
      </c>
    </row>
    <row r="14569" customFormat="false" ht="15" hidden="false" customHeight="false" outlineLevel="0" collapsed="false">
      <c r="A14569" s="5" t="s">
        <v>271</v>
      </c>
      <c r="G14569" s="25" t="n">
        <f aca="false">G14562*MIN(G14561-G14567+G14566,MAX(0,G14602-Assumptions!$C$12*G14520-G14530-G14543-G14556))</f>
        <v>0</v>
      </c>
      <c r="H14569" s="25" t="n">
        <f aca="false">H14562*MIN(H14561-H14567+H14566,MAX(0,H14602-Assumptions!$C$12*H14520-H14530-H14543-H14556))</f>
        <v>0</v>
      </c>
      <c r="I14569" s="25" t="n">
        <f aca="false">I14562*MIN(I14561-I14567+I14566,MAX(0,I14602-Assumptions!$C$12*I14520-I14530-I14543-I14556))</f>
        <v>0</v>
      </c>
      <c r="J14569" s="25" t="n">
        <f aca="false">J14562*MIN(J14561-J14567+J14566,MAX(0,J14602-Assumptions!$C$12*J14520-J14530-J14543-J14556))</f>
        <v>0</v>
      </c>
      <c r="K14569" s="25" t="n">
        <f aca="false">K14562*MIN(K14561-K14567+K14566,MAX(0,K14602-Assumptions!$C$12*K14520-K14530-K14543-K14556))</f>
        <v>0</v>
      </c>
    </row>
    <row r="14570" customFormat="false" ht="15" hidden="false" customHeight="false" outlineLevel="0" collapsed="false">
      <c r="A14570" s="5" t="s">
        <v>272</v>
      </c>
      <c r="G14570" s="25" t="n">
        <f aca="false">Assumptions!$N$56*MIN(G14561+G14568+G14566-G14567-G14569,MAX(0,G14606-G14531-G14544-G14557))</f>
        <v>0</v>
      </c>
      <c r="H14570" s="25" t="n">
        <f aca="false">Assumptions!$N$56*MIN(H14561+H14568+H14566-H14567-H14569,MAX(0,H14606-H14531-H14544-H14557))</f>
        <v>0</v>
      </c>
      <c r="I14570" s="25" t="n">
        <f aca="false">Assumptions!$N$56*MIN(I14561+I14568+I14566-I14567-I14569,MAX(0,I14606-I14531-I14544-I14557))</f>
        <v>0</v>
      </c>
      <c r="J14570" s="25" t="n">
        <f aca="false">Assumptions!$N$56*MIN(J14561+J14568+J14566-J14567-J14569,MAX(0,J14606-J14531-J14544-J14557))</f>
        <v>0</v>
      </c>
      <c r="K14570" s="25" t="n">
        <f aca="false">Assumptions!$N$56*MIN(K14561+K14568+K14566-K14567-K14569,MAX(0,K14606-K14531-K14544-K14557))</f>
        <v>0</v>
      </c>
    </row>
    <row r="14571" customFormat="false" ht="15" hidden="false" customHeight="false" outlineLevel="0" collapsed="false">
      <c r="A14571" s="5" t="s">
        <v>273</v>
      </c>
      <c r="G14571" s="25" t="n">
        <f aca="false">G14562*(1-G14520)*(G14561-G14567+G14566-G14569)</f>
        <v>0</v>
      </c>
      <c r="H14571" s="25" t="n">
        <f aca="false">H14562*(1-H14520)*(H14561-H14567+H14566-H14569)</f>
        <v>300</v>
      </c>
      <c r="I14571" s="25" t="n">
        <f aca="false">I14562*(1-I14520)*(I14561-I14567+I14566-I14569)</f>
        <v>0</v>
      </c>
      <c r="J14571" s="25" t="n">
        <f aca="false">J14562*(1-J14520)*(J14561-J14567+J14566-J14569)</f>
        <v>0</v>
      </c>
      <c r="K14571" s="25" t="n">
        <f aca="false">K14562*(1-K14520)*(K14561-K14567+K14566-K14569)</f>
        <v>0</v>
      </c>
    </row>
    <row r="14572" customFormat="false" ht="15" hidden="false" customHeight="false" outlineLevel="0" collapsed="false">
      <c r="A14572" s="2" t="s">
        <v>274</v>
      </c>
      <c r="F14572" s="27" t="n">
        <f aca="false">Assumptions!$C$56</f>
        <v>300</v>
      </c>
      <c r="G14572" s="16" t="n">
        <f aca="false">G14561+G14568+G14566-G14567-G14569-G14570</f>
        <v>300</v>
      </c>
      <c r="H14572" s="16" t="n">
        <f aca="false">H14561+H14568+H14566-H14567-H14569-H14570</f>
        <v>300</v>
      </c>
      <c r="I14572" s="16" t="n">
        <f aca="false">I14561+I14568+I14566-I14567-I14569-I14570</f>
        <v>300</v>
      </c>
      <c r="J14572" s="16" t="n">
        <f aca="false">J14561+J14568+J14566-J14567-J14569-J14570</f>
        <v>300</v>
      </c>
      <c r="K14572" s="16" t="n">
        <f aca="false">K14561+K14568+K14566-K14567-K14569-K14570</f>
        <v>300</v>
      </c>
    </row>
    <row r="14573" customFormat="false" ht="15" hidden="false" customHeight="false" outlineLevel="0" collapsed="false">
      <c r="A14573" s="23" t="s">
        <v>278</v>
      </c>
      <c r="B14573" s="24"/>
      <c r="C14573" s="24"/>
      <c r="D14573" s="24"/>
      <c r="E14573" s="24"/>
      <c r="F14573" s="24"/>
      <c r="G14573" s="24"/>
      <c r="H14573" s="24"/>
      <c r="I14573" s="24"/>
      <c r="J14573" s="24"/>
      <c r="K14573" s="24"/>
    </row>
    <row r="14574" customFormat="false" ht="15" hidden="false" customHeight="false" outlineLevel="0" collapsed="false">
      <c r="A14574" s="2" t="s">
        <v>279</v>
      </c>
      <c r="F14574" s="16" t="n">
        <f aca="false">F14533+F14546+F14559+F14572</f>
        <v>1250</v>
      </c>
      <c r="G14574" s="16" t="n">
        <f aca="false">G14533+G14546+G14559+G14572</f>
        <v>1288.0968</v>
      </c>
      <c r="H14574" s="16" t="n">
        <f aca="false">H14533+H14546+H14559+H14572</f>
        <v>1282.8968</v>
      </c>
      <c r="I14574" s="16" t="n">
        <f aca="false">I14533+I14546+I14559+I14572</f>
        <v>1277.6968</v>
      </c>
      <c r="J14574" s="16" t="n">
        <f aca="false">J14533+J14546+J14559+J14572</f>
        <v>1272.4968</v>
      </c>
      <c r="K14574" s="16" t="n">
        <f aca="false">K14533+K14546+K14559+K14572</f>
        <v>1267.2968</v>
      </c>
    </row>
    <row r="14575" customFormat="false" ht="15" hidden="false" customHeight="false" outlineLevel="0" collapsed="false">
      <c r="A14575" s="5" t="s">
        <v>280</v>
      </c>
      <c r="G14575" s="25" t="n">
        <f aca="false">G14523*Assumptions!$C$53+G14536*Assumptions!$C$54+G14549*Assumptions!$C$55+G14562*Assumptions!$C$56</f>
        <v>0</v>
      </c>
      <c r="H14575" s="25" t="n">
        <f aca="false">H14523*Assumptions!$C$53+H14536*Assumptions!$C$54+H14549*Assumptions!$C$55+H14562*Assumptions!$C$56</f>
        <v>480</v>
      </c>
      <c r="I14575" s="25" t="n">
        <f aca="false">I14523*Assumptions!$C$53+I14536*Assumptions!$C$54+I14549*Assumptions!$C$55+I14562*Assumptions!$C$56</f>
        <v>520</v>
      </c>
      <c r="J14575" s="25" t="n">
        <f aca="false">J14523*Assumptions!$C$53+J14536*Assumptions!$C$54+J14549*Assumptions!$C$55+J14562*Assumptions!$C$56</f>
        <v>250</v>
      </c>
      <c r="K14575" s="25" t="n">
        <f aca="false">K14523*Assumptions!$C$53+K14536*Assumptions!$C$54+K14549*Assumptions!$C$55+K14562*Assumptions!$C$56</f>
        <v>0</v>
      </c>
    </row>
    <row r="14576" customFormat="false" ht="15" hidden="false" customHeight="false" outlineLevel="0" collapsed="false">
      <c r="A14576" s="23" t="s">
        <v>281</v>
      </c>
      <c r="B14576" s="24"/>
      <c r="C14576" s="24"/>
      <c r="D14576" s="24"/>
      <c r="E14576" s="24"/>
      <c r="F14576" s="24"/>
      <c r="G14576" s="24"/>
      <c r="H14576" s="24"/>
      <c r="I14576" s="24"/>
      <c r="J14576" s="24"/>
      <c r="K14576" s="24"/>
    </row>
    <row r="14577" customFormat="false" ht="15" hidden="false" customHeight="false" outlineLevel="0" collapsed="false">
      <c r="A14577" s="5" t="s">
        <v>282</v>
      </c>
      <c r="C14577" s="25" t="n">
        <f aca="false">SUMPRODUCT($G$14523:$K$14523,$G$14522:$K$14522-$G$14528:$K$14528+$G$14527:$K$14527)</f>
        <v>223.2968</v>
      </c>
    </row>
    <row r="14578" customFormat="false" ht="15" hidden="false" customHeight="false" outlineLevel="0" collapsed="false">
      <c r="A14578" s="5" t="s">
        <v>283</v>
      </c>
      <c r="C14578" s="25" t="n">
        <f aca="false">SUMPRODUCT($G$14523:$K$14523,$G$14530:$K$14530)</f>
        <v>0</v>
      </c>
    </row>
    <row r="14579" customFormat="false" ht="15" hidden="false" customHeight="false" outlineLevel="0" collapsed="false">
      <c r="A14579" s="5" t="s">
        <v>284</v>
      </c>
      <c r="C14579" s="5" t="str">
        <f aca="false">IF(SUM($G$14523:$K$14523)=0,"n/a (beyond horizon)",IF(SUMPRODUCT($G$14523:$K$14523,$G$14520:$K$14520)&gt;0,"REFINANCING PASS","REFINANCING FAILURE"))</f>
        <v>REFINANCING FAILURE</v>
      </c>
    </row>
    <row r="14580" customFormat="false" ht="15" hidden="false" customHeight="false" outlineLevel="0" collapsed="false">
      <c r="A14580" s="5" t="s">
        <v>285</v>
      </c>
      <c r="C14580" s="5" t="str">
        <f aca="false">IF(SUM($G$14523:$K$14523)=0,"n/a",IF(C14578&gt;=C14577-0.001,"Repaid from cash",IF(SUMPRODUCT($G$14523:$K$14523,$G$14520:$K$14520)&gt;0,IF(C14578&gt;0,"Partly repaid; remainder refinanced","Refinanced"),IF(SUM($G$14532:$K$14532)&gt;0.001,IF(C14578&gt;0,"Partial repayment; PAYMENT DEFAULT","PAYMENT DEFAULT"),"Repaid from cash"))))</f>
        <v>PAYMENT DEFAULT</v>
      </c>
    </row>
    <row r="14581" customFormat="false" ht="15" hidden="false" customHeight="false" outlineLevel="0" collapsed="false">
      <c r="A14581" s="5" t="s">
        <v>286</v>
      </c>
      <c r="C14581" s="25" t="n">
        <f aca="false">SUMPRODUCT($G$14536:$K$14536,$G$14535:$K$14535-$G$14541:$K$14541+$G$14540:$K$14540)</f>
        <v>504.4</v>
      </c>
    </row>
    <row r="14582" customFormat="false" ht="15" hidden="false" customHeight="false" outlineLevel="0" collapsed="false">
      <c r="A14582" s="5" t="s">
        <v>287</v>
      </c>
      <c r="C14582" s="25" t="n">
        <f aca="false">SUMPRODUCT($G$14536:$K$14536,$G$14543:$K$14543)</f>
        <v>0</v>
      </c>
    </row>
    <row r="14583" customFormat="false" ht="15" hidden="false" customHeight="false" outlineLevel="0" collapsed="false">
      <c r="A14583" s="5" t="s">
        <v>288</v>
      </c>
      <c r="C14583" s="5" t="str">
        <f aca="false">IF(SUM($G$14536:$K$14536)=0,"n/a (beyond horizon)",IF(SUMPRODUCT($G$14536:$K$14536,$G$14520:$K$14520)&gt;0,"REFINANCING PASS","REFINANCING FAILURE"))</f>
        <v>REFINANCING FAILURE</v>
      </c>
    </row>
    <row r="14584" customFormat="false" ht="15" hidden="false" customHeight="false" outlineLevel="0" collapsed="false">
      <c r="A14584" s="5" t="s">
        <v>289</v>
      </c>
      <c r="C14584" s="5" t="str">
        <f aca="false">IF(SUM($G$14536:$K$14536)=0,"n/a",IF(C14582&gt;=C14581-0.001,"Repaid from cash",IF(SUMPRODUCT($G$14536:$K$14536,$G$14520:$K$14520)&gt;0,IF(C14582&gt;0,"Partly repaid; remainder refinanced","Refinanced"),IF(SUM($G$14545:$K$14545)&gt;0.001,IF(C14582&gt;0,"Partial repayment; PAYMENT DEFAULT","PAYMENT DEFAULT"),"Repaid from cash"))))</f>
        <v>PAYMENT DEFAULT</v>
      </c>
    </row>
    <row r="14585" customFormat="false" ht="15" hidden="false" customHeight="false" outlineLevel="0" collapsed="false">
      <c r="A14585" s="5" t="s">
        <v>290</v>
      </c>
      <c r="C14585" s="25" t="n">
        <f aca="false">SUMPRODUCT($G$14549:$K$14549,$G$14548:$K$14548-$G$14554:$K$14554+$G$14553:$K$14553)</f>
        <v>250</v>
      </c>
    </row>
    <row r="14586" customFormat="false" ht="15" hidden="false" customHeight="false" outlineLevel="0" collapsed="false">
      <c r="A14586" s="5" t="s">
        <v>291</v>
      </c>
      <c r="C14586" s="25" t="n">
        <f aca="false">SUMPRODUCT($G$14549:$K$14549,$G$14556:$K$14556)</f>
        <v>0</v>
      </c>
    </row>
    <row r="14587" customFormat="false" ht="15" hidden="false" customHeight="false" outlineLevel="0" collapsed="false">
      <c r="A14587" s="5" t="s">
        <v>292</v>
      </c>
      <c r="C14587" s="5" t="str">
        <f aca="false">IF(SUM($G$14549:$K$14549)=0,"n/a (beyond horizon)",IF(SUMPRODUCT($G$14549:$K$14549,$G$14520:$K$14520)&gt;0,"REFINANCING PASS","REFINANCING FAILURE"))</f>
        <v>REFINANCING FAILURE</v>
      </c>
    </row>
    <row r="14588" customFormat="false" ht="15" hidden="false" customHeight="false" outlineLevel="0" collapsed="false">
      <c r="A14588" s="5" t="s">
        <v>293</v>
      </c>
      <c r="C14588" s="5" t="str">
        <f aca="false">IF(SUM($G$14549:$K$14549)=0,"n/a",IF(C14586&gt;=C14585-0.001,"Repaid from cash",IF(SUMPRODUCT($G$14549:$K$14549,$G$14520:$K$14520)&gt;0,IF(C14586&gt;0,"Partly repaid; remainder refinanced","Refinanced"),IF(SUM($G$14558:$K$14558)&gt;0.001,IF(C14586&gt;0,"Partial repayment; PAYMENT DEFAULT","PAYMENT DEFAULT"),"Repaid from cash"))))</f>
        <v>PAYMENT DEFAULT</v>
      </c>
    </row>
    <row r="14589" customFormat="false" ht="15" hidden="false" customHeight="false" outlineLevel="0" collapsed="false">
      <c r="A14589" s="5" t="s">
        <v>294</v>
      </c>
      <c r="C14589" s="25" t="n">
        <f aca="false">SUMPRODUCT($G$14562:$K$14562,$G$14561:$K$14561-$G$14567:$K$14567+$G$14566:$K$14566)</f>
        <v>300</v>
      </c>
    </row>
    <row r="14590" customFormat="false" ht="15" hidden="false" customHeight="false" outlineLevel="0" collapsed="false">
      <c r="A14590" s="5" t="s">
        <v>295</v>
      </c>
      <c r="C14590" s="25" t="n">
        <f aca="false">SUMPRODUCT($G$14562:$K$14562,$G$14569:$K$14569)</f>
        <v>0</v>
      </c>
    </row>
    <row r="14591" customFormat="false" ht="15" hidden="false" customHeight="false" outlineLevel="0" collapsed="false">
      <c r="A14591" s="5" t="s">
        <v>296</v>
      </c>
      <c r="C14591" s="5" t="str">
        <f aca="false">IF(SUM($G$14562:$K$14562)=0,"n/a (beyond horizon)",IF(SUMPRODUCT($G$14562:$K$14562,$G$14520:$K$14520)&gt;0,"REFINANCING PASS","REFINANCING FAILURE"))</f>
        <v>REFINANCING FAILURE</v>
      </c>
    </row>
    <row r="14592" customFormat="false" ht="15" hidden="false" customHeight="false" outlineLevel="0" collapsed="false">
      <c r="A14592" s="5" t="s">
        <v>297</v>
      </c>
      <c r="C14592" s="5" t="str">
        <f aca="false">IF(SUM($G$14562:$K$14562)=0,"n/a",IF(C14590&gt;=C14589-0.001,"Repaid from cash",IF(SUMPRODUCT($G$14562:$K$14562,$G$14520:$K$14520)&gt;0,IF(C14590&gt;0,"Partly repaid; remainder refinanced","Refinanced"),IF(SUM($G$14571:$K$14571)&gt;0.001,IF(C14590&gt;0,"Partial repayment; PAYMENT DEFAULT","PAYMENT DEFAULT"),"Repaid from cash"))))</f>
        <v>PAYMENT DEFAULT</v>
      </c>
    </row>
    <row r="14593" customFormat="false" ht="15" hidden="false" customHeight="false" outlineLevel="0" collapsed="false">
      <c r="A14593" s="5" t="s">
        <v>298</v>
      </c>
      <c r="C14593" s="20" t="n">
        <f aca="false">IF(C14579="REFINANCING FAILURE",1,0)+IF(C14583="REFINANCING FAILURE",1,0)+IF(C14587="REFINANCING FAILURE",1,0)+IF(C14591="REFINANCING FAILURE",1,0)</f>
        <v>4</v>
      </c>
    </row>
    <row r="14595" customFormat="false" ht="15" hidden="false" customHeight="false" outlineLevel="0" collapsed="false">
      <c r="A14595" s="23" t="s">
        <v>300</v>
      </c>
      <c r="B14595" s="24"/>
      <c r="C14595" s="24"/>
      <c r="D14595" s="24"/>
      <c r="E14595" s="24"/>
      <c r="F14595" s="24"/>
      <c r="G14595" s="24"/>
      <c r="H14595" s="24"/>
      <c r="I14595" s="24"/>
      <c r="J14595" s="24"/>
      <c r="K14595" s="24"/>
    </row>
    <row r="14596" customFormat="false" ht="15" hidden="false" customHeight="false" outlineLevel="0" collapsed="false">
      <c r="A14596" s="5" t="s">
        <v>260</v>
      </c>
      <c r="G14596" s="25" t="n">
        <f aca="false">F14608</f>
        <v>45</v>
      </c>
      <c r="H14596" s="25" t="n">
        <f aca="false">G14608</f>
        <v>0</v>
      </c>
      <c r="I14596" s="25" t="n">
        <f aca="false">H14608</f>
        <v>-129.4261972</v>
      </c>
      <c r="J14596" s="25" t="n">
        <f aca="false">I14608</f>
        <v>-252.773611152</v>
      </c>
      <c r="K14596" s="25" t="n">
        <f aca="false">J14608</f>
        <v>-361.81929541424</v>
      </c>
    </row>
    <row r="14597" customFormat="false" ht="15" hidden="false" customHeight="false" outlineLevel="0" collapsed="false">
      <c r="A14597" s="5" t="s">
        <v>301</v>
      </c>
      <c r="G14597" s="25" t="n">
        <f aca="false">G14509</f>
        <v>-83.0968</v>
      </c>
      <c r="H14597" s="25" t="n">
        <f aca="false">H14509</f>
        <v>-124.2261972</v>
      </c>
      <c r="I14597" s="25" t="n">
        <f aca="false">I14509</f>
        <v>-118.147413952</v>
      </c>
      <c r="J14597" s="25" t="n">
        <f aca="false">J14509</f>
        <v>-103.84568426224</v>
      </c>
      <c r="K14597" s="25" t="n">
        <f aca="false">K14509</f>
        <v>-91.08215892616</v>
      </c>
    </row>
    <row r="14598" customFormat="false" ht="15" hidden="false" customHeight="false" outlineLevel="0" collapsed="false">
      <c r="A14598" s="5" t="s">
        <v>302</v>
      </c>
      <c r="G14598" s="25" t="n">
        <f aca="false">CHOOSE($C$14479,Assumptions!$G$68,Assumptions!$G$87,Assumptions!$G$106)</f>
        <v>0</v>
      </c>
      <c r="H14598" s="25" t="n">
        <f aca="false">CHOOSE($C$14479,Assumptions!$H$68,Assumptions!$H$87,Assumptions!$H$106)</f>
        <v>0</v>
      </c>
      <c r="I14598" s="25" t="n">
        <f aca="false">CHOOSE($C$14479,Assumptions!$I$68,Assumptions!$I$87,Assumptions!$I$106)</f>
        <v>0</v>
      </c>
      <c r="J14598" s="25" t="n">
        <f aca="false">CHOOSE($C$14479,Assumptions!$J$68,Assumptions!$J$87,Assumptions!$J$106)</f>
        <v>0</v>
      </c>
      <c r="K14598" s="25" t="n">
        <f aca="false">CHOOSE($C$14479,Assumptions!$K$68,Assumptions!$K$87,Assumptions!$K$106)</f>
        <v>0</v>
      </c>
    </row>
    <row r="14599" customFormat="false" ht="15" hidden="false" customHeight="false" outlineLevel="0" collapsed="false">
      <c r="A14599" s="5" t="s">
        <v>303</v>
      </c>
      <c r="G14599" s="25" t="n">
        <f aca="false">G14528+G14541+G14554+G14567</f>
        <v>5.2</v>
      </c>
      <c r="H14599" s="25" t="n">
        <f aca="false">H14528+H14541+H14554+H14567</f>
        <v>5.2</v>
      </c>
      <c r="I14599" s="25" t="n">
        <f aca="false">I14528+I14541+I14554+I14567</f>
        <v>5.2</v>
      </c>
      <c r="J14599" s="25" t="n">
        <f aca="false">J14528+J14541+J14554+J14567</f>
        <v>5.2</v>
      </c>
      <c r="K14599" s="25" t="n">
        <f aca="false">K14528+K14541+K14554+K14567</f>
        <v>5.2</v>
      </c>
    </row>
    <row r="14600" customFormat="false" ht="15" hidden="false" customHeight="false" outlineLevel="0" collapsed="false">
      <c r="A14600" s="2" t="s">
        <v>304</v>
      </c>
      <c r="G14600" s="16" t="n">
        <f aca="false">G14596+G14597+G14598-G14599</f>
        <v>-43.2968</v>
      </c>
      <c r="H14600" s="16" t="n">
        <f aca="false">H14596+H14597+H14598-H14599</f>
        <v>-129.4261972</v>
      </c>
      <c r="I14600" s="16" t="n">
        <f aca="false">I14596+I14597+I14598-I14599</f>
        <v>-252.773611152</v>
      </c>
      <c r="J14600" s="16" t="n">
        <f aca="false">J14596+J14597+J14598-J14599</f>
        <v>-361.81929541424</v>
      </c>
      <c r="K14600" s="16" t="n">
        <f aca="false">K14596+K14597+K14598-K14599</f>
        <v>-458.1014543404</v>
      </c>
    </row>
    <row r="14601" customFormat="false" ht="15" hidden="false" customHeight="false" outlineLevel="0" collapsed="false">
      <c r="A14601" s="5" t="s">
        <v>305</v>
      </c>
      <c r="G14601" s="25" t="n">
        <f aca="false">G14529+G14542+G14555+G14568</f>
        <v>43.2968</v>
      </c>
      <c r="H14601" s="25" t="n">
        <f aca="false">H14529+H14542+H14555+H14568</f>
        <v>0</v>
      </c>
      <c r="I14601" s="25" t="n">
        <f aca="false">I14529+I14542+I14555+I14568</f>
        <v>0</v>
      </c>
      <c r="J14601" s="25" t="n">
        <f aca="false">J14529+J14542+J14555+J14568</f>
        <v>0</v>
      </c>
      <c r="K14601" s="25" t="n">
        <f aca="false">K14529+K14542+K14555+K14568</f>
        <v>0</v>
      </c>
    </row>
    <row r="14602" customFormat="false" ht="15" hidden="false" customHeight="false" outlineLevel="0" collapsed="false">
      <c r="A14602" s="2" t="s">
        <v>306</v>
      </c>
      <c r="G14602" s="16" t="n">
        <f aca="false">G14600+G14601</f>
        <v>0</v>
      </c>
      <c r="H14602" s="16" t="n">
        <f aca="false">H14600+H14601</f>
        <v>-129.4261972</v>
      </c>
      <c r="I14602" s="16" t="n">
        <f aca="false">I14600+I14601</f>
        <v>-252.773611152</v>
      </c>
      <c r="J14602" s="16" t="n">
        <f aca="false">J14600+J14601</f>
        <v>-361.81929541424</v>
      </c>
      <c r="K14602" s="16" t="n">
        <f aca="false">K14600+K14601</f>
        <v>-458.1014543404</v>
      </c>
    </row>
    <row r="14603" customFormat="false" ht="15" hidden="false" customHeight="false" outlineLevel="0" collapsed="false">
      <c r="A14603" s="5" t="s">
        <v>307</v>
      </c>
      <c r="G14603" s="25" t="n">
        <f aca="false">G14530+G14543+G14556+G14569</f>
        <v>0</v>
      </c>
      <c r="H14603" s="25" t="n">
        <f aca="false">H14530+H14543+H14556+H14569</f>
        <v>0</v>
      </c>
      <c r="I14603" s="25" t="n">
        <f aca="false">I14530+I14543+I14556+I14569</f>
        <v>0</v>
      </c>
      <c r="J14603" s="25" t="n">
        <f aca="false">J14530+J14543+J14556+J14569</f>
        <v>0</v>
      </c>
      <c r="K14603" s="25" t="n">
        <f aca="false">K14530+K14543+K14556+K14569</f>
        <v>0</v>
      </c>
    </row>
    <row r="14604" customFormat="false" ht="15" hidden="false" customHeight="false" outlineLevel="0" collapsed="false">
      <c r="A14604" s="2" t="s">
        <v>308</v>
      </c>
      <c r="G14604" s="16" t="n">
        <f aca="false">G14602-G14603</f>
        <v>0</v>
      </c>
      <c r="H14604" s="16" t="n">
        <f aca="false">H14602-H14603</f>
        <v>-129.4261972</v>
      </c>
      <c r="I14604" s="16" t="n">
        <f aca="false">I14602-I14603</f>
        <v>-252.773611152</v>
      </c>
      <c r="J14604" s="16" t="n">
        <f aca="false">J14602-J14603</f>
        <v>-361.81929541424</v>
      </c>
      <c r="K14604" s="16" t="n">
        <f aca="false">K14602-K14603</f>
        <v>-458.1014543404</v>
      </c>
    </row>
    <row r="14605" customFormat="false" ht="15" hidden="false" customHeight="false" outlineLevel="0" collapsed="false">
      <c r="A14605" s="5" t="s">
        <v>309</v>
      </c>
      <c r="G14605" s="25" t="n">
        <f aca="false">MAX(0,-G14604)</f>
        <v>-0</v>
      </c>
      <c r="H14605" s="25" t="n">
        <f aca="false">MAX(0,-H14604)</f>
        <v>129.4261972</v>
      </c>
      <c r="I14605" s="25" t="n">
        <f aca="false">MAX(0,-I14604)</f>
        <v>252.773611152</v>
      </c>
      <c r="J14605" s="25" t="n">
        <f aca="false">MAX(0,-J14604)</f>
        <v>361.81929541424</v>
      </c>
      <c r="K14605" s="25" t="n">
        <f aca="false">MAX(0,-K14604)</f>
        <v>458.1014543404</v>
      </c>
    </row>
    <row r="14606" customFormat="false" ht="15" hidden="false" customHeight="false" outlineLevel="0" collapsed="false">
      <c r="A14606" s="5" t="s">
        <v>310</v>
      </c>
      <c r="G14606" s="25" t="n">
        <f aca="false">MAX(0,G14604-Assumptions!$C$12)*Assumptions!$C$13</f>
        <v>0</v>
      </c>
      <c r="H14606" s="25" t="n">
        <f aca="false">MAX(0,H14604-Assumptions!$C$12)*Assumptions!$C$13</f>
        <v>0</v>
      </c>
      <c r="I14606" s="25" t="n">
        <f aca="false">MAX(0,I14604-Assumptions!$C$12)*Assumptions!$C$13</f>
        <v>0</v>
      </c>
      <c r="J14606" s="25" t="n">
        <f aca="false">MAX(0,J14604-Assumptions!$C$12)*Assumptions!$C$13</f>
        <v>0</v>
      </c>
      <c r="K14606" s="25" t="n">
        <f aca="false">MAX(0,K14604-Assumptions!$C$12)*Assumptions!$C$13</f>
        <v>0</v>
      </c>
    </row>
    <row r="14607" customFormat="false" ht="15" hidden="false" customHeight="false" outlineLevel="0" collapsed="false">
      <c r="A14607" s="5" t="s">
        <v>311</v>
      </c>
      <c r="G14607" s="25" t="n">
        <f aca="false">G14531+G14544+G14557+G14570</f>
        <v>0</v>
      </c>
      <c r="H14607" s="25" t="n">
        <f aca="false">H14531+H14544+H14557+H14570</f>
        <v>0</v>
      </c>
      <c r="I14607" s="25" t="n">
        <f aca="false">I14531+I14544+I14557+I14570</f>
        <v>0</v>
      </c>
      <c r="J14607" s="25" t="n">
        <f aca="false">J14531+J14544+J14557+J14570</f>
        <v>0</v>
      </c>
      <c r="K14607" s="25" t="n">
        <f aca="false">K14531+K14544+K14557+K14570</f>
        <v>0</v>
      </c>
    </row>
    <row r="14608" customFormat="false" ht="15" hidden="false" customHeight="false" outlineLevel="0" collapsed="false">
      <c r="A14608" s="2" t="s">
        <v>312</v>
      </c>
      <c r="F14608" s="27" t="n">
        <f aca="false">Assumptions!$C$11</f>
        <v>45</v>
      </c>
      <c r="G14608" s="16" t="n">
        <f aca="false">G14604-G14607</f>
        <v>0</v>
      </c>
      <c r="H14608" s="16" t="n">
        <f aca="false">H14604-H14607</f>
        <v>-129.4261972</v>
      </c>
      <c r="I14608" s="16" t="n">
        <f aca="false">I14604-I14607</f>
        <v>-252.773611152</v>
      </c>
      <c r="J14608" s="16" t="n">
        <f aca="false">J14604-J14607</f>
        <v>-361.81929541424</v>
      </c>
      <c r="K14608" s="16" t="n">
        <f aca="false">K14604-K14607</f>
        <v>-458.1014543404</v>
      </c>
    </row>
    <row r="14609" customFormat="false" ht="15" hidden="false" customHeight="false" outlineLevel="0" collapsed="false">
      <c r="A14609" s="5" t="s">
        <v>313</v>
      </c>
      <c r="G14609" s="25" t="n">
        <f aca="false">G14532+G14545+G14558+G14571</f>
        <v>0</v>
      </c>
      <c r="H14609" s="25" t="n">
        <f aca="false">H14532+H14545+H14558+H14571</f>
        <v>523.2968</v>
      </c>
      <c r="I14609" s="25" t="n">
        <f aca="false">I14532+I14545+I14558+I14571</f>
        <v>504.4</v>
      </c>
      <c r="J14609" s="25" t="n">
        <f aca="false">J14532+J14545+J14558+J14571</f>
        <v>250</v>
      </c>
      <c r="K14609" s="25" t="n">
        <f aca="false">K14532+K14545+K14558+K14571</f>
        <v>0</v>
      </c>
    </row>
    <row r="14610" customFormat="false" ht="15" hidden="false" customHeight="false" outlineLevel="0" collapsed="false">
      <c r="A14610" s="5" t="s">
        <v>314</v>
      </c>
      <c r="G14610" s="20" t="n">
        <f aca="false">IF(OR(G14605&gt;0.001,G14609&gt;0.001),1,0)</f>
        <v>0</v>
      </c>
      <c r="H14610" s="20" t="n">
        <f aca="false">IF(OR(H14605&gt;0.001,H14609&gt;0.001),1,0)</f>
        <v>1</v>
      </c>
      <c r="I14610" s="20" t="n">
        <f aca="false">IF(OR(I14605&gt;0.001,I14609&gt;0.001),1,0)</f>
        <v>1</v>
      </c>
      <c r="J14610" s="20" t="n">
        <f aca="false">IF(OR(J14605&gt;0.001,J14609&gt;0.001),1,0)</f>
        <v>1</v>
      </c>
      <c r="K14610" s="20" t="n">
        <f aca="false">IF(OR(K14605&gt;0.001,K14609&gt;0.001),1,0)</f>
        <v>1</v>
      </c>
    </row>
    <row r="14611" customFormat="false" ht="15" hidden="false" customHeight="false" outlineLevel="0" collapsed="false">
      <c r="A14611" s="5" t="s">
        <v>315</v>
      </c>
      <c r="G14611" s="20" t="n">
        <f aca="false">IF(G14610=1,1,0)</f>
        <v>0</v>
      </c>
      <c r="H14611" s="20" t="n">
        <f aca="false">IF(AND(H14610=1,SUM($G$14610:G14610)=0),1,0)</f>
        <v>1</v>
      </c>
      <c r="I14611" s="20" t="n">
        <f aca="false">IF(AND(I14610=1,SUM($G$14610:H14610)=0),1,0)</f>
        <v>0</v>
      </c>
      <c r="J14611" s="20" t="n">
        <f aca="false">IF(AND(J14610=1,SUM($G$14610:I14610)=0),1,0)</f>
        <v>0</v>
      </c>
      <c r="K14611" s="20" t="n">
        <f aca="false">IF(AND(K14610=1,SUM($G$14610:J14610)=0),1,0)</f>
        <v>0</v>
      </c>
    </row>
    <row r="14612" customFormat="false" ht="15" hidden="false" customHeight="false" outlineLevel="0" collapsed="false">
      <c r="A14612" s="5" t="s">
        <v>316</v>
      </c>
      <c r="G14612" s="25" t="n">
        <f aca="false">(G14574-F14574)-(G14601+G14501-G14599-G14603-G14607)</f>
        <v>0</v>
      </c>
      <c r="H14612" s="25" t="n">
        <f aca="false">(H14574-G14574)-(H14601+H14501-H14599-H14603-H14607)</f>
        <v>-4.52970994047064E-014</v>
      </c>
      <c r="I14612" s="25" t="n">
        <f aca="false">(I14574-H14574)-(I14601+I14501-I14599-I14603-I14607)</f>
        <v>-4.52970994047064E-014</v>
      </c>
      <c r="J14612" s="25" t="n">
        <f aca="false">(J14574-I14574)-(J14601+J14501-J14599-J14603-J14607)</f>
        <v>-4.52970994047064E-014</v>
      </c>
      <c r="K14612" s="25" t="n">
        <f aca="false">(K14574-J14574)-(K14601+K14501-K14599-K14603-K14607)</f>
        <v>1.82076576038526E-013</v>
      </c>
    </row>
    <row r="14614" customFormat="false" ht="15" hidden="false" customHeight="false" outlineLevel="0" collapsed="false">
      <c r="A14614" s="23" t="s">
        <v>318</v>
      </c>
      <c r="B14614" s="24"/>
      <c r="C14614" s="24"/>
      <c r="D14614" s="24"/>
      <c r="E14614" s="24"/>
      <c r="F14614" s="24"/>
      <c r="G14614" s="24"/>
      <c r="H14614" s="24"/>
      <c r="I14614" s="24"/>
      <c r="J14614" s="24"/>
      <c r="K14614" s="24"/>
    </row>
    <row r="14615" customFormat="false" ht="15" hidden="false" customHeight="false" outlineLevel="0" collapsed="false">
      <c r="A14615" s="5" t="s">
        <v>319</v>
      </c>
      <c r="G14615" s="25" t="n">
        <f aca="false">G14574</f>
        <v>1288.0968</v>
      </c>
      <c r="H14615" s="25" t="n">
        <f aca="false">H14574</f>
        <v>1282.8968</v>
      </c>
      <c r="I14615" s="25" t="n">
        <f aca="false">I14574</f>
        <v>1277.6968</v>
      </c>
      <c r="J14615" s="25" t="n">
        <f aca="false">J14574</f>
        <v>1272.4968</v>
      </c>
      <c r="K14615" s="25" t="n">
        <f aca="false">K14574</f>
        <v>1267.2968</v>
      </c>
    </row>
    <row r="14616" customFormat="false" ht="15" hidden="false" customHeight="false" outlineLevel="0" collapsed="false">
      <c r="A14616" s="5" t="s">
        <v>320</v>
      </c>
      <c r="G14616" s="25" t="n">
        <f aca="false">Assumptions!$O$53*G14533+Assumptions!$O$54*G14546+Assumptions!$O$55*G14559+Assumptions!$O$56*G14572</f>
        <v>988.0968</v>
      </c>
      <c r="H14616" s="25" t="n">
        <f aca="false">Assumptions!$O$53*H14533+Assumptions!$O$54*H14546+Assumptions!$O$55*H14559+Assumptions!$O$56*H14572</f>
        <v>982.8968</v>
      </c>
      <c r="I14616" s="25" t="n">
        <f aca="false">Assumptions!$O$53*I14533+Assumptions!$O$54*I14546+Assumptions!$O$55*I14559+Assumptions!$O$56*I14572</f>
        <v>977.6968</v>
      </c>
      <c r="J14616" s="25" t="n">
        <f aca="false">Assumptions!$O$53*J14533+Assumptions!$O$54*J14546+Assumptions!$O$55*J14559+Assumptions!$O$56*J14572</f>
        <v>972.4968</v>
      </c>
      <c r="K14616" s="25" t="n">
        <f aca="false">Assumptions!$O$53*K14533+Assumptions!$O$54*K14546+Assumptions!$O$55*K14559+Assumptions!$O$56*K14572</f>
        <v>967.2968</v>
      </c>
    </row>
    <row r="14617" customFormat="false" ht="15" hidden="false" customHeight="false" outlineLevel="0" collapsed="false">
      <c r="A14617" s="5" t="s">
        <v>321</v>
      </c>
      <c r="G14617" s="25" t="n">
        <f aca="false">G14615-G14608</f>
        <v>1288.0968</v>
      </c>
      <c r="H14617" s="25" t="n">
        <f aca="false">H14615-H14608</f>
        <v>1412.3229972</v>
      </c>
      <c r="I14617" s="25" t="n">
        <f aca="false">I14615-I14608</f>
        <v>1530.470411152</v>
      </c>
      <c r="J14617" s="25" t="n">
        <f aca="false">J14615-J14608</f>
        <v>1634.31609541424</v>
      </c>
      <c r="K14617" s="25" t="n">
        <f aca="false">K14615-K14608</f>
        <v>1725.3982543404</v>
      </c>
    </row>
    <row r="14618" customFormat="false" ht="15" hidden="false" customHeight="false" outlineLevel="0" collapsed="false">
      <c r="A14618" s="5" t="s">
        <v>322</v>
      </c>
      <c r="G14618" s="31" t="n">
        <f aca="false">IF(G14496&gt;0,G14615/G14496,0)</f>
        <v>16.6317632475984</v>
      </c>
      <c r="H14618" s="31" t="n">
        <f aca="false">IF(H14496&gt;0,H14615/H14496,0)</f>
        <v>26.2300027063853</v>
      </c>
      <c r="I14618" s="31" t="n">
        <f aca="false">IF(I14496&gt;0,I14615/I14496,0)</f>
        <v>20.8228983004846</v>
      </c>
      <c r="J14618" s="31" t="n">
        <f aca="false">IF(J14496&gt;0,J14615/J14496,0)</f>
        <v>17.3566069503101</v>
      </c>
      <c r="K14618" s="31" t="n">
        <f aca="false">IF(K14496&gt;0,K14615/K14496,0)</f>
        <v>14.9051194612406</v>
      </c>
    </row>
    <row r="14619" customFormat="false" ht="15" hidden="false" customHeight="false" outlineLevel="0" collapsed="false">
      <c r="A14619" s="5" t="s">
        <v>323</v>
      </c>
      <c r="G14619" s="31" t="n">
        <f aca="false">IF(G14496&gt;0,G14617/G14496,0)</f>
        <v>16.6317632475984</v>
      </c>
      <c r="H14619" s="31" t="n">
        <f aca="false">IF(H14496&gt;0,H14617/H14496,0)</f>
        <v>28.8762401144396</v>
      </c>
      <c r="I14619" s="31" t="n">
        <f aca="false">IF(I14496&gt;0,I14617/I14496,0)</f>
        <v>24.9424039594675</v>
      </c>
      <c r="J14619" s="31" t="n">
        <f aca="false">IF(J14496&gt;0,J14617/J14496,0)</f>
        <v>22.291751225363</v>
      </c>
      <c r="K14619" s="31" t="n">
        <f aca="false">IF(K14496&gt;0,K14617/K14496,0)</f>
        <v>20.2930103659692</v>
      </c>
    </row>
    <row r="14620" customFormat="false" ht="15" hidden="false" customHeight="false" outlineLevel="0" collapsed="false">
      <c r="A14620" s="5" t="s">
        <v>324</v>
      </c>
      <c r="G14620" s="31" t="n">
        <f aca="false">IF(G14500&gt;0,G14496/G14500,0)</f>
        <v>0.567218397539183</v>
      </c>
      <c r="H14620" s="31" t="n">
        <f aca="false">IF(H14500&gt;0,H14496/H14500,0)</f>
        <v>0.352284958296584</v>
      </c>
      <c r="I14620" s="31" t="n">
        <f aca="false">IF(I14500&gt;0,I14496/I14500,0)</f>
        <v>0.450018798819929</v>
      </c>
      <c r="J14620" s="31" t="n">
        <f aca="false">IF(J14500&gt;0,J14496/J14500,0)</f>
        <v>0.540229013875673</v>
      </c>
      <c r="K14620" s="31" t="n">
        <f aca="false">IF(K14500&gt;0,K14496/K14500,0)</f>
        <v>0.629478014681392</v>
      </c>
    </row>
    <row r="14621" customFormat="false" ht="15" hidden="false" customHeight="false" outlineLevel="0" collapsed="false">
      <c r="A14621" s="5" t="s">
        <v>325</v>
      </c>
      <c r="G14621" s="31" t="n">
        <f aca="false">IF(G14500&gt;0,G14499/G14500,0)</f>
        <v>0.210681119085982</v>
      </c>
      <c r="H14621" s="31" t="n">
        <f aca="false">IF(H14500&gt;0,H14499/H14500,0)</f>
        <v>0.0153167373172427</v>
      </c>
      <c r="I14621" s="31" t="n">
        <f aca="false">IF(I14500&gt;0,I14499/I14500,0)</f>
        <v>0.108625227301362</v>
      </c>
      <c r="J14621" s="31" t="n">
        <f aca="false">IF(J14500&gt;0,J14499/J14500,0)</f>
        <v>0.200656490868107</v>
      </c>
      <c r="K14621" s="31" t="n">
        <f aca="false">IF(K14500&gt;0,K14499/K14500,0)</f>
        <v>0.291709323876743</v>
      </c>
    </row>
    <row r="14622" customFormat="false" ht="15" hidden="false" customHeight="false" outlineLevel="0" collapsed="false">
      <c r="A14622" s="5" t="s">
        <v>182</v>
      </c>
      <c r="G14622" s="21" t="n">
        <f aca="false">IF(G14615&gt;0,G14509/G14615,0)</f>
        <v>-0.0645113007034875</v>
      </c>
      <c r="H14622" s="21" t="n">
        <f aca="false">IF(H14615&gt;0,H14509/H14615,0)</f>
        <v>-0.0968325723472068</v>
      </c>
      <c r="I14622" s="21" t="n">
        <f aca="false">IF(I14615&gt;0,I14509/I14615,0)</f>
        <v>-0.0924690536534176</v>
      </c>
      <c r="J14622" s="21" t="n">
        <f aca="false">IF(J14615&gt;0,J14509/J14615,0)</f>
        <v>-0.0816078156442044</v>
      </c>
      <c r="K14622" s="21" t="n">
        <f aca="false">IF(K14615&gt;0,K14509/K14615,0)</f>
        <v>-0.0718712135358978</v>
      </c>
    </row>
    <row r="14623" customFormat="false" ht="15" hidden="false" customHeight="false" outlineLevel="0" collapsed="false">
      <c r="A14623" s="5" t="s">
        <v>326</v>
      </c>
      <c r="G14623" s="31" t="n">
        <f aca="false">IF(G14500+G14599&gt;0,(G14496-G14507-G14504)/(G14500+G14599),0)</f>
        <v>0.249786933822492</v>
      </c>
      <c r="H14623" s="31" t="n">
        <f aca="false">IF(H14500+H14599&gt;0,(H14496-H14507-H14504)/(H14500+H14599),0)</f>
        <v>0.0590550708448551</v>
      </c>
      <c r="I14623" s="31" t="n">
        <f aca="false">IF(I14500+I14599&gt;0,(I14496-I14507-I14504)/(I14500+I14599),0)</f>
        <v>0.149478233670623</v>
      </c>
      <c r="J14623" s="31" t="n">
        <f aca="false">IF(J14500+J14599&gt;0,(J14496-J14507-J14504)/(J14500+J14599),0)</f>
        <v>0.237848248091105</v>
      </c>
      <c r="K14623" s="31" t="n">
        <f aca="false">IF(K14500+K14599&gt;0,(K14496-K14507-K14504)/(K14500+K14599),0)</f>
        <v>0.32524723996392</v>
      </c>
    </row>
    <row r="14624" customFormat="false" ht="15" hidden="false" customHeight="false" outlineLevel="0" collapsed="false">
      <c r="A14624" s="5" t="s">
        <v>327</v>
      </c>
      <c r="G14624" s="25" t="n">
        <f aca="false">MAX(0,G14608)+Assumptions!$P$53*MAX(0,Assumptions!$D$53-G14533)+Assumptions!$P$54*MAX(0,Assumptions!$D$54-G14546)+Assumptions!$P$55*MAX(0,Assumptions!$D$55-G14559)+Assumptions!$P$56*MAX(0,Assumptions!$D$56-G14572)</f>
        <v>76.7032</v>
      </c>
      <c r="H14624" s="25" t="n">
        <f aca="false">MAX(0,H14608)+Assumptions!$P$53*MAX(0,Assumptions!$D$53-H14533)+Assumptions!$P$54*MAX(0,Assumptions!$D$54-H14546)+Assumptions!$P$55*MAX(0,Assumptions!$D$55-H14559)+Assumptions!$P$56*MAX(0,Assumptions!$D$56-H14572)</f>
        <v>76.7032</v>
      </c>
      <c r="I14624" s="25" t="n">
        <f aca="false">MAX(0,I14608)+Assumptions!$P$53*MAX(0,Assumptions!$D$53-I14533)+Assumptions!$P$54*MAX(0,Assumptions!$D$54-I14546)+Assumptions!$P$55*MAX(0,Assumptions!$D$55-I14559)+Assumptions!$P$56*MAX(0,Assumptions!$D$56-I14572)</f>
        <v>76.7032</v>
      </c>
      <c r="J14624" s="25" t="n">
        <f aca="false">MAX(0,J14608)+Assumptions!$P$53*MAX(0,Assumptions!$D$53-J14533)+Assumptions!$P$54*MAX(0,Assumptions!$D$54-J14546)+Assumptions!$P$55*MAX(0,Assumptions!$D$55-J14559)+Assumptions!$P$56*MAX(0,Assumptions!$D$56-J14572)</f>
        <v>76.7032</v>
      </c>
      <c r="K14624" s="25" t="n">
        <f aca="false">MAX(0,K14608)+Assumptions!$P$53*MAX(0,Assumptions!$D$53-K14533)+Assumptions!$P$54*MAX(0,Assumptions!$D$54-K14546)+Assumptions!$P$55*MAX(0,Assumptions!$D$55-K14559)+Assumptions!$P$56*MAX(0,Assumptions!$D$56-K14572)</f>
        <v>76.7032</v>
      </c>
    </row>
    <row r="14625" customFormat="false" ht="15" hidden="false" customHeight="false" outlineLevel="0" collapsed="false">
      <c r="A14625" s="5" t="s">
        <v>328</v>
      </c>
      <c r="G14625" s="21" t="n">
        <f aca="false">IF(G14615&gt;0,G14615/(G14615+MAX(0,G14496*CHOOSE($C$14479,Assumptions!$C$76,Assumptions!$C$95,Assumptions!$C$114)-G14617)),0)</f>
        <v>1</v>
      </c>
      <c r="H14625" s="21" t="n">
        <f aca="false">IF(H14615&gt;0,H14615/(H14615+MAX(0,H14496*CHOOSE($C$14479,Assumptions!$C$76,Assumptions!$C$95,Assumptions!$C$114)-H14617)),0)</f>
        <v>1</v>
      </c>
      <c r="I14625" s="21" t="n">
        <f aca="false">IF(I14615&gt;0,I14615/(I14615+MAX(0,I14496*CHOOSE($C$14479,Assumptions!$C$76,Assumptions!$C$95,Assumptions!$C$114)-I14617)),0)</f>
        <v>1</v>
      </c>
      <c r="J14625" s="21" t="n">
        <f aca="false">IF(J14615&gt;0,J14615/(J14615+MAX(0,J14496*CHOOSE($C$14479,Assumptions!$C$76,Assumptions!$C$95,Assumptions!$C$114)-J14617)),0)</f>
        <v>1</v>
      </c>
      <c r="K14625" s="21" t="n">
        <f aca="false">IF(K14615&gt;0,K14615/(K14615+MAX(0,K14496*CHOOSE($C$14479,Assumptions!$C$76,Assumptions!$C$95,Assumptions!$C$114)-K14617)),0)</f>
        <v>1</v>
      </c>
    </row>
    <row r="14626" customFormat="false" ht="15" hidden="false" customHeight="false" outlineLevel="0" collapsed="false">
      <c r="A14626" s="5" t="s">
        <v>329</v>
      </c>
      <c r="G14626" s="21" t="n">
        <f aca="false">IF(G14615&gt;0,MAX(0,G14608)/G14615,0)</f>
        <v>0</v>
      </c>
      <c r="H14626" s="21" t="n">
        <f aca="false">IF(H14615&gt;0,MAX(0,H14608)/H14615,0)</f>
        <v>0</v>
      </c>
      <c r="I14626" s="21" t="n">
        <f aca="false">IF(I14615&gt;0,MAX(0,I14608)/I14615,0)</f>
        <v>0</v>
      </c>
      <c r="J14626" s="21" t="n">
        <f aca="false">IF(J14615&gt;0,MAX(0,J14608)/J14615,0)</f>
        <v>0</v>
      </c>
      <c r="K14626" s="21" t="n">
        <f aca="false">IF(K14615&gt;0,MAX(0,K14608)/K14615,0)</f>
        <v>0</v>
      </c>
    </row>
    <row r="14627" customFormat="false" ht="15" hidden="false" customHeight="false" outlineLevel="0" collapsed="false">
      <c r="A14627" s="5" t="s">
        <v>330</v>
      </c>
      <c r="G14627" s="25" t="n">
        <f aca="false">Assumptions!$C$27*(1-CHOOSE($C$14479,Assumptions!$C$79,Assumptions!$C$98,Assumptions!$C$117))</f>
        <v>884</v>
      </c>
      <c r="H14627" s="25" t="n">
        <f aca="false">Assumptions!$C$27*(1-CHOOSE($C$14479,Assumptions!$C$79,Assumptions!$C$98,Assumptions!$C$117))</f>
        <v>884</v>
      </c>
      <c r="I14627" s="25" t="n">
        <f aca="false">Assumptions!$C$27*(1-CHOOSE($C$14479,Assumptions!$C$79,Assumptions!$C$98,Assumptions!$C$117))</f>
        <v>884</v>
      </c>
      <c r="J14627" s="25" t="n">
        <f aca="false">Assumptions!$C$27*(1-CHOOSE($C$14479,Assumptions!$C$79,Assumptions!$C$98,Assumptions!$C$117))</f>
        <v>884</v>
      </c>
      <c r="K14627" s="25" t="n">
        <f aca="false">Assumptions!$C$27*(1-CHOOSE($C$14479,Assumptions!$C$79,Assumptions!$C$98,Assumptions!$C$117))</f>
        <v>884</v>
      </c>
    </row>
    <row r="14628" customFormat="false" ht="15" hidden="false" customHeight="false" outlineLevel="0" collapsed="false">
      <c r="A14628" s="23" t="s">
        <v>331</v>
      </c>
      <c r="B14628" s="24"/>
      <c r="C14628" s="24"/>
      <c r="D14628" s="24"/>
      <c r="E14628" s="24"/>
      <c r="F14628" s="24"/>
      <c r="G14628" s="24"/>
      <c r="H14628" s="24"/>
      <c r="I14628" s="24"/>
      <c r="J14628" s="24"/>
      <c r="K14628" s="24"/>
    </row>
    <row r="14629" customFormat="false" ht="15" hidden="false" customHeight="false" outlineLevel="0" collapsed="false">
      <c r="A14629" s="23" t="s">
        <v>332</v>
      </c>
      <c r="B14629" s="24"/>
      <c r="C14629" s="24"/>
      <c r="D14629" s="24"/>
      <c r="E14629" s="24"/>
      <c r="F14629" s="24"/>
      <c r="G14629" s="24"/>
      <c r="H14629" s="24"/>
      <c r="I14629" s="24"/>
      <c r="J14629" s="24"/>
      <c r="K14629" s="24"/>
    </row>
    <row r="14630" customFormat="false" ht="15" hidden="false" customHeight="false" outlineLevel="0" collapsed="false">
      <c r="A14630" s="5" t="s">
        <v>333</v>
      </c>
      <c r="G14630" s="31" t="n">
        <f aca="false">IF(G14496&gt;0,G14617/G14496,99)</f>
        <v>16.6317632475984</v>
      </c>
      <c r="H14630" s="31" t="n">
        <f aca="false">IF(H14496&gt;0,H14617/H14496,99)</f>
        <v>28.8762401144396</v>
      </c>
      <c r="I14630" s="31" t="n">
        <f aca="false">IF(I14496&gt;0,I14617/I14496,99)</f>
        <v>24.9424039594675</v>
      </c>
      <c r="J14630" s="31" t="n">
        <f aca="false">IF(J14496&gt;0,J14617/J14496,99)</f>
        <v>22.291751225363</v>
      </c>
      <c r="K14630" s="31" t="n">
        <f aca="false">IF(K14496&gt;0,K14617/K14496,99)</f>
        <v>20.2930103659692</v>
      </c>
    </row>
    <row r="14631" customFormat="false" ht="15" hidden="false" customHeight="false" outlineLevel="0" collapsed="false">
      <c r="A14631" s="5" t="s">
        <v>334</v>
      </c>
      <c r="G14631" s="32" t="n">
        <f aca="false">Assumptions!$G$61</f>
        <v>8.5</v>
      </c>
      <c r="H14631" s="32" t="n">
        <f aca="false">Assumptions!$H$61</f>
        <v>8.5</v>
      </c>
      <c r="I14631" s="32" t="n">
        <f aca="false">Assumptions!$I$61</f>
        <v>8.5</v>
      </c>
      <c r="J14631" s="32" t="n">
        <f aca="false">Assumptions!$J$61</f>
        <v>8.5</v>
      </c>
      <c r="K14631" s="32" t="n">
        <f aca="false">Assumptions!$K$61</f>
        <v>8.5</v>
      </c>
    </row>
    <row r="14632" customFormat="false" ht="15" hidden="false" customHeight="false" outlineLevel="0" collapsed="false">
      <c r="A14632" s="5" t="s">
        <v>335</v>
      </c>
      <c r="G14632" s="31" t="n">
        <f aca="false">G14631-G14630</f>
        <v>-8.13176324759839</v>
      </c>
      <c r="H14632" s="31" t="n">
        <f aca="false">H14631-H14630</f>
        <v>-20.3762401144396</v>
      </c>
      <c r="I14632" s="31" t="n">
        <f aca="false">I14631-I14630</f>
        <v>-16.4424039594675</v>
      </c>
      <c r="J14632" s="31" t="n">
        <f aca="false">J14631-J14630</f>
        <v>-13.791751225363</v>
      </c>
      <c r="K14632" s="31" t="n">
        <f aca="false">K14631-K14630</f>
        <v>-11.7930103659692</v>
      </c>
    </row>
    <row r="14633" customFormat="false" ht="15" hidden="false" customHeight="false" outlineLevel="0" collapsed="false">
      <c r="A14633" s="5" t="s">
        <v>336</v>
      </c>
      <c r="G14633" s="21" t="n">
        <f aca="false">IF(G14631=0,0,G14632/ABS(G14631))</f>
        <v>-0.956678029129222</v>
      </c>
      <c r="H14633" s="21" t="n">
        <f aca="false">IF(H14631=0,0,H14632/ABS(H14631))</f>
        <v>-2.39720471934583</v>
      </c>
      <c r="I14633" s="21" t="n">
        <f aca="false">IF(I14631=0,0,I14632/ABS(I14631))</f>
        <v>-1.9344004658197</v>
      </c>
      <c r="J14633" s="21" t="n">
        <f aca="false">IF(J14631=0,0,J14632/ABS(J14631))</f>
        <v>-1.62255896768976</v>
      </c>
      <c r="K14633" s="21" t="n">
        <f aca="false">IF(K14631=0,0,K14632/ABS(K14631))</f>
        <v>-1.38741298423167</v>
      </c>
    </row>
    <row r="14634" customFormat="false" ht="15" hidden="false" customHeight="false" outlineLevel="0" collapsed="false">
      <c r="A14634" s="5" t="s">
        <v>337</v>
      </c>
      <c r="G14634" s="20" t="n">
        <f aca="false">IF(G14632&lt;0,1,0)</f>
        <v>1</v>
      </c>
      <c r="H14634" s="20" t="n">
        <f aca="false">IF(H14632&lt;0,1,0)</f>
        <v>1</v>
      </c>
      <c r="I14634" s="20" t="n">
        <f aca="false">IF(I14632&lt;0,1,0)</f>
        <v>1</v>
      </c>
      <c r="J14634" s="20" t="n">
        <f aca="false">IF(J14632&lt;0,1,0)</f>
        <v>1</v>
      </c>
      <c r="K14634" s="20" t="n">
        <f aca="false">IF(K14632&lt;0,1,0)</f>
        <v>1</v>
      </c>
    </row>
    <row r="14635" customFormat="false" ht="15" hidden="false" customHeight="false" outlineLevel="0" collapsed="false">
      <c r="A14635" s="5" t="s">
        <v>338</v>
      </c>
      <c r="C14635" s="20" t="n">
        <f aca="false">IFERROR(INDEX($G$14486:$K$14486,MATCH(1,$G$14634:$K$14634,0)),0)</f>
        <v>2026</v>
      </c>
    </row>
    <row r="14636" customFormat="false" ht="15" hidden="false" customHeight="false" outlineLevel="0" collapsed="false">
      <c r="A14636" s="5" t="s">
        <v>339</v>
      </c>
      <c r="C14636" s="21" t="n">
        <f aca="false">MIN($G$14633:$K$14633)</f>
        <v>-2.39720471934583</v>
      </c>
    </row>
    <row r="14637" customFormat="false" ht="15" hidden="false" customHeight="false" outlineLevel="0" collapsed="false">
      <c r="A14637" s="5" t="s">
        <v>340</v>
      </c>
      <c r="G14637" s="20" t="n">
        <f aca="false">G14634</f>
        <v>1</v>
      </c>
      <c r="H14637" s="20" t="n">
        <f aca="false">H14634</f>
        <v>1</v>
      </c>
      <c r="I14637" s="20" t="n">
        <f aca="false">I14634</f>
        <v>1</v>
      </c>
      <c r="J14637" s="20" t="n">
        <f aca="false">J14634</f>
        <v>1</v>
      </c>
      <c r="K14637" s="20" t="n">
        <f aca="false">K14634</f>
        <v>1</v>
      </c>
    </row>
    <row r="14638" customFormat="false" ht="15" hidden="false" customHeight="false" outlineLevel="0" collapsed="false">
      <c r="A14638" s="5" t="s">
        <v>341</v>
      </c>
      <c r="C14638" s="20" t="n">
        <f aca="false">SUM($G$14637:$K$14637)</f>
        <v>5</v>
      </c>
    </row>
    <row r="14639" customFormat="false" ht="15" hidden="false" customHeight="false" outlineLevel="0" collapsed="false">
      <c r="A14639" s="5" t="s">
        <v>342</v>
      </c>
      <c r="C14639" s="21" t="n">
        <f aca="false">MIN(C14636)</f>
        <v>-2.39720471934583</v>
      </c>
    </row>
    <row r="14641" customFormat="false" ht="15" hidden="false" customHeight="false" outlineLevel="0" collapsed="false">
      <c r="A14641" s="23" t="s">
        <v>444</v>
      </c>
      <c r="B14641" s="24"/>
      <c r="C14641" s="24"/>
      <c r="D14641" s="24"/>
      <c r="E14641" s="24"/>
      <c r="F14641" s="24"/>
      <c r="G14641" s="24"/>
      <c r="H14641" s="24"/>
      <c r="I14641" s="24"/>
      <c r="J14641" s="24"/>
      <c r="K14641" s="24"/>
    </row>
    <row r="14642" customFormat="false" ht="15" hidden="false" customHeight="false" outlineLevel="0" collapsed="false">
      <c r="A14642" s="5" t="s">
        <v>445</v>
      </c>
      <c r="G14642" s="20" t="n">
        <f aca="false">IF($C$14643=1,G14611,IF(G14496=MIN($G$14496:$K$14496),1,0))</f>
        <v>0</v>
      </c>
      <c r="H14642" s="20" t="n">
        <f aca="false">IF($C$14643=1,H14611,IF(AND(H14496=MIN($G$14496:$K$14496),SUM($G$14642:G14642)=0),1,0))</f>
        <v>1</v>
      </c>
      <c r="I14642" s="20" t="n">
        <f aca="false">IF($C$14643=1,I14611,IF(AND(I14496=MIN($G$14496:$K$14496),SUM($G$14642:H14642)=0),1,0))</f>
        <v>0</v>
      </c>
      <c r="J14642" s="20" t="n">
        <f aca="false">IF($C$14643=1,J14611,IF(AND(J14496=MIN($G$14496:$K$14496),SUM($G$14642:I14642)=0),1,0))</f>
        <v>0</v>
      </c>
      <c r="K14642" s="20" t="n">
        <f aca="false">IF($C$14643=1,K14611,IF(AND(K14496=MIN($G$14496:$K$14496),SUM($G$14642:J14642)=0),1,0))</f>
        <v>0</v>
      </c>
    </row>
    <row r="14643" customFormat="false" ht="15" hidden="false" customHeight="false" outlineLevel="0" collapsed="false">
      <c r="A14643" s="5" t="s">
        <v>446</v>
      </c>
      <c r="C14643" s="20" t="n">
        <f aca="false">IF(SUM($G$14611:$K$14611)&gt;0,1,0)</f>
        <v>1</v>
      </c>
    </row>
    <row r="14644" customFormat="false" ht="15" hidden="false" customHeight="false" outlineLevel="0" collapsed="false">
      <c r="A14644" s="5" t="s">
        <v>447</v>
      </c>
      <c r="C14644" s="20" t="n">
        <f aca="false">SUMPRODUCT($G$14642:$K$14642,$G$14486:$K$14486)</f>
        <v>2027</v>
      </c>
    </row>
    <row r="14645" customFormat="false" ht="15" hidden="false" customHeight="false" outlineLevel="0" collapsed="false">
      <c r="A14645" s="5" t="s">
        <v>448</v>
      </c>
      <c r="C14645" s="25" t="n">
        <f aca="false">SUMPRODUCT($G$14642:$K$14642,$G$14496:$K$14496)</f>
        <v>48.9095184</v>
      </c>
    </row>
    <row r="14646" customFormat="false" ht="15" hidden="false" customHeight="false" outlineLevel="0" collapsed="false">
      <c r="A14646" s="5" t="s">
        <v>449</v>
      </c>
      <c r="C14646" s="25" t="n">
        <f aca="false">MAX(0,SUMPRODUCT($G$14642:$K$14642,$G$14608:$K$14608))</f>
        <v>0</v>
      </c>
    </row>
    <row r="14647" customFormat="false" ht="15" hidden="false" customHeight="false" outlineLevel="0" collapsed="false">
      <c r="A14647" s="5" t="s">
        <v>450</v>
      </c>
      <c r="C14647" s="25" t="n">
        <f aca="false">(CHOOSE($C$14479,Assumptions!$C$78,Assumptions!$C$97,Assumptions!$C$116)+$C$14483)*C14645</f>
        <v>195.6380736</v>
      </c>
    </row>
    <row r="14648" customFormat="false" ht="15" hidden="false" customHeight="false" outlineLevel="0" collapsed="false">
      <c r="A14648" s="5" t="s">
        <v>451</v>
      </c>
      <c r="C14648" s="25" t="n">
        <f aca="false">Assumptions!$C$27*(1-CHOOSE($C$14479,Assumptions!$C$79,Assumptions!$C$98,Assumptions!$C$117))*CHOOSE($C$14479,Assumptions!$C$80,Assumptions!$C$99,Assumptions!$C$118)</f>
        <v>530.4</v>
      </c>
    </row>
    <row r="14649" customFormat="false" ht="15" hidden="false" customHeight="false" outlineLevel="0" collapsed="false">
      <c r="A14649" s="5" t="s">
        <v>452</v>
      </c>
      <c r="C14649" s="25" t="n">
        <f aca="false">MAX(C14647,C14648)+C14646</f>
        <v>530.4</v>
      </c>
    </row>
    <row r="14650" customFormat="false" ht="15" hidden="false" customHeight="false" outlineLevel="0" collapsed="false">
      <c r="A14650" s="2" t="s">
        <v>453</v>
      </c>
      <c r="C14650" s="16" t="n">
        <f aca="false">IF(ISNUMBER(Assumptions!$C$14),Assumptions!$C$14,C14649)</f>
        <v>530.4</v>
      </c>
    </row>
    <row r="14651" customFormat="false" ht="15" hidden="false" customHeight="false" outlineLevel="0" collapsed="false">
      <c r="A14651" s="5" t="s">
        <v>454</v>
      </c>
      <c r="C14651" s="25" t="n">
        <f aca="false">C14650*Assumptions!$C$15</f>
        <v>21.216</v>
      </c>
    </row>
    <row r="14652" customFormat="false" ht="15" hidden="false" customHeight="false" outlineLevel="0" collapsed="false">
      <c r="A14652" s="2" t="s">
        <v>455</v>
      </c>
      <c r="C14652" s="16" t="n">
        <f aca="false">C14650-C14651</f>
        <v>509.184</v>
      </c>
    </row>
    <row r="14653" customFormat="false" ht="15" hidden="false" customHeight="false" outlineLevel="0" collapsed="false">
      <c r="A14653" s="23" t="s">
        <v>456</v>
      </c>
      <c r="B14653" s="24"/>
      <c r="C14653" s="24"/>
      <c r="D14653" s="24"/>
      <c r="E14653" s="24"/>
      <c r="F14653" s="24"/>
      <c r="G14653" s="24"/>
      <c r="H14653" s="24"/>
      <c r="I14653" s="24"/>
      <c r="J14653" s="24"/>
      <c r="K14653" s="24"/>
    </row>
    <row r="14654" customFormat="false" ht="15" hidden="false" customHeight="false" outlineLevel="0" collapsed="false">
      <c r="A14654" s="5" t="s">
        <v>457</v>
      </c>
      <c r="C14654" s="25" t="n">
        <f aca="false">SUMPRODUCT($G$14642:$K$14642,$G$14533:$K$14533)*(1+SUMPRODUCT($G$14642:$K$14642,$G$14525:$K$14525)*Assumptions!$C$16/12)</f>
        <v>229.3537257</v>
      </c>
    </row>
    <row r="14655" customFormat="false" ht="15" hidden="false" customHeight="false" outlineLevel="0" collapsed="false">
      <c r="A14655" s="5" t="s">
        <v>458</v>
      </c>
      <c r="C14655" s="25" t="n">
        <f aca="false">SUMPRODUCT($G$14642:$K$14642,$G$14546:$K$14546)*(1+SUMPRODUCT($G$14642:$K$14642,$G$14538:$K$14538)*Assumptions!$C$16/12)</f>
        <v>525.5887</v>
      </c>
    </row>
    <row r="14656" customFormat="false" ht="15" hidden="false" customHeight="false" outlineLevel="0" collapsed="false">
      <c r="A14656" s="5" t="s">
        <v>459</v>
      </c>
      <c r="C14656" s="25" t="n">
        <f aca="false">SUMPRODUCT($G$14642:$K$14642,$G$14559:$K$14559)*(1+SUMPRODUCT($G$14642:$K$14642,$G$14551:$K$14551)*Assumptions!$C$16/12)</f>
        <v>256.875</v>
      </c>
    </row>
    <row r="14657" customFormat="false" ht="15" hidden="false" customHeight="false" outlineLevel="0" collapsed="false">
      <c r="A14657" s="5" t="s">
        <v>460</v>
      </c>
      <c r="C14657" s="25" t="n">
        <f aca="false">SUMPRODUCT($G$14642:$K$14642,$G$14572:$K$14572)*(1+SUMPRODUCT($G$14642:$K$14642,$G$14564:$K$14564)*Assumptions!$C$16/12)</f>
        <v>305.625</v>
      </c>
    </row>
    <row r="14658" customFormat="false" ht="15" hidden="false" customHeight="false" outlineLevel="0" collapsed="false">
      <c r="A14658" s="23" t="s">
        <v>461</v>
      </c>
      <c r="B14658" s="24"/>
      <c r="C14658" s="24"/>
      <c r="D14658" s="24"/>
      <c r="E14658" s="24"/>
      <c r="F14658" s="24"/>
      <c r="G14658" s="24"/>
      <c r="H14658" s="24"/>
      <c r="I14658" s="24"/>
      <c r="J14658" s="24"/>
      <c r="K14658" s="24"/>
    </row>
    <row r="14659" customFormat="false" ht="15" hidden="false" customHeight="false" outlineLevel="0" collapsed="false">
      <c r="A14659" s="5" t="s">
        <v>457</v>
      </c>
      <c r="C14659" s="26" t="n">
        <f aca="false">Assumptions!$M$53</f>
        <v>1</v>
      </c>
    </row>
    <row r="14660" customFormat="false" ht="15" hidden="false" customHeight="false" outlineLevel="0" collapsed="false">
      <c r="A14660" s="5" t="s">
        <v>458</v>
      </c>
      <c r="C14660" s="26" t="n">
        <f aca="false">Assumptions!$M$54</f>
        <v>2</v>
      </c>
    </row>
    <row r="14661" customFormat="false" ht="15" hidden="false" customHeight="false" outlineLevel="0" collapsed="false">
      <c r="A14661" s="5" t="s">
        <v>459</v>
      </c>
      <c r="C14661" s="26" t="n">
        <f aca="false">Assumptions!$M$55</f>
        <v>3</v>
      </c>
    </row>
    <row r="14662" customFormat="false" ht="15" hidden="false" customHeight="false" outlineLevel="0" collapsed="false">
      <c r="A14662" s="5" t="s">
        <v>460</v>
      </c>
      <c r="C14662" s="26" t="n">
        <f aca="false">Assumptions!$M$56</f>
        <v>4</v>
      </c>
    </row>
    <row r="14663" customFormat="false" ht="15" hidden="false" customHeight="false" outlineLevel="0" collapsed="false">
      <c r="A14663" s="23" t="s">
        <v>462</v>
      </c>
      <c r="B14663" s="24"/>
      <c r="C14663" s="24"/>
      <c r="D14663" s="24"/>
      <c r="E14663" s="24"/>
      <c r="F14663" s="24"/>
      <c r="G14663" s="24"/>
      <c r="H14663" s="24"/>
      <c r="I14663" s="24"/>
      <c r="J14663" s="24"/>
      <c r="K14663" s="24"/>
    </row>
    <row r="14664" customFormat="false" ht="15" hidden="false" customHeight="false" outlineLevel="0" collapsed="false">
      <c r="A14664" s="5" t="s">
        <v>457</v>
      </c>
      <c r="C14664" s="34" t="n">
        <f aca="false">Assumptions!$Q$53</f>
        <v>0</v>
      </c>
    </row>
    <row r="14665" customFormat="false" ht="15" hidden="false" customHeight="false" outlineLevel="0" collapsed="false">
      <c r="A14665" s="5" t="s">
        <v>458</v>
      </c>
      <c r="C14665" s="34" t="n">
        <f aca="false">Assumptions!$Q$54</f>
        <v>0</v>
      </c>
    </row>
    <row r="14666" customFormat="false" ht="15" hidden="false" customHeight="false" outlineLevel="0" collapsed="false">
      <c r="A14666" s="5" t="s">
        <v>459</v>
      </c>
      <c r="C14666" s="34" t="n">
        <f aca="false">Assumptions!$Q$55</f>
        <v>0</v>
      </c>
    </row>
    <row r="14667" customFormat="false" ht="15" hidden="false" customHeight="false" outlineLevel="0" collapsed="false">
      <c r="A14667" s="5" t="s">
        <v>460</v>
      </c>
      <c r="C14667" s="34" t="n">
        <f aca="false">Assumptions!$Q$56</f>
        <v>0</v>
      </c>
    </row>
    <row r="14668" customFormat="false" ht="15" hidden="false" customHeight="false" outlineLevel="0" collapsed="false">
      <c r="A14668" s="23" t="s">
        <v>463</v>
      </c>
      <c r="B14668" s="24"/>
      <c r="C14668" s="24"/>
      <c r="D14668" s="24"/>
      <c r="E14668" s="24"/>
      <c r="F14668" s="24"/>
      <c r="G14668" s="24"/>
      <c r="H14668" s="24"/>
      <c r="I14668" s="24"/>
      <c r="J14668" s="24"/>
      <c r="K14668" s="24"/>
    </row>
    <row r="14669" customFormat="false" ht="15" hidden="false" customHeight="false" outlineLevel="0" collapsed="false">
      <c r="A14669" s="5" t="s">
        <v>457</v>
      </c>
      <c r="C14669" s="25" t="n">
        <f aca="false">IF(C14664&gt;0,MIN(C14654,C14664*$C$14652),0)</f>
        <v>0</v>
      </c>
    </row>
    <row r="14670" customFormat="false" ht="15" hidden="false" customHeight="false" outlineLevel="0" collapsed="false">
      <c r="A14670" s="5" t="s">
        <v>458</v>
      </c>
      <c r="C14670" s="25" t="n">
        <f aca="false">IF(C14665&gt;0,MIN(C14655,C14665*$C$14652),0)</f>
        <v>0</v>
      </c>
    </row>
    <row r="14671" customFormat="false" ht="15" hidden="false" customHeight="false" outlineLevel="0" collapsed="false">
      <c r="A14671" s="5" t="s">
        <v>459</v>
      </c>
      <c r="C14671" s="25" t="n">
        <f aca="false">IF(C14666&gt;0,MIN(C14656,C14666*$C$14652),0)</f>
        <v>0</v>
      </c>
    </row>
    <row r="14672" customFormat="false" ht="15" hidden="false" customHeight="false" outlineLevel="0" collapsed="false">
      <c r="A14672" s="5" t="s">
        <v>460</v>
      </c>
      <c r="C14672" s="25" t="n">
        <f aca="false">IF(C14667&gt;0,MIN(C14657,C14667*$C$14652),0)</f>
        <v>0</v>
      </c>
    </row>
    <row r="14673" customFormat="false" ht="15" hidden="false" customHeight="false" outlineLevel="0" collapsed="false">
      <c r="A14673" s="23" t="s">
        <v>464</v>
      </c>
      <c r="B14673" s="24"/>
      <c r="C14673" s="24"/>
      <c r="D14673" s="24"/>
      <c r="E14673" s="24"/>
      <c r="F14673" s="24"/>
      <c r="G14673" s="24"/>
      <c r="H14673" s="24"/>
      <c r="I14673" s="24"/>
      <c r="J14673" s="24"/>
      <c r="K14673" s="24"/>
    </row>
    <row r="14674" customFormat="false" ht="15" hidden="false" customHeight="false" outlineLevel="0" collapsed="false">
      <c r="A14674" s="5" t="s">
        <v>457</v>
      </c>
      <c r="C14674" s="25" t="n">
        <f aca="false">IF(C14664&gt;0,C14654-C14669,0)</f>
        <v>0</v>
      </c>
      <c r="G14674" s="20" t="n">
        <f aca="false">IF(AND(G14523=1,G14520=1),1,0)</f>
        <v>0</v>
      </c>
      <c r="H14674" s="20" t="n">
        <f aca="false">IF(G14674=1,1,IF(AND(H14523=1,H14520=1),1,0))</f>
        <v>0</v>
      </c>
      <c r="I14674" s="20" t="n">
        <f aca="false">IF(H14674=1,1,IF(AND(I14523=1,I14520=1),1,0))</f>
        <v>0</v>
      </c>
      <c r="J14674" s="20" t="n">
        <f aca="false">IF(I14674=1,1,IF(AND(J14523=1,J14520=1),1,0))</f>
        <v>0</v>
      </c>
      <c r="K14674" s="20" t="n">
        <f aca="false">IF(J14674=1,1,IF(AND(K14523=1,K14520=1),1,0))</f>
        <v>0</v>
      </c>
    </row>
    <row r="14675" customFormat="false" ht="15" hidden="false" customHeight="false" outlineLevel="0" collapsed="false">
      <c r="A14675" s="5" t="s">
        <v>458</v>
      </c>
      <c r="C14675" s="25" t="n">
        <f aca="false">IF(C14665&gt;0,C14655-C14670,0)</f>
        <v>0</v>
      </c>
      <c r="G14675" s="20" t="n">
        <f aca="false">IF(AND(G14536=1,G14520=1),1,0)</f>
        <v>0</v>
      </c>
      <c r="H14675" s="20" t="n">
        <f aca="false">IF(G14675=1,1,IF(AND(H14536=1,H14520=1),1,0))</f>
        <v>0</v>
      </c>
      <c r="I14675" s="20" t="n">
        <f aca="false">IF(H14675=1,1,IF(AND(I14536=1,I14520=1),1,0))</f>
        <v>0</v>
      </c>
      <c r="J14675" s="20" t="n">
        <f aca="false">IF(I14675=1,1,IF(AND(J14536=1,J14520=1),1,0))</f>
        <v>0</v>
      </c>
      <c r="K14675" s="20" t="n">
        <f aca="false">IF(J14675=1,1,IF(AND(K14536=1,K14520=1),1,0))</f>
        <v>0</v>
      </c>
    </row>
    <row r="14676" customFormat="false" ht="15" hidden="false" customHeight="false" outlineLevel="0" collapsed="false">
      <c r="A14676" s="5" t="s">
        <v>459</v>
      </c>
      <c r="C14676" s="25" t="n">
        <f aca="false">IF(C14666&gt;0,C14656-C14671,0)</f>
        <v>0</v>
      </c>
      <c r="G14676" s="20" t="n">
        <f aca="false">IF(AND(G14549=1,G14520=1),1,0)</f>
        <v>0</v>
      </c>
      <c r="H14676" s="20" t="n">
        <f aca="false">IF(G14676=1,1,IF(AND(H14549=1,H14520=1),1,0))</f>
        <v>0</v>
      </c>
      <c r="I14676" s="20" t="n">
        <f aca="false">IF(H14676=1,1,IF(AND(I14549=1,I14520=1),1,0))</f>
        <v>0</v>
      </c>
      <c r="J14676" s="20" t="n">
        <f aca="false">IF(I14676=1,1,IF(AND(J14549=1,J14520=1),1,0))</f>
        <v>0</v>
      </c>
      <c r="K14676" s="20" t="n">
        <f aca="false">IF(J14676=1,1,IF(AND(K14549=1,K14520=1),1,0))</f>
        <v>0</v>
      </c>
    </row>
    <row r="14677" customFormat="false" ht="15" hidden="false" customHeight="false" outlineLevel="0" collapsed="false">
      <c r="A14677" s="5" t="s">
        <v>460</v>
      </c>
      <c r="C14677" s="25" t="n">
        <f aca="false">IF(C14667&gt;0,C14657-C14672,0)</f>
        <v>0</v>
      </c>
      <c r="G14677" s="20" t="n">
        <f aca="false">IF(AND(G14562=1,G14520=1),1,0)</f>
        <v>0</v>
      </c>
      <c r="H14677" s="20" t="n">
        <f aca="false">IF(G14677=1,1,IF(AND(H14562=1,H14520=1),1,0))</f>
        <v>0</v>
      </c>
      <c r="I14677" s="20" t="n">
        <f aca="false">IF(H14677=1,1,IF(AND(I14562=1,I14520=1),1,0))</f>
        <v>0</v>
      </c>
      <c r="J14677" s="20" t="n">
        <f aca="false">IF(I14677=1,1,IF(AND(J14562=1,J14520=1),1,0))</f>
        <v>0</v>
      </c>
      <c r="K14677" s="20" t="n">
        <f aca="false">IF(J14677=1,1,IF(AND(K14562=1,K14520=1),1,0))</f>
        <v>0</v>
      </c>
    </row>
    <row r="14678" customFormat="false" ht="15" hidden="false" customHeight="false" outlineLevel="0" collapsed="false">
      <c r="A14678" s="23" t="s">
        <v>465</v>
      </c>
      <c r="B14678" s="24"/>
      <c r="C14678" s="24"/>
      <c r="D14678" s="24"/>
      <c r="E14678" s="24"/>
      <c r="F14678" s="24"/>
      <c r="G14678" s="24"/>
      <c r="H14678" s="24"/>
      <c r="I14678" s="24"/>
      <c r="J14678" s="24"/>
      <c r="K14678" s="24"/>
    </row>
    <row r="14679" customFormat="false" ht="15" hidden="false" customHeight="false" outlineLevel="0" collapsed="false">
      <c r="A14679" s="5" t="s">
        <v>457</v>
      </c>
      <c r="C14679" s="25" t="n">
        <f aca="false">IF(C14664&gt;0,C14674,C14654)</f>
        <v>229.3537257</v>
      </c>
    </row>
    <row r="14680" customFormat="false" ht="15" hidden="false" customHeight="false" outlineLevel="0" collapsed="false">
      <c r="A14680" s="5" t="s">
        <v>458</v>
      </c>
      <c r="C14680" s="25" t="n">
        <f aca="false">IF(C14665&gt;0,C14675,C14655)</f>
        <v>525.5887</v>
      </c>
    </row>
    <row r="14681" customFormat="false" ht="15" hidden="false" customHeight="false" outlineLevel="0" collapsed="false">
      <c r="A14681" s="5" t="s">
        <v>459</v>
      </c>
      <c r="C14681" s="25" t="n">
        <f aca="false">IF(C14666&gt;0,C14676,C14656)</f>
        <v>256.875</v>
      </c>
    </row>
    <row r="14682" customFormat="false" ht="15" hidden="false" customHeight="false" outlineLevel="0" collapsed="false">
      <c r="A14682" s="5" t="s">
        <v>460</v>
      </c>
      <c r="C14682" s="25" t="n">
        <f aca="false">IF(C14667&gt;0,C14677,C14657)</f>
        <v>305.625</v>
      </c>
    </row>
    <row r="14683" customFormat="false" ht="15" hidden="false" customHeight="false" outlineLevel="0" collapsed="false">
      <c r="A14683" s="23" t="s">
        <v>466</v>
      </c>
      <c r="B14683" s="24"/>
      <c r="C14683" s="24"/>
      <c r="D14683" s="24"/>
      <c r="E14683" s="24"/>
      <c r="F14683" s="24"/>
      <c r="G14683" s="24"/>
      <c r="H14683" s="24"/>
      <c r="I14683" s="24"/>
      <c r="J14683" s="24"/>
      <c r="K14683" s="24"/>
    </row>
    <row r="14684" customFormat="false" ht="15" hidden="false" customHeight="false" outlineLevel="0" collapsed="false">
      <c r="A14684" s="5" t="s">
        <v>457</v>
      </c>
      <c r="C14684" s="20" t="n">
        <f aca="false">IF(C14664&gt;0,Assumptions!$C$17,C14659)</f>
        <v>1</v>
      </c>
    </row>
    <row r="14685" customFormat="false" ht="15" hidden="false" customHeight="false" outlineLevel="0" collapsed="false">
      <c r="A14685" s="5" t="s">
        <v>458</v>
      </c>
      <c r="C14685" s="20" t="n">
        <f aca="false">IF(C14665&gt;0,Assumptions!$C$17,C14660)</f>
        <v>2</v>
      </c>
    </row>
    <row r="14686" customFormat="false" ht="15" hidden="false" customHeight="false" outlineLevel="0" collapsed="false">
      <c r="A14686" s="5" t="s">
        <v>459</v>
      </c>
      <c r="C14686" s="20" t="n">
        <f aca="false">IF(C14666&gt;0,Assumptions!$C$17,C14661)</f>
        <v>3</v>
      </c>
    </row>
    <row r="14687" customFormat="false" ht="15" hidden="false" customHeight="false" outlineLevel="0" collapsed="false">
      <c r="A14687" s="5" t="s">
        <v>460</v>
      </c>
      <c r="C14687" s="20" t="n">
        <f aca="false">IF(C14667&gt;0,Assumptions!$C$17,C14662)</f>
        <v>4</v>
      </c>
    </row>
    <row r="14688" customFormat="false" ht="15" hidden="false" customHeight="false" outlineLevel="0" collapsed="false">
      <c r="A14688" s="23" t="s">
        <v>467</v>
      </c>
      <c r="B14688" s="24"/>
      <c r="C14688" s="24"/>
      <c r="D14688" s="24"/>
      <c r="E14688" s="24"/>
      <c r="F14688" s="24"/>
      <c r="G14688" s="24"/>
      <c r="H14688" s="24"/>
      <c r="I14688" s="24"/>
      <c r="J14688" s="24"/>
      <c r="K14688" s="24"/>
    </row>
    <row r="14689" customFormat="false" ht="15" hidden="false" customHeight="false" outlineLevel="0" collapsed="false">
      <c r="A14689" s="5" t="s">
        <v>457</v>
      </c>
      <c r="C14689" s="25" t="n">
        <f aca="false">SUMPRODUCT(($C$14684:$C$14687&lt;C14684)*$C$14679:$C$14682)</f>
        <v>0</v>
      </c>
    </row>
    <row r="14690" customFormat="false" ht="15" hidden="false" customHeight="false" outlineLevel="0" collapsed="false">
      <c r="A14690" s="5" t="s">
        <v>458</v>
      </c>
      <c r="C14690" s="25" t="n">
        <f aca="false">SUMPRODUCT(($C$14684:$C$14687&lt;C14685)*$C$14679:$C$14682)</f>
        <v>229.3537257</v>
      </c>
    </row>
    <row r="14691" customFormat="false" ht="15" hidden="false" customHeight="false" outlineLevel="0" collapsed="false">
      <c r="A14691" s="5" t="s">
        <v>459</v>
      </c>
      <c r="C14691" s="25" t="n">
        <f aca="false">SUMPRODUCT(($C$14684:$C$14687&lt;C14686)*$C$14679:$C$14682)</f>
        <v>754.9424257</v>
      </c>
    </row>
    <row r="14692" customFormat="false" ht="15" hidden="false" customHeight="false" outlineLevel="0" collapsed="false">
      <c r="A14692" s="5" t="s">
        <v>460</v>
      </c>
      <c r="C14692" s="25" t="n">
        <f aca="false">SUMPRODUCT(($C$14684:$C$14687&lt;C14687)*$C$14679:$C$14682)</f>
        <v>1011.8174257</v>
      </c>
    </row>
    <row r="14693" customFormat="false" ht="15" hidden="false" customHeight="false" outlineLevel="0" collapsed="false">
      <c r="A14693" s="23" t="s">
        <v>468</v>
      </c>
      <c r="B14693" s="24"/>
      <c r="C14693" s="24"/>
      <c r="D14693" s="24"/>
      <c r="E14693" s="24"/>
      <c r="F14693" s="24"/>
      <c r="G14693" s="24"/>
      <c r="H14693" s="24"/>
      <c r="I14693" s="24"/>
      <c r="J14693" s="24"/>
      <c r="K14693" s="24"/>
    </row>
    <row r="14694" customFormat="false" ht="15" hidden="false" customHeight="false" outlineLevel="0" collapsed="false">
      <c r="A14694" s="5" t="s">
        <v>457</v>
      </c>
      <c r="C14694" s="25" t="n">
        <f aca="false">SUMPRODUCT(($C$14684:$C$14687=C14684)*$C$14679:$C$14682)</f>
        <v>229.3537257</v>
      </c>
    </row>
    <row r="14695" customFormat="false" ht="15" hidden="false" customHeight="false" outlineLevel="0" collapsed="false">
      <c r="A14695" s="5" t="s">
        <v>458</v>
      </c>
      <c r="C14695" s="25" t="n">
        <f aca="false">SUMPRODUCT(($C$14684:$C$14687=C14685)*$C$14679:$C$14682)</f>
        <v>525.5887</v>
      </c>
    </row>
    <row r="14696" customFormat="false" ht="15" hidden="false" customHeight="false" outlineLevel="0" collapsed="false">
      <c r="A14696" s="5" t="s">
        <v>459</v>
      </c>
      <c r="C14696" s="25" t="n">
        <f aca="false">SUMPRODUCT(($C$14684:$C$14687=C14686)*$C$14679:$C$14682)</f>
        <v>256.875</v>
      </c>
    </row>
    <row r="14697" customFormat="false" ht="15" hidden="false" customHeight="false" outlineLevel="0" collapsed="false">
      <c r="A14697" s="5" t="s">
        <v>460</v>
      </c>
      <c r="C14697" s="25" t="n">
        <f aca="false">SUMPRODUCT(($C$14684:$C$14687=C14687)*$C$14679:$C$14682)</f>
        <v>305.625</v>
      </c>
    </row>
    <row r="14698" customFormat="false" ht="15" hidden="false" customHeight="false" outlineLevel="0" collapsed="false">
      <c r="A14698" s="23" t="s">
        <v>469</v>
      </c>
      <c r="B14698" s="24"/>
      <c r="C14698" s="24"/>
      <c r="D14698" s="24"/>
      <c r="E14698" s="24"/>
      <c r="F14698" s="24"/>
      <c r="G14698" s="24"/>
      <c r="H14698" s="24"/>
      <c r="I14698" s="24"/>
      <c r="J14698" s="24"/>
      <c r="K14698" s="24"/>
    </row>
    <row r="14699" customFormat="false" ht="15" hidden="false" customHeight="false" outlineLevel="0" collapsed="false">
      <c r="A14699" s="5" t="s">
        <v>457</v>
      </c>
      <c r="C14699" s="25" t="n">
        <f aca="false">IF(C14694=0,0,C14679/C14694*MAX(0,MIN(C14694,$C$14652-SUM($C$14669:$C$14672)-C14689)))</f>
        <v>229.3537257</v>
      </c>
    </row>
    <row r="14700" customFormat="false" ht="15" hidden="false" customHeight="false" outlineLevel="0" collapsed="false">
      <c r="A14700" s="5" t="s">
        <v>458</v>
      </c>
      <c r="C14700" s="25" t="n">
        <f aca="false">IF(C14695=0,0,C14680/C14695*MAX(0,MIN(C14695,$C$14652-SUM($C$14669:$C$14672)-C14690)))</f>
        <v>279.8302743</v>
      </c>
    </row>
    <row r="14701" customFormat="false" ht="15" hidden="false" customHeight="false" outlineLevel="0" collapsed="false">
      <c r="A14701" s="5" t="s">
        <v>459</v>
      </c>
      <c r="C14701" s="25" t="n">
        <f aca="false">IF(C14696=0,0,C14681/C14696*MAX(0,MIN(C14696,$C$14652-SUM($C$14669:$C$14672)-C14691)))</f>
        <v>0</v>
      </c>
    </row>
    <row r="14702" customFormat="false" ht="15" hidden="false" customHeight="false" outlineLevel="0" collapsed="false">
      <c r="A14702" s="5" t="s">
        <v>460</v>
      </c>
      <c r="C14702" s="25" t="n">
        <f aca="false">IF(C14697=0,0,C14682/C14697*MAX(0,MIN(C14697,$C$14652-SUM($C$14669:$C$14672)-C14692)))</f>
        <v>0</v>
      </c>
    </row>
    <row r="14703" customFormat="false" ht="15" hidden="false" customHeight="false" outlineLevel="0" collapsed="false">
      <c r="A14703" s="23" t="s">
        <v>470</v>
      </c>
      <c r="B14703" s="24"/>
      <c r="C14703" s="24"/>
      <c r="D14703" s="24"/>
      <c r="E14703" s="24"/>
      <c r="F14703" s="24"/>
      <c r="G14703" s="24"/>
      <c r="H14703" s="24"/>
      <c r="I14703" s="24"/>
      <c r="J14703" s="24"/>
      <c r="K14703" s="24"/>
    </row>
    <row r="14704" customFormat="false" ht="15" hidden="false" customHeight="false" outlineLevel="0" collapsed="false">
      <c r="A14704" s="2" t="s">
        <v>457</v>
      </c>
      <c r="C14704" s="16" t="n">
        <f aca="false">C14669+C14699</f>
        <v>229.3537257</v>
      </c>
    </row>
    <row r="14705" customFormat="false" ht="15" hidden="false" customHeight="false" outlineLevel="0" collapsed="false">
      <c r="A14705" s="2" t="s">
        <v>458</v>
      </c>
      <c r="C14705" s="16" t="n">
        <f aca="false">C14670+C14700</f>
        <v>279.8302743</v>
      </c>
    </row>
    <row r="14706" customFormat="false" ht="15" hidden="false" customHeight="false" outlineLevel="0" collapsed="false">
      <c r="A14706" s="2" t="s">
        <v>459</v>
      </c>
      <c r="C14706" s="16" t="n">
        <f aca="false">C14671+C14701</f>
        <v>0</v>
      </c>
    </row>
    <row r="14707" customFormat="false" ht="15" hidden="false" customHeight="false" outlineLevel="0" collapsed="false">
      <c r="A14707" s="2" t="s">
        <v>460</v>
      </c>
      <c r="C14707" s="16" t="n">
        <f aca="false">C14672+C14702</f>
        <v>0</v>
      </c>
    </row>
    <row r="14708" customFormat="false" ht="15" hidden="false" customHeight="false" outlineLevel="0" collapsed="false">
      <c r="A14708" s="23" t="s">
        <v>471</v>
      </c>
      <c r="B14708" s="24"/>
      <c r="C14708" s="24"/>
      <c r="D14708" s="24"/>
      <c r="E14708" s="24"/>
      <c r="F14708" s="24"/>
      <c r="G14708" s="24"/>
      <c r="H14708" s="24"/>
      <c r="I14708" s="24"/>
      <c r="J14708" s="24"/>
      <c r="K14708" s="24"/>
    </row>
    <row r="14709" customFormat="false" ht="15" hidden="false" customHeight="false" outlineLevel="0" collapsed="false">
      <c r="A14709" s="5" t="s">
        <v>457</v>
      </c>
      <c r="C14709" s="21" t="n">
        <f aca="false">IF(C14654=0,1,C14704/C14654)</f>
        <v>1</v>
      </c>
    </row>
    <row r="14710" customFormat="false" ht="15" hidden="false" customHeight="false" outlineLevel="0" collapsed="false">
      <c r="A14710" s="5" t="s">
        <v>458</v>
      </c>
      <c r="C14710" s="21" t="n">
        <f aca="false">IF(C14655=0,1,C14705/C14655)</f>
        <v>0.532413033803809</v>
      </c>
    </row>
    <row r="14711" customFormat="false" ht="15" hidden="false" customHeight="false" outlineLevel="0" collapsed="false">
      <c r="A14711" s="5" t="s">
        <v>459</v>
      </c>
      <c r="C14711" s="21" t="n">
        <f aca="false">IF(C14656=0,1,C14706/C14656)</f>
        <v>0</v>
      </c>
    </row>
    <row r="14712" customFormat="false" ht="15" hidden="false" customHeight="false" outlineLevel="0" collapsed="false">
      <c r="A14712" s="5" t="s">
        <v>460</v>
      </c>
      <c r="C14712" s="21" t="n">
        <f aca="false">IF(C14657=0,1,C14707/C14657)</f>
        <v>0</v>
      </c>
    </row>
    <row r="14713" customFormat="false" ht="15" hidden="false" customHeight="false" outlineLevel="0" collapsed="false">
      <c r="A14713" s="23" t="s">
        <v>472</v>
      </c>
      <c r="B14713" s="24"/>
      <c r="C14713" s="24"/>
      <c r="D14713" s="24"/>
      <c r="E14713" s="24"/>
      <c r="F14713" s="24"/>
      <c r="G14713" s="24"/>
      <c r="H14713" s="24"/>
      <c r="I14713" s="24"/>
      <c r="J14713" s="24"/>
      <c r="K14713" s="24"/>
    </row>
    <row r="14714" customFormat="false" ht="15" hidden="false" customHeight="false" outlineLevel="0" collapsed="false">
      <c r="A14714" s="5" t="s">
        <v>457</v>
      </c>
      <c r="C14714" s="25" t="n">
        <f aca="false">C14654-C14704</f>
        <v>0</v>
      </c>
    </row>
    <row r="14715" customFormat="false" ht="15" hidden="false" customHeight="false" outlineLevel="0" collapsed="false">
      <c r="A14715" s="5" t="s">
        <v>458</v>
      </c>
      <c r="C14715" s="25" t="n">
        <f aca="false">C14655-C14705</f>
        <v>245.7584257</v>
      </c>
    </row>
    <row r="14716" customFormat="false" ht="15" hidden="false" customHeight="false" outlineLevel="0" collapsed="false">
      <c r="A14716" s="5" t="s">
        <v>459</v>
      </c>
      <c r="C14716" s="25" t="n">
        <f aca="false">C14656-C14706</f>
        <v>256.875</v>
      </c>
    </row>
    <row r="14717" customFormat="false" ht="15" hidden="false" customHeight="false" outlineLevel="0" collapsed="false">
      <c r="A14717" s="5" t="s">
        <v>460</v>
      </c>
      <c r="C14717" s="25" t="n">
        <f aca="false">C14657-C14707</f>
        <v>305.625</v>
      </c>
    </row>
    <row r="14718" customFormat="false" ht="15" hidden="false" customHeight="false" outlineLevel="0" collapsed="false">
      <c r="A14718" s="23" t="s">
        <v>473</v>
      </c>
      <c r="B14718" s="24"/>
      <c r="C14718" s="24"/>
      <c r="D14718" s="24"/>
      <c r="E14718" s="24"/>
      <c r="F14718" s="24"/>
      <c r="G14718" s="24"/>
      <c r="H14718" s="24"/>
      <c r="I14718" s="24"/>
      <c r="J14718" s="24"/>
      <c r="K14718" s="24"/>
    </row>
    <row r="14719" customFormat="false" ht="15" hidden="false" customHeight="false" outlineLevel="0" collapsed="false">
      <c r="A14719" s="5" t="s">
        <v>457</v>
      </c>
      <c r="C14719" s="21" t="n">
        <f aca="false">IF(C14654=0,0,C14714/C14654)</f>
        <v>0</v>
      </c>
    </row>
    <row r="14720" customFormat="false" ht="15" hidden="false" customHeight="false" outlineLevel="0" collapsed="false">
      <c r="A14720" s="5" t="s">
        <v>458</v>
      </c>
      <c r="C14720" s="21" t="n">
        <f aca="false">IF(C14655=0,0,C14715/C14655)</f>
        <v>0.467586966196191</v>
      </c>
    </row>
    <row r="14721" customFormat="false" ht="15" hidden="false" customHeight="false" outlineLevel="0" collapsed="false">
      <c r="A14721" s="5" t="s">
        <v>459</v>
      </c>
      <c r="C14721" s="21" t="n">
        <f aca="false">IF(C14656=0,0,C14716/C14656)</f>
        <v>1</v>
      </c>
    </row>
    <row r="14722" customFormat="false" ht="15" hidden="false" customHeight="false" outlineLevel="0" collapsed="false">
      <c r="A14722" s="5" t="s">
        <v>460</v>
      </c>
      <c r="C14722" s="21" t="n">
        <f aca="false">IF(C14657=0,0,C14717/C14657)</f>
        <v>1</v>
      </c>
    </row>
    <row r="14723" customFormat="false" ht="15" hidden="false" customHeight="false" outlineLevel="0" collapsed="false">
      <c r="A14723" s="2" t="s">
        <v>474</v>
      </c>
      <c r="C14723" s="16" t="n">
        <f aca="false">MAX(0,$C$14652-SUM($C$14669:$C$14672)-SUM($C$14679:$C$14682))</f>
        <v>0</v>
      </c>
    </row>
    <row r="14724" customFormat="false" ht="15" hidden="false" customHeight="false" outlineLevel="0" collapsed="false">
      <c r="A14724" s="5" t="s">
        <v>475</v>
      </c>
      <c r="C14724" s="25" t="n">
        <f aca="false">SUM($C$14704:$C$14707)+C14723+C14651-C14650</f>
        <v>0</v>
      </c>
    </row>
    <row r="14726" customFormat="false" ht="15" hidden="false" customHeight="false" outlineLevel="0" collapsed="false">
      <c r="A14726" s="23" t="s">
        <v>478</v>
      </c>
      <c r="B14726" s="24"/>
      <c r="C14726" s="24"/>
      <c r="D14726" s="24"/>
      <c r="E14726" s="24"/>
      <c r="F14726" s="24"/>
      <c r="G14726" s="24"/>
      <c r="H14726" s="24"/>
      <c r="I14726" s="24"/>
      <c r="J14726" s="24"/>
      <c r="K14726" s="24"/>
    </row>
    <row r="14727" customFormat="false" ht="15" hidden="false" customHeight="false" outlineLevel="0" collapsed="false">
      <c r="A14727" s="5" t="s">
        <v>479</v>
      </c>
      <c r="C14727" s="26" t="n">
        <f aca="false">Assumptions!$C$30</f>
        <v>2</v>
      </c>
    </row>
    <row r="14728" customFormat="false" ht="15" hidden="false" customHeight="false" outlineLevel="0" collapsed="false">
      <c r="A14728" s="5" t="s">
        <v>480</v>
      </c>
      <c r="C14728" s="28" t="n">
        <f aca="false">Assumptions!$C$31</f>
        <v>100</v>
      </c>
    </row>
    <row r="14729" customFormat="false" ht="15" hidden="false" customHeight="false" outlineLevel="0" collapsed="false">
      <c r="A14729" s="5" t="s">
        <v>481</v>
      </c>
      <c r="C14729" s="39" t="n">
        <f aca="false">Assumptions!$C$32</f>
        <v>78</v>
      </c>
    </row>
    <row r="14730" customFormat="false" ht="15" hidden="false" customHeight="false" outlineLevel="0" collapsed="false">
      <c r="A14730" s="5" t="s">
        <v>482</v>
      </c>
      <c r="C14730" s="25" t="n">
        <f aca="false">C14728*C14729/100*(1+Assumptions!$C$33)</f>
        <v>78.39</v>
      </c>
    </row>
    <row r="14731" customFormat="false" ht="15" hidden="false" customHeight="false" outlineLevel="0" collapsed="false">
      <c r="A14731" s="5" t="s">
        <v>483</v>
      </c>
      <c r="C14731" s="26" t="n">
        <f aca="false">Assumptions!$C$34</f>
        <v>2</v>
      </c>
    </row>
    <row r="14732" customFormat="false" ht="15" hidden="false" customHeight="false" outlineLevel="0" collapsed="false">
      <c r="A14732" s="5" t="s">
        <v>484</v>
      </c>
      <c r="C14732" s="20" t="n">
        <f aca="false">IF(C14643=1,SUMPRODUCT($G$14611:$K$14611,$G$14487:$K$14487),0)</f>
        <v>2</v>
      </c>
    </row>
    <row r="14733" customFormat="false" ht="15" hidden="false" customHeight="false" outlineLevel="0" collapsed="false">
      <c r="A14733" s="5" t="s">
        <v>485</v>
      </c>
      <c r="C14733" s="21" t="n">
        <f aca="false">IFERROR(C14728/CHOOSE(C14727,SUMPRODUCT($G$14642:$K$14642,$G$14533:$K$14533),SUMPRODUCT($G$14642:$K$14642,$G$14546:$K$14546),SUMPRODUCT($G$14642:$K$14642,$G$14559:$K$14559),SUMPRODUCT($G$14642:$K$14642,$G$14572:$K$14572)),0)</f>
        <v>0.196232339089482</v>
      </c>
    </row>
    <row r="14734" customFormat="false" ht="15" hidden="false" customHeight="false" outlineLevel="0" collapsed="false">
      <c r="A14734" s="5" t="s">
        <v>486</v>
      </c>
      <c r="C14734" s="25" t="n">
        <f aca="false">CHOOSE(C14727,C14704,C14705,C14706,C14707)*C14733</f>
        <v>54.9117492739403</v>
      </c>
    </row>
    <row r="14735" customFormat="false" ht="15" hidden="false" customHeight="false" outlineLevel="0" collapsed="false">
      <c r="A14735" s="5" t="s">
        <v>487</v>
      </c>
      <c r="C14735" s="21" t="n">
        <f aca="false">CHOOSE(C14727,C14709,C14710,C14711,C14712)</f>
        <v>0.532413033803809</v>
      </c>
    </row>
    <row r="14736" customFormat="false" ht="15" hidden="false" customHeight="false" outlineLevel="0" collapsed="false">
      <c r="A14736" s="5" t="s">
        <v>488</v>
      </c>
      <c r="C14736" s="20" t="n">
        <f aca="false">IF(C14643=1,C14732,C14731)</f>
        <v>2</v>
      </c>
    </row>
    <row r="14737" customFormat="false" ht="15" hidden="false" customHeight="false" outlineLevel="0" collapsed="false">
      <c r="A14737" s="5" t="s">
        <v>489</v>
      </c>
      <c r="C14737" s="33" t="n">
        <f aca="false">CHOOSE($C$14479,Assumptions!$C$77,Assumptions!$C$96,Assumptions!$C$115)</f>
        <v>90</v>
      </c>
    </row>
    <row r="14738" customFormat="false" ht="15" hidden="false" customHeight="false" outlineLevel="0" collapsed="false">
      <c r="A14738" s="5" t="s">
        <v>490</v>
      </c>
      <c r="C14738" s="25" t="n">
        <f aca="false">INDEX($G$14496:$K$14496,C14731)*CHOOSE($C$14479,Assumptions!$C$76,Assumptions!$C$95,Assumptions!$C$114)+MAX(0,INDEX($G$14608:$K$14608,C14731))</f>
        <v>244.547592</v>
      </c>
    </row>
    <row r="14739" customFormat="false" ht="15" hidden="false" customHeight="false" outlineLevel="0" collapsed="false">
      <c r="A14739" s="23" t="s">
        <v>491</v>
      </c>
      <c r="B14739" s="24"/>
      <c r="C14739" s="24"/>
      <c r="D14739" s="24"/>
      <c r="E14739" s="24"/>
      <c r="F14739" s="24"/>
      <c r="G14739" s="24"/>
      <c r="H14739" s="24"/>
      <c r="I14739" s="24"/>
      <c r="J14739" s="24"/>
      <c r="K14739" s="24"/>
    </row>
    <row r="14740" customFormat="false" ht="15" hidden="false" customHeight="false" outlineLevel="0" collapsed="false">
      <c r="A14740" s="5" t="s">
        <v>457</v>
      </c>
      <c r="C14740" s="25" t="n">
        <f aca="false">INDEX($G$14533:$K$14533,C14731)</f>
        <v>223.2968</v>
      </c>
    </row>
    <row r="14741" customFormat="false" ht="15" hidden="false" customHeight="false" outlineLevel="0" collapsed="false">
      <c r="A14741" s="5" t="s">
        <v>458</v>
      </c>
      <c r="C14741" s="25" t="n">
        <f aca="false">INDEX($G$14546:$K$14546,C14731)</f>
        <v>509.6</v>
      </c>
    </row>
    <row r="14742" customFormat="false" ht="15" hidden="false" customHeight="false" outlineLevel="0" collapsed="false">
      <c r="A14742" s="5" t="s">
        <v>459</v>
      </c>
      <c r="C14742" s="25" t="n">
        <f aca="false">INDEX($G$14559:$K$14559,C14731)</f>
        <v>250</v>
      </c>
    </row>
    <row r="14743" customFormat="false" ht="15" hidden="false" customHeight="false" outlineLevel="0" collapsed="false">
      <c r="A14743" s="5" t="s">
        <v>460</v>
      </c>
      <c r="C14743" s="25" t="n">
        <f aca="false">INDEX($G$14572:$K$14572,C14731)</f>
        <v>300</v>
      </c>
    </row>
    <row r="14744" customFormat="false" ht="15" hidden="false" customHeight="false" outlineLevel="0" collapsed="false">
      <c r="A14744" s="23" t="s">
        <v>461</v>
      </c>
      <c r="B14744" s="24"/>
      <c r="C14744" s="24"/>
      <c r="D14744" s="24"/>
      <c r="E14744" s="24"/>
      <c r="F14744" s="24"/>
      <c r="G14744" s="24"/>
      <c r="H14744" s="24"/>
      <c r="I14744" s="24"/>
      <c r="J14744" s="24"/>
      <c r="K14744" s="24"/>
    </row>
    <row r="14745" customFormat="false" ht="15" hidden="false" customHeight="false" outlineLevel="0" collapsed="false">
      <c r="A14745" s="5" t="s">
        <v>457</v>
      </c>
      <c r="C14745" s="26" t="n">
        <f aca="false">Assumptions!$M$53</f>
        <v>1</v>
      </c>
    </row>
    <row r="14746" customFormat="false" ht="15" hidden="false" customHeight="false" outlineLevel="0" collapsed="false">
      <c r="A14746" s="5" t="s">
        <v>458</v>
      </c>
      <c r="C14746" s="26" t="n">
        <f aca="false">Assumptions!$M$54</f>
        <v>2</v>
      </c>
    </row>
    <row r="14747" customFormat="false" ht="15" hidden="false" customHeight="false" outlineLevel="0" collapsed="false">
      <c r="A14747" s="5" t="s">
        <v>459</v>
      </c>
      <c r="C14747" s="26" t="n">
        <f aca="false">Assumptions!$M$55</f>
        <v>3</v>
      </c>
    </row>
    <row r="14748" customFormat="false" ht="15" hidden="false" customHeight="false" outlineLevel="0" collapsed="false">
      <c r="A14748" s="5" t="s">
        <v>460</v>
      </c>
      <c r="C14748" s="26" t="n">
        <f aca="false">Assumptions!$M$56</f>
        <v>4</v>
      </c>
    </row>
    <row r="14749" customFormat="false" ht="15" hidden="false" customHeight="false" outlineLevel="0" collapsed="false">
      <c r="A14749" s="23" t="s">
        <v>462</v>
      </c>
      <c r="B14749" s="24"/>
      <c r="C14749" s="24"/>
      <c r="D14749" s="24"/>
      <c r="E14749" s="24"/>
      <c r="F14749" s="24"/>
      <c r="G14749" s="24"/>
      <c r="H14749" s="24"/>
      <c r="I14749" s="24"/>
      <c r="J14749" s="24"/>
      <c r="K14749" s="24"/>
    </row>
    <row r="14750" customFormat="false" ht="15" hidden="false" customHeight="false" outlineLevel="0" collapsed="false">
      <c r="A14750" s="5" t="s">
        <v>457</v>
      </c>
      <c r="C14750" s="34" t="n">
        <f aca="false">Assumptions!$Q$53</f>
        <v>0</v>
      </c>
    </row>
    <row r="14751" customFormat="false" ht="15" hidden="false" customHeight="false" outlineLevel="0" collapsed="false">
      <c r="A14751" s="5" t="s">
        <v>458</v>
      </c>
      <c r="C14751" s="34" t="n">
        <f aca="false">Assumptions!$Q$54</f>
        <v>0</v>
      </c>
    </row>
    <row r="14752" customFormat="false" ht="15" hidden="false" customHeight="false" outlineLevel="0" collapsed="false">
      <c r="A14752" s="5" t="s">
        <v>459</v>
      </c>
      <c r="C14752" s="34" t="n">
        <f aca="false">Assumptions!$Q$55</f>
        <v>0</v>
      </c>
    </row>
    <row r="14753" customFormat="false" ht="15" hidden="false" customHeight="false" outlineLevel="0" collapsed="false">
      <c r="A14753" s="5" t="s">
        <v>460</v>
      </c>
      <c r="C14753" s="34" t="n">
        <f aca="false">Assumptions!$Q$56</f>
        <v>0</v>
      </c>
    </row>
    <row r="14754" customFormat="false" ht="15" hidden="false" customHeight="false" outlineLevel="0" collapsed="false">
      <c r="A14754" s="23" t="s">
        <v>463</v>
      </c>
      <c r="B14754" s="24"/>
      <c r="C14754" s="24"/>
      <c r="D14754" s="24"/>
      <c r="E14754" s="24"/>
      <c r="F14754" s="24"/>
      <c r="G14754" s="24"/>
      <c r="H14754" s="24"/>
      <c r="I14754" s="24"/>
      <c r="J14754" s="24"/>
      <c r="K14754" s="24"/>
    </row>
    <row r="14755" customFormat="false" ht="15" hidden="false" customHeight="false" outlineLevel="0" collapsed="false">
      <c r="A14755" s="5" t="s">
        <v>457</v>
      </c>
      <c r="C14755" s="25" t="n">
        <f aca="false">IF(C14750&gt;0,MIN(C14740,C14750*$C$14738),0)</f>
        <v>0</v>
      </c>
    </row>
    <row r="14756" customFormat="false" ht="15" hidden="false" customHeight="false" outlineLevel="0" collapsed="false">
      <c r="A14756" s="5" t="s">
        <v>458</v>
      </c>
      <c r="C14756" s="25" t="n">
        <f aca="false">IF(C14751&gt;0,MIN(C14741,C14751*$C$14738),0)</f>
        <v>0</v>
      </c>
    </row>
    <row r="14757" customFormat="false" ht="15" hidden="false" customHeight="false" outlineLevel="0" collapsed="false">
      <c r="A14757" s="5" t="s">
        <v>459</v>
      </c>
      <c r="C14757" s="25" t="n">
        <f aca="false">IF(C14752&gt;0,MIN(C14742,C14752*$C$14738),0)</f>
        <v>0</v>
      </c>
    </row>
    <row r="14758" customFormat="false" ht="15" hidden="false" customHeight="false" outlineLevel="0" collapsed="false">
      <c r="A14758" s="5" t="s">
        <v>460</v>
      </c>
      <c r="C14758" s="25" t="n">
        <f aca="false">IF(C14753&gt;0,MIN(C14743,C14753*$C$14738),0)</f>
        <v>0</v>
      </c>
    </row>
    <row r="14759" customFormat="false" ht="15" hidden="false" customHeight="false" outlineLevel="0" collapsed="false">
      <c r="A14759" s="23" t="s">
        <v>464</v>
      </c>
      <c r="B14759" s="24"/>
      <c r="C14759" s="24"/>
      <c r="D14759" s="24"/>
      <c r="E14759" s="24"/>
      <c r="F14759" s="24"/>
      <c r="G14759" s="24"/>
      <c r="H14759" s="24"/>
      <c r="I14759" s="24"/>
      <c r="J14759" s="24"/>
      <c r="K14759" s="24"/>
    </row>
    <row r="14760" customFormat="false" ht="15" hidden="false" customHeight="false" outlineLevel="0" collapsed="false">
      <c r="A14760" s="5" t="s">
        <v>457</v>
      </c>
      <c r="C14760" s="25" t="n">
        <f aca="false">IF(C14750&gt;0,C14740-C14755,0)</f>
        <v>0</v>
      </c>
    </row>
    <row r="14761" customFormat="false" ht="15" hidden="false" customHeight="false" outlineLevel="0" collapsed="false">
      <c r="A14761" s="5" t="s">
        <v>458</v>
      </c>
      <c r="C14761" s="25" t="n">
        <f aca="false">IF(C14751&gt;0,C14741-C14756,0)</f>
        <v>0</v>
      </c>
    </row>
    <row r="14762" customFormat="false" ht="15" hidden="false" customHeight="false" outlineLevel="0" collapsed="false">
      <c r="A14762" s="5" t="s">
        <v>459</v>
      </c>
      <c r="C14762" s="25" t="n">
        <f aca="false">IF(C14752&gt;0,C14742-C14757,0)</f>
        <v>0</v>
      </c>
    </row>
    <row r="14763" customFormat="false" ht="15" hidden="false" customHeight="false" outlineLevel="0" collapsed="false">
      <c r="A14763" s="5" t="s">
        <v>460</v>
      </c>
      <c r="C14763" s="25" t="n">
        <f aca="false">IF(C14753&gt;0,C14743-C14758,0)</f>
        <v>0</v>
      </c>
    </row>
    <row r="14764" customFormat="false" ht="15" hidden="false" customHeight="false" outlineLevel="0" collapsed="false">
      <c r="A14764" s="23" t="s">
        <v>465</v>
      </c>
      <c r="B14764" s="24"/>
      <c r="C14764" s="24"/>
      <c r="D14764" s="24"/>
      <c r="E14764" s="24"/>
      <c r="F14764" s="24"/>
      <c r="G14764" s="24"/>
      <c r="H14764" s="24"/>
      <c r="I14764" s="24"/>
      <c r="J14764" s="24"/>
      <c r="K14764" s="24"/>
    </row>
    <row r="14765" customFormat="false" ht="15" hidden="false" customHeight="false" outlineLevel="0" collapsed="false">
      <c r="A14765" s="5" t="s">
        <v>457</v>
      </c>
      <c r="C14765" s="25" t="n">
        <f aca="false">IF(C14750&gt;0,C14760,C14740)</f>
        <v>223.2968</v>
      </c>
    </row>
    <row r="14766" customFormat="false" ht="15" hidden="false" customHeight="false" outlineLevel="0" collapsed="false">
      <c r="A14766" s="5" t="s">
        <v>458</v>
      </c>
      <c r="C14766" s="25" t="n">
        <f aca="false">IF(C14751&gt;0,C14761,C14741)</f>
        <v>509.6</v>
      </c>
    </row>
    <row r="14767" customFormat="false" ht="15" hidden="false" customHeight="false" outlineLevel="0" collapsed="false">
      <c r="A14767" s="5" t="s">
        <v>459</v>
      </c>
      <c r="C14767" s="25" t="n">
        <f aca="false">IF(C14752&gt;0,C14762,C14742)</f>
        <v>250</v>
      </c>
    </row>
    <row r="14768" customFormat="false" ht="15" hidden="false" customHeight="false" outlineLevel="0" collapsed="false">
      <c r="A14768" s="5" t="s">
        <v>460</v>
      </c>
      <c r="C14768" s="25" t="n">
        <f aca="false">IF(C14753&gt;0,C14763,C14743)</f>
        <v>300</v>
      </c>
    </row>
    <row r="14769" customFormat="false" ht="15" hidden="false" customHeight="false" outlineLevel="0" collapsed="false">
      <c r="A14769" s="23" t="s">
        <v>466</v>
      </c>
      <c r="B14769" s="24"/>
      <c r="C14769" s="24"/>
      <c r="D14769" s="24"/>
      <c r="E14769" s="24"/>
      <c r="F14769" s="24"/>
      <c r="G14769" s="24"/>
      <c r="H14769" s="24"/>
      <c r="I14769" s="24"/>
      <c r="J14769" s="24"/>
      <c r="K14769" s="24"/>
    </row>
    <row r="14770" customFormat="false" ht="15" hidden="false" customHeight="false" outlineLevel="0" collapsed="false">
      <c r="A14770" s="5" t="s">
        <v>457</v>
      </c>
      <c r="C14770" s="20" t="n">
        <f aca="false">IF(C14750&gt;0,Assumptions!$C$17,C14745)</f>
        <v>1</v>
      </c>
    </row>
    <row r="14771" customFormat="false" ht="15" hidden="false" customHeight="false" outlineLevel="0" collapsed="false">
      <c r="A14771" s="5" t="s">
        <v>458</v>
      </c>
      <c r="C14771" s="20" t="n">
        <f aca="false">IF(C14751&gt;0,Assumptions!$C$17,C14746)</f>
        <v>2</v>
      </c>
    </row>
    <row r="14772" customFormat="false" ht="15" hidden="false" customHeight="false" outlineLevel="0" collapsed="false">
      <c r="A14772" s="5" t="s">
        <v>459</v>
      </c>
      <c r="C14772" s="20" t="n">
        <f aca="false">IF(C14752&gt;0,Assumptions!$C$17,C14747)</f>
        <v>3</v>
      </c>
    </row>
    <row r="14773" customFormat="false" ht="15" hidden="false" customHeight="false" outlineLevel="0" collapsed="false">
      <c r="A14773" s="5" t="s">
        <v>460</v>
      </c>
      <c r="C14773" s="20" t="n">
        <f aca="false">IF(C14753&gt;0,Assumptions!$C$17,C14748)</f>
        <v>4</v>
      </c>
    </row>
    <row r="14774" customFormat="false" ht="15" hidden="false" customHeight="false" outlineLevel="0" collapsed="false">
      <c r="A14774" s="23" t="s">
        <v>467</v>
      </c>
      <c r="B14774" s="24"/>
      <c r="C14774" s="24"/>
      <c r="D14774" s="24"/>
      <c r="E14774" s="24"/>
      <c r="F14774" s="24"/>
      <c r="G14774" s="24"/>
      <c r="H14774" s="24"/>
      <c r="I14774" s="24"/>
      <c r="J14774" s="24"/>
      <c r="K14774" s="24"/>
    </row>
    <row r="14775" customFormat="false" ht="15" hidden="false" customHeight="false" outlineLevel="0" collapsed="false">
      <c r="A14775" s="5" t="s">
        <v>457</v>
      </c>
      <c r="C14775" s="25" t="n">
        <f aca="false">SUMPRODUCT(($C$14770:$C$14773&lt;C14770)*$C$14765:$C$14768)</f>
        <v>0</v>
      </c>
    </row>
    <row r="14776" customFormat="false" ht="15" hidden="false" customHeight="false" outlineLevel="0" collapsed="false">
      <c r="A14776" s="5" t="s">
        <v>458</v>
      </c>
      <c r="C14776" s="25" t="n">
        <f aca="false">SUMPRODUCT(($C$14770:$C$14773&lt;C14771)*$C$14765:$C$14768)</f>
        <v>223.2968</v>
      </c>
    </row>
    <row r="14777" customFormat="false" ht="15" hidden="false" customHeight="false" outlineLevel="0" collapsed="false">
      <c r="A14777" s="5" t="s">
        <v>459</v>
      </c>
      <c r="C14777" s="25" t="n">
        <f aca="false">SUMPRODUCT(($C$14770:$C$14773&lt;C14772)*$C$14765:$C$14768)</f>
        <v>732.8968</v>
      </c>
    </row>
    <row r="14778" customFormat="false" ht="15" hidden="false" customHeight="false" outlineLevel="0" collapsed="false">
      <c r="A14778" s="5" t="s">
        <v>460</v>
      </c>
      <c r="C14778" s="25" t="n">
        <f aca="false">SUMPRODUCT(($C$14770:$C$14773&lt;C14773)*$C$14765:$C$14768)</f>
        <v>982.8968</v>
      </c>
    </row>
    <row r="14779" customFormat="false" ht="15" hidden="false" customHeight="false" outlineLevel="0" collapsed="false">
      <c r="A14779" s="23" t="s">
        <v>468</v>
      </c>
      <c r="B14779" s="24"/>
      <c r="C14779" s="24"/>
      <c r="D14779" s="24"/>
      <c r="E14779" s="24"/>
      <c r="F14779" s="24"/>
      <c r="G14779" s="24"/>
      <c r="H14779" s="24"/>
      <c r="I14779" s="24"/>
      <c r="J14779" s="24"/>
      <c r="K14779" s="24"/>
    </row>
    <row r="14780" customFormat="false" ht="15" hidden="false" customHeight="false" outlineLevel="0" collapsed="false">
      <c r="A14780" s="5" t="s">
        <v>457</v>
      </c>
      <c r="C14780" s="25" t="n">
        <f aca="false">SUMPRODUCT(($C$14770:$C$14773=C14770)*$C$14765:$C$14768)</f>
        <v>223.2968</v>
      </c>
    </row>
    <row r="14781" customFormat="false" ht="15" hidden="false" customHeight="false" outlineLevel="0" collapsed="false">
      <c r="A14781" s="5" t="s">
        <v>458</v>
      </c>
      <c r="C14781" s="25" t="n">
        <f aca="false">SUMPRODUCT(($C$14770:$C$14773=C14771)*$C$14765:$C$14768)</f>
        <v>509.6</v>
      </c>
    </row>
    <row r="14782" customFormat="false" ht="15" hidden="false" customHeight="false" outlineLevel="0" collapsed="false">
      <c r="A14782" s="5" t="s">
        <v>459</v>
      </c>
      <c r="C14782" s="25" t="n">
        <f aca="false">SUMPRODUCT(($C$14770:$C$14773=C14772)*$C$14765:$C$14768)</f>
        <v>250</v>
      </c>
    </row>
    <row r="14783" customFormat="false" ht="15" hidden="false" customHeight="false" outlineLevel="0" collapsed="false">
      <c r="A14783" s="5" t="s">
        <v>460</v>
      </c>
      <c r="C14783" s="25" t="n">
        <f aca="false">SUMPRODUCT(($C$14770:$C$14773=C14773)*$C$14765:$C$14768)</f>
        <v>300</v>
      </c>
    </row>
    <row r="14784" customFormat="false" ht="15" hidden="false" customHeight="false" outlineLevel="0" collapsed="false">
      <c r="A14784" s="23" t="s">
        <v>469</v>
      </c>
      <c r="B14784" s="24"/>
      <c r="C14784" s="24"/>
      <c r="D14784" s="24"/>
      <c r="E14784" s="24"/>
      <c r="F14784" s="24"/>
      <c r="G14784" s="24"/>
      <c r="H14784" s="24"/>
      <c r="I14784" s="24"/>
      <c r="J14784" s="24"/>
      <c r="K14784" s="24"/>
    </row>
    <row r="14785" customFormat="false" ht="15" hidden="false" customHeight="false" outlineLevel="0" collapsed="false">
      <c r="A14785" s="5" t="s">
        <v>457</v>
      </c>
      <c r="C14785" s="25" t="n">
        <f aca="false">IF(C14780=0,0,C14765/C14780*MAX(0,MIN(C14780,$C$14738-SUM($C$14755:$C$14758)-C14775)))</f>
        <v>223.2968</v>
      </c>
    </row>
    <row r="14786" customFormat="false" ht="15" hidden="false" customHeight="false" outlineLevel="0" collapsed="false">
      <c r="A14786" s="5" t="s">
        <v>458</v>
      </c>
      <c r="C14786" s="25" t="n">
        <f aca="false">IF(C14781=0,0,C14766/C14781*MAX(0,MIN(C14781,$C$14738-SUM($C$14755:$C$14758)-C14776)))</f>
        <v>21.2507919999999</v>
      </c>
    </row>
    <row r="14787" customFormat="false" ht="15" hidden="false" customHeight="false" outlineLevel="0" collapsed="false">
      <c r="A14787" s="5" t="s">
        <v>459</v>
      </c>
      <c r="C14787" s="25" t="n">
        <f aca="false">IF(C14782=0,0,C14767/C14782*MAX(0,MIN(C14782,$C$14738-SUM($C$14755:$C$14758)-C14777)))</f>
        <v>0</v>
      </c>
    </row>
    <row r="14788" customFormat="false" ht="15" hidden="false" customHeight="false" outlineLevel="0" collapsed="false">
      <c r="A14788" s="5" t="s">
        <v>460</v>
      </c>
      <c r="C14788" s="25" t="n">
        <f aca="false">IF(C14783=0,0,C14768/C14783*MAX(0,MIN(C14783,$C$14738-SUM($C$14755:$C$14758)-C14778)))</f>
        <v>0</v>
      </c>
    </row>
    <row r="14789" customFormat="false" ht="15" hidden="false" customHeight="false" outlineLevel="0" collapsed="false">
      <c r="A14789" s="23" t="s">
        <v>470</v>
      </c>
      <c r="B14789" s="24"/>
      <c r="C14789" s="24"/>
      <c r="D14789" s="24"/>
      <c r="E14789" s="24"/>
      <c r="F14789" s="24"/>
      <c r="G14789" s="24"/>
      <c r="H14789" s="24"/>
      <c r="I14789" s="24"/>
      <c r="J14789" s="24"/>
      <c r="K14789" s="24"/>
    </row>
    <row r="14790" customFormat="false" ht="15" hidden="false" customHeight="false" outlineLevel="0" collapsed="false">
      <c r="A14790" s="2" t="s">
        <v>457</v>
      </c>
      <c r="C14790" s="16" t="n">
        <f aca="false">C14755+C14785</f>
        <v>223.2968</v>
      </c>
    </row>
    <row r="14791" customFormat="false" ht="15" hidden="false" customHeight="false" outlineLevel="0" collapsed="false">
      <c r="A14791" s="2" t="s">
        <v>458</v>
      </c>
      <c r="C14791" s="16" t="n">
        <f aca="false">C14756+C14786</f>
        <v>21.2507919999999</v>
      </c>
    </row>
    <row r="14792" customFormat="false" ht="15" hidden="false" customHeight="false" outlineLevel="0" collapsed="false">
      <c r="A14792" s="2" t="s">
        <v>459</v>
      </c>
      <c r="C14792" s="16" t="n">
        <f aca="false">C14757+C14787</f>
        <v>0</v>
      </c>
    </row>
    <row r="14793" customFormat="false" ht="15" hidden="false" customHeight="false" outlineLevel="0" collapsed="false">
      <c r="A14793" s="2" t="s">
        <v>460</v>
      </c>
      <c r="C14793" s="16" t="n">
        <f aca="false">C14758+C14788</f>
        <v>0</v>
      </c>
    </row>
    <row r="14794" customFormat="false" ht="15" hidden="false" customHeight="false" outlineLevel="0" collapsed="false">
      <c r="A14794" s="23" t="s">
        <v>471</v>
      </c>
      <c r="B14794" s="24"/>
      <c r="C14794" s="24"/>
      <c r="D14794" s="24"/>
      <c r="E14794" s="24"/>
      <c r="F14794" s="24"/>
      <c r="G14794" s="24"/>
      <c r="H14794" s="24"/>
      <c r="I14794" s="24"/>
      <c r="J14794" s="24"/>
      <c r="K14794" s="24"/>
    </row>
    <row r="14795" customFormat="false" ht="15" hidden="false" customHeight="false" outlineLevel="0" collapsed="false">
      <c r="A14795" s="5" t="s">
        <v>457</v>
      </c>
      <c r="C14795" s="21" t="n">
        <f aca="false">IF(C14740=0,1,C14790/C14740)</f>
        <v>1</v>
      </c>
    </row>
    <row r="14796" customFormat="false" ht="15" hidden="false" customHeight="false" outlineLevel="0" collapsed="false">
      <c r="A14796" s="5" t="s">
        <v>458</v>
      </c>
      <c r="C14796" s="21" t="n">
        <f aca="false">IF(C14741=0,1,C14791/C14741)</f>
        <v>0.0417009262166403</v>
      </c>
    </row>
    <row r="14797" customFormat="false" ht="15" hidden="false" customHeight="false" outlineLevel="0" collapsed="false">
      <c r="A14797" s="5" t="s">
        <v>459</v>
      </c>
      <c r="C14797" s="21" t="n">
        <f aca="false">IF(C14742=0,1,C14792/C14742)</f>
        <v>0</v>
      </c>
    </row>
    <row r="14798" customFormat="false" ht="15" hidden="false" customHeight="false" outlineLevel="0" collapsed="false">
      <c r="A14798" s="5" t="s">
        <v>460</v>
      </c>
      <c r="C14798" s="21" t="n">
        <f aca="false">IF(C14743=0,1,C14793/C14743)</f>
        <v>0</v>
      </c>
    </row>
    <row r="14799" customFormat="false" ht="15" hidden="false" customHeight="false" outlineLevel="0" collapsed="false">
      <c r="A14799" s="23" t="s">
        <v>472</v>
      </c>
      <c r="B14799" s="24"/>
      <c r="C14799" s="24"/>
      <c r="D14799" s="24"/>
      <c r="E14799" s="24"/>
      <c r="F14799" s="24"/>
      <c r="G14799" s="24"/>
      <c r="H14799" s="24"/>
      <c r="I14799" s="24"/>
      <c r="J14799" s="24"/>
      <c r="K14799" s="24"/>
    </row>
    <row r="14800" customFormat="false" ht="15" hidden="false" customHeight="false" outlineLevel="0" collapsed="false">
      <c r="A14800" s="5" t="s">
        <v>457</v>
      </c>
      <c r="C14800" s="25" t="n">
        <f aca="false">C14740-C14790</f>
        <v>0</v>
      </c>
    </row>
    <row r="14801" customFormat="false" ht="15" hidden="false" customHeight="false" outlineLevel="0" collapsed="false">
      <c r="A14801" s="5" t="s">
        <v>458</v>
      </c>
      <c r="C14801" s="25" t="n">
        <f aca="false">C14741-C14791</f>
        <v>488.349208</v>
      </c>
    </row>
    <row r="14802" customFormat="false" ht="15" hidden="false" customHeight="false" outlineLevel="0" collapsed="false">
      <c r="A14802" s="5" t="s">
        <v>459</v>
      </c>
      <c r="C14802" s="25" t="n">
        <f aca="false">C14742-C14792</f>
        <v>250</v>
      </c>
    </row>
    <row r="14803" customFormat="false" ht="15" hidden="false" customHeight="false" outlineLevel="0" collapsed="false">
      <c r="A14803" s="5" t="s">
        <v>460</v>
      </c>
      <c r="C14803" s="25" t="n">
        <f aca="false">C14743-C14793</f>
        <v>300</v>
      </c>
    </row>
    <row r="14804" customFormat="false" ht="15" hidden="false" customHeight="false" outlineLevel="0" collapsed="false">
      <c r="A14804" s="23" t="s">
        <v>473</v>
      </c>
      <c r="B14804" s="24"/>
      <c r="C14804" s="24"/>
      <c r="D14804" s="24"/>
      <c r="E14804" s="24"/>
      <c r="F14804" s="24"/>
      <c r="G14804" s="24"/>
      <c r="H14804" s="24"/>
      <c r="I14804" s="24"/>
      <c r="J14804" s="24"/>
      <c r="K14804" s="24"/>
    </row>
    <row r="14805" customFormat="false" ht="15" hidden="false" customHeight="false" outlineLevel="0" collapsed="false">
      <c r="A14805" s="5" t="s">
        <v>457</v>
      </c>
      <c r="C14805" s="21" t="n">
        <f aca="false">IF(C14740=0,0,C14800/C14740)</f>
        <v>0</v>
      </c>
    </row>
    <row r="14806" customFormat="false" ht="15" hidden="false" customHeight="false" outlineLevel="0" collapsed="false">
      <c r="A14806" s="5" t="s">
        <v>458</v>
      </c>
      <c r="C14806" s="21" t="n">
        <f aca="false">IF(C14741=0,0,C14801/C14741)</f>
        <v>0.95829907378336</v>
      </c>
    </row>
    <row r="14807" customFormat="false" ht="15" hidden="false" customHeight="false" outlineLevel="0" collapsed="false">
      <c r="A14807" s="5" t="s">
        <v>459</v>
      </c>
      <c r="C14807" s="21" t="n">
        <f aca="false">IF(C14742=0,0,C14802/C14742)</f>
        <v>1</v>
      </c>
    </row>
    <row r="14808" customFormat="false" ht="15" hidden="false" customHeight="false" outlineLevel="0" collapsed="false">
      <c r="A14808" s="5" t="s">
        <v>460</v>
      </c>
      <c r="C14808" s="21" t="n">
        <f aca="false">IF(C14743=0,0,C14803/C14743)</f>
        <v>1</v>
      </c>
    </row>
    <row r="14809" customFormat="false" ht="15" hidden="false" customHeight="false" outlineLevel="0" collapsed="false">
      <c r="A14809" s="2" t="s">
        <v>474</v>
      </c>
      <c r="C14809" s="16" t="n">
        <f aca="false">MAX(0,$C$14738-SUM($C$14755:$C$14758)-SUM($C$14765:$C$14768))</f>
        <v>0</v>
      </c>
    </row>
    <row r="14810" customFormat="false" ht="15" hidden="false" customHeight="false" outlineLevel="0" collapsed="false">
      <c r="A14810" s="5" t="s">
        <v>492</v>
      </c>
      <c r="C14810" s="33" t="n">
        <f aca="false">MIN(C14737,100*CHOOSE(C14727,C14795,C14796,C14797,C14798))</f>
        <v>4.17009262166403</v>
      </c>
    </row>
    <row r="14811" customFormat="false" ht="15" hidden="false" customHeight="false" outlineLevel="0" collapsed="false">
      <c r="A14811" s="5" t="s">
        <v>493</v>
      </c>
      <c r="C14811" s="20" t="n">
        <f aca="false">IF(C14643=1,C14732+Assumptions!$C$36,C14731)</f>
        <v>3</v>
      </c>
    </row>
    <row r="14812" customFormat="false" ht="15" hidden="false" customHeight="false" outlineLevel="0" collapsed="false">
      <c r="A14812" s="23" t="s">
        <v>494</v>
      </c>
      <c r="B14812" s="24"/>
      <c r="C14812" s="24"/>
      <c r="D14812" s="24"/>
      <c r="E14812" s="24"/>
      <c r="F14812" s="24"/>
      <c r="G14812" s="24"/>
      <c r="H14812" s="24"/>
      <c r="I14812" s="24"/>
      <c r="J14812" s="24"/>
      <c r="K14812" s="24"/>
    </row>
    <row r="14813" customFormat="false" ht="15" hidden="false" customHeight="false" outlineLevel="0" collapsed="false">
      <c r="A14813" s="5" t="s">
        <v>495</v>
      </c>
      <c r="C14813" s="20" t="n">
        <f aca="false">COLUMN()-COLUMN($C$1)</f>
        <v>0</v>
      </c>
      <c r="D14813" s="20" t="n">
        <f aca="false">COLUMN()-COLUMN($C$1)</f>
        <v>1</v>
      </c>
      <c r="E14813" s="20" t="n">
        <f aca="false">COLUMN()-COLUMN($C$1)</f>
        <v>2</v>
      </c>
      <c r="F14813" s="20" t="n">
        <f aca="false">COLUMN()-COLUMN($C$1)</f>
        <v>3</v>
      </c>
      <c r="G14813" s="20" t="n">
        <f aca="false">COLUMN()-COLUMN($C$1)</f>
        <v>4</v>
      </c>
      <c r="H14813" s="20" t="n">
        <f aca="false">COLUMN()-COLUMN($C$1)</f>
        <v>5</v>
      </c>
      <c r="I14813" s="20" t="n">
        <f aca="false">COLUMN()-COLUMN($C$1)</f>
        <v>6</v>
      </c>
    </row>
    <row r="14814" customFormat="false" ht="15" hidden="false" customHeight="false" outlineLevel="0" collapsed="false">
      <c r="A14814" s="5" t="s">
        <v>496</v>
      </c>
      <c r="D14814" s="30" t="n">
        <f aca="false">CHOOSE($C$14727,G14525,G14538,G14551,G14564)</f>
        <v>0.128</v>
      </c>
      <c r="E14814" s="30" t="n">
        <f aca="false">CHOOSE($C$14727,H14525,H14538,H14551,H14564)</f>
        <v>0.1255</v>
      </c>
      <c r="F14814" s="30" t="n">
        <f aca="false">CHOOSE($C$14727,I14525,I14538,I14551,I14564)</f>
        <v>0.123</v>
      </c>
      <c r="G14814" s="30" t="n">
        <f aca="false">CHOOSE($C$14727,J14525,J14538,J14551,J14564)</f>
        <v>0.123</v>
      </c>
      <c r="H14814" s="30" t="n">
        <f aca="false">CHOOSE($C$14727,K14525,K14538,K14551,K14564)</f>
        <v>0.123</v>
      </c>
    </row>
    <row r="14815" customFormat="false" ht="15" hidden="false" customHeight="false" outlineLevel="0" collapsed="false">
      <c r="A14815" s="5" t="s">
        <v>497</v>
      </c>
      <c r="D14815" s="25" t="n">
        <f aca="false">IF(D14813&lt;=$C$14736,$C$14728*D14814,0)</f>
        <v>12.8</v>
      </c>
      <c r="E14815" s="25" t="n">
        <f aca="false">IF(E14813&lt;=$C$14736,$C$14728*E14814,0)</f>
        <v>12.55</v>
      </c>
      <c r="F14815" s="25" t="n">
        <f aca="false">IF(F14813&lt;=$C$14736,$C$14728*F14814,0)</f>
        <v>0</v>
      </c>
      <c r="G14815" s="25" t="n">
        <f aca="false">IF(G14813&lt;=$C$14736,$C$14728*G14814,0)</f>
        <v>0</v>
      </c>
      <c r="H14815" s="25" t="n">
        <f aca="false">IF(H14813&lt;=$C$14736,$C$14728*H14814,0)</f>
        <v>0</v>
      </c>
    </row>
    <row r="14816" customFormat="false" ht="15" hidden="false" customHeight="false" outlineLevel="0" collapsed="false">
      <c r="A14816" s="5" t="s">
        <v>498</v>
      </c>
      <c r="D14816" s="25" t="n">
        <f aca="false">IF(AND($C$14643=0,D14813=$C$14731),$C$14728*$C$14810/100,0)+IF(AND($C$14643=1,D14813=$C$14811),$C$14734,0)</f>
        <v>0</v>
      </c>
      <c r="E14816" s="25" t="n">
        <f aca="false">IF(AND($C$14643=0,E14813=$C$14731),$C$14728*$C$14810/100,0)+IF(AND($C$14643=1,E14813=$C$14811),$C$14734,0)</f>
        <v>0</v>
      </c>
      <c r="F14816" s="25" t="n">
        <f aca="false">IF(AND($C$14643=0,F14813=$C$14731),$C$14728*$C$14810/100,0)+IF(AND($C$14643=1,F14813=$C$14811),$C$14734,0)</f>
        <v>54.9117492739403</v>
      </c>
      <c r="G14816" s="25" t="n">
        <f aca="false">IF(AND($C$14643=0,G14813=$C$14731),$C$14728*$C$14810/100,0)+IF(AND($C$14643=1,G14813=$C$14811),$C$14734,0)</f>
        <v>0</v>
      </c>
      <c r="H14816" s="25" t="n">
        <f aca="false">IF(AND($C$14643=0,H14813=$C$14731),$C$14728*$C$14810/100,0)+IF(AND($C$14643=1,H14813=$C$14811),$C$14734,0)</f>
        <v>0</v>
      </c>
      <c r="I14816" s="25" t="n">
        <f aca="false">IF(AND($C$14643=0,I14813=$C$14731),$C$14728*$C$14810/100,0)+IF(AND($C$14643=1,I14813=$C$14811),$C$14734,0)</f>
        <v>0</v>
      </c>
    </row>
    <row r="14817" customFormat="false" ht="15" hidden="false" customHeight="false" outlineLevel="0" collapsed="false">
      <c r="A14817" s="2" t="s">
        <v>499</v>
      </c>
      <c r="C14817" s="16" t="n">
        <f aca="false">-$C$14730</f>
        <v>-78.39</v>
      </c>
      <c r="D14817" s="16" t="n">
        <f aca="false">D14815+D14816</f>
        <v>12.8</v>
      </c>
      <c r="E14817" s="16" t="n">
        <f aca="false">E14815+E14816</f>
        <v>12.55</v>
      </c>
      <c r="F14817" s="16" t="n">
        <f aca="false">F14815+F14816</f>
        <v>54.9117492739403</v>
      </c>
      <c r="G14817" s="16" t="n">
        <f aca="false">G14815+G14816</f>
        <v>0</v>
      </c>
      <c r="H14817" s="16" t="n">
        <f aca="false">H14815+H14816</f>
        <v>0</v>
      </c>
      <c r="I14817" s="16" t="n">
        <f aca="false">I14815+I14816</f>
        <v>0</v>
      </c>
    </row>
    <row r="14818" customFormat="false" ht="15" hidden="false" customHeight="false" outlineLevel="0" collapsed="false">
      <c r="A14818" s="5" t="s">
        <v>500</v>
      </c>
      <c r="C14818" s="25" t="n">
        <f aca="false">SUM($C$14815:$I$14815)</f>
        <v>25.35</v>
      </c>
    </row>
    <row r="14819" customFormat="false" ht="15" hidden="false" customHeight="false" outlineLevel="0" collapsed="false">
      <c r="A14819" s="5" t="s">
        <v>501</v>
      </c>
      <c r="C14819" s="25" t="n">
        <f aca="false">SUM($C$14816:$I$14816)</f>
        <v>54.9117492739403</v>
      </c>
    </row>
    <row r="14820" customFormat="false" ht="15" hidden="false" customHeight="false" outlineLevel="0" collapsed="false">
      <c r="A14820" s="5" t="s">
        <v>502</v>
      </c>
      <c r="C14820" s="25" t="n">
        <f aca="false">C14818+C14819</f>
        <v>80.2617492739403</v>
      </c>
    </row>
    <row r="14821" customFormat="false" ht="15" hidden="false" customHeight="false" outlineLevel="0" collapsed="false">
      <c r="A14821" s="5" t="s">
        <v>503</v>
      </c>
      <c r="C14821" s="25" t="n">
        <f aca="false">C14819-C14728*C14729/100</f>
        <v>-23.0882507260597</v>
      </c>
    </row>
    <row r="14822" customFormat="false" ht="15" hidden="false" customHeight="false" outlineLevel="0" collapsed="false">
      <c r="A14822" s="5" t="s">
        <v>504</v>
      </c>
      <c r="C14822" s="25" t="n">
        <f aca="false">C14820-C14730</f>
        <v>1.87174927394034</v>
      </c>
    </row>
    <row r="14823" customFormat="false" ht="15" hidden="false" customHeight="false" outlineLevel="0" collapsed="false">
      <c r="A14823" s="2" t="s">
        <v>385</v>
      </c>
      <c r="C14823" s="43" t="n">
        <f aca="false">C14820/C14730</f>
        <v>1.02387739857049</v>
      </c>
    </row>
    <row r="14824" customFormat="false" ht="15" hidden="false" customHeight="false" outlineLevel="0" collapsed="false">
      <c r="A14824" s="2" t="s">
        <v>384</v>
      </c>
      <c r="C14824" s="41" t="n">
        <f aca="false">IF(C14820&lt;=0,-1,IFERROR(IRR($C$14817:$I$14817,MAX(-0.9,C14823^(1/C14811)-1)),IRR($C$14817:$I$14817,0.1)))</f>
        <v>0.00940023631315189</v>
      </c>
    </row>
    <row r="14825" customFormat="false" ht="15" hidden="false" customHeight="false" outlineLevel="0" collapsed="false">
      <c r="A14825" s="5" t="s">
        <v>505</v>
      </c>
      <c r="C14825" s="31" t="n">
        <f aca="false">MAX($G$14619:$K$14619)</f>
        <v>28.8762401144396</v>
      </c>
    </row>
    <row r="14826" customFormat="false" ht="15" hidden="false" customHeight="false" outlineLevel="0" collapsed="false">
      <c r="A14826" s="5" t="s">
        <v>506</v>
      </c>
      <c r="C14826" s="31" t="n">
        <f aca="false">MIN($G$14620:$K$14620)</f>
        <v>0.352284958296584</v>
      </c>
    </row>
    <row r="14827" customFormat="false" ht="15" hidden="false" customHeight="false" outlineLevel="0" collapsed="false">
      <c r="A14827" s="5" t="s">
        <v>507</v>
      </c>
      <c r="C14827" s="25" t="n">
        <f aca="false">SUM($G$14509:$K$14509)</f>
        <v>-520.3982543404</v>
      </c>
    </row>
    <row r="14831" customFormat="false" ht="15" hidden="false" customHeight="false" outlineLevel="0" collapsed="false">
      <c r="A14831" s="9" t="s">
        <v>668</v>
      </c>
      <c r="B14831" s="10"/>
      <c r="C14831" s="10"/>
      <c r="D14831" s="10"/>
      <c r="E14831" s="10"/>
      <c r="F14831" s="10"/>
      <c r="G14831" s="10"/>
      <c r="H14831" s="10"/>
      <c r="I14831" s="10"/>
      <c r="J14831" s="10"/>
      <c r="K14831" s="10"/>
    </row>
    <row r="14832" customFormat="false" ht="15" hidden="false" customHeight="false" outlineLevel="0" collapsed="false">
      <c r="A14832" s="5" t="s">
        <v>622</v>
      </c>
      <c r="C14832" s="11" t="n">
        <v>2</v>
      </c>
    </row>
    <row r="14833" customFormat="false" ht="15" hidden="false" customHeight="false" outlineLevel="0" collapsed="false">
      <c r="A14833" s="5" t="s">
        <v>623</v>
      </c>
      <c r="C14833" s="18" t="n">
        <v>0</v>
      </c>
    </row>
    <row r="14834" customFormat="false" ht="15" hidden="false" customHeight="false" outlineLevel="0" collapsed="false">
      <c r="A14834" s="5" t="s">
        <v>624</v>
      </c>
      <c r="C14834" s="18" t="n">
        <v>0</v>
      </c>
    </row>
    <row r="14835" customFormat="false" ht="15" hidden="false" customHeight="false" outlineLevel="0" collapsed="false">
      <c r="A14835" s="5" t="s">
        <v>625</v>
      </c>
      <c r="C14835" s="29" t="n">
        <f aca="false">Sensitivities!$A$54</f>
        <v>0.02</v>
      </c>
    </row>
    <row r="14836" customFormat="false" ht="15" hidden="false" customHeight="false" outlineLevel="0" collapsed="false">
      <c r="A14836" s="5" t="s">
        <v>626</v>
      </c>
      <c r="C14836" s="15" t="n">
        <v>0</v>
      </c>
    </row>
    <row r="14838" customFormat="false" ht="15" hidden="false" customHeight="false" outlineLevel="0" collapsed="false">
      <c r="A14838" s="23" t="s">
        <v>237</v>
      </c>
      <c r="B14838" s="24"/>
      <c r="C14838" s="24"/>
      <c r="D14838" s="24"/>
      <c r="E14838" s="24"/>
      <c r="F14838" s="24"/>
      <c r="G14838" s="24"/>
      <c r="H14838" s="24"/>
      <c r="I14838" s="24"/>
      <c r="J14838" s="24"/>
      <c r="K14838" s="24"/>
    </row>
    <row r="14839" customFormat="false" ht="15" hidden="false" customHeight="false" outlineLevel="0" collapsed="false">
      <c r="A14839" s="5" t="s">
        <v>238</v>
      </c>
      <c r="F14839" s="26" t="n">
        <f aca="false">Assumptions!$C$6</f>
        <v>2025</v>
      </c>
      <c r="G14839" s="20" t="n">
        <f aca="false">F14839+1</f>
        <v>2026</v>
      </c>
      <c r="H14839" s="20" t="n">
        <f aca="false">G14839+1</f>
        <v>2027</v>
      </c>
      <c r="I14839" s="20" t="n">
        <f aca="false">H14839+1</f>
        <v>2028</v>
      </c>
      <c r="J14839" s="20" t="n">
        <f aca="false">I14839+1</f>
        <v>2029</v>
      </c>
      <c r="K14839" s="20" t="n">
        <f aca="false">J14839+1</f>
        <v>2030</v>
      </c>
    </row>
    <row r="14840" customFormat="false" ht="15" hidden="false" customHeight="false" outlineLevel="0" collapsed="false">
      <c r="A14840" s="5" t="s">
        <v>239</v>
      </c>
      <c r="G14840" s="20" t="n">
        <f aca="false">G14839-Assumptions!$C$6</f>
        <v>1</v>
      </c>
      <c r="H14840" s="20" t="n">
        <f aca="false">H14839-Assumptions!$C$6</f>
        <v>2</v>
      </c>
      <c r="I14840" s="20" t="n">
        <f aca="false">I14839-Assumptions!$C$6</f>
        <v>3</v>
      </c>
      <c r="J14840" s="20" t="n">
        <f aca="false">J14839-Assumptions!$C$6</f>
        <v>4</v>
      </c>
      <c r="K14840" s="20" t="n">
        <f aca="false">K14839-Assumptions!$C$6</f>
        <v>5</v>
      </c>
    </row>
    <row r="14841" customFormat="false" ht="15" hidden="false" customHeight="false" outlineLevel="0" collapsed="false">
      <c r="A14841" s="5" t="s">
        <v>149</v>
      </c>
      <c r="G14841" s="21" t="n">
        <f aca="false">CHOOSE($C$14832,Assumptions!$G$65,Assumptions!$G$84,Assumptions!$G$103)+$C$14833</f>
        <v>-0.078</v>
      </c>
      <c r="H14841" s="21" t="n">
        <f aca="false">CHOOSE($C$14832,Assumptions!$H$65,Assumptions!$H$84,Assumptions!$H$103)+$C$14833</f>
        <v>-0.039</v>
      </c>
      <c r="I14841" s="21" t="n">
        <f aca="false">CHOOSE($C$14832,Assumptions!$I$65,Assumptions!$I$84,Assumptions!$I$103)+$C$14833</f>
        <v>-0.005</v>
      </c>
      <c r="J14841" s="21" t="n">
        <f aca="false">CHOOSE($C$14832,Assumptions!$J$65,Assumptions!$J$84,Assumptions!$J$103)+$C$14833</f>
        <v>-0.01</v>
      </c>
      <c r="K14841" s="21" t="n">
        <f aca="false">CHOOSE($C$14832,Assumptions!$K$65,Assumptions!$K$84,Assumptions!$K$103)+$C$14833</f>
        <v>-0.01</v>
      </c>
    </row>
    <row r="14842" customFormat="false" ht="15" hidden="false" customHeight="false" outlineLevel="0" collapsed="false">
      <c r="A14842" s="5" t="s">
        <v>150</v>
      </c>
      <c r="G14842" s="21" t="n">
        <f aca="false">CHOOSE($C$14832,Assumptions!$G$66,Assumptions!$G$85,Assumptions!$G$104)</f>
        <v>0.33</v>
      </c>
      <c r="H14842" s="21" t="n">
        <f aca="false">CHOOSE($C$14832,Assumptions!$H$66,Assumptions!$H$85,Assumptions!$H$104)</f>
        <v>0.318</v>
      </c>
      <c r="I14842" s="21" t="n">
        <f aca="false">CHOOSE($C$14832,Assumptions!$I$66,Assumptions!$I$85,Assumptions!$I$104)</f>
        <v>0.324</v>
      </c>
      <c r="J14842" s="21" t="n">
        <f aca="false">CHOOSE($C$14832,Assumptions!$J$66,Assumptions!$J$85,Assumptions!$J$104)</f>
        <v>0.33</v>
      </c>
      <c r="K14842" s="21" t="n">
        <f aca="false">CHOOSE($C$14832,Assumptions!$K$66,Assumptions!$K$85,Assumptions!$K$104)</f>
        <v>0.336</v>
      </c>
    </row>
    <row r="14843" customFormat="false" ht="15" hidden="false" customHeight="false" outlineLevel="0" collapsed="false">
      <c r="A14843" s="5" t="s">
        <v>151</v>
      </c>
      <c r="G14843" s="21" t="n">
        <f aca="false">CHOOSE($C$14832,Assumptions!$G$67,Assumptions!$G$86,Assumptions!$G$105)+$C$14834</f>
        <v>0.035</v>
      </c>
      <c r="H14843" s="21" t="n">
        <f aca="false">CHOOSE($C$14832,Assumptions!$H$67,Assumptions!$H$86,Assumptions!$H$105)+$C$14834</f>
        <v>0.023</v>
      </c>
      <c r="I14843" s="21" t="n">
        <f aca="false">CHOOSE($C$14832,Assumptions!$I$67,Assumptions!$I$86,Assumptions!$I$105)+$C$14834</f>
        <v>0.029</v>
      </c>
      <c r="J14843" s="21" t="n">
        <f aca="false">CHOOSE($C$14832,Assumptions!$J$67,Assumptions!$J$86,Assumptions!$J$105)+$C$14834</f>
        <v>0.035</v>
      </c>
      <c r="K14843" s="21" t="n">
        <f aca="false">CHOOSE($C$14832,Assumptions!$K$67,Assumptions!$K$86,Assumptions!$K$105)+$C$14834</f>
        <v>0.041</v>
      </c>
    </row>
    <row r="14844" customFormat="false" ht="15" hidden="false" customHeight="false" outlineLevel="0" collapsed="false">
      <c r="A14844" s="23" t="s">
        <v>240</v>
      </c>
      <c r="B14844" s="24"/>
      <c r="C14844" s="24"/>
      <c r="D14844" s="24"/>
      <c r="E14844" s="24"/>
      <c r="F14844" s="24"/>
      <c r="G14844" s="24"/>
      <c r="H14844" s="24"/>
      <c r="I14844" s="24"/>
      <c r="J14844" s="24"/>
      <c r="K14844" s="24"/>
    </row>
    <row r="14845" customFormat="false" ht="15" hidden="false" customHeight="false" outlineLevel="0" collapsed="false">
      <c r="A14845" s="2" t="s">
        <v>207</v>
      </c>
      <c r="F14845" s="27" t="n">
        <f aca="false">'Historical Financials'!E17</f>
        <v>2400</v>
      </c>
      <c r="G14845" s="16" t="n">
        <f aca="false">F14845*(1+G14841)</f>
        <v>2212.8</v>
      </c>
      <c r="H14845" s="16" t="n">
        <f aca="false">G14845*(1+H14841)</f>
        <v>2126.5008</v>
      </c>
      <c r="I14845" s="16" t="n">
        <f aca="false">H14845*(1+I14841)</f>
        <v>2115.868296</v>
      </c>
      <c r="J14845" s="16" t="n">
        <f aca="false">I14845*(1+J14841)</f>
        <v>2094.70961304</v>
      </c>
      <c r="K14845" s="16" t="n">
        <f aca="false">J14845*(1+K14841)</f>
        <v>2073.7625169096</v>
      </c>
    </row>
    <row r="14846" customFormat="false" ht="15" hidden="false" customHeight="false" outlineLevel="0" collapsed="false">
      <c r="A14846" s="5" t="s">
        <v>217</v>
      </c>
      <c r="G14846" s="25" t="n">
        <f aca="false">G14845*(1-G14842)</f>
        <v>1482.576</v>
      </c>
      <c r="H14846" s="25" t="n">
        <f aca="false">H14845*(1-H14842)</f>
        <v>1450.2735456</v>
      </c>
      <c r="I14846" s="25" t="n">
        <f aca="false">I14845*(1-I14842)</f>
        <v>1430.326968096</v>
      </c>
      <c r="J14846" s="25" t="n">
        <f aca="false">J14845*(1-J14842)</f>
        <v>1403.4554407368</v>
      </c>
      <c r="K14846" s="25" t="n">
        <f aca="false">K14845*(1-K14842)</f>
        <v>1376.97831122797</v>
      </c>
    </row>
    <row r="14847" customFormat="false" ht="15" hidden="false" customHeight="false" outlineLevel="0" collapsed="false">
      <c r="A14847" s="2" t="s">
        <v>218</v>
      </c>
      <c r="G14847" s="16" t="n">
        <f aca="false">G14845-G14846</f>
        <v>730.224</v>
      </c>
      <c r="H14847" s="16" t="n">
        <f aca="false">H14845-H14846</f>
        <v>676.2272544</v>
      </c>
      <c r="I14847" s="16" t="n">
        <f aca="false">I14845-I14846</f>
        <v>685.541327904</v>
      </c>
      <c r="J14847" s="16" t="n">
        <f aca="false">J14845-J14846</f>
        <v>691.2541723032</v>
      </c>
      <c r="K14847" s="16" t="n">
        <f aca="false">K14845-K14846</f>
        <v>696.784205681626</v>
      </c>
    </row>
    <row r="14848" customFormat="false" ht="15" hidden="false" customHeight="false" outlineLevel="0" collapsed="false">
      <c r="A14848" s="5" t="s">
        <v>241</v>
      </c>
      <c r="G14848" s="25" t="n">
        <f aca="false">G14847-G14849</f>
        <v>652.776</v>
      </c>
      <c r="H14848" s="25" t="n">
        <f aca="false">H14847-H14849</f>
        <v>627.317736</v>
      </c>
      <c r="I14848" s="25" t="n">
        <f aca="false">I14847-I14849</f>
        <v>624.18114732</v>
      </c>
      <c r="J14848" s="25" t="n">
        <f aca="false">J14847-J14849</f>
        <v>617.9393358468</v>
      </c>
      <c r="K14848" s="25" t="n">
        <f aca="false">K14847-K14849</f>
        <v>611.759942488332</v>
      </c>
    </row>
    <row r="14849" customFormat="false" ht="15" hidden="false" customHeight="false" outlineLevel="0" collapsed="false">
      <c r="A14849" s="2" t="s">
        <v>242</v>
      </c>
      <c r="G14849" s="16" t="n">
        <f aca="false">G14845*G14843</f>
        <v>77.448</v>
      </c>
      <c r="H14849" s="16" t="n">
        <f aca="false">H14845*H14843</f>
        <v>48.9095184</v>
      </c>
      <c r="I14849" s="16" t="n">
        <f aca="false">I14845*I14843</f>
        <v>61.360180584</v>
      </c>
      <c r="J14849" s="16" t="n">
        <f aca="false">J14845*J14843</f>
        <v>73.3148364564</v>
      </c>
      <c r="K14849" s="16" t="n">
        <f aca="false">K14845*K14843</f>
        <v>85.0242631932936</v>
      </c>
    </row>
    <row r="14850" customFormat="false" ht="15" hidden="false" customHeight="false" outlineLevel="0" collapsed="false">
      <c r="A14850" s="5" t="s">
        <v>243</v>
      </c>
      <c r="G14850" s="25" t="n">
        <f aca="false">G14845*'Historical Financials'!E22/'Historical Financials'!E17</f>
        <v>48.6816</v>
      </c>
      <c r="H14850" s="25" t="n">
        <f aca="false">H14845*'Historical Financials'!E22/'Historical Financials'!E17</f>
        <v>46.7830176</v>
      </c>
      <c r="I14850" s="25" t="n">
        <f aca="false">I14845*'Historical Financials'!E22/'Historical Financials'!E17</f>
        <v>46.549102512</v>
      </c>
      <c r="J14850" s="25" t="n">
        <f aca="false">J14845*'Historical Financials'!E22/'Historical Financials'!E17</f>
        <v>46.08361148688</v>
      </c>
      <c r="K14850" s="25" t="n">
        <f aca="false">K14845*'Historical Financials'!E22/'Historical Financials'!E17</f>
        <v>45.6227753720112</v>
      </c>
    </row>
    <row r="14851" customFormat="false" ht="15" hidden="false" customHeight="false" outlineLevel="0" collapsed="false">
      <c r="A14851" s="5" t="s">
        <v>244</v>
      </c>
      <c r="G14851" s="25" t="n">
        <f aca="false">G14845*'Historical Financials'!E23/'Historical Financials'!E17</f>
        <v>0</v>
      </c>
      <c r="H14851" s="25" t="n">
        <f aca="false">H14845*'Historical Financials'!E23/'Historical Financials'!E17</f>
        <v>0</v>
      </c>
      <c r="I14851" s="25" t="n">
        <f aca="false">I14845*'Historical Financials'!E23/'Historical Financials'!E17</f>
        <v>0</v>
      </c>
      <c r="J14851" s="25" t="n">
        <f aca="false">J14845*'Historical Financials'!E23/'Historical Financials'!E17</f>
        <v>0</v>
      </c>
      <c r="K14851" s="25" t="n">
        <f aca="false">K14845*'Historical Financials'!E23/'Historical Financials'!E17</f>
        <v>0</v>
      </c>
    </row>
    <row r="14852" customFormat="false" ht="15" hidden="false" customHeight="false" outlineLevel="0" collapsed="false">
      <c r="A14852" s="2" t="s">
        <v>245</v>
      </c>
      <c r="G14852" s="16" t="n">
        <f aca="false">G14849-G14850-G14851</f>
        <v>28.7664</v>
      </c>
      <c r="H14852" s="16" t="n">
        <f aca="false">H14849-H14850-H14851</f>
        <v>2.12650079999998</v>
      </c>
      <c r="I14852" s="16" t="n">
        <f aca="false">I14849-I14850-I14851</f>
        <v>14.811078072</v>
      </c>
      <c r="J14852" s="16" t="n">
        <f aca="false">J14849-J14850-J14851</f>
        <v>27.23122496952</v>
      </c>
      <c r="K14852" s="16" t="n">
        <f aca="false">K14849-K14850-K14851</f>
        <v>39.4014878212824</v>
      </c>
    </row>
    <row r="14853" customFormat="false" ht="15" hidden="false" customHeight="false" outlineLevel="0" collapsed="false">
      <c r="A14853" s="5" t="s">
        <v>246</v>
      </c>
      <c r="G14853" s="25" t="n">
        <f aca="false">G14879+G14892+G14905+G14918</f>
        <v>143.54</v>
      </c>
      <c r="H14853" s="25" t="n">
        <f aca="false">H14879+H14892+H14905+H14918</f>
        <v>147.0455708</v>
      </c>
      <c r="I14853" s="25" t="n">
        <f aca="false">I14879+I14892+I14905+I14918</f>
        <v>144.4912288</v>
      </c>
      <c r="J14853" s="25" t="n">
        <f aca="false">J14879+J14892+J14905+J14918</f>
        <v>143.7996288</v>
      </c>
      <c r="K14853" s="25" t="n">
        <f aca="false">K14879+K14892+K14905+K14918</f>
        <v>143.1080288</v>
      </c>
    </row>
    <row r="14854" customFormat="false" ht="15" hidden="false" customHeight="false" outlineLevel="0" collapsed="false">
      <c r="A14854" s="5" t="s">
        <v>247</v>
      </c>
      <c r="G14854" s="25" t="n">
        <f aca="false">G14880+G14893+G14906+G14919</f>
        <v>0</v>
      </c>
      <c r="H14854" s="25" t="n">
        <f aca="false">H14880+H14893+H14906+H14919</f>
        <v>0</v>
      </c>
      <c r="I14854" s="25" t="n">
        <f aca="false">I14880+I14893+I14906+I14919</f>
        <v>0</v>
      </c>
      <c r="J14854" s="25" t="n">
        <f aca="false">J14880+J14893+J14906+J14919</f>
        <v>0</v>
      </c>
      <c r="K14854" s="25" t="n">
        <f aca="false">K14880+K14893+K14906+K14919</f>
        <v>0</v>
      </c>
    </row>
    <row r="14855" customFormat="false" ht="15" hidden="false" customHeight="false" outlineLevel="0" collapsed="false">
      <c r="A14855" s="5" t="s">
        <v>212</v>
      </c>
      <c r="G14855" s="25" t="n">
        <f aca="false">G14853+G14854</f>
        <v>143.54</v>
      </c>
      <c r="H14855" s="25" t="n">
        <f aca="false">H14853+H14854</f>
        <v>147.0455708</v>
      </c>
      <c r="I14855" s="25" t="n">
        <f aca="false">I14853+I14854</f>
        <v>144.4912288</v>
      </c>
      <c r="J14855" s="25" t="n">
        <f aca="false">J14853+J14854</f>
        <v>143.7996288</v>
      </c>
      <c r="K14855" s="25" t="n">
        <f aca="false">K14853+K14854</f>
        <v>143.1080288</v>
      </c>
    </row>
    <row r="14856" customFormat="false" ht="15" hidden="false" customHeight="false" outlineLevel="0" collapsed="false">
      <c r="A14856" s="2" t="s">
        <v>223</v>
      </c>
      <c r="G14856" s="16" t="n">
        <f aca="false">G14852-G14855</f>
        <v>-114.7736</v>
      </c>
      <c r="H14856" s="16" t="n">
        <f aca="false">H14852-H14855</f>
        <v>-144.91907</v>
      </c>
      <c r="I14856" s="16" t="n">
        <f aca="false">I14852-I14855</f>
        <v>-129.680150728</v>
      </c>
      <c r="J14856" s="16" t="n">
        <f aca="false">J14852-J14855</f>
        <v>-116.56840383048</v>
      </c>
      <c r="K14856" s="16" t="n">
        <f aca="false">K14852-K14855</f>
        <v>-103.706540978718</v>
      </c>
    </row>
    <row r="14857" customFormat="false" ht="15" hidden="false" customHeight="false" outlineLevel="0" collapsed="false">
      <c r="A14857" s="5" t="s">
        <v>213</v>
      </c>
      <c r="G14857" s="25" t="n">
        <f aca="false">MAX(0,G14856)*Assumptions!$C$9</f>
        <v>0</v>
      </c>
      <c r="H14857" s="25" t="n">
        <f aca="false">MAX(0,H14856)*Assumptions!$C$9</f>
        <v>0</v>
      </c>
      <c r="I14857" s="25" t="n">
        <f aca="false">MAX(0,I14856)*Assumptions!$C$9</f>
        <v>0</v>
      </c>
      <c r="J14857" s="25" t="n">
        <f aca="false">MAX(0,J14856)*Assumptions!$C$9</f>
        <v>0</v>
      </c>
      <c r="K14857" s="25" t="n">
        <f aca="false">MAX(0,K14856)*Assumptions!$C$9</f>
        <v>0</v>
      </c>
    </row>
    <row r="14858" customFormat="false" ht="15" hidden="false" customHeight="false" outlineLevel="0" collapsed="false">
      <c r="A14858" s="2" t="s">
        <v>248</v>
      </c>
      <c r="G14858" s="16" t="n">
        <f aca="false">G14856-G14857</f>
        <v>-114.7736</v>
      </c>
      <c r="H14858" s="16" t="n">
        <f aca="false">H14856-H14857</f>
        <v>-144.91907</v>
      </c>
      <c r="I14858" s="16" t="n">
        <f aca="false">I14856-I14857</f>
        <v>-129.680150728</v>
      </c>
      <c r="J14858" s="16" t="n">
        <f aca="false">J14856-J14857</f>
        <v>-116.56840383048</v>
      </c>
      <c r="K14858" s="16" t="n">
        <f aca="false">K14856-K14857</f>
        <v>-103.706540978718</v>
      </c>
    </row>
    <row r="14859" customFormat="false" ht="15" hidden="false" customHeight="false" outlineLevel="0" collapsed="false">
      <c r="A14859" s="23" t="s">
        <v>249</v>
      </c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</row>
    <row r="14860" customFormat="false" ht="15" hidden="false" customHeight="false" outlineLevel="0" collapsed="false">
      <c r="A14860" s="5" t="s">
        <v>153</v>
      </c>
      <c r="G14860" s="25" t="n">
        <f aca="false">G14845*CHOOSE($C$14832,Assumptions!$C$69,Assumptions!$C$88,Assumptions!$C$107)</f>
        <v>42.0432</v>
      </c>
      <c r="H14860" s="25" t="n">
        <f aca="false">H14845*CHOOSE($C$14832,Assumptions!$C$69,Assumptions!$C$88,Assumptions!$C$107)</f>
        <v>40.4035152</v>
      </c>
      <c r="I14860" s="25" t="n">
        <f aca="false">I14845*CHOOSE($C$14832,Assumptions!$C$69,Assumptions!$C$88,Assumptions!$C$107)</f>
        <v>40.201497624</v>
      </c>
      <c r="J14860" s="25" t="n">
        <f aca="false">J14845*CHOOSE($C$14832,Assumptions!$C$69,Assumptions!$C$88,Assumptions!$C$107)</f>
        <v>39.79948264776</v>
      </c>
      <c r="K14860" s="25" t="n">
        <f aca="false">K14845*CHOOSE($C$14832,Assumptions!$C$69,Assumptions!$C$88,Assumptions!$C$107)</f>
        <v>39.4014878212824</v>
      </c>
    </row>
    <row r="14861" customFormat="false" ht="15" hidden="false" customHeight="false" outlineLevel="0" collapsed="false">
      <c r="A14861" s="5" t="s">
        <v>250</v>
      </c>
      <c r="G14861" s="25" t="n">
        <f aca="false">CHOOSE($C$14832,Assumptions!$C$70,Assumptions!$C$89,Assumptions!$C$108)*(G14845-F14845)+CHOOSE($C$14832,Assumptions!$C$71,Assumptions!$C$90,Assumptions!$C$109)*G14845</f>
        <v>-18.0384</v>
      </c>
      <c r="H14861" s="25" t="n">
        <f aca="false">CHOOSE($C$14832,Assumptions!$C$70,Assumptions!$C$89,Assumptions!$C$108)*(H14845-G14845)+CHOOSE($C$14832,Assumptions!$C$71,Assumptions!$C$90,Assumptions!$C$109)*H14845</f>
        <v>-6.10290239999999</v>
      </c>
      <c r="I14861" s="25" t="n">
        <f aca="false">CHOOSE($C$14832,Assumptions!$C$70,Assumptions!$C$89,Assumptions!$C$108)*(I14845-H14845)+CHOOSE($C$14832,Assumptions!$C$71,Assumptions!$C$90,Assumptions!$C$109)*I14845</f>
        <v>2.95583611199998</v>
      </c>
      <c r="J14861" s="25" t="n">
        <f aca="false">CHOOSE($C$14832,Assumptions!$C$70,Assumptions!$C$89,Assumptions!$C$108)*(J14845-I14845)+CHOOSE($C$14832,Assumptions!$C$71,Assumptions!$C$90,Assumptions!$C$109)*J14845</f>
        <v>1.65037727087999</v>
      </c>
      <c r="K14861" s="25" t="n">
        <f aca="false">CHOOSE($C$14832,Assumptions!$C$70,Assumptions!$C$89,Assumptions!$C$108)*(K14845-J14845)+CHOOSE($C$14832,Assumptions!$C$71,Assumptions!$C$90,Assumptions!$C$109)*K14845</f>
        <v>1.63387349817119</v>
      </c>
    </row>
    <row r="14862" customFormat="false" ht="15" hidden="false" customHeight="false" outlineLevel="0" collapsed="false">
      <c r="A14862" s="2" t="s">
        <v>251</v>
      </c>
      <c r="G14862" s="16" t="n">
        <f aca="false">G14858+G14850+G14851+G14854-G14860-G14861</f>
        <v>-90.0968</v>
      </c>
      <c r="H14862" s="16" t="n">
        <f aca="false">H14858+H14850+H14851+H14854-H14860-H14861</f>
        <v>-132.4366652</v>
      </c>
      <c r="I14862" s="16" t="n">
        <f aca="false">I14858+I14850+I14851+I14854-I14860-I14861</f>
        <v>-126.288381952</v>
      </c>
      <c r="J14862" s="16" t="n">
        <f aca="false">J14858+J14850+J14851+J14854-J14860-J14861</f>
        <v>-111.93465226224</v>
      </c>
      <c r="K14862" s="16" t="n">
        <f aca="false">K14858+K14850+K14851+K14854-K14860-K14861</f>
        <v>-99.11912692616</v>
      </c>
    </row>
    <row r="14864" customFormat="false" ht="15" hidden="false" customHeight="false" outlineLevel="0" collapsed="false">
      <c r="A14864" s="23" t="s">
        <v>253</v>
      </c>
      <c r="B14864" s="24"/>
      <c r="C14864" s="24"/>
      <c r="D14864" s="24"/>
      <c r="E14864" s="24"/>
      <c r="F14864" s="24"/>
      <c r="G14864" s="24"/>
      <c r="H14864" s="24"/>
      <c r="I14864" s="24"/>
      <c r="J14864" s="24"/>
      <c r="K14864" s="24"/>
    </row>
    <row r="14865" customFormat="false" ht="15" hidden="false" customHeight="false" outlineLevel="0" collapsed="false">
      <c r="A14865" s="5" t="s">
        <v>254</v>
      </c>
      <c r="G14865" s="29" t="n">
        <f aca="false">Assumptions!$G$49</f>
        <v>0.0425</v>
      </c>
      <c r="H14865" s="29" t="n">
        <f aca="false">Assumptions!$H$49</f>
        <v>0.04</v>
      </c>
      <c r="I14865" s="29" t="n">
        <f aca="false">Assumptions!$I$49</f>
        <v>0.0375</v>
      </c>
      <c r="J14865" s="29" t="n">
        <f aca="false">Assumptions!$J$49</f>
        <v>0.0375</v>
      </c>
      <c r="K14865" s="29" t="n">
        <f aca="false">Assumptions!$K$49</f>
        <v>0.0375</v>
      </c>
    </row>
    <row r="14866" customFormat="false" ht="15" hidden="false" customHeight="false" outlineLevel="0" collapsed="false">
      <c r="A14866" s="5" t="s">
        <v>255</v>
      </c>
      <c r="C14866" s="30" t="n">
        <f aca="false">CHOOSE($C$14832,Assumptions!$C$72,Assumptions!$C$91,Assumptions!$C$110)+$C$14835</f>
        <v>0.035</v>
      </c>
    </row>
    <row r="14867" customFormat="false" ht="15" hidden="false" customHeight="false" outlineLevel="0" collapsed="false">
      <c r="A14867" s="5" t="s">
        <v>256</v>
      </c>
      <c r="C14867" s="30" t="n">
        <f aca="false">CHOOSE($C$14832,Assumptions!$C$73,Assumptions!$C$92,Assumptions!$C$111)</f>
        <v>0.135</v>
      </c>
    </row>
    <row r="14868" customFormat="false" ht="15" hidden="false" customHeight="false" outlineLevel="0" collapsed="false">
      <c r="A14868" s="5" t="s">
        <v>257</v>
      </c>
      <c r="C14868" s="31" t="n">
        <f aca="false">CHOOSE($C$14832,Assumptions!$C$74,Assumptions!$C$93,Assumptions!$C$112)</f>
        <v>5.5</v>
      </c>
    </row>
    <row r="14869" customFormat="false" ht="15" hidden="false" customHeight="false" outlineLevel="0" collapsed="false">
      <c r="A14869" s="5" t="s">
        <v>258</v>
      </c>
      <c r="C14869" s="31" t="n">
        <f aca="false">CHOOSE($C$14832,Assumptions!$C$75,Assumptions!$C$94,Assumptions!$C$113)</f>
        <v>1.8</v>
      </c>
    </row>
    <row r="14870" customFormat="false" ht="15" hidden="false" customHeight="false" outlineLevel="0" collapsed="false">
      <c r="A14870" s="5" t="s">
        <v>259</v>
      </c>
      <c r="G14870" s="25" t="n">
        <f aca="false">G14875+G14888+G14901+G14914</f>
        <v>1250</v>
      </c>
      <c r="H14870" s="25" t="n">
        <f aca="false">H14875+H14888+H14901+H14914</f>
        <v>1295.0968</v>
      </c>
      <c r="I14870" s="25" t="n">
        <f aca="false">I14875+I14888+I14901+I14914</f>
        <v>1289.8968</v>
      </c>
      <c r="J14870" s="25" t="n">
        <f aca="false">J14875+J14888+J14901+J14914</f>
        <v>1284.6968</v>
      </c>
      <c r="K14870" s="25" t="n">
        <f aca="false">K14875+K14888+K14901+K14914</f>
        <v>1279.4968</v>
      </c>
    </row>
    <row r="14871" customFormat="false" ht="15" hidden="false" customHeight="false" outlineLevel="0" collapsed="false">
      <c r="A14871" s="5" t="s">
        <v>260</v>
      </c>
      <c r="G14871" s="25" t="n">
        <f aca="false">F14961</f>
        <v>45</v>
      </c>
      <c r="H14871" s="25" t="n">
        <f aca="false">G14961</f>
        <v>0</v>
      </c>
      <c r="I14871" s="25" t="n">
        <f aca="false">H14961</f>
        <v>-137.6366652</v>
      </c>
      <c r="J14871" s="25" t="n">
        <f aca="false">I14961</f>
        <v>-269.125047152</v>
      </c>
      <c r="K14871" s="25" t="n">
        <f aca="false">J14961</f>
        <v>-386.25969941424</v>
      </c>
    </row>
    <row r="14872" customFormat="false" ht="15" hidden="false" customHeight="false" outlineLevel="0" collapsed="false">
      <c r="A14872" s="5" t="s">
        <v>261</v>
      </c>
      <c r="G14872" s="25" t="n">
        <f aca="false">G14875*IF(G14876=1,$C$14867,IF(Assumptions!$I$53=1,MAX(G14865,Assumptions!$G$53)+Assumptions!$F$53+$C$14866,Assumptions!$E$53))+G14888*IF(G14889=1,$C$14867,IF(Assumptions!$I$54=1,MAX(G14865,Assumptions!$G$54)+Assumptions!$F$54+$C$14866,Assumptions!$E$54))+G14901*IF(G14902=1,$C$14867,IF(Assumptions!$I$55=1,MAX(G14865,Assumptions!$G$55)+Assumptions!$F$55+$C$14866,Assumptions!$E$55))+G14914*IF(G14915=1,$C$14867,IF(Assumptions!$I$56=1,MAX(G14865,Assumptions!$G$56)+Assumptions!$F$56+$C$14866,Assumptions!$E$56))</f>
        <v>143.54</v>
      </c>
      <c r="H14872" s="25" t="n">
        <f aca="false">H14875*IF(OR(H14876=1,G15027=1),$C$14867,IF(Assumptions!$I$53=1,MAX(H14865,Assumptions!$G$53)+Assumptions!$F$53+$C$14866,Assumptions!$E$53))+H14888*IF(OR(H14889=1,G15028=1),$C$14867,IF(Assumptions!$I$54=1,MAX(H14865,Assumptions!$G$54)+Assumptions!$F$54+$C$14866,Assumptions!$E$54))+H14901*IF(OR(H14902=1,G15029=1),$C$14867,IF(Assumptions!$I$55=1,MAX(H14865,Assumptions!$G$55)+Assumptions!$F$55+$C$14866,Assumptions!$E$55))+H14914*IF(OR(H14915=1,G15030=1),$C$14867,IF(Assumptions!$I$56=1,MAX(H14865,Assumptions!$G$56)+Assumptions!$F$56+$C$14866,Assumptions!$E$56))</f>
        <v>168.845468</v>
      </c>
      <c r="I14872" s="25" t="n">
        <f aca="false">I14875*IF(OR(I14876=1,H15027=1),$C$14867,IF(Assumptions!$I$53=1,MAX(I14865,Assumptions!$G$53)+Assumptions!$F$53+$C$14866,Assumptions!$E$53))+I14888*IF(OR(I14889=1,H15028=1),$C$14867,IF(Assumptions!$I$54=1,MAX(I14865,Assumptions!$G$54)+Assumptions!$F$54+$C$14866,Assumptions!$E$54))+I14901*IF(OR(I14902=1,H15029=1),$C$14867,IF(Assumptions!$I$55=1,MAX(I14865,Assumptions!$G$55)+Assumptions!$F$55+$C$14866,Assumptions!$E$55))+I14914*IF(OR(I14915=1,H15030=1),$C$14867,IF(Assumptions!$I$56=1,MAX(I14865,Assumptions!$G$56)+Assumptions!$F$56+$C$14866,Assumptions!$E$56))</f>
        <v>145.5104288</v>
      </c>
      <c r="J14872" s="25" t="n">
        <f aca="false">J14875*IF(OR(J14876=1,I15027=1),$C$14867,IF(Assumptions!$I$53=1,MAX(J14865,Assumptions!$G$53)+Assumptions!$F$53+$C$14866,Assumptions!$E$53))+J14888*IF(OR(J14889=1,I15028=1),$C$14867,IF(Assumptions!$I$54=1,MAX(J14865,Assumptions!$G$54)+Assumptions!$F$54+$C$14866,Assumptions!$E$54))+J14901*IF(OR(J14902=1,I15029=1),$C$14867,IF(Assumptions!$I$55=1,MAX(J14865,Assumptions!$G$55)+Assumptions!$F$55+$C$14866,Assumptions!$E$55))+J14914*IF(OR(J14915=1,I15030=1),$C$14867,IF(Assumptions!$I$56=1,MAX(J14865,Assumptions!$G$56)+Assumptions!$F$56+$C$14866,Assumptions!$E$56))</f>
        <v>150.0496288</v>
      </c>
      <c r="K14872" s="25" t="n">
        <f aca="false">K14875*IF(OR(K14876=1,J15027=1),$C$14867,IF(Assumptions!$I$53=1,MAX(K14865,Assumptions!$G$53)+Assumptions!$F$53+$C$14866,Assumptions!$E$53))+K14888*IF(OR(K14889=1,J15028=1),$C$14867,IF(Assumptions!$I$54=1,MAX(K14865,Assumptions!$G$54)+Assumptions!$F$54+$C$14866,Assumptions!$E$54))+K14901*IF(OR(K14902=1,J15029=1),$C$14867,IF(Assumptions!$I$55=1,MAX(K14865,Assumptions!$G$55)+Assumptions!$F$55+$C$14866,Assumptions!$E$55))+K14914*IF(OR(K14915=1,J15030=1),$C$14867,IF(Assumptions!$I$56=1,MAX(K14865,Assumptions!$G$56)+Assumptions!$F$56+$C$14866,Assumptions!$E$56))</f>
        <v>143.1080288</v>
      </c>
    </row>
    <row r="14873" customFormat="false" ht="15" hidden="false" customHeight="false" outlineLevel="0" collapsed="false">
      <c r="A14873" s="5" t="s">
        <v>262</v>
      </c>
      <c r="G14873" s="20" t="n">
        <f aca="false">IF(G14849&lt;=0,0,IF(AND((G14870-G14871)/G14849&lt;=$C$14868,G14849/G14872&gt;=$C$14869),1,0))</f>
        <v>0</v>
      </c>
      <c r="H14873" s="20" t="n">
        <f aca="false">IF(H14849&lt;=0,0,IF(AND((H14870-H14871)/H14849&lt;=$C$14868,H14849/H14872&gt;=$C$14869),1,0))</f>
        <v>0</v>
      </c>
      <c r="I14873" s="20" t="n">
        <f aca="false">IF(I14849&lt;=0,0,IF(AND((I14870-I14871)/I14849&lt;=$C$14868,I14849/I14872&gt;=$C$14869),1,0))</f>
        <v>0</v>
      </c>
      <c r="J14873" s="20" t="n">
        <f aca="false">IF(J14849&lt;=0,0,IF(AND((J14870-J14871)/J14849&lt;=$C$14868,J14849/J14872&gt;=$C$14869),1,0))</f>
        <v>0</v>
      </c>
      <c r="K14873" s="20" t="n">
        <f aca="false">IF(K14849&lt;=0,0,IF(AND((K14870-K14871)/K14849&lt;=$C$14868,K14849/K14872&gt;=$C$14869),1,0))</f>
        <v>0</v>
      </c>
    </row>
    <row r="14874" customFormat="false" ht="15" hidden="false" customHeight="false" outlineLevel="0" collapsed="false">
      <c r="A14874" s="23" t="s">
        <v>263</v>
      </c>
      <c r="B14874" s="24"/>
      <c r="C14874" s="24"/>
      <c r="D14874" s="24"/>
      <c r="E14874" s="24"/>
      <c r="F14874" s="24"/>
      <c r="G14874" s="24"/>
      <c r="H14874" s="24"/>
      <c r="I14874" s="24"/>
      <c r="J14874" s="24"/>
      <c r="K14874" s="24"/>
    </row>
    <row r="14875" customFormat="false" ht="15" hidden="false" customHeight="false" outlineLevel="0" collapsed="false">
      <c r="A14875" s="5" t="s">
        <v>264</v>
      </c>
      <c r="G14875" s="25" t="n">
        <f aca="false">F14886</f>
        <v>180</v>
      </c>
      <c r="H14875" s="25" t="n">
        <f aca="false">G14886</f>
        <v>230.2968</v>
      </c>
      <c r="I14875" s="25" t="n">
        <f aca="false">H14886</f>
        <v>230.2968</v>
      </c>
      <c r="J14875" s="25" t="n">
        <f aca="false">I14886</f>
        <v>230.2968</v>
      </c>
      <c r="K14875" s="25" t="n">
        <f aca="false">J14886</f>
        <v>230.2968</v>
      </c>
    </row>
    <row r="14876" customFormat="false" ht="15" hidden="false" customHeight="false" outlineLevel="0" collapsed="false">
      <c r="A14876" s="5" t="s">
        <v>265</v>
      </c>
      <c r="G14876" s="20" t="n">
        <f aca="false">IF(G14839=Assumptions!$K$53,1,0)</f>
        <v>0</v>
      </c>
      <c r="H14876" s="20" t="n">
        <f aca="false">IF(H14839=Assumptions!$K$53,1,0)</f>
        <v>1</v>
      </c>
      <c r="I14876" s="20" t="n">
        <f aca="false">IF(I14839=Assumptions!$K$53,1,0)</f>
        <v>0</v>
      </c>
      <c r="J14876" s="20" t="n">
        <f aca="false">IF(J14839=Assumptions!$K$53,1,0)</f>
        <v>0</v>
      </c>
      <c r="K14876" s="20" t="n">
        <f aca="false">IF(K14839=Assumptions!$K$53,1,0)</f>
        <v>0</v>
      </c>
    </row>
    <row r="14878" customFormat="false" ht="15" hidden="false" customHeight="false" outlineLevel="0" collapsed="false">
      <c r="A14878" s="5" t="s">
        <v>266</v>
      </c>
      <c r="G14878" s="30" t="n">
        <f aca="false">IF(Assumptions!$I$53=1,MAX(G14865,Assumptions!$G$53)+Assumptions!$F$53+$C$14866,Assumptions!$E$53)</f>
        <v>0.121</v>
      </c>
      <c r="H14878" s="30" t="n">
        <f aca="false">IF(G15027=1,$C$14867,IF(Assumptions!$I$53=1,MAX(H14865,Assumptions!$G$53)+Assumptions!$F$53+$C$14866,Assumptions!$E$53))</f>
        <v>0.1185</v>
      </c>
      <c r="I14878" s="30" t="n">
        <f aca="false">IF(H15027=1,$C$14867,IF(Assumptions!$I$53=1,MAX(I14865,Assumptions!$G$53)+Assumptions!$F$53+$C$14866,Assumptions!$E$53))</f>
        <v>0.116</v>
      </c>
      <c r="J14878" s="30" t="n">
        <f aca="false">IF(I15027=1,$C$14867,IF(Assumptions!$I$53=1,MAX(J14865,Assumptions!$G$53)+Assumptions!$F$53+$C$14866,Assumptions!$E$53))</f>
        <v>0.116</v>
      </c>
      <c r="K14878" s="30" t="n">
        <f aca="false">IF(J15027=1,$C$14867,IF(Assumptions!$I$53=1,MAX(K14865,Assumptions!$G$53)+Assumptions!$F$53+$C$14866,Assumptions!$E$53))</f>
        <v>0.116</v>
      </c>
    </row>
    <row r="14879" customFormat="false" ht="15" hidden="false" customHeight="false" outlineLevel="0" collapsed="false">
      <c r="A14879" s="5" t="s">
        <v>267</v>
      </c>
      <c r="G14879" s="25" t="n">
        <f aca="false">G14875*G14878</f>
        <v>21.78</v>
      </c>
      <c r="H14879" s="25" t="n">
        <f aca="false">H14875*H14878</f>
        <v>27.2901708</v>
      </c>
      <c r="I14879" s="25" t="n">
        <f aca="false">I14875*I14878</f>
        <v>26.7144288</v>
      </c>
      <c r="J14879" s="25" t="n">
        <f aca="false">J14875*J14878</f>
        <v>26.7144288</v>
      </c>
      <c r="K14879" s="25" t="n">
        <f aca="false">K14875*K14878</f>
        <v>26.7144288</v>
      </c>
    </row>
    <row r="14880" customFormat="false" ht="15" hidden="false" customHeight="false" outlineLevel="0" collapsed="false">
      <c r="A14880" s="5" t="s">
        <v>268</v>
      </c>
      <c r="G14880" s="25" t="n">
        <f aca="false">G14875*Assumptions!$H$53</f>
        <v>0</v>
      </c>
      <c r="H14880" s="25" t="n">
        <f aca="false">H14875*Assumptions!$H$53</f>
        <v>0</v>
      </c>
      <c r="I14880" s="25" t="n">
        <f aca="false">I14875*Assumptions!$H$53</f>
        <v>0</v>
      </c>
      <c r="J14880" s="25" t="n">
        <f aca="false">J14875*Assumptions!$H$53</f>
        <v>0</v>
      </c>
      <c r="K14880" s="25" t="n">
        <f aca="false">K14875*Assumptions!$H$53</f>
        <v>0</v>
      </c>
    </row>
    <row r="14881" customFormat="false" ht="15" hidden="false" customHeight="false" outlineLevel="0" collapsed="false">
      <c r="A14881" s="5" t="s">
        <v>269</v>
      </c>
      <c r="G14881" s="25" t="n">
        <f aca="false">MIN(G14875,Assumptions!$L$53*Assumptions!$C$53)</f>
        <v>0</v>
      </c>
      <c r="H14881" s="25" t="n">
        <f aca="false">MIN(H14875,Assumptions!$L$53*Assumptions!$C$53)</f>
        <v>0</v>
      </c>
      <c r="I14881" s="25" t="n">
        <f aca="false">MIN(I14875,Assumptions!$L$53*Assumptions!$C$53)</f>
        <v>0</v>
      </c>
      <c r="J14881" s="25" t="n">
        <f aca="false">MIN(J14875,Assumptions!$L$53*Assumptions!$C$53)</f>
        <v>0</v>
      </c>
      <c r="K14881" s="25" t="n">
        <f aca="false">MIN(K14875,Assumptions!$L$53*Assumptions!$C$53)</f>
        <v>0</v>
      </c>
    </row>
    <row r="14882" customFormat="false" ht="15" hidden="false" customHeight="false" outlineLevel="0" collapsed="false">
      <c r="A14882" s="5" t="s">
        <v>270</v>
      </c>
      <c r="G14882" s="25" t="n">
        <f aca="false">IF(AND(Assumptions!$P$53=1,G14839&lt;Assumptions!$K$53),MIN(MAX(0,-G14953),MAX(0,Assumptions!$D$53-G14875)),0)</f>
        <v>50.2968000000001</v>
      </c>
      <c r="H14882" s="25" t="n">
        <f aca="false">IF(AND(Assumptions!$P$53=1,OR(H14839&lt;Assumptions!$K$53,G15027=1)),MIN(MAX(0,-H14953),MAX(0,Assumptions!$D$53-H14875)),0)</f>
        <v>0</v>
      </c>
      <c r="I14882" s="25" t="n">
        <f aca="false">IF(AND(Assumptions!$P$53=1,OR(I14839&lt;Assumptions!$K$53,H15027=1)),MIN(MAX(0,-I14953),MAX(0,Assumptions!$D$53-I14875)),0)</f>
        <v>0</v>
      </c>
      <c r="J14882" s="25" t="n">
        <f aca="false">IF(AND(Assumptions!$P$53=1,OR(J14839&lt;Assumptions!$K$53,I15027=1)),MIN(MAX(0,-J14953),MAX(0,Assumptions!$D$53-J14875)),0)</f>
        <v>0</v>
      </c>
      <c r="K14882" s="25" t="n">
        <f aca="false">IF(AND(Assumptions!$P$53=1,OR(K14839&lt;Assumptions!$K$53,J15027=1)),MIN(MAX(0,-K14953),MAX(0,Assumptions!$D$53-K14875)),0)</f>
        <v>0</v>
      </c>
    </row>
    <row r="14883" customFormat="false" ht="15" hidden="false" customHeight="false" outlineLevel="0" collapsed="false">
      <c r="A14883" s="5" t="s">
        <v>271</v>
      </c>
      <c r="G14883" s="25" t="n">
        <f aca="false">G14876*MIN(G14875-G14881+G14880,MAX(0,G14955-Assumptions!$C$12*G14873))</f>
        <v>0</v>
      </c>
      <c r="H14883" s="25" t="n">
        <f aca="false">H14876*MIN(H14875-H14881+H14880,MAX(0,H14955-Assumptions!$C$12*H14873))</f>
        <v>0</v>
      </c>
      <c r="I14883" s="25" t="n">
        <f aca="false">I14876*MIN(I14875-I14881+I14880,MAX(0,I14955-Assumptions!$C$12*I14873))</f>
        <v>0</v>
      </c>
      <c r="J14883" s="25" t="n">
        <f aca="false">J14876*MIN(J14875-J14881+J14880,MAX(0,J14955-Assumptions!$C$12*J14873))</f>
        <v>0</v>
      </c>
      <c r="K14883" s="25" t="n">
        <f aca="false">K14876*MIN(K14875-K14881+K14880,MAX(0,K14955-Assumptions!$C$12*K14873))</f>
        <v>0</v>
      </c>
    </row>
    <row r="14884" customFormat="false" ht="15" hidden="false" customHeight="false" outlineLevel="0" collapsed="false">
      <c r="A14884" s="5" t="s">
        <v>272</v>
      </c>
      <c r="G14884" s="25" t="n">
        <f aca="false">Assumptions!$N$53*MIN(G14875+G14882+G14880-G14881-G14883,MAX(0,G14959))</f>
        <v>0</v>
      </c>
      <c r="H14884" s="25" t="n">
        <f aca="false">Assumptions!$N$53*MIN(H14875+H14882+H14880-H14881-H14883,MAX(0,H14959))</f>
        <v>0</v>
      </c>
      <c r="I14884" s="25" t="n">
        <f aca="false">Assumptions!$N$53*MIN(I14875+I14882+I14880-I14881-I14883,MAX(0,I14959))</f>
        <v>0</v>
      </c>
      <c r="J14884" s="25" t="n">
        <f aca="false">Assumptions!$N$53*MIN(J14875+J14882+J14880-J14881-J14883,MAX(0,J14959))</f>
        <v>0</v>
      </c>
      <c r="K14884" s="25" t="n">
        <f aca="false">Assumptions!$N$53*MIN(K14875+K14882+K14880-K14881-K14883,MAX(0,K14959))</f>
        <v>0</v>
      </c>
    </row>
    <row r="14885" customFormat="false" ht="15" hidden="false" customHeight="false" outlineLevel="0" collapsed="false">
      <c r="A14885" s="5" t="s">
        <v>273</v>
      </c>
      <c r="G14885" s="25" t="n">
        <f aca="false">G14876*(1-G14873)*(G14875-G14881+G14880-G14883)</f>
        <v>0</v>
      </c>
      <c r="H14885" s="25" t="n">
        <f aca="false">H14876*(1-H14873)*(H14875-H14881+H14880-H14883)</f>
        <v>230.2968</v>
      </c>
      <c r="I14885" s="25" t="n">
        <f aca="false">I14876*(1-I14873)*(I14875-I14881+I14880-I14883)</f>
        <v>0</v>
      </c>
      <c r="J14885" s="25" t="n">
        <f aca="false">J14876*(1-J14873)*(J14875-J14881+J14880-J14883)</f>
        <v>0</v>
      </c>
      <c r="K14885" s="25" t="n">
        <f aca="false">K14876*(1-K14873)*(K14875-K14881+K14880-K14883)</f>
        <v>0</v>
      </c>
    </row>
    <row r="14886" customFormat="false" ht="15" hidden="false" customHeight="false" outlineLevel="0" collapsed="false">
      <c r="A14886" s="2" t="s">
        <v>274</v>
      </c>
      <c r="F14886" s="27" t="n">
        <f aca="false">Assumptions!$C$53</f>
        <v>180</v>
      </c>
      <c r="G14886" s="16" t="n">
        <f aca="false">G14875+G14882+G14880-G14881-G14883-G14884</f>
        <v>230.2968</v>
      </c>
      <c r="H14886" s="16" t="n">
        <f aca="false">H14875+H14882+H14880-H14881-H14883-H14884</f>
        <v>230.2968</v>
      </c>
      <c r="I14886" s="16" t="n">
        <f aca="false">I14875+I14882+I14880-I14881-I14883-I14884</f>
        <v>230.2968</v>
      </c>
      <c r="J14886" s="16" t="n">
        <f aca="false">J14875+J14882+J14880-J14881-J14883-J14884</f>
        <v>230.2968</v>
      </c>
      <c r="K14886" s="16" t="n">
        <f aca="false">K14875+K14882+K14880-K14881-K14883-K14884</f>
        <v>230.2968</v>
      </c>
    </row>
    <row r="14887" customFormat="false" ht="15" hidden="false" customHeight="false" outlineLevel="0" collapsed="false">
      <c r="A14887" s="23" t="s">
        <v>275</v>
      </c>
      <c r="B14887" s="24"/>
      <c r="C14887" s="24"/>
      <c r="D14887" s="24"/>
      <c r="E14887" s="24"/>
      <c r="F14887" s="24"/>
      <c r="G14887" s="24"/>
      <c r="H14887" s="24"/>
      <c r="I14887" s="24"/>
      <c r="J14887" s="24"/>
      <c r="K14887" s="24"/>
    </row>
    <row r="14888" customFormat="false" ht="15" hidden="false" customHeight="false" outlineLevel="0" collapsed="false">
      <c r="A14888" s="5" t="s">
        <v>264</v>
      </c>
      <c r="G14888" s="25" t="n">
        <f aca="false">F14899</f>
        <v>520</v>
      </c>
      <c r="H14888" s="25" t="n">
        <f aca="false">G14899</f>
        <v>514.8</v>
      </c>
      <c r="I14888" s="25" t="n">
        <f aca="false">H14899</f>
        <v>509.6</v>
      </c>
      <c r="J14888" s="25" t="n">
        <f aca="false">I14899</f>
        <v>504.4</v>
      </c>
      <c r="K14888" s="25" t="n">
        <f aca="false">J14899</f>
        <v>499.2</v>
      </c>
    </row>
    <row r="14889" customFormat="false" ht="15" hidden="false" customHeight="false" outlineLevel="0" collapsed="false">
      <c r="A14889" s="5" t="s">
        <v>265</v>
      </c>
      <c r="G14889" s="20" t="n">
        <f aca="false">IF(G14839=Assumptions!$K$54,1,0)</f>
        <v>0</v>
      </c>
      <c r="H14889" s="20" t="n">
        <f aca="false">IF(H14839=Assumptions!$K$54,1,0)</f>
        <v>0</v>
      </c>
      <c r="I14889" s="20" t="n">
        <f aca="false">IF(I14839=Assumptions!$K$54,1,0)</f>
        <v>1</v>
      </c>
      <c r="J14889" s="20" t="n">
        <f aca="false">IF(J14839=Assumptions!$K$54,1,0)</f>
        <v>0</v>
      </c>
      <c r="K14889" s="20" t="n">
        <f aca="false">IF(K14839=Assumptions!$K$54,1,0)</f>
        <v>0</v>
      </c>
    </row>
    <row r="14891" customFormat="false" ht="15" hidden="false" customHeight="false" outlineLevel="0" collapsed="false">
      <c r="A14891" s="5" t="s">
        <v>266</v>
      </c>
      <c r="G14891" s="30" t="n">
        <f aca="false">IF(Assumptions!$I$54=1,MAX(G14865,Assumptions!$G$54)+Assumptions!$F$54+$C$14866,Assumptions!$E$54)</f>
        <v>0.138</v>
      </c>
      <c r="H14891" s="30" t="n">
        <f aca="false">IF(G15028=1,$C$14867,IF(Assumptions!$I$54=1,MAX(H14865,Assumptions!$G$54)+Assumptions!$F$54+$C$14866,Assumptions!$E$54))</f>
        <v>0.1355</v>
      </c>
      <c r="I14891" s="30" t="n">
        <f aca="false">IF(H15028=1,$C$14867,IF(Assumptions!$I$54=1,MAX(I14865,Assumptions!$G$54)+Assumptions!$F$54+$C$14866,Assumptions!$E$54))</f>
        <v>0.133</v>
      </c>
      <c r="J14891" s="30" t="n">
        <f aca="false">IF(I15028=1,$C$14867,IF(Assumptions!$I$54=1,MAX(J14865,Assumptions!$G$54)+Assumptions!$F$54+$C$14866,Assumptions!$E$54))</f>
        <v>0.133</v>
      </c>
      <c r="K14891" s="30" t="n">
        <f aca="false">IF(J15028=1,$C$14867,IF(Assumptions!$I$54=1,MAX(K14865,Assumptions!$G$54)+Assumptions!$F$54+$C$14866,Assumptions!$E$54))</f>
        <v>0.133</v>
      </c>
    </row>
    <row r="14892" customFormat="false" ht="15" hidden="false" customHeight="false" outlineLevel="0" collapsed="false">
      <c r="A14892" s="5" t="s">
        <v>267</v>
      </c>
      <c r="G14892" s="25" t="n">
        <f aca="false">G14888*G14891</f>
        <v>71.76</v>
      </c>
      <c r="H14892" s="25" t="n">
        <f aca="false">H14888*H14891</f>
        <v>69.7554</v>
      </c>
      <c r="I14892" s="25" t="n">
        <f aca="false">I14888*I14891</f>
        <v>67.7768</v>
      </c>
      <c r="J14892" s="25" t="n">
        <f aca="false">J14888*J14891</f>
        <v>67.0852</v>
      </c>
      <c r="K14892" s="25" t="n">
        <f aca="false">K14888*K14891</f>
        <v>66.3936</v>
      </c>
    </row>
    <row r="14893" customFormat="false" ht="15" hidden="false" customHeight="false" outlineLevel="0" collapsed="false">
      <c r="A14893" s="5" t="s">
        <v>268</v>
      </c>
      <c r="G14893" s="25" t="n">
        <f aca="false">G14888*Assumptions!$H$54</f>
        <v>0</v>
      </c>
      <c r="H14893" s="25" t="n">
        <f aca="false">H14888*Assumptions!$H$54</f>
        <v>0</v>
      </c>
      <c r="I14893" s="25" t="n">
        <f aca="false">I14888*Assumptions!$H$54</f>
        <v>0</v>
      </c>
      <c r="J14893" s="25" t="n">
        <f aca="false">J14888*Assumptions!$H$54</f>
        <v>0</v>
      </c>
      <c r="K14893" s="25" t="n">
        <f aca="false">K14888*Assumptions!$H$54</f>
        <v>0</v>
      </c>
    </row>
    <row r="14894" customFormat="false" ht="15" hidden="false" customHeight="false" outlineLevel="0" collapsed="false">
      <c r="A14894" s="5" t="s">
        <v>269</v>
      </c>
      <c r="G14894" s="25" t="n">
        <f aca="false">MIN(G14888,Assumptions!$L$54*Assumptions!$C$54)</f>
        <v>5.2</v>
      </c>
      <c r="H14894" s="25" t="n">
        <f aca="false">MIN(H14888,Assumptions!$L$54*Assumptions!$C$54)</f>
        <v>5.2</v>
      </c>
      <c r="I14894" s="25" t="n">
        <f aca="false">MIN(I14888,Assumptions!$L$54*Assumptions!$C$54)</f>
        <v>5.2</v>
      </c>
      <c r="J14894" s="25" t="n">
        <f aca="false">MIN(J14888,Assumptions!$L$54*Assumptions!$C$54)</f>
        <v>5.2</v>
      </c>
      <c r="K14894" s="25" t="n">
        <f aca="false">MIN(K14888,Assumptions!$L$54*Assumptions!$C$54)</f>
        <v>5.2</v>
      </c>
    </row>
    <row r="14895" customFormat="false" ht="15" hidden="false" customHeight="false" outlineLevel="0" collapsed="false">
      <c r="A14895" s="5" t="s">
        <v>270</v>
      </c>
      <c r="G14895" s="25" t="n">
        <f aca="false">IF(AND(Assumptions!$P$54=1,G14839&lt;Assumptions!$K$54),MIN(MAX(0,-G14953),MAX(0,Assumptions!$D$54-G14888)),0)</f>
        <v>0</v>
      </c>
      <c r="H14895" s="25" t="n">
        <f aca="false">IF(AND(Assumptions!$P$54=1,OR(H14839&lt;Assumptions!$K$54,G15028=1)),MIN(MAX(0,-H14953),MAX(0,Assumptions!$D$54-H14888)),0)</f>
        <v>0</v>
      </c>
      <c r="I14895" s="25" t="n">
        <f aca="false">IF(AND(Assumptions!$P$54=1,OR(I14839&lt;Assumptions!$K$54,H15028=1)),MIN(MAX(0,-I14953),MAX(0,Assumptions!$D$54-I14888)),0)</f>
        <v>0</v>
      </c>
      <c r="J14895" s="25" t="n">
        <f aca="false">IF(AND(Assumptions!$P$54=1,OR(J14839&lt;Assumptions!$K$54,I15028=1)),MIN(MAX(0,-J14953),MAX(0,Assumptions!$D$54-J14888)),0)</f>
        <v>0</v>
      </c>
      <c r="K14895" s="25" t="n">
        <f aca="false">IF(AND(Assumptions!$P$54=1,OR(K14839&lt;Assumptions!$K$54,J15028=1)),MIN(MAX(0,-K14953),MAX(0,Assumptions!$D$54-K14888)),0)</f>
        <v>0</v>
      </c>
    </row>
    <row r="14896" customFormat="false" ht="15" hidden="false" customHeight="false" outlineLevel="0" collapsed="false">
      <c r="A14896" s="5" t="s">
        <v>271</v>
      </c>
      <c r="G14896" s="25" t="n">
        <f aca="false">G14889*MIN(G14888-G14894+G14893,MAX(0,G14955-Assumptions!$C$12*G14873-G14883))</f>
        <v>0</v>
      </c>
      <c r="H14896" s="25" t="n">
        <f aca="false">H14889*MIN(H14888-H14894+H14893,MAX(0,H14955-Assumptions!$C$12*H14873-H14883))</f>
        <v>0</v>
      </c>
      <c r="I14896" s="25" t="n">
        <f aca="false">I14889*MIN(I14888-I14894+I14893,MAX(0,I14955-Assumptions!$C$12*I14873-I14883))</f>
        <v>0</v>
      </c>
      <c r="J14896" s="25" t="n">
        <f aca="false">J14889*MIN(J14888-J14894+J14893,MAX(0,J14955-Assumptions!$C$12*J14873-J14883))</f>
        <v>0</v>
      </c>
      <c r="K14896" s="25" t="n">
        <f aca="false">K14889*MIN(K14888-K14894+K14893,MAX(0,K14955-Assumptions!$C$12*K14873-K14883))</f>
        <v>0</v>
      </c>
    </row>
    <row r="14897" customFormat="false" ht="15" hidden="false" customHeight="false" outlineLevel="0" collapsed="false">
      <c r="A14897" s="5" t="s">
        <v>272</v>
      </c>
      <c r="G14897" s="25" t="n">
        <f aca="false">Assumptions!$N$54*MIN(G14888+G14895+G14893-G14894-G14896,MAX(0,G14959-G14884))</f>
        <v>0</v>
      </c>
      <c r="H14897" s="25" t="n">
        <f aca="false">Assumptions!$N$54*MIN(H14888+H14895+H14893-H14894-H14896,MAX(0,H14959-H14884))</f>
        <v>0</v>
      </c>
      <c r="I14897" s="25" t="n">
        <f aca="false">Assumptions!$N$54*MIN(I14888+I14895+I14893-I14894-I14896,MAX(0,I14959-I14884))</f>
        <v>0</v>
      </c>
      <c r="J14897" s="25" t="n">
        <f aca="false">Assumptions!$N$54*MIN(J14888+J14895+J14893-J14894-J14896,MAX(0,J14959-J14884))</f>
        <v>0</v>
      </c>
      <c r="K14897" s="25" t="n">
        <f aca="false">Assumptions!$N$54*MIN(K14888+K14895+K14893-K14894-K14896,MAX(0,K14959-K14884))</f>
        <v>0</v>
      </c>
    </row>
    <row r="14898" customFormat="false" ht="15" hidden="false" customHeight="false" outlineLevel="0" collapsed="false">
      <c r="A14898" s="5" t="s">
        <v>273</v>
      </c>
      <c r="G14898" s="25" t="n">
        <f aca="false">G14889*(1-G14873)*(G14888-G14894+G14893-G14896)</f>
        <v>0</v>
      </c>
      <c r="H14898" s="25" t="n">
        <f aca="false">H14889*(1-H14873)*(H14888-H14894+H14893-H14896)</f>
        <v>0</v>
      </c>
      <c r="I14898" s="25" t="n">
        <f aca="false">I14889*(1-I14873)*(I14888-I14894+I14893-I14896)</f>
        <v>504.4</v>
      </c>
      <c r="J14898" s="25" t="n">
        <f aca="false">J14889*(1-J14873)*(J14888-J14894+J14893-J14896)</f>
        <v>0</v>
      </c>
      <c r="K14898" s="25" t="n">
        <f aca="false">K14889*(1-K14873)*(K14888-K14894+K14893-K14896)</f>
        <v>0</v>
      </c>
    </row>
    <row r="14899" customFormat="false" ht="15" hidden="false" customHeight="false" outlineLevel="0" collapsed="false">
      <c r="A14899" s="2" t="s">
        <v>274</v>
      </c>
      <c r="F14899" s="27" t="n">
        <f aca="false">Assumptions!$C$54</f>
        <v>520</v>
      </c>
      <c r="G14899" s="16" t="n">
        <f aca="false">G14888+G14895+G14893-G14894-G14896-G14897</f>
        <v>514.8</v>
      </c>
      <c r="H14899" s="16" t="n">
        <f aca="false">H14888+H14895+H14893-H14894-H14896-H14897</f>
        <v>509.6</v>
      </c>
      <c r="I14899" s="16" t="n">
        <f aca="false">I14888+I14895+I14893-I14894-I14896-I14897</f>
        <v>504.4</v>
      </c>
      <c r="J14899" s="16" t="n">
        <f aca="false">J14888+J14895+J14893-J14894-J14896-J14897</f>
        <v>499.2</v>
      </c>
      <c r="K14899" s="16" t="n">
        <f aca="false">K14888+K14895+K14893-K14894-K14896-K14897</f>
        <v>494</v>
      </c>
    </row>
    <row r="14900" customFormat="false" ht="15" hidden="false" customHeight="false" outlineLevel="0" collapsed="false">
      <c r="A14900" s="23" t="s">
        <v>276</v>
      </c>
      <c r="B14900" s="24"/>
      <c r="C14900" s="24"/>
      <c r="D14900" s="24"/>
      <c r="E14900" s="24"/>
      <c r="F14900" s="24"/>
      <c r="G14900" s="24"/>
      <c r="H14900" s="24"/>
      <c r="I14900" s="24"/>
      <c r="J14900" s="24"/>
      <c r="K14900" s="24"/>
    </row>
    <row r="14901" customFormat="false" ht="15" hidden="false" customHeight="false" outlineLevel="0" collapsed="false">
      <c r="A14901" s="5" t="s">
        <v>264</v>
      </c>
      <c r="G14901" s="25" t="n">
        <f aca="false">F14912</f>
        <v>250</v>
      </c>
      <c r="H14901" s="25" t="n">
        <f aca="false">G14912</f>
        <v>250</v>
      </c>
      <c r="I14901" s="25" t="n">
        <f aca="false">H14912</f>
        <v>250</v>
      </c>
      <c r="J14901" s="25" t="n">
        <f aca="false">I14912</f>
        <v>250</v>
      </c>
      <c r="K14901" s="25" t="n">
        <f aca="false">J14912</f>
        <v>250</v>
      </c>
    </row>
    <row r="14902" customFormat="false" ht="15" hidden="false" customHeight="false" outlineLevel="0" collapsed="false">
      <c r="A14902" s="5" t="s">
        <v>265</v>
      </c>
      <c r="G14902" s="20" t="n">
        <f aca="false">IF(G14839=Assumptions!$K$55,1,0)</f>
        <v>0</v>
      </c>
      <c r="H14902" s="20" t="n">
        <f aca="false">IF(H14839=Assumptions!$K$55,1,0)</f>
        <v>0</v>
      </c>
      <c r="I14902" s="20" t="n">
        <f aca="false">IF(I14839=Assumptions!$K$55,1,0)</f>
        <v>0</v>
      </c>
      <c r="J14902" s="20" t="n">
        <f aca="false">IF(J14839=Assumptions!$K$55,1,0)</f>
        <v>1</v>
      </c>
      <c r="K14902" s="20" t="n">
        <f aca="false">IF(K14839=Assumptions!$K$55,1,0)</f>
        <v>0</v>
      </c>
    </row>
    <row r="14904" customFormat="false" ht="15" hidden="false" customHeight="false" outlineLevel="0" collapsed="false">
      <c r="A14904" s="5" t="s">
        <v>266</v>
      </c>
      <c r="G14904" s="30" t="n">
        <f aca="false">IF(Assumptions!$I$55=1,MAX(G14865,Assumptions!$G$55)+Assumptions!$F$55+$C$14866,Assumptions!$E$55)</f>
        <v>0.11</v>
      </c>
      <c r="H14904" s="30" t="n">
        <f aca="false">IF(G15029=1,$C$14867,IF(Assumptions!$I$55=1,MAX(H14865,Assumptions!$G$55)+Assumptions!$F$55+$C$14866,Assumptions!$E$55))</f>
        <v>0.11</v>
      </c>
      <c r="I14904" s="30" t="n">
        <f aca="false">IF(H15029=1,$C$14867,IF(Assumptions!$I$55=1,MAX(I14865,Assumptions!$G$55)+Assumptions!$F$55+$C$14866,Assumptions!$E$55))</f>
        <v>0.11</v>
      </c>
      <c r="J14904" s="30" t="n">
        <f aca="false">IF(I15029=1,$C$14867,IF(Assumptions!$I$55=1,MAX(J14865,Assumptions!$G$55)+Assumptions!$F$55+$C$14866,Assumptions!$E$55))</f>
        <v>0.11</v>
      </c>
      <c r="K14904" s="30" t="n">
        <f aca="false">IF(J15029=1,$C$14867,IF(Assumptions!$I$55=1,MAX(K14865,Assumptions!$G$55)+Assumptions!$F$55+$C$14866,Assumptions!$E$55))</f>
        <v>0.11</v>
      </c>
    </row>
    <row r="14905" customFormat="false" ht="15" hidden="false" customHeight="false" outlineLevel="0" collapsed="false">
      <c r="A14905" s="5" t="s">
        <v>267</v>
      </c>
      <c r="G14905" s="25" t="n">
        <f aca="false">G14901*G14904</f>
        <v>27.5</v>
      </c>
      <c r="H14905" s="25" t="n">
        <f aca="false">H14901*H14904</f>
        <v>27.5</v>
      </c>
      <c r="I14905" s="25" t="n">
        <f aca="false">I14901*I14904</f>
        <v>27.5</v>
      </c>
      <c r="J14905" s="25" t="n">
        <f aca="false">J14901*J14904</f>
        <v>27.5</v>
      </c>
      <c r="K14905" s="25" t="n">
        <f aca="false">K14901*K14904</f>
        <v>27.5</v>
      </c>
    </row>
    <row r="14906" customFormat="false" ht="15" hidden="false" customHeight="false" outlineLevel="0" collapsed="false">
      <c r="A14906" s="5" t="s">
        <v>268</v>
      </c>
      <c r="G14906" s="25" t="n">
        <f aca="false">G14901*Assumptions!$H$55</f>
        <v>0</v>
      </c>
      <c r="H14906" s="25" t="n">
        <f aca="false">H14901*Assumptions!$H$55</f>
        <v>0</v>
      </c>
      <c r="I14906" s="25" t="n">
        <f aca="false">I14901*Assumptions!$H$55</f>
        <v>0</v>
      </c>
      <c r="J14906" s="25" t="n">
        <f aca="false">J14901*Assumptions!$H$55</f>
        <v>0</v>
      </c>
      <c r="K14906" s="25" t="n">
        <f aca="false">K14901*Assumptions!$H$55</f>
        <v>0</v>
      </c>
    </row>
    <row r="14907" customFormat="false" ht="15" hidden="false" customHeight="false" outlineLevel="0" collapsed="false">
      <c r="A14907" s="5" t="s">
        <v>269</v>
      </c>
      <c r="G14907" s="25" t="n">
        <f aca="false">MIN(G14901,Assumptions!$L$55*Assumptions!$C$55)</f>
        <v>0</v>
      </c>
      <c r="H14907" s="25" t="n">
        <f aca="false">MIN(H14901,Assumptions!$L$55*Assumptions!$C$55)</f>
        <v>0</v>
      </c>
      <c r="I14907" s="25" t="n">
        <f aca="false">MIN(I14901,Assumptions!$L$55*Assumptions!$C$55)</f>
        <v>0</v>
      </c>
      <c r="J14907" s="25" t="n">
        <f aca="false">MIN(J14901,Assumptions!$L$55*Assumptions!$C$55)</f>
        <v>0</v>
      </c>
      <c r="K14907" s="25" t="n">
        <f aca="false">MIN(K14901,Assumptions!$L$55*Assumptions!$C$55)</f>
        <v>0</v>
      </c>
    </row>
    <row r="14908" customFormat="false" ht="15" hidden="false" customHeight="false" outlineLevel="0" collapsed="false">
      <c r="A14908" s="5" t="s">
        <v>270</v>
      </c>
      <c r="G14908" s="25" t="n">
        <f aca="false">IF(AND(Assumptions!$P$55=1,G14839&lt;Assumptions!$K$55),MIN(MAX(0,-G14953),MAX(0,Assumptions!$D$55-G14901)),0)</f>
        <v>0</v>
      </c>
      <c r="H14908" s="25" t="n">
        <f aca="false">IF(AND(Assumptions!$P$55=1,OR(H14839&lt;Assumptions!$K$55,G15029=1)),MIN(MAX(0,-H14953),MAX(0,Assumptions!$D$55-H14901)),0)</f>
        <v>0</v>
      </c>
      <c r="I14908" s="25" t="n">
        <f aca="false">IF(AND(Assumptions!$P$55=1,OR(I14839&lt;Assumptions!$K$55,H15029=1)),MIN(MAX(0,-I14953),MAX(0,Assumptions!$D$55-I14901)),0)</f>
        <v>0</v>
      </c>
      <c r="J14908" s="25" t="n">
        <f aca="false">IF(AND(Assumptions!$P$55=1,OR(J14839&lt;Assumptions!$K$55,I15029=1)),MIN(MAX(0,-J14953),MAX(0,Assumptions!$D$55-J14901)),0)</f>
        <v>0</v>
      </c>
      <c r="K14908" s="25" t="n">
        <f aca="false">IF(AND(Assumptions!$P$55=1,OR(K14839&lt;Assumptions!$K$55,J15029=1)),MIN(MAX(0,-K14953),MAX(0,Assumptions!$D$55-K14901)),0)</f>
        <v>0</v>
      </c>
    </row>
    <row r="14909" customFormat="false" ht="15" hidden="false" customHeight="false" outlineLevel="0" collapsed="false">
      <c r="A14909" s="5" t="s">
        <v>271</v>
      </c>
      <c r="G14909" s="25" t="n">
        <f aca="false">G14902*MIN(G14901-G14907+G14906,MAX(0,G14955-Assumptions!$C$12*G14873-G14883-G14896))</f>
        <v>0</v>
      </c>
      <c r="H14909" s="25" t="n">
        <f aca="false">H14902*MIN(H14901-H14907+H14906,MAX(0,H14955-Assumptions!$C$12*H14873-H14883-H14896))</f>
        <v>0</v>
      </c>
      <c r="I14909" s="25" t="n">
        <f aca="false">I14902*MIN(I14901-I14907+I14906,MAX(0,I14955-Assumptions!$C$12*I14873-I14883-I14896))</f>
        <v>0</v>
      </c>
      <c r="J14909" s="25" t="n">
        <f aca="false">J14902*MIN(J14901-J14907+J14906,MAX(0,J14955-Assumptions!$C$12*J14873-J14883-J14896))</f>
        <v>0</v>
      </c>
      <c r="K14909" s="25" t="n">
        <f aca="false">K14902*MIN(K14901-K14907+K14906,MAX(0,K14955-Assumptions!$C$12*K14873-K14883-K14896))</f>
        <v>0</v>
      </c>
    </row>
    <row r="14910" customFormat="false" ht="15" hidden="false" customHeight="false" outlineLevel="0" collapsed="false">
      <c r="A14910" s="5" t="s">
        <v>272</v>
      </c>
      <c r="G14910" s="25" t="n">
        <f aca="false">Assumptions!$N$55*MIN(G14901+G14908+G14906-G14907-G14909,MAX(0,G14959-G14884-G14897))</f>
        <v>0</v>
      </c>
      <c r="H14910" s="25" t="n">
        <f aca="false">Assumptions!$N$55*MIN(H14901+H14908+H14906-H14907-H14909,MAX(0,H14959-H14884-H14897))</f>
        <v>0</v>
      </c>
      <c r="I14910" s="25" t="n">
        <f aca="false">Assumptions!$N$55*MIN(I14901+I14908+I14906-I14907-I14909,MAX(0,I14959-I14884-I14897))</f>
        <v>0</v>
      </c>
      <c r="J14910" s="25" t="n">
        <f aca="false">Assumptions!$N$55*MIN(J14901+J14908+J14906-J14907-J14909,MAX(0,J14959-J14884-J14897))</f>
        <v>0</v>
      </c>
      <c r="K14910" s="25" t="n">
        <f aca="false">Assumptions!$N$55*MIN(K14901+K14908+K14906-K14907-K14909,MAX(0,K14959-K14884-K14897))</f>
        <v>0</v>
      </c>
    </row>
    <row r="14911" customFormat="false" ht="15" hidden="false" customHeight="false" outlineLevel="0" collapsed="false">
      <c r="A14911" s="5" t="s">
        <v>273</v>
      </c>
      <c r="G14911" s="25" t="n">
        <f aca="false">G14902*(1-G14873)*(G14901-G14907+G14906-G14909)</f>
        <v>0</v>
      </c>
      <c r="H14911" s="25" t="n">
        <f aca="false">H14902*(1-H14873)*(H14901-H14907+H14906-H14909)</f>
        <v>0</v>
      </c>
      <c r="I14911" s="25" t="n">
        <f aca="false">I14902*(1-I14873)*(I14901-I14907+I14906-I14909)</f>
        <v>0</v>
      </c>
      <c r="J14911" s="25" t="n">
        <f aca="false">J14902*(1-J14873)*(J14901-J14907+J14906-J14909)</f>
        <v>250</v>
      </c>
      <c r="K14911" s="25" t="n">
        <f aca="false">K14902*(1-K14873)*(K14901-K14907+K14906-K14909)</f>
        <v>0</v>
      </c>
    </row>
    <row r="14912" customFormat="false" ht="15" hidden="false" customHeight="false" outlineLevel="0" collapsed="false">
      <c r="A14912" s="2" t="s">
        <v>274</v>
      </c>
      <c r="F14912" s="27" t="n">
        <f aca="false">Assumptions!$C$55</f>
        <v>250</v>
      </c>
      <c r="G14912" s="16" t="n">
        <f aca="false">G14901+G14908+G14906-G14907-G14909-G14910</f>
        <v>250</v>
      </c>
      <c r="H14912" s="16" t="n">
        <f aca="false">H14901+H14908+H14906-H14907-H14909-H14910</f>
        <v>250</v>
      </c>
      <c r="I14912" s="16" t="n">
        <f aca="false">I14901+I14908+I14906-I14907-I14909-I14910</f>
        <v>250</v>
      </c>
      <c r="J14912" s="16" t="n">
        <f aca="false">J14901+J14908+J14906-J14907-J14909-J14910</f>
        <v>250</v>
      </c>
      <c r="K14912" s="16" t="n">
        <f aca="false">K14901+K14908+K14906-K14907-K14909-K14910</f>
        <v>250</v>
      </c>
    </row>
    <row r="14913" customFormat="false" ht="15" hidden="false" customHeight="false" outlineLevel="0" collapsed="false">
      <c r="A14913" s="23" t="s">
        <v>277</v>
      </c>
      <c r="B14913" s="24"/>
      <c r="C14913" s="24"/>
      <c r="D14913" s="24"/>
      <c r="E14913" s="24"/>
      <c r="F14913" s="24"/>
      <c r="G14913" s="24"/>
      <c r="H14913" s="24"/>
      <c r="I14913" s="24"/>
      <c r="J14913" s="24"/>
      <c r="K14913" s="24"/>
    </row>
    <row r="14914" customFormat="false" ht="15" hidden="false" customHeight="false" outlineLevel="0" collapsed="false">
      <c r="A14914" s="5" t="s">
        <v>264</v>
      </c>
      <c r="G14914" s="25" t="n">
        <f aca="false">F14925</f>
        <v>300</v>
      </c>
      <c r="H14914" s="25" t="n">
        <f aca="false">G14925</f>
        <v>300</v>
      </c>
      <c r="I14914" s="25" t="n">
        <f aca="false">H14925</f>
        <v>300</v>
      </c>
      <c r="J14914" s="25" t="n">
        <f aca="false">I14925</f>
        <v>300</v>
      </c>
      <c r="K14914" s="25" t="n">
        <f aca="false">J14925</f>
        <v>300</v>
      </c>
    </row>
    <row r="14915" customFormat="false" ht="15" hidden="false" customHeight="false" outlineLevel="0" collapsed="false">
      <c r="A14915" s="5" t="s">
        <v>265</v>
      </c>
      <c r="G14915" s="20" t="n">
        <f aca="false">IF(G14839=Assumptions!$K$56,1,0)</f>
        <v>0</v>
      </c>
      <c r="H14915" s="20" t="n">
        <f aca="false">IF(H14839=Assumptions!$K$56,1,0)</f>
        <v>1</v>
      </c>
      <c r="I14915" s="20" t="n">
        <f aca="false">IF(I14839=Assumptions!$K$56,1,0)</f>
        <v>0</v>
      </c>
      <c r="J14915" s="20" t="n">
        <f aca="false">IF(J14839=Assumptions!$K$56,1,0)</f>
        <v>0</v>
      </c>
      <c r="K14915" s="20" t="n">
        <f aca="false">IF(K14839=Assumptions!$K$56,1,0)</f>
        <v>0</v>
      </c>
    </row>
    <row r="14917" customFormat="false" ht="15" hidden="false" customHeight="false" outlineLevel="0" collapsed="false">
      <c r="A14917" s="5" t="s">
        <v>266</v>
      </c>
      <c r="G14917" s="30" t="n">
        <f aca="false">IF(Assumptions!$I$56=1,MAX(G14865,Assumptions!$G$56)+Assumptions!$F$56+$C$14866,Assumptions!$E$56)</f>
        <v>0.075</v>
      </c>
      <c r="H14917" s="30" t="n">
        <f aca="false">IF(G15030=1,$C$14867,IF(Assumptions!$I$56=1,MAX(H14865,Assumptions!$G$56)+Assumptions!$F$56+$C$14866,Assumptions!$E$56))</f>
        <v>0.075</v>
      </c>
      <c r="I14917" s="30" t="n">
        <f aca="false">IF(H15030=1,$C$14867,IF(Assumptions!$I$56=1,MAX(I14865,Assumptions!$G$56)+Assumptions!$F$56+$C$14866,Assumptions!$E$56))</f>
        <v>0.075</v>
      </c>
      <c r="J14917" s="30" t="n">
        <f aca="false">IF(I15030=1,$C$14867,IF(Assumptions!$I$56=1,MAX(J14865,Assumptions!$G$56)+Assumptions!$F$56+$C$14866,Assumptions!$E$56))</f>
        <v>0.075</v>
      </c>
      <c r="K14917" s="30" t="n">
        <f aca="false">IF(J15030=1,$C$14867,IF(Assumptions!$I$56=1,MAX(K14865,Assumptions!$G$56)+Assumptions!$F$56+$C$14866,Assumptions!$E$56))</f>
        <v>0.075</v>
      </c>
    </row>
    <row r="14918" customFormat="false" ht="15" hidden="false" customHeight="false" outlineLevel="0" collapsed="false">
      <c r="A14918" s="5" t="s">
        <v>267</v>
      </c>
      <c r="G14918" s="25" t="n">
        <f aca="false">G14914*G14917</f>
        <v>22.5</v>
      </c>
      <c r="H14918" s="25" t="n">
        <f aca="false">H14914*H14917</f>
        <v>22.5</v>
      </c>
      <c r="I14918" s="25" t="n">
        <f aca="false">I14914*I14917</f>
        <v>22.5</v>
      </c>
      <c r="J14918" s="25" t="n">
        <f aca="false">J14914*J14917</f>
        <v>22.5</v>
      </c>
      <c r="K14918" s="25" t="n">
        <f aca="false">K14914*K14917</f>
        <v>22.5</v>
      </c>
    </row>
    <row r="14919" customFormat="false" ht="15" hidden="false" customHeight="false" outlineLevel="0" collapsed="false">
      <c r="A14919" s="5" t="s">
        <v>268</v>
      </c>
      <c r="G14919" s="25" t="n">
        <f aca="false">G14914*Assumptions!$H$56</f>
        <v>0</v>
      </c>
      <c r="H14919" s="25" t="n">
        <f aca="false">H14914*Assumptions!$H$56</f>
        <v>0</v>
      </c>
      <c r="I14919" s="25" t="n">
        <f aca="false">I14914*Assumptions!$H$56</f>
        <v>0</v>
      </c>
      <c r="J14919" s="25" t="n">
        <f aca="false">J14914*Assumptions!$H$56</f>
        <v>0</v>
      </c>
      <c r="K14919" s="25" t="n">
        <f aca="false">K14914*Assumptions!$H$56</f>
        <v>0</v>
      </c>
    </row>
    <row r="14920" customFormat="false" ht="15" hidden="false" customHeight="false" outlineLevel="0" collapsed="false">
      <c r="A14920" s="5" t="s">
        <v>269</v>
      </c>
      <c r="G14920" s="25" t="n">
        <f aca="false">MIN(G14914,Assumptions!$L$56*Assumptions!$C$56)</f>
        <v>0</v>
      </c>
      <c r="H14920" s="25" t="n">
        <f aca="false">MIN(H14914,Assumptions!$L$56*Assumptions!$C$56)</f>
        <v>0</v>
      </c>
      <c r="I14920" s="25" t="n">
        <f aca="false">MIN(I14914,Assumptions!$L$56*Assumptions!$C$56)</f>
        <v>0</v>
      </c>
      <c r="J14920" s="25" t="n">
        <f aca="false">MIN(J14914,Assumptions!$L$56*Assumptions!$C$56)</f>
        <v>0</v>
      </c>
      <c r="K14920" s="25" t="n">
        <f aca="false">MIN(K14914,Assumptions!$L$56*Assumptions!$C$56)</f>
        <v>0</v>
      </c>
    </row>
    <row r="14921" customFormat="false" ht="15" hidden="false" customHeight="false" outlineLevel="0" collapsed="false">
      <c r="A14921" s="5" t="s">
        <v>270</v>
      </c>
      <c r="G14921" s="25" t="n">
        <f aca="false">IF(AND(Assumptions!$P$56=1,G14839&lt;Assumptions!$K$56),MIN(MAX(0,-G14953),MAX(0,Assumptions!$D$56-G14914)),0)</f>
        <v>0</v>
      </c>
      <c r="H14921" s="25" t="n">
        <f aca="false">IF(AND(Assumptions!$P$56=1,OR(H14839&lt;Assumptions!$K$56,G15030=1)),MIN(MAX(0,-H14953),MAX(0,Assumptions!$D$56-H14914)),0)</f>
        <v>0</v>
      </c>
      <c r="I14921" s="25" t="n">
        <f aca="false">IF(AND(Assumptions!$P$56=1,OR(I14839&lt;Assumptions!$K$56,H15030=1)),MIN(MAX(0,-I14953),MAX(0,Assumptions!$D$56-I14914)),0)</f>
        <v>0</v>
      </c>
      <c r="J14921" s="25" t="n">
        <f aca="false">IF(AND(Assumptions!$P$56=1,OR(J14839&lt;Assumptions!$K$56,I15030=1)),MIN(MAX(0,-J14953),MAX(0,Assumptions!$D$56-J14914)),0)</f>
        <v>0</v>
      </c>
      <c r="K14921" s="25" t="n">
        <f aca="false">IF(AND(Assumptions!$P$56=1,OR(K14839&lt;Assumptions!$K$56,J15030=1)),MIN(MAX(0,-K14953),MAX(0,Assumptions!$D$56-K14914)),0)</f>
        <v>0</v>
      </c>
    </row>
    <row r="14922" customFormat="false" ht="15" hidden="false" customHeight="false" outlineLevel="0" collapsed="false">
      <c r="A14922" s="5" t="s">
        <v>271</v>
      </c>
      <c r="G14922" s="25" t="n">
        <f aca="false">G14915*MIN(G14914-G14920+G14919,MAX(0,G14955-Assumptions!$C$12*G14873-G14883-G14896-G14909))</f>
        <v>0</v>
      </c>
      <c r="H14922" s="25" t="n">
        <f aca="false">H14915*MIN(H14914-H14920+H14919,MAX(0,H14955-Assumptions!$C$12*H14873-H14883-H14896-H14909))</f>
        <v>0</v>
      </c>
      <c r="I14922" s="25" t="n">
        <f aca="false">I14915*MIN(I14914-I14920+I14919,MAX(0,I14955-Assumptions!$C$12*I14873-I14883-I14896-I14909))</f>
        <v>0</v>
      </c>
      <c r="J14922" s="25" t="n">
        <f aca="false">J14915*MIN(J14914-J14920+J14919,MAX(0,J14955-Assumptions!$C$12*J14873-J14883-J14896-J14909))</f>
        <v>0</v>
      </c>
      <c r="K14922" s="25" t="n">
        <f aca="false">K14915*MIN(K14914-K14920+K14919,MAX(0,K14955-Assumptions!$C$12*K14873-K14883-K14896-K14909))</f>
        <v>0</v>
      </c>
    </row>
    <row r="14923" customFormat="false" ht="15" hidden="false" customHeight="false" outlineLevel="0" collapsed="false">
      <c r="A14923" s="5" t="s">
        <v>272</v>
      </c>
      <c r="G14923" s="25" t="n">
        <f aca="false">Assumptions!$N$56*MIN(G14914+G14921+G14919-G14920-G14922,MAX(0,G14959-G14884-G14897-G14910))</f>
        <v>0</v>
      </c>
      <c r="H14923" s="25" t="n">
        <f aca="false">Assumptions!$N$56*MIN(H14914+H14921+H14919-H14920-H14922,MAX(0,H14959-H14884-H14897-H14910))</f>
        <v>0</v>
      </c>
      <c r="I14923" s="25" t="n">
        <f aca="false">Assumptions!$N$56*MIN(I14914+I14921+I14919-I14920-I14922,MAX(0,I14959-I14884-I14897-I14910))</f>
        <v>0</v>
      </c>
      <c r="J14923" s="25" t="n">
        <f aca="false">Assumptions!$N$56*MIN(J14914+J14921+J14919-J14920-J14922,MAX(0,J14959-J14884-J14897-J14910))</f>
        <v>0</v>
      </c>
      <c r="K14923" s="25" t="n">
        <f aca="false">Assumptions!$N$56*MIN(K14914+K14921+K14919-K14920-K14922,MAX(0,K14959-K14884-K14897-K14910))</f>
        <v>0</v>
      </c>
    </row>
    <row r="14924" customFormat="false" ht="15" hidden="false" customHeight="false" outlineLevel="0" collapsed="false">
      <c r="A14924" s="5" t="s">
        <v>273</v>
      </c>
      <c r="G14924" s="25" t="n">
        <f aca="false">G14915*(1-G14873)*(G14914-G14920+G14919-G14922)</f>
        <v>0</v>
      </c>
      <c r="H14924" s="25" t="n">
        <f aca="false">H14915*(1-H14873)*(H14914-H14920+H14919-H14922)</f>
        <v>300</v>
      </c>
      <c r="I14924" s="25" t="n">
        <f aca="false">I14915*(1-I14873)*(I14914-I14920+I14919-I14922)</f>
        <v>0</v>
      </c>
      <c r="J14924" s="25" t="n">
        <f aca="false">J14915*(1-J14873)*(J14914-J14920+J14919-J14922)</f>
        <v>0</v>
      </c>
      <c r="K14924" s="25" t="n">
        <f aca="false">K14915*(1-K14873)*(K14914-K14920+K14919-K14922)</f>
        <v>0</v>
      </c>
    </row>
    <row r="14925" customFormat="false" ht="15" hidden="false" customHeight="false" outlineLevel="0" collapsed="false">
      <c r="A14925" s="2" t="s">
        <v>274</v>
      </c>
      <c r="F14925" s="27" t="n">
        <f aca="false">Assumptions!$C$56</f>
        <v>300</v>
      </c>
      <c r="G14925" s="16" t="n">
        <f aca="false">G14914+G14921+G14919-G14920-G14922-G14923</f>
        <v>300</v>
      </c>
      <c r="H14925" s="16" t="n">
        <f aca="false">H14914+H14921+H14919-H14920-H14922-H14923</f>
        <v>300</v>
      </c>
      <c r="I14925" s="16" t="n">
        <f aca="false">I14914+I14921+I14919-I14920-I14922-I14923</f>
        <v>300</v>
      </c>
      <c r="J14925" s="16" t="n">
        <f aca="false">J14914+J14921+J14919-J14920-J14922-J14923</f>
        <v>300</v>
      </c>
      <c r="K14925" s="16" t="n">
        <f aca="false">K14914+K14921+K14919-K14920-K14922-K14923</f>
        <v>300</v>
      </c>
    </row>
    <row r="14926" customFormat="false" ht="15" hidden="false" customHeight="false" outlineLevel="0" collapsed="false">
      <c r="A14926" s="23" t="s">
        <v>278</v>
      </c>
      <c r="B14926" s="24"/>
      <c r="C14926" s="24"/>
      <c r="D14926" s="24"/>
      <c r="E14926" s="24"/>
      <c r="F14926" s="24"/>
      <c r="G14926" s="24"/>
      <c r="H14926" s="24"/>
      <c r="I14926" s="24"/>
      <c r="J14926" s="24"/>
      <c r="K14926" s="24"/>
    </row>
    <row r="14927" customFormat="false" ht="15" hidden="false" customHeight="false" outlineLevel="0" collapsed="false">
      <c r="A14927" s="2" t="s">
        <v>279</v>
      </c>
      <c r="F14927" s="16" t="n">
        <f aca="false">F14886+F14899+F14912+F14925</f>
        <v>1250</v>
      </c>
      <c r="G14927" s="16" t="n">
        <f aca="false">G14886+G14899+G14912+G14925</f>
        <v>1295.0968</v>
      </c>
      <c r="H14927" s="16" t="n">
        <f aca="false">H14886+H14899+H14912+H14925</f>
        <v>1289.8968</v>
      </c>
      <c r="I14927" s="16" t="n">
        <f aca="false">I14886+I14899+I14912+I14925</f>
        <v>1284.6968</v>
      </c>
      <c r="J14927" s="16" t="n">
        <f aca="false">J14886+J14899+J14912+J14925</f>
        <v>1279.4968</v>
      </c>
      <c r="K14927" s="16" t="n">
        <f aca="false">K14886+K14899+K14912+K14925</f>
        <v>1274.2968</v>
      </c>
    </row>
    <row r="14928" customFormat="false" ht="15" hidden="false" customHeight="false" outlineLevel="0" collapsed="false">
      <c r="A14928" s="5" t="s">
        <v>280</v>
      </c>
      <c r="G14928" s="25" t="n">
        <f aca="false">G14876*Assumptions!$C$53+G14889*Assumptions!$C$54+G14902*Assumptions!$C$55+G14915*Assumptions!$C$56</f>
        <v>0</v>
      </c>
      <c r="H14928" s="25" t="n">
        <f aca="false">H14876*Assumptions!$C$53+H14889*Assumptions!$C$54+H14902*Assumptions!$C$55+H14915*Assumptions!$C$56</f>
        <v>480</v>
      </c>
      <c r="I14928" s="25" t="n">
        <f aca="false">I14876*Assumptions!$C$53+I14889*Assumptions!$C$54+I14902*Assumptions!$C$55+I14915*Assumptions!$C$56</f>
        <v>520</v>
      </c>
      <c r="J14928" s="25" t="n">
        <f aca="false">J14876*Assumptions!$C$53+J14889*Assumptions!$C$54+J14902*Assumptions!$C$55+J14915*Assumptions!$C$56</f>
        <v>250</v>
      </c>
      <c r="K14928" s="25" t="n">
        <f aca="false">K14876*Assumptions!$C$53+K14889*Assumptions!$C$54+K14902*Assumptions!$C$55+K14915*Assumptions!$C$56</f>
        <v>0</v>
      </c>
    </row>
    <row r="14929" customFormat="false" ht="15" hidden="false" customHeight="false" outlineLevel="0" collapsed="false">
      <c r="A14929" s="23" t="s">
        <v>281</v>
      </c>
      <c r="B14929" s="24"/>
      <c r="C14929" s="24"/>
      <c r="D14929" s="24"/>
      <c r="E14929" s="24"/>
      <c r="F14929" s="24"/>
      <c r="G14929" s="24"/>
      <c r="H14929" s="24"/>
      <c r="I14929" s="24"/>
      <c r="J14929" s="24"/>
      <c r="K14929" s="24"/>
    </row>
    <row r="14930" customFormat="false" ht="15" hidden="false" customHeight="false" outlineLevel="0" collapsed="false">
      <c r="A14930" s="5" t="s">
        <v>282</v>
      </c>
      <c r="C14930" s="25" t="n">
        <f aca="false">SUMPRODUCT($G$14876:$K$14876,$G$14875:$K$14875-$G$14881:$K$14881+$G$14880:$K$14880)</f>
        <v>230.2968</v>
      </c>
    </row>
    <row r="14931" customFormat="false" ht="15" hidden="false" customHeight="false" outlineLevel="0" collapsed="false">
      <c r="A14931" s="5" t="s">
        <v>283</v>
      </c>
      <c r="C14931" s="25" t="n">
        <f aca="false">SUMPRODUCT($G$14876:$K$14876,$G$14883:$K$14883)</f>
        <v>0</v>
      </c>
    </row>
    <row r="14932" customFormat="false" ht="15" hidden="false" customHeight="false" outlineLevel="0" collapsed="false">
      <c r="A14932" s="5" t="s">
        <v>284</v>
      </c>
      <c r="C14932" s="5" t="str">
        <f aca="false">IF(SUM($G$14876:$K$14876)=0,"n/a (beyond horizon)",IF(SUMPRODUCT($G$14876:$K$14876,$G$14873:$K$14873)&gt;0,"REFINANCING PASS","REFINANCING FAILURE"))</f>
        <v>REFINANCING FAILURE</v>
      </c>
    </row>
    <row r="14933" customFormat="false" ht="15" hidden="false" customHeight="false" outlineLevel="0" collapsed="false">
      <c r="A14933" s="5" t="s">
        <v>285</v>
      </c>
      <c r="C14933" s="5" t="str">
        <f aca="false">IF(SUM($G$14876:$K$14876)=0,"n/a",IF(C14931&gt;=C14930-0.001,"Repaid from cash",IF(SUMPRODUCT($G$14876:$K$14876,$G$14873:$K$14873)&gt;0,IF(C14931&gt;0,"Partly repaid; remainder refinanced","Refinanced"),IF(SUM($G$14885:$K$14885)&gt;0.001,IF(C14931&gt;0,"Partial repayment; PAYMENT DEFAULT","PAYMENT DEFAULT"),"Repaid from cash"))))</f>
        <v>PAYMENT DEFAULT</v>
      </c>
    </row>
    <row r="14934" customFormat="false" ht="15" hidden="false" customHeight="false" outlineLevel="0" collapsed="false">
      <c r="A14934" s="5" t="s">
        <v>286</v>
      </c>
      <c r="C14934" s="25" t="n">
        <f aca="false">SUMPRODUCT($G$14889:$K$14889,$G$14888:$K$14888-$G$14894:$K$14894+$G$14893:$K$14893)</f>
        <v>504.4</v>
      </c>
    </row>
    <row r="14935" customFormat="false" ht="15" hidden="false" customHeight="false" outlineLevel="0" collapsed="false">
      <c r="A14935" s="5" t="s">
        <v>287</v>
      </c>
      <c r="C14935" s="25" t="n">
        <f aca="false">SUMPRODUCT($G$14889:$K$14889,$G$14896:$K$14896)</f>
        <v>0</v>
      </c>
    </row>
    <row r="14936" customFormat="false" ht="15" hidden="false" customHeight="false" outlineLevel="0" collapsed="false">
      <c r="A14936" s="5" t="s">
        <v>288</v>
      </c>
      <c r="C14936" s="5" t="str">
        <f aca="false">IF(SUM($G$14889:$K$14889)=0,"n/a (beyond horizon)",IF(SUMPRODUCT($G$14889:$K$14889,$G$14873:$K$14873)&gt;0,"REFINANCING PASS","REFINANCING FAILURE"))</f>
        <v>REFINANCING FAILURE</v>
      </c>
    </row>
    <row r="14937" customFormat="false" ht="15" hidden="false" customHeight="false" outlineLevel="0" collapsed="false">
      <c r="A14937" s="5" t="s">
        <v>289</v>
      </c>
      <c r="C14937" s="5" t="str">
        <f aca="false">IF(SUM($G$14889:$K$14889)=0,"n/a",IF(C14935&gt;=C14934-0.001,"Repaid from cash",IF(SUMPRODUCT($G$14889:$K$14889,$G$14873:$K$14873)&gt;0,IF(C14935&gt;0,"Partly repaid; remainder refinanced","Refinanced"),IF(SUM($G$14898:$K$14898)&gt;0.001,IF(C14935&gt;0,"Partial repayment; PAYMENT DEFAULT","PAYMENT DEFAULT"),"Repaid from cash"))))</f>
        <v>PAYMENT DEFAULT</v>
      </c>
    </row>
    <row r="14938" customFormat="false" ht="15" hidden="false" customHeight="false" outlineLevel="0" collapsed="false">
      <c r="A14938" s="5" t="s">
        <v>290</v>
      </c>
      <c r="C14938" s="25" t="n">
        <f aca="false">SUMPRODUCT($G$14902:$K$14902,$G$14901:$K$14901-$G$14907:$K$14907+$G$14906:$K$14906)</f>
        <v>250</v>
      </c>
    </row>
    <row r="14939" customFormat="false" ht="15" hidden="false" customHeight="false" outlineLevel="0" collapsed="false">
      <c r="A14939" s="5" t="s">
        <v>291</v>
      </c>
      <c r="C14939" s="25" t="n">
        <f aca="false">SUMPRODUCT($G$14902:$K$14902,$G$14909:$K$14909)</f>
        <v>0</v>
      </c>
    </row>
    <row r="14940" customFormat="false" ht="15" hidden="false" customHeight="false" outlineLevel="0" collapsed="false">
      <c r="A14940" s="5" t="s">
        <v>292</v>
      </c>
      <c r="C14940" s="5" t="str">
        <f aca="false">IF(SUM($G$14902:$K$14902)=0,"n/a (beyond horizon)",IF(SUMPRODUCT($G$14902:$K$14902,$G$14873:$K$14873)&gt;0,"REFINANCING PASS","REFINANCING FAILURE"))</f>
        <v>REFINANCING FAILURE</v>
      </c>
    </row>
    <row r="14941" customFormat="false" ht="15" hidden="false" customHeight="false" outlineLevel="0" collapsed="false">
      <c r="A14941" s="5" t="s">
        <v>293</v>
      </c>
      <c r="C14941" s="5" t="str">
        <f aca="false">IF(SUM($G$14902:$K$14902)=0,"n/a",IF(C14939&gt;=C14938-0.001,"Repaid from cash",IF(SUMPRODUCT($G$14902:$K$14902,$G$14873:$K$14873)&gt;0,IF(C14939&gt;0,"Partly repaid; remainder refinanced","Refinanced"),IF(SUM($G$14911:$K$14911)&gt;0.001,IF(C14939&gt;0,"Partial repayment; PAYMENT DEFAULT","PAYMENT DEFAULT"),"Repaid from cash"))))</f>
        <v>PAYMENT DEFAULT</v>
      </c>
    </row>
    <row r="14942" customFormat="false" ht="15" hidden="false" customHeight="false" outlineLevel="0" collapsed="false">
      <c r="A14942" s="5" t="s">
        <v>294</v>
      </c>
      <c r="C14942" s="25" t="n">
        <f aca="false">SUMPRODUCT($G$14915:$K$14915,$G$14914:$K$14914-$G$14920:$K$14920+$G$14919:$K$14919)</f>
        <v>300</v>
      </c>
    </row>
    <row r="14943" customFormat="false" ht="15" hidden="false" customHeight="false" outlineLevel="0" collapsed="false">
      <c r="A14943" s="5" t="s">
        <v>295</v>
      </c>
      <c r="C14943" s="25" t="n">
        <f aca="false">SUMPRODUCT($G$14915:$K$14915,$G$14922:$K$14922)</f>
        <v>0</v>
      </c>
    </row>
    <row r="14944" customFormat="false" ht="15" hidden="false" customHeight="false" outlineLevel="0" collapsed="false">
      <c r="A14944" s="5" t="s">
        <v>296</v>
      </c>
      <c r="C14944" s="5" t="str">
        <f aca="false">IF(SUM($G$14915:$K$14915)=0,"n/a (beyond horizon)",IF(SUMPRODUCT($G$14915:$K$14915,$G$14873:$K$14873)&gt;0,"REFINANCING PASS","REFINANCING FAILURE"))</f>
        <v>REFINANCING FAILURE</v>
      </c>
    </row>
    <row r="14945" customFormat="false" ht="15" hidden="false" customHeight="false" outlineLevel="0" collapsed="false">
      <c r="A14945" s="5" t="s">
        <v>297</v>
      </c>
      <c r="C14945" s="5" t="str">
        <f aca="false">IF(SUM($G$14915:$K$14915)=0,"n/a",IF(C14943&gt;=C14942-0.001,"Repaid from cash",IF(SUMPRODUCT($G$14915:$K$14915,$G$14873:$K$14873)&gt;0,IF(C14943&gt;0,"Partly repaid; remainder refinanced","Refinanced"),IF(SUM($G$14924:$K$14924)&gt;0.001,IF(C14943&gt;0,"Partial repayment; PAYMENT DEFAULT","PAYMENT DEFAULT"),"Repaid from cash"))))</f>
        <v>PAYMENT DEFAULT</v>
      </c>
    </row>
    <row r="14946" customFormat="false" ht="15" hidden="false" customHeight="false" outlineLevel="0" collapsed="false">
      <c r="A14946" s="5" t="s">
        <v>298</v>
      </c>
      <c r="C14946" s="20" t="n">
        <f aca="false">IF(C14932="REFINANCING FAILURE",1,0)+IF(C14936="REFINANCING FAILURE",1,0)+IF(C14940="REFINANCING FAILURE",1,0)+IF(C14944="REFINANCING FAILURE",1,0)</f>
        <v>4</v>
      </c>
    </row>
    <row r="14948" customFormat="false" ht="15" hidden="false" customHeight="false" outlineLevel="0" collapsed="false">
      <c r="A14948" s="23" t="s">
        <v>300</v>
      </c>
      <c r="B14948" s="24"/>
      <c r="C14948" s="24"/>
      <c r="D14948" s="24"/>
      <c r="E14948" s="24"/>
      <c r="F14948" s="24"/>
      <c r="G14948" s="24"/>
      <c r="H14948" s="24"/>
      <c r="I14948" s="24"/>
      <c r="J14948" s="24"/>
      <c r="K14948" s="24"/>
    </row>
    <row r="14949" customFormat="false" ht="15" hidden="false" customHeight="false" outlineLevel="0" collapsed="false">
      <c r="A14949" s="5" t="s">
        <v>260</v>
      </c>
      <c r="G14949" s="25" t="n">
        <f aca="false">F14961</f>
        <v>45</v>
      </c>
      <c r="H14949" s="25" t="n">
        <f aca="false">G14961</f>
        <v>0</v>
      </c>
      <c r="I14949" s="25" t="n">
        <f aca="false">H14961</f>
        <v>-137.6366652</v>
      </c>
      <c r="J14949" s="25" t="n">
        <f aca="false">I14961</f>
        <v>-269.125047152</v>
      </c>
      <c r="K14949" s="25" t="n">
        <f aca="false">J14961</f>
        <v>-386.25969941424</v>
      </c>
    </row>
    <row r="14950" customFormat="false" ht="15" hidden="false" customHeight="false" outlineLevel="0" collapsed="false">
      <c r="A14950" s="5" t="s">
        <v>301</v>
      </c>
      <c r="G14950" s="25" t="n">
        <f aca="false">G14862</f>
        <v>-90.0968</v>
      </c>
      <c r="H14950" s="25" t="n">
        <f aca="false">H14862</f>
        <v>-132.4366652</v>
      </c>
      <c r="I14950" s="25" t="n">
        <f aca="false">I14862</f>
        <v>-126.288381952</v>
      </c>
      <c r="J14950" s="25" t="n">
        <f aca="false">J14862</f>
        <v>-111.93465226224</v>
      </c>
      <c r="K14950" s="25" t="n">
        <f aca="false">K14862</f>
        <v>-99.11912692616</v>
      </c>
    </row>
    <row r="14951" customFormat="false" ht="15" hidden="false" customHeight="false" outlineLevel="0" collapsed="false">
      <c r="A14951" s="5" t="s">
        <v>302</v>
      </c>
      <c r="G14951" s="25" t="n">
        <f aca="false">CHOOSE($C$14832,Assumptions!$G$68,Assumptions!$G$87,Assumptions!$G$106)</f>
        <v>0</v>
      </c>
      <c r="H14951" s="25" t="n">
        <f aca="false">CHOOSE($C$14832,Assumptions!$H$68,Assumptions!$H$87,Assumptions!$H$106)</f>
        <v>0</v>
      </c>
      <c r="I14951" s="25" t="n">
        <f aca="false">CHOOSE($C$14832,Assumptions!$I$68,Assumptions!$I$87,Assumptions!$I$106)</f>
        <v>0</v>
      </c>
      <c r="J14951" s="25" t="n">
        <f aca="false">CHOOSE($C$14832,Assumptions!$J$68,Assumptions!$J$87,Assumptions!$J$106)</f>
        <v>0</v>
      </c>
      <c r="K14951" s="25" t="n">
        <f aca="false">CHOOSE($C$14832,Assumptions!$K$68,Assumptions!$K$87,Assumptions!$K$106)</f>
        <v>0</v>
      </c>
    </row>
    <row r="14952" customFormat="false" ht="15" hidden="false" customHeight="false" outlineLevel="0" collapsed="false">
      <c r="A14952" s="5" t="s">
        <v>303</v>
      </c>
      <c r="G14952" s="25" t="n">
        <f aca="false">G14881+G14894+G14907+G14920</f>
        <v>5.2</v>
      </c>
      <c r="H14952" s="25" t="n">
        <f aca="false">H14881+H14894+H14907+H14920</f>
        <v>5.2</v>
      </c>
      <c r="I14952" s="25" t="n">
        <f aca="false">I14881+I14894+I14907+I14920</f>
        <v>5.2</v>
      </c>
      <c r="J14952" s="25" t="n">
        <f aca="false">J14881+J14894+J14907+J14920</f>
        <v>5.2</v>
      </c>
      <c r="K14952" s="25" t="n">
        <f aca="false">K14881+K14894+K14907+K14920</f>
        <v>5.2</v>
      </c>
    </row>
    <row r="14953" customFormat="false" ht="15" hidden="false" customHeight="false" outlineLevel="0" collapsed="false">
      <c r="A14953" s="2" t="s">
        <v>304</v>
      </c>
      <c r="G14953" s="16" t="n">
        <f aca="false">G14949+G14950+G14951-G14952</f>
        <v>-50.2968000000001</v>
      </c>
      <c r="H14953" s="16" t="n">
        <f aca="false">H14949+H14950+H14951-H14952</f>
        <v>-137.6366652</v>
      </c>
      <c r="I14953" s="16" t="n">
        <f aca="false">I14949+I14950+I14951-I14952</f>
        <v>-269.125047152</v>
      </c>
      <c r="J14953" s="16" t="n">
        <f aca="false">J14949+J14950+J14951-J14952</f>
        <v>-386.25969941424</v>
      </c>
      <c r="K14953" s="16" t="n">
        <f aca="false">K14949+K14950+K14951-K14952</f>
        <v>-490.5788263404</v>
      </c>
    </row>
    <row r="14954" customFormat="false" ht="15" hidden="false" customHeight="false" outlineLevel="0" collapsed="false">
      <c r="A14954" s="5" t="s">
        <v>305</v>
      </c>
      <c r="G14954" s="25" t="n">
        <f aca="false">G14882+G14895+G14908+G14921</f>
        <v>50.2968000000001</v>
      </c>
      <c r="H14954" s="25" t="n">
        <f aca="false">H14882+H14895+H14908+H14921</f>
        <v>0</v>
      </c>
      <c r="I14954" s="25" t="n">
        <f aca="false">I14882+I14895+I14908+I14921</f>
        <v>0</v>
      </c>
      <c r="J14954" s="25" t="n">
        <f aca="false">J14882+J14895+J14908+J14921</f>
        <v>0</v>
      </c>
      <c r="K14954" s="25" t="n">
        <f aca="false">K14882+K14895+K14908+K14921</f>
        <v>0</v>
      </c>
    </row>
    <row r="14955" customFormat="false" ht="15" hidden="false" customHeight="false" outlineLevel="0" collapsed="false">
      <c r="A14955" s="2" t="s">
        <v>306</v>
      </c>
      <c r="G14955" s="16" t="n">
        <f aca="false">G14953+G14954</f>
        <v>0</v>
      </c>
      <c r="H14955" s="16" t="n">
        <f aca="false">H14953+H14954</f>
        <v>-137.6366652</v>
      </c>
      <c r="I14955" s="16" t="n">
        <f aca="false">I14953+I14954</f>
        <v>-269.125047152</v>
      </c>
      <c r="J14955" s="16" t="n">
        <f aca="false">J14953+J14954</f>
        <v>-386.25969941424</v>
      </c>
      <c r="K14955" s="16" t="n">
        <f aca="false">K14953+K14954</f>
        <v>-490.5788263404</v>
      </c>
    </row>
    <row r="14956" customFormat="false" ht="15" hidden="false" customHeight="false" outlineLevel="0" collapsed="false">
      <c r="A14956" s="5" t="s">
        <v>307</v>
      </c>
      <c r="G14956" s="25" t="n">
        <f aca="false">G14883+G14896+G14909+G14922</f>
        <v>0</v>
      </c>
      <c r="H14956" s="25" t="n">
        <f aca="false">H14883+H14896+H14909+H14922</f>
        <v>0</v>
      </c>
      <c r="I14956" s="25" t="n">
        <f aca="false">I14883+I14896+I14909+I14922</f>
        <v>0</v>
      </c>
      <c r="J14956" s="25" t="n">
        <f aca="false">J14883+J14896+J14909+J14922</f>
        <v>0</v>
      </c>
      <c r="K14956" s="25" t="n">
        <f aca="false">K14883+K14896+K14909+K14922</f>
        <v>0</v>
      </c>
    </row>
    <row r="14957" customFormat="false" ht="15" hidden="false" customHeight="false" outlineLevel="0" collapsed="false">
      <c r="A14957" s="2" t="s">
        <v>308</v>
      </c>
      <c r="G14957" s="16" t="n">
        <f aca="false">G14955-G14956</f>
        <v>0</v>
      </c>
      <c r="H14957" s="16" t="n">
        <f aca="false">H14955-H14956</f>
        <v>-137.6366652</v>
      </c>
      <c r="I14957" s="16" t="n">
        <f aca="false">I14955-I14956</f>
        <v>-269.125047152</v>
      </c>
      <c r="J14957" s="16" t="n">
        <f aca="false">J14955-J14956</f>
        <v>-386.25969941424</v>
      </c>
      <c r="K14957" s="16" t="n">
        <f aca="false">K14955-K14956</f>
        <v>-490.5788263404</v>
      </c>
    </row>
    <row r="14958" customFormat="false" ht="15" hidden="false" customHeight="false" outlineLevel="0" collapsed="false">
      <c r="A14958" s="5" t="s">
        <v>309</v>
      </c>
      <c r="G14958" s="25" t="n">
        <f aca="false">MAX(0,-G14957)</f>
        <v>-0</v>
      </c>
      <c r="H14958" s="25" t="n">
        <f aca="false">MAX(0,-H14957)</f>
        <v>137.6366652</v>
      </c>
      <c r="I14958" s="25" t="n">
        <f aca="false">MAX(0,-I14957)</f>
        <v>269.125047152</v>
      </c>
      <c r="J14958" s="25" t="n">
        <f aca="false">MAX(0,-J14957)</f>
        <v>386.25969941424</v>
      </c>
      <c r="K14958" s="25" t="n">
        <f aca="false">MAX(0,-K14957)</f>
        <v>490.5788263404</v>
      </c>
    </row>
    <row r="14959" customFormat="false" ht="15" hidden="false" customHeight="false" outlineLevel="0" collapsed="false">
      <c r="A14959" s="5" t="s">
        <v>310</v>
      </c>
      <c r="G14959" s="25" t="n">
        <f aca="false">MAX(0,G14957-Assumptions!$C$12)*Assumptions!$C$13</f>
        <v>0</v>
      </c>
      <c r="H14959" s="25" t="n">
        <f aca="false">MAX(0,H14957-Assumptions!$C$12)*Assumptions!$C$13</f>
        <v>0</v>
      </c>
      <c r="I14959" s="25" t="n">
        <f aca="false">MAX(0,I14957-Assumptions!$C$12)*Assumptions!$C$13</f>
        <v>0</v>
      </c>
      <c r="J14959" s="25" t="n">
        <f aca="false">MAX(0,J14957-Assumptions!$C$12)*Assumptions!$C$13</f>
        <v>0</v>
      </c>
      <c r="K14959" s="25" t="n">
        <f aca="false">MAX(0,K14957-Assumptions!$C$12)*Assumptions!$C$13</f>
        <v>0</v>
      </c>
    </row>
    <row r="14960" customFormat="false" ht="15" hidden="false" customHeight="false" outlineLevel="0" collapsed="false">
      <c r="A14960" s="5" t="s">
        <v>311</v>
      </c>
      <c r="G14960" s="25" t="n">
        <f aca="false">G14884+G14897+G14910+G14923</f>
        <v>0</v>
      </c>
      <c r="H14960" s="25" t="n">
        <f aca="false">H14884+H14897+H14910+H14923</f>
        <v>0</v>
      </c>
      <c r="I14960" s="25" t="n">
        <f aca="false">I14884+I14897+I14910+I14923</f>
        <v>0</v>
      </c>
      <c r="J14960" s="25" t="n">
        <f aca="false">J14884+J14897+J14910+J14923</f>
        <v>0</v>
      </c>
      <c r="K14960" s="25" t="n">
        <f aca="false">K14884+K14897+K14910+K14923</f>
        <v>0</v>
      </c>
    </row>
    <row r="14961" customFormat="false" ht="15" hidden="false" customHeight="false" outlineLevel="0" collapsed="false">
      <c r="A14961" s="2" t="s">
        <v>312</v>
      </c>
      <c r="F14961" s="27" t="n">
        <f aca="false">Assumptions!$C$11</f>
        <v>45</v>
      </c>
      <c r="G14961" s="16" t="n">
        <f aca="false">G14957-G14960</f>
        <v>0</v>
      </c>
      <c r="H14961" s="16" t="n">
        <f aca="false">H14957-H14960</f>
        <v>-137.6366652</v>
      </c>
      <c r="I14961" s="16" t="n">
        <f aca="false">I14957-I14960</f>
        <v>-269.125047152</v>
      </c>
      <c r="J14961" s="16" t="n">
        <f aca="false">J14957-J14960</f>
        <v>-386.25969941424</v>
      </c>
      <c r="K14961" s="16" t="n">
        <f aca="false">K14957-K14960</f>
        <v>-490.5788263404</v>
      </c>
    </row>
    <row r="14962" customFormat="false" ht="15" hidden="false" customHeight="false" outlineLevel="0" collapsed="false">
      <c r="A14962" s="5" t="s">
        <v>313</v>
      </c>
      <c r="G14962" s="25" t="n">
        <f aca="false">G14885+G14898+G14911+G14924</f>
        <v>0</v>
      </c>
      <c r="H14962" s="25" t="n">
        <f aca="false">H14885+H14898+H14911+H14924</f>
        <v>530.2968</v>
      </c>
      <c r="I14962" s="25" t="n">
        <f aca="false">I14885+I14898+I14911+I14924</f>
        <v>504.4</v>
      </c>
      <c r="J14962" s="25" t="n">
        <f aca="false">J14885+J14898+J14911+J14924</f>
        <v>250</v>
      </c>
      <c r="K14962" s="25" t="n">
        <f aca="false">K14885+K14898+K14911+K14924</f>
        <v>0</v>
      </c>
    </row>
    <row r="14963" customFormat="false" ht="15" hidden="false" customHeight="false" outlineLevel="0" collapsed="false">
      <c r="A14963" s="5" t="s">
        <v>314</v>
      </c>
      <c r="G14963" s="20" t="n">
        <f aca="false">IF(OR(G14958&gt;0.001,G14962&gt;0.001),1,0)</f>
        <v>0</v>
      </c>
      <c r="H14963" s="20" t="n">
        <f aca="false">IF(OR(H14958&gt;0.001,H14962&gt;0.001),1,0)</f>
        <v>1</v>
      </c>
      <c r="I14963" s="20" t="n">
        <f aca="false">IF(OR(I14958&gt;0.001,I14962&gt;0.001),1,0)</f>
        <v>1</v>
      </c>
      <c r="J14963" s="20" t="n">
        <f aca="false">IF(OR(J14958&gt;0.001,J14962&gt;0.001),1,0)</f>
        <v>1</v>
      </c>
      <c r="K14963" s="20" t="n">
        <f aca="false">IF(OR(K14958&gt;0.001,K14962&gt;0.001),1,0)</f>
        <v>1</v>
      </c>
    </row>
    <row r="14964" customFormat="false" ht="15" hidden="false" customHeight="false" outlineLevel="0" collapsed="false">
      <c r="A14964" s="5" t="s">
        <v>315</v>
      </c>
      <c r="G14964" s="20" t="n">
        <f aca="false">IF(G14963=1,1,0)</f>
        <v>0</v>
      </c>
      <c r="H14964" s="20" t="n">
        <f aca="false">IF(AND(H14963=1,SUM($G$14963:G14963)=0),1,0)</f>
        <v>1</v>
      </c>
      <c r="I14964" s="20" t="n">
        <f aca="false">IF(AND(I14963=1,SUM($G$14963:H14963)=0),1,0)</f>
        <v>0</v>
      </c>
      <c r="J14964" s="20" t="n">
        <f aca="false">IF(AND(J14963=1,SUM($G$14963:I14963)=0),1,0)</f>
        <v>0</v>
      </c>
      <c r="K14964" s="20" t="n">
        <f aca="false">IF(AND(K14963=1,SUM($G$14963:J14963)=0),1,0)</f>
        <v>0</v>
      </c>
    </row>
    <row r="14965" customFormat="false" ht="15" hidden="false" customHeight="false" outlineLevel="0" collapsed="false">
      <c r="A14965" s="5" t="s">
        <v>316</v>
      </c>
      <c r="G14965" s="25" t="n">
        <f aca="false">(G14927-F14927)-(G14954+G14854-G14952-G14956-G14960)</f>
        <v>0</v>
      </c>
      <c r="H14965" s="25" t="n">
        <f aca="false">(H14927-G14927)-(H14954+H14854-H14952-H14956-H14960)</f>
        <v>-4.52970994047064E-014</v>
      </c>
      <c r="I14965" s="25" t="n">
        <f aca="false">(I14927-H14927)-(I14954+I14854-I14952-I14956-I14960)</f>
        <v>1.82076576038526E-013</v>
      </c>
      <c r="J14965" s="25" t="n">
        <f aca="false">(J14927-I14927)-(J14954+J14854-J14952-J14956-J14960)</f>
        <v>-2.72670774847938E-013</v>
      </c>
      <c r="K14965" s="25" t="n">
        <f aca="false">(K14927-J14927)-(K14954+K14854-K14952-K14956-K14960)</f>
        <v>1.82076576038526E-013</v>
      </c>
    </row>
    <row r="14967" customFormat="false" ht="15" hidden="false" customHeight="false" outlineLevel="0" collapsed="false">
      <c r="A14967" s="23" t="s">
        <v>318</v>
      </c>
      <c r="B14967" s="24"/>
      <c r="C14967" s="24"/>
      <c r="D14967" s="24"/>
      <c r="E14967" s="24"/>
      <c r="F14967" s="24"/>
      <c r="G14967" s="24"/>
      <c r="H14967" s="24"/>
      <c r="I14967" s="24"/>
      <c r="J14967" s="24"/>
      <c r="K14967" s="24"/>
    </row>
    <row r="14968" customFormat="false" ht="15" hidden="false" customHeight="false" outlineLevel="0" collapsed="false">
      <c r="A14968" s="5" t="s">
        <v>319</v>
      </c>
      <c r="G14968" s="25" t="n">
        <f aca="false">G14927</f>
        <v>1295.0968</v>
      </c>
      <c r="H14968" s="25" t="n">
        <f aca="false">H14927</f>
        <v>1289.8968</v>
      </c>
      <c r="I14968" s="25" t="n">
        <f aca="false">I14927</f>
        <v>1284.6968</v>
      </c>
      <c r="J14968" s="25" t="n">
        <f aca="false">J14927</f>
        <v>1279.4968</v>
      </c>
      <c r="K14968" s="25" t="n">
        <f aca="false">K14927</f>
        <v>1274.2968</v>
      </c>
    </row>
    <row r="14969" customFormat="false" ht="15" hidden="false" customHeight="false" outlineLevel="0" collapsed="false">
      <c r="A14969" s="5" t="s">
        <v>320</v>
      </c>
      <c r="G14969" s="25" t="n">
        <f aca="false">Assumptions!$O$53*G14886+Assumptions!$O$54*G14899+Assumptions!$O$55*G14912+Assumptions!$O$56*G14925</f>
        <v>995.0968</v>
      </c>
      <c r="H14969" s="25" t="n">
        <f aca="false">Assumptions!$O$53*H14886+Assumptions!$O$54*H14899+Assumptions!$O$55*H14912+Assumptions!$O$56*H14925</f>
        <v>989.8968</v>
      </c>
      <c r="I14969" s="25" t="n">
        <f aca="false">Assumptions!$O$53*I14886+Assumptions!$O$54*I14899+Assumptions!$O$55*I14912+Assumptions!$O$56*I14925</f>
        <v>984.6968</v>
      </c>
      <c r="J14969" s="25" t="n">
        <f aca="false">Assumptions!$O$53*J14886+Assumptions!$O$54*J14899+Assumptions!$O$55*J14912+Assumptions!$O$56*J14925</f>
        <v>979.4968</v>
      </c>
      <c r="K14969" s="25" t="n">
        <f aca="false">Assumptions!$O$53*K14886+Assumptions!$O$54*K14899+Assumptions!$O$55*K14912+Assumptions!$O$56*K14925</f>
        <v>974.2968</v>
      </c>
    </row>
    <row r="14970" customFormat="false" ht="15" hidden="false" customHeight="false" outlineLevel="0" collapsed="false">
      <c r="A14970" s="5" t="s">
        <v>321</v>
      </c>
      <c r="G14970" s="25" t="n">
        <f aca="false">G14968-G14961</f>
        <v>1295.0968</v>
      </c>
      <c r="H14970" s="25" t="n">
        <f aca="false">H14968-H14961</f>
        <v>1427.5334652</v>
      </c>
      <c r="I14970" s="25" t="n">
        <f aca="false">I14968-I14961</f>
        <v>1553.821847152</v>
      </c>
      <c r="J14970" s="25" t="n">
        <f aca="false">J14968-J14961</f>
        <v>1665.75649941424</v>
      </c>
      <c r="K14970" s="25" t="n">
        <f aca="false">K14968-K14961</f>
        <v>1764.8756263404</v>
      </c>
    </row>
    <row r="14971" customFormat="false" ht="15" hidden="false" customHeight="false" outlineLevel="0" collapsed="false">
      <c r="A14971" s="5" t="s">
        <v>322</v>
      </c>
      <c r="G14971" s="31" t="n">
        <f aca="false">IF(G14849&gt;0,G14968/G14849,0)</f>
        <v>16.7221464724719</v>
      </c>
      <c r="H14971" s="31" t="n">
        <f aca="false">IF(H14849&gt;0,H14968/H14849,0)</f>
        <v>26.3731241320095</v>
      </c>
      <c r="I14971" s="31" t="n">
        <f aca="false">IF(I14849&gt;0,I14968/I14849,0)</f>
        <v>20.9369787991627</v>
      </c>
      <c r="J14971" s="31" t="n">
        <f aca="false">IF(J14849&gt;0,J14968/J14849,0)</f>
        <v>17.4520855783524</v>
      </c>
      <c r="K14971" s="31" t="n">
        <f aca="false">IF(K14849&gt;0,K14968/K14849,0)</f>
        <v>14.9874489015332</v>
      </c>
    </row>
    <row r="14972" customFormat="false" ht="15" hidden="false" customHeight="false" outlineLevel="0" collapsed="false">
      <c r="A14972" s="5" t="s">
        <v>323</v>
      </c>
      <c r="G14972" s="31" t="n">
        <f aca="false">IF(G14849&gt;0,G14970/G14849,0)</f>
        <v>16.7221464724719</v>
      </c>
      <c r="H14972" s="31" t="n">
        <f aca="false">IF(H14849&gt;0,H14970/H14849,0)</f>
        <v>29.1872320950926</v>
      </c>
      <c r="I14972" s="31" t="n">
        <f aca="false">IF(I14849&gt;0,I14970/I14849,0)</f>
        <v>25.3229673114288</v>
      </c>
      <c r="J14972" s="31" t="n">
        <f aca="false">IF(J14849&gt;0,J14970/J14849,0)</f>
        <v>22.7205921737936</v>
      </c>
      <c r="K14972" s="31" t="n">
        <f aca="false">IF(K14849&gt;0,K14970/K14849,0)</f>
        <v>20.7573175003957</v>
      </c>
    </row>
    <row r="14973" customFormat="false" ht="15" hidden="false" customHeight="false" outlineLevel="0" collapsed="false">
      <c r="A14973" s="5" t="s">
        <v>324</v>
      </c>
      <c r="G14973" s="31" t="n">
        <f aca="false">IF(G14853&gt;0,G14849/G14853,0)</f>
        <v>0.539556917932284</v>
      </c>
      <c r="H14973" s="31" t="n">
        <f aca="false">IF(H14853&gt;0,H14849/H14853,0)</f>
        <v>0.332614699877788</v>
      </c>
      <c r="I14973" s="31" t="n">
        <f aca="false">IF(I14853&gt;0,I14849/I14853,0)</f>
        <v>0.4246637051508</v>
      </c>
      <c r="J14973" s="31" t="n">
        <f aca="false">IF(J14853&gt;0,J14849/J14853,0)</f>
        <v>0.509840234416516</v>
      </c>
      <c r="K14973" s="31" t="n">
        <f aca="false">IF(K14853&gt;0,K14849/K14853,0)</f>
        <v>0.594126436554576</v>
      </c>
    </row>
    <row r="14974" customFormat="false" ht="15" hidden="false" customHeight="false" outlineLevel="0" collapsed="false">
      <c r="A14974" s="5" t="s">
        <v>325</v>
      </c>
      <c r="G14974" s="31" t="n">
        <f aca="false">IF(G14853&gt;0,G14852/G14853,0)</f>
        <v>0.200406855231991</v>
      </c>
      <c r="H14974" s="31" t="n">
        <f aca="false">IF(H14853&gt;0,H14852/H14853,0)</f>
        <v>0.0144615086903385</v>
      </c>
      <c r="I14974" s="31" t="n">
        <f aca="false">IF(I14853&gt;0,I14852/I14853,0)</f>
        <v>0.102505032277779</v>
      </c>
      <c r="J14974" s="31" t="n">
        <f aca="false">IF(J14853&gt;0,J14852/J14853,0)</f>
        <v>0.189369229926135</v>
      </c>
      <c r="K14974" s="31" t="n">
        <f aca="false">IF(K14853&gt;0,K14852/K14853,0)</f>
        <v>0.275326885232608</v>
      </c>
    </row>
    <row r="14975" customFormat="false" ht="15" hidden="false" customHeight="false" outlineLevel="0" collapsed="false">
      <c r="A14975" s="5" t="s">
        <v>182</v>
      </c>
      <c r="G14975" s="21" t="n">
        <f aca="false">IF(G14968&gt;0,G14862/G14968,0)</f>
        <v>-0.0695676184204919</v>
      </c>
      <c r="H14975" s="21" t="n">
        <f aca="false">IF(H14968&gt;0,H14862/H14968,0)</f>
        <v>-0.102672295334014</v>
      </c>
      <c r="I14975" s="21" t="n">
        <f aca="false">IF(I14968&gt;0,I14862/I14968,0)</f>
        <v>-0.0983020911642342</v>
      </c>
      <c r="J14975" s="21" t="n">
        <f aca="false">IF(J14968&gt;0,J14862/J14968,0)</f>
        <v>-0.0874833389675066</v>
      </c>
      <c r="K14975" s="21" t="n">
        <f aca="false">IF(K14968&gt;0,K14862/K14968,0)</f>
        <v>-0.0777833915349705</v>
      </c>
    </row>
    <row r="14976" customFormat="false" ht="15" hidden="false" customHeight="false" outlineLevel="0" collapsed="false">
      <c r="A14976" s="5" t="s">
        <v>326</v>
      </c>
      <c r="G14976" s="31" t="n">
        <f aca="false">IF(G14853+G14952&gt;0,(G14849-G14860-G14857)/(G14853+G14952),0)</f>
        <v>0.238031464300121</v>
      </c>
      <c r="H14976" s="31" t="n">
        <f aca="false">IF(H14853+H14952&gt;0,(H14849-H14860-H14857)/(H14853+H14952),0)</f>
        <v>0.0558702834854489</v>
      </c>
      <c r="I14976" s="31" t="n">
        <f aca="false">IF(I14853+I14952&gt;0,(I14849-I14860-I14857)/(I14853+I14952),0)</f>
        <v>0.141348849425705</v>
      </c>
      <c r="J14976" s="31" t="n">
        <f aca="false">IF(J14853+J14952&gt;0,(J14849-J14860-J14857)/(J14853+J14952),0)</f>
        <v>0.224935820837696</v>
      </c>
      <c r="K14976" s="31" t="n">
        <f aca="false">IF(K14853+K14952&gt;0,(K14849-K14860-K14857)/(K14853+K14952),0)</f>
        <v>0.307621750091059</v>
      </c>
    </row>
    <row r="14977" customFormat="false" ht="15" hidden="false" customHeight="false" outlineLevel="0" collapsed="false">
      <c r="A14977" s="5" t="s">
        <v>327</v>
      </c>
      <c r="G14977" s="25" t="n">
        <f aca="false">MAX(0,G14961)+Assumptions!$P$53*MAX(0,Assumptions!$D$53-G14886)+Assumptions!$P$54*MAX(0,Assumptions!$D$54-G14899)+Assumptions!$P$55*MAX(0,Assumptions!$D$55-G14912)+Assumptions!$P$56*MAX(0,Assumptions!$D$56-G14925)</f>
        <v>69.7032</v>
      </c>
      <c r="H14977" s="25" t="n">
        <f aca="false">MAX(0,H14961)+Assumptions!$P$53*MAX(0,Assumptions!$D$53-H14886)+Assumptions!$P$54*MAX(0,Assumptions!$D$54-H14899)+Assumptions!$P$55*MAX(0,Assumptions!$D$55-H14912)+Assumptions!$P$56*MAX(0,Assumptions!$D$56-H14925)</f>
        <v>69.7032</v>
      </c>
      <c r="I14977" s="25" t="n">
        <f aca="false">MAX(0,I14961)+Assumptions!$P$53*MAX(0,Assumptions!$D$53-I14886)+Assumptions!$P$54*MAX(0,Assumptions!$D$54-I14899)+Assumptions!$P$55*MAX(0,Assumptions!$D$55-I14912)+Assumptions!$P$56*MAX(0,Assumptions!$D$56-I14925)</f>
        <v>69.7032</v>
      </c>
      <c r="J14977" s="25" t="n">
        <f aca="false">MAX(0,J14961)+Assumptions!$P$53*MAX(0,Assumptions!$D$53-J14886)+Assumptions!$P$54*MAX(0,Assumptions!$D$54-J14899)+Assumptions!$P$55*MAX(0,Assumptions!$D$55-J14912)+Assumptions!$P$56*MAX(0,Assumptions!$D$56-J14925)</f>
        <v>69.7032</v>
      </c>
      <c r="K14977" s="25" t="n">
        <f aca="false">MAX(0,K14961)+Assumptions!$P$53*MAX(0,Assumptions!$D$53-K14886)+Assumptions!$P$54*MAX(0,Assumptions!$D$54-K14899)+Assumptions!$P$55*MAX(0,Assumptions!$D$55-K14912)+Assumptions!$P$56*MAX(0,Assumptions!$D$56-K14925)</f>
        <v>69.7032</v>
      </c>
    </row>
    <row r="14978" customFormat="false" ht="15" hidden="false" customHeight="false" outlineLevel="0" collapsed="false">
      <c r="A14978" s="5" t="s">
        <v>328</v>
      </c>
      <c r="G14978" s="21" t="n">
        <f aca="false">IF(G14968&gt;0,G14968/(G14968+MAX(0,G14849*CHOOSE($C$14832,Assumptions!$C$76,Assumptions!$C$95,Assumptions!$C$114)-G14970)),0)</f>
        <v>1</v>
      </c>
      <c r="H14978" s="21" t="n">
        <f aca="false">IF(H14968&gt;0,H14968/(H14968+MAX(0,H14849*CHOOSE($C$14832,Assumptions!$C$76,Assumptions!$C$95,Assumptions!$C$114)-H14970)),0)</f>
        <v>1</v>
      </c>
      <c r="I14978" s="21" t="n">
        <f aca="false">IF(I14968&gt;0,I14968/(I14968+MAX(0,I14849*CHOOSE($C$14832,Assumptions!$C$76,Assumptions!$C$95,Assumptions!$C$114)-I14970)),0)</f>
        <v>1</v>
      </c>
      <c r="J14978" s="21" t="n">
        <f aca="false">IF(J14968&gt;0,J14968/(J14968+MAX(0,J14849*CHOOSE($C$14832,Assumptions!$C$76,Assumptions!$C$95,Assumptions!$C$114)-J14970)),0)</f>
        <v>1</v>
      </c>
      <c r="K14978" s="21" t="n">
        <f aca="false">IF(K14968&gt;0,K14968/(K14968+MAX(0,K14849*CHOOSE($C$14832,Assumptions!$C$76,Assumptions!$C$95,Assumptions!$C$114)-K14970)),0)</f>
        <v>1</v>
      </c>
    </row>
    <row r="14979" customFormat="false" ht="15" hidden="false" customHeight="false" outlineLevel="0" collapsed="false">
      <c r="A14979" s="5" t="s">
        <v>329</v>
      </c>
      <c r="G14979" s="21" t="n">
        <f aca="false">IF(G14968&gt;0,MAX(0,G14961)/G14968,0)</f>
        <v>0</v>
      </c>
      <c r="H14979" s="21" t="n">
        <f aca="false">IF(H14968&gt;0,MAX(0,H14961)/H14968,0)</f>
        <v>0</v>
      </c>
      <c r="I14979" s="21" t="n">
        <f aca="false">IF(I14968&gt;0,MAX(0,I14961)/I14968,0)</f>
        <v>0</v>
      </c>
      <c r="J14979" s="21" t="n">
        <f aca="false">IF(J14968&gt;0,MAX(0,J14961)/J14968,0)</f>
        <v>0</v>
      </c>
      <c r="K14979" s="21" t="n">
        <f aca="false">IF(K14968&gt;0,MAX(0,K14961)/K14968,0)</f>
        <v>0</v>
      </c>
    </row>
    <row r="14980" customFormat="false" ht="15" hidden="false" customHeight="false" outlineLevel="0" collapsed="false">
      <c r="A14980" s="5" t="s">
        <v>330</v>
      </c>
      <c r="G14980" s="25" t="n">
        <f aca="false">Assumptions!$C$27*(1-CHOOSE($C$14832,Assumptions!$C$79,Assumptions!$C$98,Assumptions!$C$117))</f>
        <v>884</v>
      </c>
      <c r="H14980" s="25" t="n">
        <f aca="false">Assumptions!$C$27*(1-CHOOSE($C$14832,Assumptions!$C$79,Assumptions!$C$98,Assumptions!$C$117))</f>
        <v>884</v>
      </c>
      <c r="I14980" s="25" t="n">
        <f aca="false">Assumptions!$C$27*(1-CHOOSE($C$14832,Assumptions!$C$79,Assumptions!$C$98,Assumptions!$C$117))</f>
        <v>884</v>
      </c>
      <c r="J14980" s="25" t="n">
        <f aca="false">Assumptions!$C$27*(1-CHOOSE($C$14832,Assumptions!$C$79,Assumptions!$C$98,Assumptions!$C$117))</f>
        <v>884</v>
      </c>
      <c r="K14980" s="25" t="n">
        <f aca="false">Assumptions!$C$27*(1-CHOOSE($C$14832,Assumptions!$C$79,Assumptions!$C$98,Assumptions!$C$117))</f>
        <v>884</v>
      </c>
    </row>
    <row r="14981" customFormat="false" ht="15" hidden="false" customHeight="false" outlineLevel="0" collapsed="false">
      <c r="A14981" s="23" t="s">
        <v>331</v>
      </c>
      <c r="B14981" s="24"/>
      <c r="C14981" s="24"/>
      <c r="D14981" s="24"/>
      <c r="E14981" s="24"/>
      <c r="F14981" s="24"/>
      <c r="G14981" s="24"/>
      <c r="H14981" s="24"/>
      <c r="I14981" s="24"/>
      <c r="J14981" s="24"/>
      <c r="K14981" s="24"/>
    </row>
    <row r="14982" customFormat="false" ht="15" hidden="false" customHeight="false" outlineLevel="0" collapsed="false">
      <c r="A14982" s="23" t="s">
        <v>332</v>
      </c>
      <c r="B14982" s="24"/>
      <c r="C14982" s="24"/>
      <c r="D14982" s="24"/>
      <c r="E14982" s="24"/>
      <c r="F14982" s="24"/>
      <c r="G14982" s="24"/>
      <c r="H14982" s="24"/>
      <c r="I14982" s="24"/>
      <c r="J14982" s="24"/>
      <c r="K14982" s="24"/>
    </row>
    <row r="14983" customFormat="false" ht="15" hidden="false" customHeight="false" outlineLevel="0" collapsed="false">
      <c r="A14983" s="5" t="s">
        <v>333</v>
      </c>
      <c r="G14983" s="31" t="n">
        <f aca="false">IF(G14849&gt;0,G14970/G14849,99)</f>
        <v>16.7221464724719</v>
      </c>
      <c r="H14983" s="31" t="n">
        <f aca="false">IF(H14849&gt;0,H14970/H14849,99)</f>
        <v>29.1872320950926</v>
      </c>
      <c r="I14983" s="31" t="n">
        <f aca="false">IF(I14849&gt;0,I14970/I14849,99)</f>
        <v>25.3229673114288</v>
      </c>
      <c r="J14983" s="31" t="n">
        <f aca="false">IF(J14849&gt;0,J14970/J14849,99)</f>
        <v>22.7205921737936</v>
      </c>
      <c r="K14983" s="31" t="n">
        <f aca="false">IF(K14849&gt;0,K14970/K14849,99)</f>
        <v>20.7573175003957</v>
      </c>
    </row>
    <row r="14984" customFormat="false" ht="15" hidden="false" customHeight="false" outlineLevel="0" collapsed="false">
      <c r="A14984" s="5" t="s">
        <v>334</v>
      </c>
      <c r="G14984" s="32" t="n">
        <f aca="false">Assumptions!$G$61</f>
        <v>8.5</v>
      </c>
      <c r="H14984" s="32" t="n">
        <f aca="false">Assumptions!$H$61</f>
        <v>8.5</v>
      </c>
      <c r="I14984" s="32" t="n">
        <f aca="false">Assumptions!$I$61</f>
        <v>8.5</v>
      </c>
      <c r="J14984" s="32" t="n">
        <f aca="false">Assumptions!$J$61</f>
        <v>8.5</v>
      </c>
      <c r="K14984" s="32" t="n">
        <f aca="false">Assumptions!$K$61</f>
        <v>8.5</v>
      </c>
    </row>
    <row r="14985" customFormat="false" ht="15" hidden="false" customHeight="false" outlineLevel="0" collapsed="false">
      <c r="A14985" s="5" t="s">
        <v>335</v>
      </c>
      <c r="G14985" s="31" t="n">
        <f aca="false">G14984-G14983</f>
        <v>-8.22214647247185</v>
      </c>
      <c r="H14985" s="31" t="n">
        <f aca="false">H14984-H14983</f>
        <v>-20.6872320950926</v>
      </c>
      <c r="I14985" s="31" t="n">
        <f aca="false">I14984-I14983</f>
        <v>-16.8229673114288</v>
      </c>
      <c r="J14985" s="31" t="n">
        <f aca="false">J14984-J14983</f>
        <v>-14.2205921737936</v>
      </c>
      <c r="K14985" s="31" t="n">
        <f aca="false">K14984-K14983</f>
        <v>-12.2573175003957</v>
      </c>
    </row>
    <row r="14986" customFormat="false" ht="15" hidden="false" customHeight="false" outlineLevel="0" collapsed="false">
      <c r="A14986" s="5" t="s">
        <v>336</v>
      </c>
      <c r="G14986" s="21" t="n">
        <f aca="false">IF(G14984=0,0,G14985/ABS(G14984))</f>
        <v>-0.967311349702571</v>
      </c>
      <c r="H14986" s="21" t="n">
        <f aca="false">IF(H14984=0,0,H14985/ABS(H14984))</f>
        <v>-2.43379201118736</v>
      </c>
      <c r="I14986" s="21" t="n">
        <f aca="false">IF(I14984=0,0,I14985/ABS(I14984))</f>
        <v>-1.97917262487398</v>
      </c>
      <c r="J14986" s="21" t="n">
        <f aca="false">IF(J14984=0,0,J14985/ABS(J14984))</f>
        <v>-1.67301084397572</v>
      </c>
      <c r="K14986" s="21" t="n">
        <f aca="false">IF(K14984=0,0,K14985/ABS(K14984))</f>
        <v>-1.44203735298773</v>
      </c>
    </row>
    <row r="14987" customFormat="false" ht="15" hidden="false" customHeight="false" outlineLevel="0" collapsed="false">
      <c r="A14987" s="5" t="s">
        <v>337</v>
      </c>
      <c r="G14987" s="20" t="n">
        <f aca="false">IF(G14985&lt;0,1,0)</f>
        <v>1</v>
      </c>
      <c r="H14987" s="20" t="n">
        <f aca="false">IF(H14985&lt;0,1,0)</f>
        <v>1</v>
      </c>
      <c r="I14987" s="20" t="n">
        <f aca="false">IF(I14985&lt;0,1,0)</f>
        <v>1</v>
      </c>
      <c r="J14987" s="20" t="n">
        <f aca="false">IF(J14985&lt;0,1,0)</f>
        <v>1</v>
      </c>
      <c r="K14987" s="20" t="n">
        <f aca="false">IF(K14985&lt;0,1,0)</f>
        <v>1</v>
      </c>
    </row>
    <row r="14988" customFormat="false" ht="15" hidden="false" customHeight="false" outlineLevel="0" collapsed="false">
      <c r="A14988" s="5" t="s">
        <v>338</v>
      </c>
      <c r="C14988" s="20" t="n">
        <f aca="false">IFERROR(INDEX($G$14839:$K$14839,MATCH(1,$G$14987:$K$14987,0)),0)</f>
        <v>2026</v>
      </c>
    </row>
    <row r="14989" customFormat="false" ht="15" hidden="false" customHeight="false" outlineLevel="0" collapsed="false">
      <c r="A14989" s="5" t="s">
        <v>339</v>
      </c>
      <c r="C14989" s="21" t="n">
        <f aca="false">MIN($G$14986:$K$14986)</f>
        <v>-2.43379201118736</v>
      </c>
    </row>
    <row r="14990" customFormat="false" ht="15" hidden="false" customHeight="false" outlineLevel="0" collapsed="false">
      <c r="A14990" s="5" t="s">
        <v>340</v>
      </c>
      <c r="G14990" s="20" t="n">
        <f aca="false">G14987</f>
        <v>1</v>
      </c>
      <c r="H14990" s="20" t="n">
        <f aca="false">H14987</f>
        <v>1</v>
      </c>
      <c r="I14990" s="20" t="n">
        <f aca="false">I14987</f>
        <v>1</v>
      </c>
      <c r="J14990" s="20" t="n">
        <f aca="false">J14987</f>
        <v>1</v>
      </c>
      <c r="K14990" s="20" t="n">
        <f aca="false">K14987</f>
        <v>1</v>
      </c>
    </row>
    <row r="14991" customFormat="false" ht="15" hidden="false" customHeight="false" outlineLevel="0" collapsed="false">
      <c r="A14991" s="5" t="s">
        <v>341</v>
      </c>
      <c r="C14991" s="20" t="n">
        <f aca="false">SUM($G$14990:$K$14990)</f>
        <v>5</v>
      </c>
    </row>
    <row r="14992" customFormat="false" ht="15" hidden="false" customHeight="false" outlineLevel="0" collapsed="false">
      <c r="A14992" s="5" t="s">
        <v>342</v>
      </c>
      <c r="C14992" s="21" t="n">
        <f aca="false">MIN(C14989)</f>
        <v>-2.43379201118736</v>
      </c>
    </row>
    <row r="14994" customFormat="false" ht="15" hidden="false" customHeight="false" outlineLevel="0" collapsed="false">
      <c r="A14994" s="23" t="s">
        <v>444</v>
      </c>
      <c r="B14994" s="24"/>
      <c r="C14994" s="24"/>
      <c r="D14994" s="24"/>
      <c r="E14994" s="24"/>
      <c r="F14994" s="24"/>
      <c r="G14994" s="24"/>
      <c r="H14994" s="24"/>
      <c r="I14994" s="24"/>
      <c r="J14994" s="24"/>
      <c r="K14994" s="24"/>
    </row>
    <row r="14995" customFormat="false" ht="15" hidden="false" customHeight="false" outlineLevel="0" collapsed="false">
      <c r="A14995" s="5" t="s">
        <v>445</v>
      </c>
      <c r="G14995" s="20" t="n">
        <f aca="false">IF($C$14996=1,G14964,IF(G14849=MIN($G$14849:$K$14849),1,0))</f>
        <v>0</v>
      </c>
      <c r="H14995" s="20" t="n">
        <f aca="false">IF($C$14996=1,H14964,IF(AND(H14849=MIN($G$14849:$K$14849),SUM($G$14995:G14995)=0),1,0))</f>
        <v>1</v>
      </c>
      <c r="I14995" s="20" t="n">
        <f aca="false">IF($C$14996=1,I14964,IF(AND(I14849=MIN($G$14849:$K$14849),SUM($G$14995:H14995)=0),1,0))</f>
        <v>0</v>
      </c>
      <c r="J14995" s="20" t="n">
        <f aca="false">IF($C$14996=1,J14964,IF(AND(J14849=MIN($G$14849:$K$14849),SUM($G$14995:I14995)=0),1,0))</f>
        <v>0</v>
      </c>
      <c r="K14995" s="20" t="n">
        <f aca="false">IF($C$14996=1,K14964,IF(AND(K14849=MIN($G$14849:$K$14849),SUM($G$14995:J14995)=0),1,0))</f>
        <v>0</v>
      </c>
    </row>
    <row r="14996" customFormat="false" ht="15" hidden="false" customHeight="false" outlineLevel="0" collapsed="false">
      <c r="A14996" s="5" t="s">
        <v>446</v>
      </c>
      <c r="C14996" s="20" t="n">
        <f aca="false">IF(SUM($G$14964:$K$14964)&gt;0,1,0)</f>
        <v>1</v>
      </c>
    </row>
    <row r="14997" customFormat="false" ht="15" hidden="false" customHeight="false" outlineLevel="0" collapsed="false">
      <c r="A14997" s="5" t="s">
        <v>447</v>
      </c>
      <c r="C14997" s="20" t="n">
        <f aca="false">SUMPRODUCT($G$14995:$K$14995,$G$14839:$K$14839)</f>
        <v>2027</v>
      </c>
    </row>
    <row r="14998" customFormat="false" ht="15" hidden="false" customHeight="false" outlineLevel="0" collapsed="false">
      <c r="A14998" s="5" t="s">
        <v>448</v>
      </c>
      <c r="C14998" s="25" t="n">
        <f aca="false">SUMPRODUCT($G$14995:$K$14995,$G$14849:$K$14849)</f>
        <v>48.9095184</v>
      </c>
    </row>
    <row r="14999" customFormat="false" ht="15" hidden="false" customHeight="false" outlineLevel="0" collapsed="false">
      <c r="A14999" s="5" t="s">
        <v>449</v>
      </c>
      <c r="C14999" s="25" t="n">
        <f aca="false">MAX(0,SUMPRODUCT($G$14995:$K$14995,$G$14961:$K$14961))</f>
        <v>0</v>
      </c>
    </row>
    <row r="15000" customFormat="false" ht="15" hidden="false" customHeight="false" outlineLevel="0" collapsed="false">
      <c r="A15000" s="5" t="s">
        <v>450</v>
      </c>
      <c r="C15000" s="25" t="n">
        <f aca="false">(CHOOSE($C$14832,Assumptions!$C$78,Assumptions!$C$97,Assumptions!$C$116)+$C$14836)*C14998</f>
        <v>195.6380736</v>
      </c>
    </row>
    <row r="15001" customFormat="false" ht="15" hidden="false" customHeight="false" outlineLevel="0" collapsed="false">
      <c r="A15001" s="5" t="s">
        <v>451</v>
      </c>
      <c r="C15001" s="25" t="n">
        <f aca="false">Assumptions!$C$27*(1-CHOOSE($C$14832,Assumptions!$C$79,Assumptions!$C$98,Assumptions!$C$117))*CHOOSE($C$14832,Assumptions!$C$80,Assumptions!$C$99,Assumptions!$C$118)</f>
        <v>530.4</v>
      </c>
    </row>
    <row r="15002" customFormat="false" ht="15" hidden="false" customHeight="false" outlineLevel="0" collapsed="false">
      <c r="A15002" s="5" t="s">
        <v>452</v>
      </c>
      <c r="C15002" s="25" t="n">
        <f aca="false">MAX(C15000,C15001)+C14999</f>
        <v>530.4</v>
      </c>
    </row>
    <row r="15003" customFormat="false" ht="15" hidden="false" customHeight="false" outlineLevel="0" collapsed="false">
      <c r="A15003" s="2" t="s">
        <v>453</v>
      </c>
      <c r="C15003" s="16" t="n">
        <f aca="false">IF(ISNUMBER(Assumptions!$C$14),Assumptions!$C$14,C15002)</f>
        <v>530.4</v>
      </c>
    </row>
    <row r="15004" customFormat="false" ht="15" hidden="false" customHeight="false" outlineLevel="0" collapsed="false">
      <c r="A15004" s="5" t="s">
        <v>454</v>
      </c>
      <c r="C15004" s="25" t="n">
        <f aca="false">C15003*Assumptions!$C$15</f>
        <v>21.216</v>
      </c>
    </row>
    <row r="15005" customFormat="false" ht="15" hidden="false" customHeight="false" outlineLevel="0" collapsed="false">
      <c r="A15005" s="2" t="s">
        <v>455</v>
      </c>
      <c r="C15005" s="16" t="n">
        <f aca="false">C15003-C15004</f>
        <v>509.184</v>
      </c>
    </row>
    <row r="15006" customFormat="false" ht="15" hidden="false" customHeight="false" outlineLevel="0" collapsed="false">
      <c r="A15006" s="23" t="s">
        <v>456</v>
      </c>
      <c r="B15006" s="24"/>
      <c r="C15006" s="24"/>
      <c r="D15006" s="24"/>
      <c r="E15006" s="24"/>
      <c r="F15006" s="24"/>
      <c r="G15006" s="24"/>
      <c r="H15006" s="24"/>
      <c r="I15006" s="24"/>
      <c r="J15006" s="24"/>
      <c r="K15006" s="24"/>
    </row>
    <row r="15007" customFormat="false" ht="15" hidden="false" customHeight="false" outlineLevel="0" collapsed="false">
      <c r="A15007" s="5" t="s">
        <v>457</v>
      </c>
      <c r="C15007" s="25" t="n">
        <f aca="false">SUMPRODUCT($G$14995:$K$14995,$G$14886:$K$14886)*(1+SUMPRODUCT($G$14995:$K$14995,$G$14878:$K$14878)*Assumptions!$C$16/12)</f>
        <v>237.1193427</v>
      </c>
    </row>
    <row r="15008" customFormat="false" ht="15" hidden="false" customHeight="false" outlineLevel="0" collapsed="false">
      <c r="A15008" s="5" t="s">
        <v>458</v>
      </c>
      <c r="C15008" s="25" t="n">
        <f aca="false">SUMPRODUCT($G$14995:$K$14995,$G$14899:$K$14899)*(1+SUMPRODUCT($G$14995:$K$14995,$G$14891:$K$14891)*Assumptions!$C$16/12)</f>
        <v>526.8627</v>
      </c>
    </row>
    <row r="15009" customFormat="false" ht="15" hidden="false" customHeight="false" outlineLevel="0" collapsed="false">
      <c r="A15009" s="5" t="s">
        <v>459</v>
      </c>
      <c r="C15009" s="25" t="n">
        <f aca="false">SUMPRODUCT($G$14995:$K$14995,$G$14912:$K$14912)*(1+SUMPRODUCT($G$14995:$K$14995,$G$14904:$K$14904)*Assumptions!$C$16/12)</f>
        <v>256.875</v>
      </c>
    </row>
    <row r="15010" customFormat="false" ht="15" hidden="false" customHeight="false" outlineLevel="0" collapsed="false">
      <c r="A15010" s="5" t="s">
        <v>460</v>
      </c>
      <c r="C15010" s="25" t="n">
        <f aca="false">SUMPRODUCT($G$14995:$K$14995,$G$14925:$K$14925)*(1+SUMPRODUCT($G$14995:$K$14995,$G$14917:$K$14917)*Assumptions!$C$16/12)</f>
        <v>305.625</v>
      </c>
    </row>
    <row r="15011" customFormat="false" ht="15" hidden="false" customHeight="false" outlineLevel="0" collapsed="false">
      <c r="A15011" s="23" t="s">
        <v>461</v>
      </c>
      <c r="B15011" s="24"/>
      <c r="C15011" s="24"/>
      <c r="D15011" s="24"/>
      <c r="E15011" s="24"/>
      <c r="F15011" s="24"/>
      <c r="G15011" s="24"/>
      <c r="H15011" s="24"/>
      <c r="I15011" s="24"/>
      <c r="J15011" s="24"/>
      <c r="K15011" s="24"/>
    </row>
    <row r="15012" customFormat="false" ht="15" hidden="false" customHeight="false" outlineLevel="0" collapsed="false">
      <c r="A15012" s="5" t="s">
        <v>457</v>
      </c>
      <c r="C15012" s="26" t="n">
        <f aca="false">Assumptions!$M$53</f>
        <v>1</v>
      </c>
    </row>
    <row r="15013" customFormat="false" ht="15" hidden="false" customHeight="false" outlineLevel="0" collapsed="false">
      <c r="A15013" s="5" t="s">
        <v>458</v>
      </c>
      <c r="C15013" s="26" t="n">
        <f aca="false">Assumptions!$M$54</f>
        <v>2</v>
      </c>
    </row>
    <row r="15014" customFormat="false" ht="15" hidden="false" customHeight="false" outlineLevel="0" collapsed="false">
      <c r="A15014" s="5" t="s">
        <v>459</v>
      </c>
      <c r="C15014" s="26" t="n">
        <f aca="false">Assumptions!$M$55</f>
        <v>3</v>
      </c>
    </row>
    <row r="15015" customFormat="false" ht="15" hidden="false" customHeight="false" outlineLevel="0" collapsed="false">
      <c r="A15015" s="5" t="s">
        <v>460</v>
      </c>
      <c r="C15015" s="26" t="n">
        <f aca="false">Assumptions!$M$56</f>
        <v>4</v>
      </c>
    </row>
    <row r="15016" customFormat="false" ht="15" hidden="false" customHeight="false" outlineLevel="0" collapsed="false">
      <c r="A15016" s="23" t="s">
        <v>462</v>
      </c>
      <c r="B15016" s="24"/>
      <c r="C15016" s="24"/>
      <c r="D15016" s="24"/>
      <c r="E15016" s="24"/>
      <c r="F15016" s="24"/>
      <c r="G15016" s="24"/>
      <c r="H15016" s="24"/>
      <c r="I15016" s="24"/>
      <c r="J15016" s="24"/>
      <c r="K15016" s="24"/>
    </row>
    <row r="15017" customFormat="false" ht="15" hidden="false" customHeight="false" outlineLevel="0" collapsed="false">
      <c r="A15017" s="5" t="s">
        <v>457</v>
      </c>
      <c r="C15017" s="34" t="n">
        <f aca="false">Assumptions!$Q$53</f>
        <v>0</v>
      </c>
    </row>
    <row r="15018" customFormat="false" ht="15" hidden="false" customHeight="false" outlineLevel="0" collapsed="false">
      <c r="A15018" s="5" t="s">
        <v>458</v>
      </c>
      <c r="C15018" s="34" t="n">
        <f aca="false">Assumptions!$Q$54</f>
        <v>0</v>
      </c>
    </row>
    <row r="15019" customFormat="false" ht="15" hidden="false" customHeight="false" outlineLevel="0" collapsed="false">
      <c r="A15019" s="5" t="s">
        <v>459</v>
      </c>
      <c r="C15019" s="34" t="n">
        <f aca="false">Assumptions!$Q$55</f>
        <v>0</v>
      </c>
    </row>
    <row r="15020" customFormat="false" ht="15" hidden="false" customHeight="false" outlineLevel="0" collapsed="false">
      <c r="A15020" s="5" t="s">
        <v>460</v>
      </c>
      <c r="C15020" s="34" t="n">
        <f aca="false">Assumptions!$Q$56</f>
        <v>0</v>
      </c>
    </row>
    <row r="15021" customFormat="false" ht="15" hidden="false" customHeight="false" outlineLevel="0" collapsed="false">
      <c r="A15021" s="23" t="s">
        <v>463</v>
      </c>
      <c r="B15021" s="24"/>
      <c r="C15021" s="24"/>
      <c r="D15021" s="24"/>
      <c r="E15021" s="24"/>
      <c r="F15021" s="24"/>
      <c r="G15021" s="24"/>
      <c r="H15021" s="24"/>
      <c r="I15021" s="24"/>
      <c r="J15021" s="24"/>
      <c r="K15021" s="24"/>
    </row>
    <row r="15022" customFormat="false" ht="15" hidden="false" customHeight="false" outlineLevel="0" collapsed="false">
      <c r="A15022" s="5" t="s">
        <v>457</v>
      </c>
      <c r="C15022" s="25" t="n">
        <f aca="false">IF(C15017&gt;0,MIN(C15007,C15017*$C$15005),0)</f>
        <v>0</v>
      </c>
    </row>
    <row r="15023" customFormat="false" ht="15" hidden="false" customHeight="false" outlineLevel="0" collapsed="false">
      <c r="A15023" s="5" t="s">
        <v>458</v>
      </c>
      <c r="C15023" s="25" t="n">
        <f aca="false">IF(C15018&gt;0,MIN(C15008,C15018*$C$15005),0)</f>
        <v>0</v>
      </c>
    </row>
    <row r="15024" customFormat="false" ht="15" hidden="false" customHeight="false" outlineLevel="0" collapsed="false">
      <c r="A15024" s="5" t="s">
        <v>459</v>
      </c>
      <c r="C15024" s="25" t="n">
        <f aca="false">IF(C15019&gt;0,MIN(C15009,C15019*$C$15005),0)</f>
        <v>0</v>
      </c>
    </row>
    <row r="15025" customFormat="false" ht="15" hidden="false" customHeight="false" outlineLevel="0" collapsed="false">
      <c r="A15025" s="5" t="s">
        <v>460</v>
      </c>
      <c r="C15025" s="25" t="n">
        <f aca="false">IF(C15020&gt;0,MIN(C15010,C15020*$C$15005),0)</f>
        <v>0</v>
      </c>
    </row>
    <row r="15026" customFormat="false" ht="15" hidden="false" customHeight="false" outlineLevel="0" collapsed="false">
      <c r="A15026" s="23" t="s">
        <v>464</v>
      </c>
      <c r="B15026" s="24"/>
      <c r="C15026" s="24"/>
      <c r="D15026" s="24"/>
      <c r="E15026" s="24"/>
      <c r="F15026" s="24"/>
      <c r="G15026" s="24"/>
      <c r="H15026" s="24"/>
      <c r="I15026" s="24"/>
      <c r="J15026" s="24"/>
      <c r="K15026" s="24"/>
    </row>
    <row r="15027" customFormat="false" ht="15" hidden="false" customHeight="false" outlineLevel="0" collapsed="false">
      <c r="A15027" s="5" t="s">
        <v>457</v>
      </c>
      <c r="C15027" s="25" t="n">
        <f aca="false">IF(C15017&gt;0,C15007-C15022,0)</f>
        <v>0</v>
      </c>
      <c r="G15027" s="20" t="n">
        <f aca="false">IF(AND(G14876=1,G14873=1),1,0)</f>
        <v>0</v>
      </c>
      <c r="H15027" s="20" t="n">
        <f aca="false">IF(G15027=1,1,IF(AND(H14876=1,H14873=1),1,0))</f>
        <v>0</v>
      </c>
      <c r="I15027" s="20" t="n">
        <f aca="false">IF(H15027=1,1,IF(AND(I14876=1,I14873=1),1,0))</f>
        <v>0</v>
      </c>
      <c r="J15027" s="20" t="n">
        <f aca="false">IF(I15027=1,1,IF(AND(J14876=1,J14873=1),1,0))</f>
        <v>0</v>
      </c>
      <c r="K15027" s="20" t="n">
        <f aca="false">IF(J15027=1,1,IF(AND(K14876=1,K14873=1),1,0))</f>
        <v>0</v>
      </c>
    </row>
    <row r="15028" customFormat="false" ht="15" hidden="false" customHeight="false" outlineLevel="0" collapsed="false">
      <c r="A15028" s="5" t="s">
        <v>458</v>
      </c>
      <c r="C15028" s="25" t="n">
        <f aca="false">IF(C15018&gt;0,C15008-C15023,0)</f>
        <v>0</v>
      </c>
      <c r="G15028" s="20" t="n">
        <f aca="false">IF(AND(G14889=1,G14873=1),1,0)</f>
        <v>0</v>
      </c>
      <c r="H15028" s="20" t="n">
        <f aca="false">IF(G15028=1,1,IF(AND(H14889=1,H14873=1),1,0))</f>
        <v>0</v>
      </c>
      <c r="I15028" s="20" t="n">
        <f aca="false">IF(H15028=1,1,IF(AND(I14889=1,I14873=1),1,0))</f>
        <v>0</v>
      </c>
      <c r="J15028" s="20" t="n">
        <f aca="false">IF(I15028=1,1,IF(AND(J14889=1,J14873=1),1,0))</f>
        <v>0</v>
      </c>
      <c r="K15028" s="20" t="n">
        <f aca="false">IF(J15028=1,1,IF(AND(K14889=1,K14873=1),1,0))</f>
        <v>0</v>
      </c>
    </row>
    <row r="15029" customFormat="false" ht="15" hidden="false" customHeight="false" outlineLevel="0" collapsed="false">
      <c r="A15029" s="5" t="s">
        <v>459</v>
      </c>
      <c r="C15029" s="25" t="n">
        <f aca="false">IF(C15019&gt;0,C15009-C15024,0)</f>
        <v>0</v>
      </c>
      <c r="G15029" s="20" t="n">
        <f aca="false">IF(AND(G14902=1,G14873=1),1,0)</f>
        <v>0</v>
      </c>
      <c r="H15029" s="20" t="n">
        <f aca="false">IF(G15029=1,1,IF(AND(H14902=1,H14873=1),1,0))</f>
        <v>0</v>
      </c>
      <c r="I15029" s="20" t="n">
        <f aca="false">IF(H15029=1,1,IF(AND(I14902=1,I14873=1),1,0))</f>
        <v>0</v>
      </c>
      <c r="J15029" s="20" t="n">
        <f aca="false">IF(I15029=1,1,IF(AND(J14902=1,J14873=1),1,0))</f>
        <v>0</v>
      </c>
      <c r="K15029" s="20" t="n">
        <f aca="false">IF(J15029=1,1,IF(AND(K14902=1,K14873=1),1,0))</f>
        <v>0</v>
      </c>
    </row>
    <row r="15030" customFormat="false" ht="15" hidden="false" customHeight="false" outlineLevel="0" collapsed="false">
      <c r="A15030" s="5" t="s">
        <v>460</v>
      </c>
      <c r="C15030" s="25" t="n">
        <f aca="false">IF(C15020&gt;0,C15010-C15025,0)</f>
        <v>0</v>
      </c>
      <c r="G15030" s="20" t="n">
        <f aca="false">IF(AND(G14915=1,G14873=1),1,0)</f>
        <v>0</v>
      </c>
      <c r="H15030" s="20" t="n">
        <f aca="false">IF(G15030=1,1,IF(AND(H14915=1,H14873=1),1,0))</f>
        <v>0</v>
      </c>
      <c r="I15030" s="20" t="n">
        <f aca="false">IF(H15030=1,1,IF(AND(I14915=1,I14873=1),1,0))</f>
        <v>0</v>
      </c>
      <c r="J15030" s="20" t="n">
        <f aca="false">IF(I15030=1,1,IF(AND(J14915=1,J14873=1),1,0))</f>
        <v>0</v>
      </c>
      <c r="K15030" s="20" t="n">
        <f aca="false">IF(J15030=1,1,IF(AND(K14915=1,K14873=1),1,0))</f>
        <v>0</v>
      </c>
    </row>
    <row r="15031" customFormat="false" ht="15" hidden="false" customHeight="false" outlineLevel="0" collapsed="false">
      <c r="A15031" s="23" t="s">
        <v>465</v>
      </c>
      <c r="B15031" s="24"/>
      <c r="C15031" s="24"/>
      <c r="D15031" s="24"/>
      <c r="E15031" s="24"/>
      <c r="F15031" s="24"/>
      <c r="G15031" s="24"/>
      <c r="H15031" s="24"/>
      <c r="I15031" s="24"/>
      <c r="J15031" s="24"/>
      <c r="K15031" s="24"/>
    </row>
    <row r="15032" customFormat="false" ht="15" hidden="false" customHeight="false" outlineLevel="0" collapsed="false">
      <c r="A15032" s="5" t="s">
        <v>457</v>
      </c>
      <c r="C15032" s="25" t="n">
        <f aca="false">IF(C15017&gt;0,C15027,C15007)</f>
        <v>237.1193427</v>
      </c>
    </row>
    <row r="15033" customFormat="false" ht="15" hidden="false" customHeight="false" outlineLevel="0" collapsed="false">
      <c r="A15033" s="5" t="s">
        <v>458</v>
      </c>
      <c r="C15033" s="25" t="n">
        <f aca="false">IF(C15018&gt;0,C15028,C15008)</f>
        <v>526.8627</v>
      </c>
    </row>
    <row r="15034" customFormat="false" ht="15" hidden="false" customHeight="false" outlineLevel="0" collapsed="false">
      <c r="A15034" s="5" t="s">
        <v>459</v>
      </c>
      <c r="C15034" s="25" t="n">
        <f aca="false">IF(C15019&gt;0,C15029,C15009)</f>
        <v>256.875</v>
      </c>
    </row>
    <row r="15035" customFormat="false" ht="15" hidden="false" customHeight="false" outlineLevel="0" collapsed="false">
      <c r="A15035" s="5" t="s">
        <v>460</v>
      </c>
      <c r="C15035" s="25" t="n">
        <f aca="false">IF(C15020&gt;0,C15030,C15010)</f>
        <v>305.625</v>
      </c>
    </row>
    <row r="15036" customFormat="false" ht="15" hidden="false" customHeight="false" outlineLevel="0" collapsed="false">
      <c r="A15036" s="23" t="s">
        <v>466</v>
      </c>
      <c r="B15036" s="24"/>
      <c r="C15036" s="24"/>
      <c r="D15036" s="24"/>
      <c r="E15036" s="24"/>
      <c r="F15036" s="24"/>
      <c r="G15036" s="24"/>
      <c r="H15036" s="24"/>
      <c r="I15036" s="24"/>
      <c r="J15036" s="24"/>
      <c r="K15036" s="24"/>
    </row>
    <row r="15037" customFormat="false" ht="15" hidden="false" customHeight="false" outlineLevel="0" collapsed="false">
      <c r="A15037" s="5" t="s">
        <v>457</v>
      </c>
      <c r="C15037" s="20" t="n">
        <f aca="false">IF(C15017&gt;0,Assumptions!$C$17,C15012)</f>
        <v>1</v>
      </c>
    </row>
    <row r="15038" customFormat="false" ht="15" hidden="false" customHeight="false" outlineLevel="0" collapsed="false">
      <c r="A15038" s="5" t="s">
        <v>458</v>
      </c>
      <c r="C15038" s="20" t="n">
        <f aca="false">IF(C15018&gt;0,Assumptions!$C$17,C15013)</f>
        <v>2</v>
      </c>
    </row>
    <row r="15039" customFormat="false" ht="15" hidden="false" customHeight="false" outlineLevel="0" collapsed="false">
      <c r="A15039" s="5" t="s">
        <v>459</v>
      </c>
      <c r="C15039" s="20" t="n">
        <f aca="false">IF(C15019&gt;0,Assumptions!$C$17,C15014)</f>
        <v>3</v>
      </c>
    </row>
    <row r="15040" customFormat="false" ht="15" hidden="false" customHeight="false" outlineLevel="0" collapsed="false">
      <c r="A15040" s="5" t="s">
        <v>460</v>
      </c>
      <c r="C15040" s="20" t="n">
        <f aca="false">IF(C15020&gt;0,Assumptions!$C$17,C15015)</f>
        <v>4</v>
      </c>
    </row>
    <row r="15041" customFormat="false" ht="15" hidden="false" customHeight="false" outlineLevel="0" collapsed="false">
      <c r="A15041" s="23" t="s">
        <v>467</v>
      </c>
      <c r="B15041" s="24"/>
      <c r="C15041" s="24"/>
      <c r="D15041" s="24"/>
      <c r="E15041" s="24"/>
      <c r="F15041" s="24"/>
      <c r="G15041" s="24"/>
      <c r="H15041" s="24"/>
      <c r="I15041" s="24"/>
      <c r="J15041" s="24"/>
      <c r="K15041" s="24"/>
    </row>
    <row r="15042" customFormat="false" ht="15" hidden="false" customHeight="false" outlineLevel="0" collapsed="false">
      <c r="A15042" s="5" t="s">
        <v>457</v>
      </c>
      <c r="C15042" s="25" t="n">
        <f aca="false">SUMPRODUCT(($C$15037:$C$15040&lt;C15037)*$C$15032:$C$15035)</f>
        <v>0</v>
      </c>
    </row>
    <row r="15043" customFormat="false" ht="15" hidden="false" customHeight="false" outlineLevel="0" collapsed="false">
      <c r="A15043" s="5" t="s">
        <v>458</v>
      </c>
      <c r="C15043" s="25" t="n">
        <f aca="false">SUMPRODUCT(($C$15037:$C$15040&lt;C15038)*$C$15032:$C$15035)</f>
        <v>237.1193427</v>
      </c>
    </row>
    <row r="15044" customFormat="false" ht="15" hidden="false" customHeight="false" outlineLevel="0" collapsed="false">
      <c r="A15044" s="5" t="s">
        <v>459</v>
      </c>
      <c r="C15044" s="25" t="n">
        <f aca="false">SUMPRODUCT(($C$15037:$C$15040&lt;C15039)*$C$15032:$C$15035)</f>
        <v>763.9820427</v>
      </c>
    </row>
    <row r="15045" customFormat="false" ht="15" hidden="false" customHeight="false" outlineLevel="0" collapsed="false">
      <c r="A15045" s="5" t="s">
        <v>460</v>
      </c>
      <c r="C15045" s="25" t="n">
        <f aca="false">SUMPRODUCT(($C$15037:$C$15040&lt;C15040)*$C$15032:$C$15035)</f>
        <v>1020.8570427</v>
      </c>
    </row>
    <row r="15046" customFormat="false" ht="15" hidden="false" customHeight="false" outlineLevel="0" collapsed="false">
      <c r="A15046" s="23" t="s">
        <v>468</v>
      </c>
      <c r="B15046" s="24"/>
      <c r="C15046" s="24"/>
      <c r="D15046" s="24"/>
      <c r="E15046" s="24"/>
      <c r="F15046" s="24"/>
      <c r="G15046" s="24"/>
      <c r="H15046" s="24"/>
      <c r="I15046" s="24"/>
      <c r="J15046" s="24"/>
      <c r="K15046" s="24"/>
    </row>
    <row r="15047" customFormat="false" ht="15" hidden="false" customHeight="false" outlineLevel="0" collapsed="false">
      <c r="A15047" s="5" t="s">
        <v>457</v>
      </c>
      <c r="C15047" s="25" t="n">
        <f aca="false">SUMPRODUCT(($C$15037:$C$15040=C15037)*$C$15032:$C$15035)</f>
        <v>237.1193427</v>
      </c>
    </row>
    <row r="15048" customFormat="false" ht="15" hidden="false" customHeight="false" outlineLevel="0" collapsed="false">
      <c r="A15048" s="5" t="s">
        <v>458</v>
      </c>
      <c r="C15048" s="25" t="n">
        <f aca="false">SUMPRODUCT(($C$15037:$C$15040=C15038)*$C$15032:$C$15035)</f>
        <v>526.8627</v>
      </c>
    </row>
    <row r="15049" customFormat="false" ht="15" hidden="false" customHeight="false" outlineLevel="0" collapsed="false">
      <c r="A15049" s="5" t="s">
        <v>459</v>
      </c>
      <c r="C15049" s="25" t="n">
        <f aca="false">SUMPRODUCT(($C$15037:$C$15040=C15039)*$C$15032:$C$15035)</f>
        <v>256.875</v>
      </c>
    </row>
    <row r="15050" customFormat="false" ht="15" hidden="false" customHeight="false" outlineLevel="0" collapsed="false">
      <c r="A15050" s="5" t="s">
        <v>460</v>
      </c>
      <c r="C15050" s="25" t="n">
        <f aca="false">SUMPRODUCT(($C$15037:$C$15040=C15040)*$C$15032:$C$15035)</f>
        <v>305.625</v>
      </c>
    </row>
    <row r="15051" customFormat="false" ht="15" hidden="false" customHeight="false" outlineLevel="0" collapsed="false">
      <c r="A15051" s="23" t="s">
        <v>469</v>
      </c>
      <c r="B15051" s="24"/>
      <c r="C15051" s="24"/>
      <c r="D15051" s="24"/>
      <c r="E15051" s="24"/>
      <c r="F15051" s="24"/>
      <c r="G15051" s="24"/>
      <c r="H15051" s="24"/>
      <c r="I15051" s="24"/>
      <c r="J15051" s="24"/>
      <c r="K15051" s="24"/>
    </row>
    <row r="15052" customFormat="false" ht="15" hidden="false" customHeight="false" outlineLevel="0" collapsed="false">
      <c r="A15052" s="5" t="s">
        <v>457</v>
      </c>
      <c r="C15052" s="25" t="n">
        <f aca="false">IF(C15047=0,0,C15032/C15047*MAX(0,MIN(C15047,$C$15005-SUM($C$15022:$C$15025)-C15042)))</f>
        <v>237.1193427</v>
      </c>
    </row>
    <row r="15053" customFormat="false" ht="15" hidden="false" customHeight="false" outlineLevel="0" collapsed="false">
      <c r="A15053" s="5" t="s">
        <v>458</v>
      </c>
      <c r="C15053" s="25" t="n">
        <f aca="false">IF(C15048=0,0,C15033/C15048*MAX(0,MIN(C15048,$C$15005-SUM($C$15022:$C$15025)-C15043)))</f>
        <v>272.0646573</v>
      </c>
    </row>
    <row r="15054" customFormat="false" ht="15" hidden="false" customHeight="false" outlineLevel="0" collapsed="false">
      <c r="A15054" s="5" t="s">
        <v>459</v>
      </c>
      <c r="C15054" s="25" t="n">
        <f aca="false">IF(C15049=0,0,C15034/C15049*MAX(0,MIN(C15049,$C$15005-SUM($C$15022:$C$15025)-C15044)))</f>
        <v>0</v>
      </c>
    </row>
    <row r="15055" customFormat="false" ht="15" hidden="false" customHeight="false" outlineLevel="0" collapsed="false">
      <c r="A15055" s="5" t="s">
        <v>460</v>
      </c>
      <c r="C15055" s="25" t="n">
        <f aca="false">IF(C15050=0,0,C15035/C15050*MAX(0,MIN(C15050,$C$15005-SUM($C$15022:$C$15025)-C15045)))</f>
        <v>0</v>
      </c>
    </row>
    <row r="15056" customFormat="false" ht="15" hidden="false" customHeight="false" outlineLevel="0" collapsed="false">
      <c r="A15056" s="23" t="s">
        <v>470</v>
      </c>
      <c r="B15056" s="24"/>
      <c r="C15056" s="24"/>
      <c r="D15056" s="24"/>
      <c r="E15056" s="24"/>
      <c r="F15056" s="24"/>
      <c r="G15056" s="24"/>
      <c r="H15056" s="24"/>
      <c r="I15056" s="24"/>
      <c r="J15056" s="24"/>
      <c r="K15056" s="24"/>
    </row>
    <row r="15057" customFormat="false" ht="15" hidden="false" customHeight="false" outlineLevel="0" collapsed="false">
      <c r="A15057" s="2" t="s">
        <v>457</v>
      </c>
      <c r="C15057" s="16" t="n">
        <f aca="false">C15022+C15052</f>
        <v>237.1193427</v>
      </c>
    </row>
    <row r="15058" customFormat="false" ht="15" hidden="false" customHeight="false" outlineLevel="0" collapsed="false">
      <c r="A15058" s="2" t="s">
        <v>458</v>
      </c>
      <c r="C15058" s="16" t="n">
        <f aca="false">C15023+C15053</f>
        <v>272.0646573</v>
      </c>
    </row>
    <row r="15059" customFormat="false" ht="15" hidden="false" customHeight="false" outlineLevel="0" collapsed="false">
      <c r="A15059" s="2" t="s">
        <v>459</v>
      </c>
      <c r="C15059" s="16" t="n">
        <f aca="false">C15024+C15054</f>
        <v>0</v>
      </c>
    </row>
    <row r="15060" customFormat="false" ht="15" hidden="false" customHeight="false" outlineLevel="0" collapsed="false">
      <c r="A15060" s="2" t="s">
        <v>460</v>
      </c>
      <c r="C15060" s="16" t="n">
        <f aca="false">C15025+C15055</f>
        <v>0</v>
      </c>
    </row>
    <row r="15061" customFormat="false" ht="15" hidden="false" customHeight="false" outlineLevel="0" collapsed="false">
      <c r="A15061" s="23" t="s">
        <v>471</v>
      </c>
      <c r="B15061" s="24"/>
      <c r="C15061" s="24"/>
      <c r="D15061" s="24"/>
      <c r="E15061" s="24"/>
      <c r="F15061" s="24"/>
      <c r="G15061" s="24"/>
      <c r="H15061" s="24"/>
      <c r="I15061" s="24"/>
      <c r="J15061" s="24"/>
      <c r="K15061" s="24"/>
    </row>
    <row r="15062" customFormat="false" ht="15" hidden="false" customHeight="false" outlineLevel="0" collapsed="false">
      <c r="A15062" s="5" t="s">
        <v>457</v>
      </c>
      <c r="C15062" s="21" t="n">
        <f aca="false">IF(C15007=0,1,C15057/C15007)</f>
        <v>1</v>
      </c>
    </row>
    <row r="15063" customFormat="false" ht="15" hidden="false" customHeight="false" outlineLevel="0" collapsed="false">
      <c r="A15063" s="5" t="s">
        <v>458</v>
      </c>
      <c r="C15063" s="21" t="n">
        <f aca="false">IF(C15008=0,1,C15058/C15008)</f>
        <v>0.516386256419367</v>
      </c>
    </row>
    <row r="15064" customFormat="false" ht="15" hidden="false" customHeight="false" outlineLevel="0" collapsed="false">
      <c r="A15064" s="5" t="s">
        <v>459</v>
      </c>
      <c r="C15064" s="21" t="n">
        <f aca="false">IF(C15009=0,1,C15059/C15009)</f>
        <v>0</v>
      </c>
    </row>
    <row r="15065" customFormat="false" ht="15" hidden="false" customHeight="false" outlineLevel="0" collapsed="false">
      <c r="A15065" s="5" t="s">
        <v>460</v>
      </c>
      <c r="C15065" s="21" t="n">
        <f aca="false">IF(C15010=0,1,C15060/C15010)</f>
        <v>0</v>
      </c>
    </row>
    <row r="15066" customFormat="false" ht="15" hidden="false" customHeight="false" outlineLevel="0" collapsed="false">
      <c r="A15066" s="23" t="s">
        <v>472</v>
      </c>
      <c r="B15066" s="24"/>
      <c r="C15066" s="24"/>
      <c r="D15066" s="24"/>
      <c r="E15066" s="24"/>
      <c r="F15066" s="24"/>
      <c r="G15066" s="24"/>
      <c r="H15066" s="24"/>
      <c r="I15066" s="24"/>
      <c r="J15066" s="24"/>
      <c r="K15066" s="24"/>
    </row>
    <row r="15067" customFormat="false" ht="15" hidden="false" customHeight="false" outlineLevel="0" collapsed="false">
      <c r="A15067" s="5" t="s">
        <v>457</v>
      </c>
      <c r="C15067" s="25" t="n">
        <f aca="false">C15007-C15057</f>
        <v>0</v>
      </c>
    </row>
    <row r="15068" customFormat="false" ht="15" hidden="false" customHeight="false" outlineLevel="0" collapsed="false">
      <c r="A15068" s="5" t="s">
        <v>458</v>
      </c>
      <c r="C15068" s="25" t="n">
        <f aca="false">C15008-C15058</f>
        <v>254.7980427</v>
      </c>
    </row>
    <row r="15069" customFormat="false" ht="15" hidden="false" customHeight="false" outlineLevel="0" collapsed="false">
      <c r="A15069" s="5" t="s">
        <v>459</v>
      </c>
      <c r="C15069" s="25" t="n">
        <f aca="false">C15009-C15059</f>
        <v>256.875</v>
      </c>
    </row>
    <row r="15070" customFormat="false" ht="15" hidden="false" customHeight="false" outlineLevel="0" collapsed="false">
      <c r="A15070" s="5" t="s">
        <v>460</v>
      </c>
      <c r="C15070" s="25" t="n">
        <f aca="false">C15010-C15060</f>
        <v>305.625</v>
      </c>
    </row>
    <row r="15071" customFormat="false" ht="15" hidden="false" customHeight="false" outlineLevel="0" collapsed="false">
      <c r="A15071" s="23" t="s">
        <v>473</v>
      </c>
      <c r="B15071" s="24"/>
      <c r="C15071" s="24"/>
      <c r="D15071" s="24"/>
      <c r="E15071" s="24"/>
      <c r="F15071" s="24"/>
      <c r="G15071" s="24"/>
      <c r="H15071" s="24"/>
      <c r="I15071" s="24"/>
      <c r="J15071" s="24"/>
      <c r="K15071" s="24"/>
    </row>
    <row r="15072" customFormat="false" ht="15" hidden="false" customHeight="false" outlineLevel="0" collapsed="false">
      <c r="A15072" s="5" t="s">
        <v>457</v>
      </c>
      <c r="C15072" s="21" t="n">
        <f aca="false">IF(C15007=0,0,C15067/C15007)</f>
        <v>0</v>
      </c>
    </row>
    <row r="15073" customFormat="false" ht="15" hidden="false" customHeight="false" outlineLevel="0" collapsed="false">
      <c r="A15073" s="5" t="s">
        <v>458</v>
      </c>
      <c r="C15073" s="21" t="n">
        <f aca="false">IF(C15008=0,0,C15068/C15008)</f>
        <v>0.483613743580633</v>
      </c>
    </row>
    <row r="15074" customFormat="false" ht="15" hidden="false" customHeight="false" outlineLevel="0" collapsed="false">
      <c r="A15074" s="5" t="s">
        <v>459</v>
      </c>
      <c r="C15074" s="21" t="n">
        <f aca="false">IF(C15009=0,0,C15069/C15009)</f>
        <v>1</v>
      </c>
    </row>
    <row r="15075" customFormat="false" ht="15" hidden="false" customHeight="false" outlineLevel="0" collapsed="false">
      <c r="A15075" s="5" t="s">
        <v>460</v>
      </c>
      <c r="C15075" s="21" t="n">
        <f aca="false">IF(C15010=0,0,C15070/C15010)</f>
        <v>1</v>
      </c>
    </row>
    <row r="15076" customFormat="false" ht="15" hidden="false" customHeight="false" outlineLevel="0" collapsed="false">
      <c r="A15076" s="2" t="s">
        <v>474</v>
      </c>
      <c r="C15076" s="16" t="n">
        <f aca="false">MAX(0,$C$15005-SUM($C$15022:$C$15025)-SUM($C$15032:$C$15035))</f>
        <v>0</v>
      </c>
    </row>
    <row r="15077" customFormat="false" ht="15" hidden="false" customHeight="false" outlineLevel="0" collapsed="false">
      <c r="A15077" s="5" t="s">
        <v>475</v>
      </c>
      <c r="C15077" s="25" t="n">
        <f aca="false">SUM($C$15057:$C$15060)+C15076+C15004-C15003</f>
        <v>0</v>
      </c>
    </row>
    <row r="15079" customFormat="false" ht="15" hidden="false" customHeight="false" outlineLevel="0" collapsed="false">
      <c r="A15079" s="23" t="s">
        <v>478</v>
      </c>
      <c r="B15079" s="24"/>
      <c r="C15079" s="24"/>
      <c r="D15079" s="24"/>
      <c r="E15079" s="24"/>
      <c r="F15079" s="24"/>
      <c r="G15079" s="24"/>
      <c r="H15079" s="24"/>
      <c r="I15079" s="24"/>
      <c r="J15079" s="24"/>
      <c r="K15079" s="24"/>
    </row>
    <row r="15080" customFormat="false" ht="15" hidden="false" customHeight="false" outlineLevel="0" collapsed="false">
      <c r="A15080" s="5" t="s">
        <v>479</v>
      </c>
      <c r="C15080" s="26" t="n">
        <f aca="false">Assumptions!$C$30</f>
        <v>2</v>
      </c>
    </row>
    <row r="15081" customFormat="false" ht="15" hidden="false" customHeight="false" outlineLevel="0" collapsed="false">
      <c r="A15081" s="5" t="s">
        <v>480</v>
      </c>
      <c r="C15081" s="28" t="n">
        <f aca="false">Assumptions!$C$31</f>
        <v>100</v>
      </c>
    </row>
    <row r="15082" customFormat="false" ht="15" hidden="false" customHeight="false" outlineLevel="0" collapsed="false">
      <c r="A15082" s="5" t="s">
        <v>481</v>
      </c>
      <c r="C15082" s="39" t="n">
        <f aca="false">Assumptions!$C$32</f>
        <v>78</v>
      </c>
    </row>
    <row r="15083" customFormat="false" ht="15" hidden="false" customHeight="false" outlineLevel="0" collapsed="false">
      <c r="A15083" s="5" t="s">
        <v>482</v>
      </c>
      <c r="C15083" s="25" t="n">
        <f aca="false">C15081*C15082/100*(1+Assumptions!$C$33)</f>
        <v>78.39</v>
      </c>
    </row>
    <row r="15084" customFormat="false" ht="15" hidden="false" customHeight="false" outlineLevel="0" collapsed="false">
      <c r="A15084" s="5" t="s">
        <v>483</v>
      </c>
      <c r="C15084" s="26" t="n">
        <f aca="false">Assumptions!$C$34</f>
        <v>2</v>
      </c>
    </row>
    <row r="15085" customFormat="false" ht="15" hidden="false" customHeight="false" outlineLevel="0" collapsed="false">
      <c r="A15085" s="5" t="s">
        <v>484</v>
      </c>
      <c r="C15085" s="20" t="n">
        <f aca="false">IF(C14996=1,SUMPRODUCT($G$14964:$K$14964,$G$14840:$K$14840),0)</f>
        <v>2</v>
      </c>
    </row>
    <row r="15086" customFormat="false" ht="15" hidden="false" customHeight="false" outlineLevel="0" collapsed="false">
      <c r="A15086" s="5" t="s">
        <v>485</v>
      </c>
      <c r="C15086" s="21" t="n">
        <f aca="false">IFERROR(C15081/CHOOSE(C15080,SUMPRODUCT($G$14995:$K$14995,$G$14886:$K$14886),SUMPRODUCT($G$14995:$K$14995,$G$14899:$K$14899),SUMPRODUCT($G$14995:$K$14995,$G$14912:$K$14912),SUMPRODUCT($G$14995:$K$14995,$G$14925:$K$14925)),0)</f>
        <v>0.196232339089482</v>
      </c>
    </row>
    <row r="15087" customFormat="false" ht="15" hidden="false" customHeight="false" outlineLevel="0" collapsed="false">
      <c r="A15087" s="5" t="s">
        <v>486</v>
      </c>
      <c r="C15087" s="25" t="n">
        <f aca="false">CHOOSE(C15080,C15057,C15058,C15059,C15060)*C15086</f>
        <v>53.3878840855573</v>
      </c>
    </row>
    <row r="15088" customFormat="false" ht="15" hidden="false" customHeight="false" outlineLevel="0" collapsed="false">
      <c r="A15088" s="5" t="s">
        <v>487</v>
      </c>
      <c r="C15088" s="21" t="n">
        <f aca="false">CHOOSE(C15080,C15062,C15063,C15064,C15065)</f>
        <v>0.516386256419367</v>
      </c>
    </row>
    <row r="15089" customFormat="false" ht="15" hidden="false" customHeight="false" outlineLevel="0" collapsed="false">
      <c r="A15089" s="5" t="s">
        <v>488</v>
      </c>
      <c r="C15089" s="20" t="n">
        <f aca="false">IF(C14996=1,C15085,C15084)</f>
        <v>2</v>
      </c>
    </row>
    <row r="15090" customFormat="false" ht="15" hidden="false" customHeight="false" outlineLevel="0" collapsed="false">
      <c r="A15090" s="5" t="s">
        <v>489</v>
      </c>
      <c r="C15090" s="33" t="n">
        <f aca="false">CHOOSE($C$14832,Assumptions!$C$77,Assumptions!$C$96,Assumptions!$C$115)</f>
        <v>90</v>
      </c>
    </row>
    <row r="15091" customFormat="false" ht="15" hidden="false" customHeight="false" outlineLevel="0" collapsed="false">
      <c r="A15091" s="5" t="s">
        <v>490</v>
      </c>
      <c r="C15091" s="25" t="n">
        <f aca="false">INDEX($G$14849:$K$14849,C15084)*CHOOSE($C$14832,Assumptions!$C$76,Assumptions!$C$95,Assumptions!$C$114)+MAX(0,INDEX($G$14961:$K$14961,C15084))</f>
        <v>244.547592</v>
      </c>
    </row>
    <row r="15092" customFormat="false" ht="15" hidden="false" customHeight="false" outlineLevel="0" collapsed="false">
      <c r="A15092" s="23" t="s">
        <v>491</v>
      </c>
      <c r="B15092" s="24"/>
      <c r="C15092" s="24"/>
      <c r="D15092" s="24"/>
      <c r="E15092" s="24"/>
      <c r="F15092" s="24"/>
      <c r="G15092" s="24"/>
      <c r="H15092" s="24"/>
      <c r="I15092" s="24"/>
      <c r="J15092" s="24"/>
      <c r="K15092" s="24"/>
    </row>
    <row r="15093" customFormat="false" ht="15" hidden="false" customHeight="false" outlineLevel="0" collapsed="false">
      <c r="A15093" s="5" t="s">
        <v>457</v>
      </c>
      <c r="C15093" s="25" t="n">
        <f aca="false">INDEX($G$14886:$K$14886,C15084)</f>
        <v>230.2968</v>
      </c>
    </row>
    <row r="15094" customFormat="false" ht="15" hidden="false" customHeight="false" outlineLevel="0" collapsed="false">
      <c r="A15094" s="5" t="s">
        <v>458</v>
      </c>
      <c r="C15094" s="25" t="n">
        <f aca="false">INDEX($G$14899:$K$14899,C15084)</f>
        <v>509.6</v>
      </c>
    </row>
    <row r="15095" customFormat="false" ht="15" hidden="false" customHeight="false" outlineLevel="0" collapsed="false">
      <c r="A15095" s="5" t="s">
        <v>459</v>
      </c>
      <c r="C15095" s="25" t="n">
        <f aca="false">INDEX($G$14912:$K$14912,C15084)</f>
        <v>250</v>
      </c>
    </row>
    <row r="15096" customFormat="false" ht="15" hidden="false" customHeight="false" outlineLevel="0" collapsed="false">
      <c r="A15096" s="5" t="s">
        <v>460</v>
      </c>
      <c r="C15096" s="25" t="n">
        <f aca="false">INDEX($G$14925:$K$14925,C15084)</f>
        <v>300</v>
      </c>
    </row>
    <row r="15097" customFormat="false" ht="15" hidden="false" customHeight="false" outlineLevel="0" collapsed="false">
      <c r="A15097" s="23" t="s">
        <v>461</v>
      </c>
      <c r="B15097" s="24"/>
      <c r="C15097" s="24"/>
      <c r="D15097" s="24"/>
      <c r="E15097" s="24"/>
      <c r="F15097" s="24"/>
      <c r="G15097" s="24"/>
      <c r="H15097" s="24"/>
      <c r="I15097" s="24"/>
      <c r="J15097" s="24"/>
      <c r="K15097" s="24"/>
    </row>
    <row r="15098" customFormat="false" ht="15" hidden="false" customHeight="false" outlineLevel="0" collapsed="false">
      <c r="A15098" s="5" t="s">
        <v>457</v>
      </c>
      <c r="C15098" s="26" t="n">
        <f aca="false">Assumptions!$M$53</f>
        <v>1</v>
      </c>
    </row>
    <row r="15099" customFormat="false" ht="15" hidden="false" customHeight="false" outlineLevel="0" collapsed="false">
      <c r="A15099" s="5" t="s">
        <v>458</v>
      </c>
      <c r="C15099" s="26" t="n">
        <f aca="false">Assumptions!$M$54</f>
        <v>2</v>
      </c>
    </row>
    <row r="15100" customFormat="false" ht="15" hidden="false" customHeight="false" outlineLevel="0" collapsed="false">
      <c r="A15100" s="5" t="s">
        <v>459</v>
      </c>
      <c r="C15100" s="26" t="n">
        <f aca="false">Assumptions!$M$55</f>
        <v>3</v>
      </c>
    </row>
    <row r="15101" customFormat="false" ht="15" hidden="false" customHeight="false" outlineLevel="0" collapsed="false">
      <c r="A15101" s="5" t="s">
        <v>460</v>
      </c>
      <c r="C15101" s="26" t="n">
        <f aca="false">Assumptions!$M$56</f>
        <v>4</v>
      </c>
    </row>
    <row r="15102" customFormat="false" ht="15" hidden="false" customHeight="false" outlineLevel="0" collapsed="false">
      <c r="A15102" s="23" t="s">
        <v>462</v>
      </c>
      <c r="B15102" s="24"/>
      <c r="C15102" s="24"/>
      <c r="D15102" s="24"/>
      <c r="E15102" s="24"/>
      <c r="F15102" s="24"/>
      <c r="G15102" s="24"/>
      <c r="H15102" s="24"/>
      <c r="I15102" s="24"/>
      <c r="J15102" s="24"/>
      <c r="K15102" s="24"/>
    </row>
    <row r="15103" customFormat="false" ht="15" hidden="false" customHeight="false" outlineLevel="0" collapsed="false">
      <c r="A15103" s="5" t="s">
        <v>457</v>
      </c>
      <c r="C15103" s="34" t="n">
        <f aca="false">Assumptions!$Q$53</f>
        <v>0</v>
      </c>
    </row>
    <row r="15104" customFormat="false" ht="15" hidden="false" customHeight="false" outlineLevel="0" collapsed="false">
      <c r="A15104" s="5" t="s">
        <v>458</v>
      </c>
      <c r="C15104" s="34" t="n">
        <f aca="false">Assumptions!$Q$54</f>
        <v>0</v>
      </c>
    </row>
    <row r="15105" customFormat="false" ht="15" hidden="false" customHeight="false" outlineLevel="0" collapsed="false">
      <c r="A15105" s="5" t="s">
        <v>459</v>
      </c>
      <c r="C15105" s="34" t="n">
        <f aca="false">Assumptions!$Q$55</f>
        <v>0</v>
      </c>
    </row>
    <row r="15106" customFormat="false" ht="15" hidden="false" customHeight="false" outlineLevel="0" collapsed="false">
      <c r="A15106" s="5" t="s">
        <v>460</v>
      </c>
      <c r="C15106" s="34" t="n">
        <f aca="false">Assumptions!$Q$56</f>
        <v>0</v>
      </c>
    </row>
    <row r="15107" customFormat="false" ht="15" hidden="false" customHeight="false" outlineLevel="0" collapsed="false">
      <c r="A15107" s="23" t="s">
        <v>463</v>
      </c>
      <c r="B15107" s="24"/>
      <c r="C15107" s="24"/>
      <c r="D15107" s="24"/>
      <c r="E15107" s="24"/>
      <c r="F15107" s="24"/>
      <c r="G15107" s="24"/>
      <c r="H15107" s="24"/>
      <c r="I15107" s="24"/>
      <c r="J15107" s="24"/>
      <c r="K15107" s="24"/>
    </row>
    <row r="15108" customFormat="false" ht="15" hidden="false" customHeight="false" outlineLevel="0" collapsed="false">
      <c r="A15108" s="5" t="s">
        <v>457</v>
      </c>
      <c r="C15108" s="25" t="n">
        <f aca="false">IF(C15103&gt;0,MIN(C15093,C15103*$C$15091),0)</f>
        <v>0</v>
      </c>
    </row>
    <row r="15109" customFormat="false" ht="15" hidden="false" customHeight="false" outlineLevel="0" collapsed="false">
      <c r="A15109" s="5" t="s">
        <v>458</v>
      </c>
      <c r="C15109" s="25" t="n">
        <f aca="false">IF(C15104&gt;0,MIN(C15094,C15104*$C$15091),0)</f>
        <v>0</v>
      </c>
    </row>
    <row r="15110" customFormat="false" ht="15" hidden="false" customHeight="false" outlineLevel="0" collapsed="false">
      <c r="A15110" s="5" t="s">
        <v>459</v>
      </c>
      <c r="C15110" s="25" t="n">
        <f aca="false">IF(C15105&gt;0,MIN(C15095,C15105*$C$15091),0)</f>
        <v>0</v>
      </c>
    </row>
    <row r="15111" customFormat="false" ht="15" hidden="false" customHeight="false" outlineLevel="0" collapsed="false">
      <c r="A15111" s="5" t="s">
        <v>460</v>
      </c>
      <c r="C15111" s="25" t="n">
        <f aca="false">IF(C15106&gt;0,MIN(C15096,C15106*$C$15091),0)</f>
        <v>0</v>
      </c>
    </row>
    <row r="15112" customFormat="false" ht="15" hidden="false" customHeight="false" outlineLevel="0" collapsed="false">
      <c r="A15112" s="23" t="s">
        <v>464</v>
      </c>
      <c r="B15112" s="24"/>
      <c r="C15112" s="24"/>
      <c r="D15112" s="24"/>
      <c r="E15112" s="24"/>
      <c r="F15112" s="24"/>
      <c r="G15112" s="24"/>
      <c r="H15112" s="24"/>
      <c r="I15112" s="24"/>
      <c r="J15112" s="24"/>
      <c r="K15112" s="24"/>
    </row>
    <row r="15113" customFormat="false" ht="15" hidden="false" customHeight="false" outlineLevel="0" collapsed="false">
      <c r="A15113" s="5" t="s">
        <v>457</v>
      </c>
      <c r="C15113" s="25" t="n">
        <f aca="false">IF(C15103&gt;0,C15093-C15108,0)</f>
        <v>0</v>
      </c>
    </row>
    <row r="15114" customFormat="false" ht="15" hidden="false" customHeight="false" outlineLevel="0" collapsed="false">
      <c r="A15114" s="5" t="s">
        <v>458</v>
      </c>
      <c r="C15114" s="25" t="n">
        <f aca="false">IF(C15104&gt;0,C15094-C15109,0)</f>
        <v>0</v>
      </c>
    </row>
    <row r="15115" customFormat="false" ht="15" hidden="false" customHeight="false" outlineLevel="0" collapsed="false">
      <c r="A15115" s="5" t="s">
        <v>459</v>
      </c>
      <c r="C15115" s="25" t="n">
        <f aca="false">IF(C15105&gt;0,C15095-C15110,0)</f>
        <v>0</v>
      </c>
    </row>
    <row r="15116" customFormat="false" ht="15" hidden="false" customHeight="false" outlineLevel="0" collapsed="false">
      <c r="A15116" s="5" t="s">
        <v>460</v>
      </c>
      <c r="C15116" s="25" t="n">
        <f aca="false">IF(C15106&gt;0,C15096-C15111,0)</f>
        <v>0</v>
      </c>
    </row>
    <row r="15117" customFormat="false" ht="15" hidden="false" customHeight="false" outlineLevel="0" collapsed="false">
      <c r="A15117" s="23" t="s">
        <v>465</v>
      </c>
      <c r="B15117" s="24"/>
      <c r="C15117" s="24"/>
      <c r="D15117" s="24"/>
      <c r="E15117" s="24"/>
      <c r="F15117" s="24"/>
      <c r="G15117" s="24"/>
      <c r="H15117" s="24"/>
      <c r="I15117" s="24"/>
      <c r="J15117" s="24"/>
      <c r="K15117" s="24"/>
    </row>
    <row r="15118" customFormat="false" ht="15" hidden="false" customHeight="false" outlineLevel="0" collapsed="false">
      <c r="A15118" s="5" t="s">
        <v>457</v>
      </c>
      <c r="C15118" s="25" t="n">
        <f aca="false">IF(C15103&gt;0,C15113,C15093)</f>
        <v>230.2968</v>
      </c>
    </row>
    <row r="15119" customFormat="false" ht="15" hidden="false" customHeight="false" outlineLevel="0" collapsed="false">
      <c r="A15119" s="5" t="s">
        <v>458</v>
      </c>
      <c r="C15119" s="25" t="n">
        <f aca="false">IF(C15104&gt;0,C15114,C15094)</f>
        <v>509.6</v>
      </c>
    </row>
    <row r="15120" customFormat="false" ht="15" hidden="false" customHeight="false" outlineLevel="0" collapsed="false">
      <c r="A15120" s="5" t="s">
        <v>459</v>
      </c>
      <c r="C15120" s="25" t="n">
        <f aca="false">IF(C15105&gt;0,C15115,C15095)</f>
        <v>250</v>
      </c>
    </row>
    <row r="15121" customFormat="false" ht="15" hidden="false" customHeight="false" outlineLevel="0" collapsed="false">
      <c r="A15121" s="5" t="s">
        <v>460</v>
      </c>
      <c r="C15121" s="25" t="n">
        <f aca="false">IF(C15106&gt;0,C15116,C15096)</f>
        <v>300</v>
      </c>
    </row>
    <row r="15122" customFormat="false" ht="15" hidden="false" customHeight="false" outlineLevel="0" collapsed="false">
      <c r="A15122" s="23" t="s">
        <v>466</v>
      </c>
      <c r="B15122" s="24"/>
      <c r="C15122" s="24"/>
      <c r="D15122" s="24"/>
      <c r="E15122" s="24"/>
      <c r="F15122" s="24"/>
      <c r="G15122" s="24"/>
      <c r="H15122" s="24"/>
      <c r="I15122" s="24"/>
      <c r="J15122" s="24"/>
      <c r="K15122" s="24"/>
    </row>
    <row r="15123" customFormat="false" ht="15" hidden="false" customHeight="false" outlineLevel="0" collapsed="false">
      <c r="A15123" s="5" t="s">
        <v>457</v>
      </c>
      <c r="C15123" s="20" t="n">
        <f aca="false">IF(C15103&gt;0,Assumptions!$C$17,C15098)</f>
        <v>1</v>
      </c>
    </row>
    <row r="15124" customFormat="false" ht="15" hidden="false" customHeight="false" outlineLevel="0" collapsed="false">
      <c r="A15124" s="5" t="s">
        <v>458</v>
      </c>
      <c r="C15124" s="20" t="n">
        <f aca="false">IF(C15104&gt;0,Assumptions!$C$17,C15099)</f>
        <v>2</v>
      </c>
    </row>
    <row r="15125" customFormat="false" ht="15" hidden="false" customHeight="false" outlineLevel="0" collapsed="false">
      <c r="A15125" s="5" t="s">
        <v>459</v>
      </c>
      <c r="C15125" s="20" t="n">
        <f aca="false">IF(C15105&gt;0,Assumptions!$C$17,C15100)</f>
        <v>3</v>
      </c>
    </row>
    <row r="15126" customFormat="false" ht="15" hidden="false" customHeight="false" outlineLevel="0" collapsed="false">
      <c r="A15126" s="5" t="s">
        <v>460</v>
      </c>
      <c r="C15126" s="20" t="n">
        <f aca="false">IF(C15106&gt;0,Assumptions!$C$17,C15101)</f>
        <v>4</v>
      </c>
    </row>
    <row r="15127" customFormat="false" ht="15" hidden="false" customHeight="false" outlineLevel="0" collapsed="false">
      <c r="A15127" s="23" t="s">
        <v>467</v>
      </c>
      <c r="B15127" s="24"/>
      <c r="C15127" s="24"/>
      <c r="D15127" s="24"/>
      <c r="E15127" s="24"/>
      <c r="F15127" s="24"/>
      <c r="G15127" s="24"/>
      <c r="H15127" s="24"/>
      <c r="I15127" s="24"/>
      <c r="J15127" s="24"/>
      <c r="K15127" s="24"/>
    </row>
    <row r="15128" customFormat="false" ht="15" hidden="false" customHeight="false" outlineLevel="0" collapsed="false">
      <c r="A15128" s="5" t="s">
        <v>457</v>
      </c>
      <c r="C15128" s="25" t="n">
        <f aca="false">SUMPRODUCT(($C$15123:$C$15126&lt;C15123)*$C$15118:$C$15121)</f>
        <v>0</v>
      </c>
    </row>
    <row r="15129" customFormat="false" ht="15" hidden="false" customHeight="false" outlineLevel="0" collapsed="false">
      <c r="A15129" s="5" t="s">
        <v>458</v>
      </c>
      <c r="C15129" s="25" t="n">
        <f aca="false">SUMPRODUCT(($C$15123:$C$15126&lt;C15124)*$C$15118:$C$15121)</f>
        <v>230.2968</v>
      </c>
    </row>
    <row r="15130" customFormat="false" ht="15" hidden="false" customHeight="false" outlineLevel="0" collapsed="false">
      <c r="A15130" s="5" t="s">
        <v>459</v>
      </c>
      <c r="C15130" s="25" t="n">
        <f aca="false">SUMPRODUCT(($C$15123:$C$15126&lt;C15125)*$C$15118:$C$15121)</f>
        <v>739.8968</v>
      </c>
    </row>
    <row r="15131" customFormat="false" ht="15" hidden="false" customHeight="false" outlineLevel="0" collapsed="false">
      <c r="A15131" s="5" t="s">
        <v>460</v>
      </c>
      <c r="C15131" s="25" t="n">
        <f aca="false">SUMPRODUCT(($C$15123:$C$15126&lt;C15126)*$C$15118:$C$15121)</f>
        <v>989.8968</v>
      </c>
    </row>
    <row r="15132" customFormat="false" ht="15" hidden="false" customHeight="false" outlineLevel="0" collapsed="false">
      <c r="A15132" s="23" t="s">
        <v>468</v>
      </c>
      <c r="B15132" s="24"/>
      <c r="C15132" s="24"/>
      <c r="D15132" s="24"/>
      <c r="E15132" s="24"/>
      <c r="F15132" s="24"/>
      <c r="G15132" s="24"/>
      <c r="H15132" s="24"/>
      <c r="I15132" s="24"/>
      <c r="J15132" s="24"/>
      <c r="K15132" s="24"/>
    </row>
    <row r="15133" customFormat="false" ht="15" hidden="false" customHeight="false" outlineLevel="0" collapsed="false">
      <c r="A15133" s="5" t="s">
        <v>457</v>
      </c>
      <c r="C15133" s="25" t="n">
        <f aca="false">SUMPRODUCT(($C$15123:$C$15126=C15123)*$C$15118:$C$15121)</f>
        <v>230.2968</v>
      </c>
    </row>
    <row r="15134" customFormat="false" ht="15" hidden="false" customHeight="false" outlineLevel="0" collapsed="false">
      <c r="A15134" s="5" t="s">
        <v>458</v>
      </c>
      <c r="C15134" s="25" t="n">
        <f aca="false">SUMPRODUCT(($C$15123:$C$15126=C15124)*$C$15118:$C$15121)</f>
        <v>509.6</v>
      </c>
    </row>
    <row r="15135" customFormat="false" ht="15" hidden="false" customHeight="false" outlineLevel="0" collapsed="false">
      <c r="A15135" s="5" t="s">
        <v>459</v>
      </c>
      <c r="C15135" s="25" t="n">
        <f aca="false">SUMPRODUCT(($C$15123:$C$15126=C15125)*$C$15118:$C$15121)</f>
        <v>250</v>
      </c>
    </row>
    <row r="15136" customFormat="false" ht="15" hidden="false" customHeight="false" outlineLevel="0" collapsed="false">
      <c r="A15136" s="5" t="s">
        <v>460</v>
      </c>
      <c r="C15136" s="25" t="n">
        <f aca="false">SUMPRODUCT(($C$15123:$C$15126=C15126)*$C$15118:$C$15121)</f>
        <v>300</v>
      </c>
    </row>
    <row r="15137" customFormat="false" ht="15" hidden="false" customHeight="false" outlineLevel="0" collapsed="false">
      <c r="A15137" s="23" t="s">
        <v>469</v>
      </c>
      <c r="B15137" s="24"/>
      <c r="C15137" s="24"/>
      <c r="D15137" s="24"/>
      <c r="E15137" s="24"/>
      <c r="F15137" s="24"/>
      <c r="G15137" s="24"/>
      <c r="H15137" s="24"/>
      <c r="I15137" s="24"/>
      <c r="J15137" s="24"/>
      <c r="K15137" s="24"/>
    </row>
    <row r="15138" customFormat="false" ht="15" hidden="false" customHeight="false" outlineLevel="0" collapsed="false">
      <c r="A15138" s="5" t="s">
        <v>457</v>
      </c>
      <c r="C15138" s="25" t="n">
        <f aca="false">IF(C15133=0,0,C15118/C15133*MAX(0,MIN(C15133,$C$15091-SUM($C$15108:$C$15111)-C15128)))</f>
        <v>230.2968</v>
      </c>
    </row>
    <row r="15139" customFormat="false" ht="15" hidden="false" customHeight="false" outlineLevel="0" collapsed="false">
      <c r="A15139" s="5" t="s">
        <v>458</v>
      </c>
      <c r="C15139" s="25" t="n">
        <f aca="false">IF(C15134=0,0,C15119/C15134*MAX(0,MIN(C15134,$C$15091-SUM($C$15108:$C$15111)-C15129)))</f>
        <v>14.2507919999998</v>
      </c>
    </row>
    <row r="15140" customFormat="false" ht="15" hidden="false" customHeight="false" outlineLevel="0" collapsed="false">
      <c r="A15140" s="5" t="s">
        <v>459</v>
      </c>
      <c r="C15140" s="25" t="n">
        <f aca="false">IF(C15135=0,0,C15120/C15135*MAX(0,MIN(C15135,$C$15091-SUM($C$15108:$C$15111)-C15130)))</f>
        <v>0</v>
      </c>
    </row>
    <row r="15141" customFormat="false" ht="15" hidden="false" customHeight="false" outlineLevel="0" collapsed="false">
      <c r="A15141" s="5" t="s">
        <v>460</v>
      </c>
      <c r="C15141" s="25" t="n">
        <f aca="false">IF(C15136=0,0,C15121/C15136*MAX(0,MIN(C15136,$C$15091-SUM($C$15108:$C$15111)-C15131)))</f>
        <v>0</v>
      </c>
    </row>
    <row r="15142" customFormat="false" ht="15" hidden="false" customHeight="false" outlineLevel="0" collapsed="false">
      <c r="A15142" s="23" t="s">
        <v>470</v>
      </c>
      <c r="B15142" s="24"/>
      <c r="C15142" s="24"/>
      <c r="D15142" s="24"/>
      <c r="E15142" s="24"/>
      <c r="F15142" s="24"/>
      <c r="G15142" s="24"/>
      <c r="H15142" s="24"/>
      <c r="I15142" s="24"/>
      <c r="J15142" s="24"/>
      <c r="K15142" s="24"/>
    </row>
    <row r="15143" customFormat="false" ht="15" hidden="false" customHeight="false" outlineLevel="0" collapsed="false">
      <c r="A15143" s="2" t="s">
        <v>457</v>
      </c>
      <c r="C15143" s="16" t="n">
        <f aca="false">C15108+C15138</f>
        <v>230.2968</v>
      </c>
    </row>
    <row r="15144" customFormat="false" ht="15" hidden="false" customHeight="false" outlineLevel="0" collapsed="false">
      <c r="A15144" s="2" t="s">
        <v>458</v>
      </c>
      <c r="C15144" s="16" t="n">
        <f aca="false">C15109+C15139</f>
        <v>14.2507919999998</v>
      </c>
    </row>
    <row r="15145" customFormat="false" ht="15" hidden="false" customHeight="false" outlineLevel="0" collapsed="false">
      <c r="A15145" s="2" t="s">
        <v>459</v>
      </c>
      <c r="C15145" s="16" t="n">
        <f aca="false">C15110+C15140</f>
        <v>0</v>
      </c>
    </row>
    <row r="15146" customFormat="false" ht="15" hidden="false" customHeight="false" outlineLevel="0" collapsed="false">
      <c r="A15146" s="2" t="s">
        <v>460</v>
      </c>
      <c r="C15146" s="16" t="n">
        <f aca="false">C15111+C15141</f>
        <v>0</v>
      </c>
    </row>
    <row r="15147" customFormat="false" ht="15" hidden="false" customHeight="false" outlineLevel="0" collapsed="false">
      <c r="A15147" s="23" t="s">
        <v>471</v>
      </c>
      <c r="B15147" s="24"/>
      <c r="C15147" s="24"/>
      <c r="D15147" s="24"/>
      <c r="E15147" s="24"/>
      <c r="F15147" s="24"/>
      <c r="G15147" s="24"/>
      <c r="H15147" s="24"/>
      <c r="I15147" s="24"/>
      <c r="J15147" s="24"/>
      <c r="K15147" s="24"/>
    </row>
    <row r="15148" customFormat="false" ht="15" hidden="false" customHeight="false" outlineLevel="0" collapsed="false">
      <c r="A15148" s="5" t="s">
        <v>457</v>
      </c>
      <c r="C15148" s="21" t="n">
        <f aca="false">IF(C15093=0,1,C15143/C15093)</f>
        <v>1</v>
      </c>
    </row>
    <row r="15149" customFormat="false" ht="15" hidden="false" customHeight="false" outlineLevel="0" collapsed="false">
      <c r="A15149" s="5" t="s">
        <v>458</v>
      </c>
      <c r="C15149" s="21" t="n">
        <f aca="false">IF(C15094=0,1,C15144/C15094)</f>
        <v>0.0279646624803765</v>
      </c>
    </row>
    <row r="15150" customFormat="false" ht="15" hidden="false" customHeight="false" outlineLevel="0" collapsed="false">
      <c r="A15150" s="5" t="s">
        <v>459</v>
      </c>
      <c r="C15150" s="21" t="n">
        <f aca="false">IF(C15095=0,1,C15145/C15095)</f>
        <v>0</v>
      </c>
    </row>
    <row r="15151" customFormat="false" ht="15" hidden="false" customHeight="false" outlineLevel="0" collapsed="false">
      <c r="A15151" s="5" t="s">
        <v>460</v>
      </c>
      <c r="C15151" s="21" t="n">
        <f aca="false">IF(C15096=0,1,C15146/C15096)</f>
        <v>0</v>
      </c>
    </row>
    <row r="15152" customFormat="false" ht="15" hidden="false" customHeight="false" outlineLevel="0" collapsed="false">
      <c r="A15152" s="23" t="s">
        <v>472</v>
      </c>
      <c r="B15152" s="24"/>
      <c r="C15152" s="24"/>
      <c r="D15152" s="24"/>
      <c r="E15152" s="24"/>
      <c r="F15152" s="24"/>
      <c r="G15152" s="24"/>
      <c r="H15152" s="24"/>
      <c r="I15152" s="24"/>
      <c r="J15152" s="24"/>
      <c r="K15152" s="24"/>
    </row>
    <row r="15153" customFormat="false" ht="15" hidden="false" customHeight="false" outlineLevel="0" collapsed="false">
      <c r="A15153" s="5" t="s">
        <v>457</v>
      </c>
      <c r="C15153" s="25" t="n">
        <f aca="false">C15093-C15143</f>
        <v>0</v>
      </c>
    </row>
    <row r="15154" customFormat="false" ht="15" hidden="false" customHeight="false" outlineLevel="0" collapsed="false">
      <c r="A15154" s="5" t="s">
        <v>458</v>
      </c>
      <c r="C15154" s="25" t="n">
        <f aca="false">C15094-C15144</f>
        <v>495.349208</v>
      </c>
    </row>
    <row r="15155" customFormat="false" ht="15" hidden="false" customHeight="false" outlineLevel="0" collapsed="false">
      <c r="A15155" s="5" t="s">
        <v>459</v>
      </c>
      <c r="C15155" s="25" t="n">
        <f aca="false">C15095-C15145</f>
        <v>250</v>
      </c>
    </row>
    <row r="15156" customFormat="false" ht="15" hidden="false" customHeight="false" outlineLevel="0" collapsed="false">
      <c r="A15156" s="5" t="s">
        <v>460</v>
      </c>
      <c r="C15156" s="25" t="n">
        <f aca="false">C15096-C15146</f>
        <v>300</v>
      </c>
    </row>
    <row r="15157" customFormat="false" ht="15" hidden="false" customHeight="false" outlineLevel="0" collapsed="false">
      <c r="A15157" s="23" t="s">
        <v>473</v>
      </c>
      <c r="B15157" s="24"/>
      <c r="C15157" s="24"/>
      <c r="D15157" s="24"/>
      <c r="E15157" s="24"/>
      <c r="F15157" s="24"/>
      <c r="G15157" s="24"/>
      <c r="H15157" s="24"/>
      <c r="I15157" s="24"/>
      <c r="J15157" s="24"/>
      <c r="K15157" s="24"/>
    </row>
    <row r="15158" customFormat="false" ht="15" hidden="false" customHeight="false" outlineLevel="0" collapsed="false">
      <c r="A15158" s="5" t="s">
        <v>457</v>
      </c>
      <c r="C15158" s="21" t="n">
        <f aca="false">IF(C15093=0,0,C15153/C15093)</f>
        <v>0</v>
      </c>
    </row>
    <row r="15159" customFormat="false" ht="15" hidden="false" customHeight="false" outlineLevel="0" collapsed="false">
      <c r="A15159" s="5" t="s">
        <v>458</v>
      </c>
      <c r="C15159" s="21" t="n">
        <f aca="false">IF(C15094=0,0,C15154/C15094)</f>
        <v>0.972035337519624</v>
      </c>
    </row>
    <row r="15160" customFormat="false" ht="15" hidden="false" customHeight="false" outlineLevel="0" collapsed="false">
      <c r="A15160" s="5" t="s">
        <v>459</v>
      </c>
      <c r="C15160" s="21" t="n">
        <f aca="false">IF(C15095=0,0,C15155/C15095)</f>
        <v>1</v>
      </c>
    </row>
    <row r="15161" customFormat="false" ht="15" hidden="false" customHeight="false" outlineLevel="0" collapsed="false">
      <c r="A15161" s="5" t="s">
        <v>460</v>
      </c>
      <c r="C15161" s="21" t="n">
        <f aca="false">IF(C15096=0,0,C15156/C15096)</f>
        <v>1</v>
      </c>
    </row>
    <row r="15162" customFormat="false" ht="15" hidden="false" customHeight="false" outlineLevel="0" collapsed="false">
      <c r="A15162" s="2" t="s">
        <v>474</v>
      </c>
      <c r="C15162" s="16" t="n">
        <f aca="false">MAX(0,$C$15091-SUM($C$15108:$C$15111)-SUM($C$15118:$C$15121))</f>
        <v>0</v>
      </c>
    </row>
    <row r="15163" customFormat="false" ht="15" hidden="false" customHeight="false" outlineLevel="0" collapsed="false">
      <c r="A15163" s="5" t="s">
        <v>492</v>
      </c>
      <c r="C15163" s="33" t="n">
        <f aca="false">MIN(C15090,100*CHOOSE(C15080,C15148,C15149,C15150,C15151))</f>
        <v>2.79646624803765</v>
      </c>
    </row>
    <row r="15164" customFormat="false" ht="15" hidden="false" customHeight="false" outlineLevel="0" collapsed="false">
      <c r="A15164" s="5" t="s">
        <v>493</v>
      </c>
      <c r="C15164" s="20" t="n">
        <f aca="false">IF(C14996=1,C15085+Assumptions!$C$36,C15084)</f>
        <v>3</v>
      </c>
    </row>
    <row r="15165" customFormat="false" ht="15" hidden="false" customHeight="false" outlineLevel="0" collapsed="false">
      <c r="A15165" s="23" t="s">
        <v>494</v>
      </c>
      <c r="B15165" s="24"/>
      <c r="C15165" s="24"/>
      <c r="D15165" s="24"/>
      <c r="E15165" s="24"/>
      <c r="F15165" s="24"/>
      <c r="G15165" s="24"/>
      <c r="H15165" s="24"/>
      <c r="I15165" s="24"/>
      <c r="J15165" s="24"/>
      <c r="K15165" s="24"/>
    </row>
    <row r="15166" customFormat="false" ht="15" hidden="false" customHeight="false" outlineLevel="0" collapsed="false">
      <c r="A15166" s="5" t="s">
        <v>495</v>
      </c>
      <c r="C15166" s="20" t="n">
        <f aca="false">COLUMN()-COLUMN($C$1)</f>
        <v>0</v>
      </c>
      <c r="D15166" s="20" t="n">
        <f aca="false">COLUMN()-COLUMN($C$1)</f>
        <v>1</v>
      </c>
      <c r="E15166" s="20" t="n">
        <f aca="false">COLUMN()-COLUMN($C$1)</f>
        <v>2</v>
      </c>
      <c r="F15166" s="20" t="n">
        <f aca="false">COLUMN()-COLUMN($C$1)</f>
        <v>3</v>
      </c>
      <c r="G15166" s="20" t="n">
        <f aca="false">COLUMN()-COLUMN($C$1)</f>
        <v>4</v>
      </c>
      <c r="H15166" s="20" t="n">
        <f aca="false">COLUMN()-COLUMN($C$1)</f>
        <v>5</v>
      </c>
      <c r="I15166" s="20" t="n">
        <f aca="false">COLUMN()-COLUMN($C$1)</f>
        <v>6</v>
      </c>
    </row>
    <row r="15167" customFormat="false" ht="15" hidden="false" customHeight="false" outlineLevel="0" collapsed="false">
      <c r="A15167" s="5" t="s">
        <v>496</v>
      </c>
      <c r="D15167" s="30" t="n">
        <f aca="false">CHOOSE($C$15080,G14878,G14891,G14904,G14917)</f>
        <v>0.138</v>
      </c>
      <c r="E15167" s="30" t="n">
        <f aca="false">CHOOSE($C$15080,H14878,H14891,H14904,H14917)</f>
        <v>0.1355</v>
      </c>
      <c r="F15167" s="30" t="n">
        <f aca="false">CHOOSE($C$15080,I14878,I14891,I14904,I14917)</f>
        <v>0.133</v>
      </c>
      <c r="G15167" s="30" t="n">
        <f aca="false">CHOOSE($C$15080,J14878,J14891,J14904,J14917)</f>
        <v>0.133</v>
      </c>
      <c r="H15167" s="30" t="n">
        <f aca="false">CHOOSE($C$15080,K14878,K14891,K14904,K14917)</f>
        <v>0.133</v>
      </c>
    </row>
    <row r="15168" customFormat="false" ht="15" hidden="false" customHeight="false" outlineLevel="0" collapsed="false">
      <c r="A15168" s="5" t="s">
        <v>497</v>
      </c>
      <c r="D15168" s="25" t="n">
        <f aca="false">IF(D15166&lt;=$C$15089,$C$15081*D15167,0)</f>
        <v>13.8</v>
      </c>
      <c r="E15168" s="25" t="n">
        <f aca="false">IF(E15166&lt;=$C$15089,$C$15081*E15167,0)</f>
        <v>13.55</v>
      </c>
      <c r="F15168" s="25" t="n">
        <f aca="false">IF(F15166&lt;=$C$15089,$C$15081*F15167,0)</f>
        <v>0</v>
      </c>
      <c r="G15168" s="25" t="n">
        <f aca="false">IF(G15166&lt;=$C$15089,$C$15081*G15167,0)</f>
        <v>0</v>
      </c>
      <c r="H15168" s="25" t="n">
        <f aca="false">IF(H15166&lt;=$C$15089,$C$15081*H15167,0)</f>
        <v>0</v>
      </c>
    </row>
    <row r="15169" customFormat="false" ht="15" hidden="false" customHeight="false" outlineLevel="0" collapsed="false">
      <c r="A15169" s="5" t="s">
        <v>498</v>
      </c>
      <c r="D15169" s="25" t="n">
        <f aca="false">IF(AND($C$14996=0,D15166=$C$15084),$C$15081*$C$15163/100,0)+IF(AND($C$14996=1,D15166=$C$15164),$C$15087,0)</f>
        <v>0</v>
      </c>
      <c r="E15169" s="25" t="n">
        <f aca="false">IF(AND($C$14996=0,E15166=$C$15084),$C$15081*$C$15163/100,0)+IF(AND($C$14996=1,E15166=$C$15164),$C$15087,0)</f>
        <v>0</v>
      </c>
      <c r="F15169" s="25" t="n">
        <f aca="false">IF(AND($C$14996=0,F15166=$C$15084),$C$15081*$C$15163/100,0)+IF(AND($C$14996=1,F15166=$C$15164),$C$15087,0)</f>
        <v>53.3878840855573</v>
      </c>
      <c r="G15169" s="25" t="n">
        <f aca="false">IF(AND($C$14996=0,G15166=$C$15084),$C$15081*$C$15163/100,0)+IF(AND($C$14996=1,G15166=$C$15164),$C$15087,0)</f>
        <v>0</v>
      </c>
      <c r="H15169" s="25" t="n">
        <f aca="false">IF(AND($C$14996=0,H15166=$C$15084),$C$15081*$C$15163/100,0)+IF(AND($C$14996=1,H15166=$C$15164),$C$15087,0)</f>
        <v>0</v>
      </c>
      <c r="I15169" s="25" t="n">
        <f aca="false">IF(AND($C$14996=0,I15166=$C$15084),$C$15081*$C$15163/100,0)+IF(AND($C$14996=1,I15166=$C$15164),$C$15087,0)</f>
        <v>0</v>
      </c>
    </row>
    <row r="15170" customFormat="false" ht="15" hidden="false" customHeight="false" outlineLevel="0" collapsed="false">
      <c r="A15170" s="2" t="s">
        <v>499</v>
      </c>
      <c r="C15170" s="16" t="n">
        <f aca="false">-$C$15083</f>
        <v>-78.39</v>
      </c>
      <c r="D15170" s="16" t="n">
        <f aca="false">D15168+D15169</f>
        <v>13.8</v>
      </c>
      <c r="E15170" s="16" t="n">
        <f aca="false">E15168+E15169</f>
        <v>13.55</v>
      </c>
      <c r="F15170" s="16" t="n">
        <f aca="false">F15168+F15169</f>
        <v>53.3878840855573</v>
      </c>
      <c r="G15170" s="16" t="n">
        <f aca="false">G15168+G15169</f>
        <v>0</v>
      </c>
      <c r="H15170" s="16" t="n">
        <f aca="false">H15168+H15169</f>
        <v>0</v>
      </c>
      <c r="I15170" s="16" t="n">
        <f aca="false">I15168+I15169</f>
        <v>0</v>
      </c>
    </row>
    <row r="15171" customFormat="false" ht="15" hidden="false" customHeight="false" outlineLevel="0" collapsed="false">
      <c r="A15171" s="5" t="s">
        <v>500</v>
      </c>
      <c r="C15171" s="25" t="n">
        <f aca="false">SUM($C$15168:$I$15168)</f>
        <v>27.35</v>
      </c>
    </row>
    <row r="15172" customFormat="false" ht="15" hidden="false" customHeight="false" outlineLevel="0" collapsed="false">
      <c r="A15172" s="5" t="s">
        <v>501</v>
      </c>
      <c r="C15172" s="25" t="n">
        <f aca="false">SUM($C$15169:$I$15169)</f>
        <v>53.3878840855573</v>
      </c>
    </row>
    <row r="15173" customFormat="false" ht="15" hidden="false" customHeight="false" outlineLevel="0" collapsed="false">
      <c r="A15173" s="5" t="s">
        <v>502</v>
      </c>
      <c r="C15173" s="25" t="n">
        <f aca="false">C15171+C15172</f>
        <v>80.7378840855573</v>
      </c>
    </row>
    <row r="15174" customFormat="false" ht="15" hidden="false" customHeight="false" outlineLevel="0" collapsed="false">
      <c r="A15174" s="5" t="s">
        <v>503</v>
      </c>
      <c r="C15174" s="25" t="n">
        <f aca="false">C15172-C15081*C15082/100</f>
        <v>-24.6121159144427</v>
      </c>
    </row>
    <row r="15175" customFormat="false" ht="15" hidden="false" customHeight="false" outlineLevel="0" collapsed="false">
      <c r="A15175" s="5" t="s">
        <v>504</v>
      </c>
      <c r="C15175" s="25" t="n">
        <f aca="false">C15173-C15083</f>
        <v>2.3478840855573</v>
      </c>
    </row>
    <row r="15176" customFormat="false" ht="15" hidden="false" customHeight="false" outlineLevel="0" collapsed="false">
      <c r="A15176" s="2" t="s">
        <v>385</v>
      </c>
      <c r="C15176" s="43" t="n">
        <f aca="false">C15173/C15083</f>
        <v>1.0299513214129</v>
      </c>
    </row>
    <row r="15177" customFormat="false" ht="15" hidden="false" customHeight="false" outlineLevel="0" collapsed="false">
      <c r="A15177" s="2" t="s">
        <v>384</v>
      </c>
      <c r="C15177" s="41" t="n">
        <f aca="false">IF(C15173&lt;=0,-1,IFERROR(IRR($C$15170:$I$15170,MAX(-0.9,C15176^(1/C15164)-1)),IRR($C$15170:$I$15170,0.1)))</f>
        <v>0.0119379559745796</v>
      </c>
    </row>
    <row r="15178" customFormat="false" ht="15" hidden="false" customHeight="false" outlineLevel="0" collapsed="false">
      <c r="A15178" s="5" t="s">
        <v>505</v>
      </c>
      <c r="C15178" s="31" t="n">
        <f aca="false">MAX($G$14972:$K$14972)</f>
        <v>29.1872320950926</v>
      </c>
    </row>
    <row r="15179" customFormat="false" ht="15" hidden="false" customHeight="false" outlineLevel="0" collapsed="false">
      <c r="A15179" s="5" t="s">
        <v>506</v>
      </c>
      <c r="C15179" s="31" t="n">
        <f aca="false">MIN($G$14973:$K$14973)</f>
        <v>0.332614699877788</v>
      </c>
    </row>
    <row r="15180" customFormat="false" ht="15" hidden="false" customHeight="false" outlineLevel="0" collapsed="false">
      <c r="A15180" s="5" t="s">
        <v>507</v>
      </c>
      <c r="C15180" s="25" t="n">
        <f aca="false">SUM($G$14862:$K$14862)</f>
        <v>-559.8756263404</v>
      </c>
    </row>
    <row r="15184" customFormat="false" ht="15" hidden="false" customHeight="false" outlineLevel="0" collapsed="false">
      <c r="A15184" s="9" t="s">
        <v>669</v>
      </c>
      <c r="B15184" s="10"/>
      <c r="C15184" s="10"/>
      <c r="D15184" s="10"/>
      <c r="E15184" s="10"/>
      <c r="F15184" s="10"/>
      <c r="G15184" s="10"/>
      <c r="H15184" s="10"/>
      <c r="I15184" s="10"/>
      <c r="J15184" s="10"/>
      <c r="K15184" s="10"/>
    </row>
    <row r="15185" customFormat="false" ht="15" hidden="false" customHeight="false" outlineLevel="0" collapsed="false">
      <c r="A15185" s="5" t="s">
        <v>622</v>
      </c>
      <c r="C15185" s="11" t="n">
        <v>3</v>
      </c>
    </row>
    <row r="15186" customFormat="false" ht="15" hidden="false" customHeight="false" outlineLevel="0" collapsed="false">
      <c r="A15186" s="5" t="s">
        <v>623</v>
      </c>
      <c r="C15186" s="18" t="n">
        <v>0</v>
      </c>
    </row>
    <row r="15187" customFormat="false" ht="15" hidden="false" customHeight="false" outlineLevel="0" collapsed="false">
      <c r="A15187" s="5" t="s">
        <v>624</v>
      </c>
      <c r="C15187" s="18" t="n">
        <v>0</v>
      </c>
    </row>
    <row r="15188" customFormat="false" ht="15" hidden="false" customHeight="false" outlineLevel="0" collapsed="false">
      <c r="A15188" s="5" t="s">
        <v>625</v>
      </c>
      <c r="C15188" s="29" t="n">
        <f aca="false">Sensitivities!$A$50</f>
        <v>-0.01</v>
      </c>
    </row>
    <row r="15189" customFormat="false" ht="15" hidden="false" customHeight="false" outlineLevel="0" collapsed="false">
      <c r="A15189" s="5" t="s">
        <v>626</v>
      </c>
      <c r="C15189" s="15" t="n">
        <v>0</v>
      </c>
    </row>
    <row r="15191" customFormat="false" ht="15" hidden="false" customHeight="false" outlineLevel="0" collapsed="false">
      <c r="A15191" s="23" t="s">
        <v>237</v>
      </c>
      <c r="B15191" s="24"/>
      <c r="C15191" s="24"/>
      <c r="D15191" s="24"/>
      <c r="E15191" s="24"/>
      <c r="F15191" s="24"/>
      <c r="G15191" s="24"/>
      <c r="H15191" s="24"/>
      <c r="I15191" s="24"/>
      <c r="J15191" s="24"/>
      <c r="K15191" s="24"/>
    </row>
    <row r="15192" customFormat="false" ht="15" hidden="false" customHeight="false" outlineLevel="0" collapsed="false">
      <c r="A15192" s="5" t="s">
        <v>238</v>
      </c>
      <c r="F15192" s="26" t="n">
        <f aca="false">Assumptions!$C$6</f>
        <v>2025</v>
      </c>
      <c r="G15192" s="20" t="n">
        <f aca="false">F15192+1</f>
        <v>2026</v>
      </c>
      <c r="H15192" s="20" t="n">
        <f aca="false">G15192+1</f>
        <v>2027</v>
      </c>
      <c r="I15192" s="20" t="n">
        <f aca="false">H15192+1</f>
        <v>2028</v>
      </c>
      <c r="J15192" s="20" t="n">
        <f aca="false">I15192+1</f>
        <v>2029</v>
      </c>
      <c r="K15192" s="20" t="n">
        <f aca="false">J15192+1</f>
        <v>2030</v>
      </c>
    </row>
    <row r="15193" customFormat="false" ht="15" hidden="false" customHeight="false" outlineLevel="0" collapsed="false">
      <c r="A15193" s="5" t="s">
        <v>239</v>
      </c>
      <c r="G15193" s="20" t="n">
        <f aca="false">G15192-Assumptions!$C$6</f>
        <v>1</v>
      </c>
      <c r="H15193" s="20" t="n">
        <f aca="false">H15192-Assumptions!$C$6</f>
        <v>2</v>
      </c>
      <c r="I15193" s="20" t="n">
        <f aca="false">I15192-Assumptions!$C$6</f>
        <v>3</v>
      </c>
      <c r="J15193" s="20" t="n">
        <f aca="false">J15192-Assumptions!$C$6</f>
        <v>4</v>
      </c>
      <c r="K15193" s="20" t="n">
        <f aca="false">K15192-Assumptions!$C$6</f>
        <v>5</v>
      </c>
    </row>
    <row r="15194" customFormat="false" ht="15" hidden="false" customHeight="false" outlineLevel="0" collapsed="false">
      <c r="A15194" s="5" t="s">
        <v>149</v>
      </c>
      <c r="G15194" s="21" t="n">
        <f aca="false">CHOOSE($C$15185,Assumptions!$G$65,Assumptions!$G$84,Assumptions!$G$103)+$C$15186</f>
        <v>-0.234</v>
      </c>
      <c r="H15194" s="21" t="n">
        <f aca="false">CHOOSE($C$15185,Assumptions!$H$65,Assumptions!$H$84,Assumptions!$H$103)+$C$15186</f>
        <v>-0.13</v>
      </c>
      <c r="I15194" s="21" t="n">
        <f aca="false">CHOOSE($C$15185,Assumptions!$I$65,Assumptions!$I$84,Assumptions!$I$103)+$C$15186</f>
        <v>-0.026</v>
      </c>
      <c r="J15194" s="21" t="n">
        <f aca="false">CHOOSE($C$15185,Assumptions!$J$65,Assumptions!$J$84,Assumptions!$J$103)+$C$15186</f>
        <v>-0.01</v>
      </c>
      <c r="K15194" s="21" t="n">
        <f aca="false">CHOOSE($C$15185,Assumptions!$K$65,Assumptions!$K$84,Assumptions!$K$103)+$C$15186</f>
        <v>-0.01</v>
      </c>
    </row>
    <row r="15195" customFormat="false" ht="15" hidden="false" customHeight="false" outlineLevel="0" collapsed="false">
      <c r="A15195" s="5" t="s">
        <v>150</v>
      </c>
      <c r="G15195" s="21" t="n">
        <f aca="false">CHOOSE($C$15185,Assumptions!$G$66,Assumptions!$G$85,Assumptions!$G$104)</f>
        <v>0.305</v>
      </c>
      <c r="H15195" s="21" t="n">
        <f aca="false">CHOOSE($C$15185,Assumptions!$H$66,Assumptions!$H$85,Assumptions!$H$104)</f>
        <v>0.305</v>
      </c>
      <c r="I15195" s="21" t="n">
        <f aca="false">CHOOSE($C$15185,Assumptions!$I$66,Assumptions!$I$85,Assumptions!$I$104)</f>
        <v>0.305</v>
      </c>
      <c r="J15195" s="21" t="n">
        <f aca="false">CHOOSE($C$15185,Assumptions!$J$66,Assumptions!$J$85,Assumptions!$J$104)</f>
        <v>0.305</v>
      </c>
      <c r="K15195" s="21" t="n">
        <f aca="false">CHOOSE($C$15185,Assumptions!$K$66,Assumptions!$K$85,Assumptions!$K$104)</f>
        <v>0.305</v>
      </c>
    </row>
    <row r="15196" customFormat="false" ht="15" hidden="false" customHeight="false" outlineLevel="0" collapsed="false">
      <c r="A15196" s="5" t="s">
        <v>151</v>
      </c>
      <c r="G15196" s="21" t="n">
        <f aca="false">CHOOSE($C$15185,Assumptions!$G$67,Assumptions!$G$86,Assumptions!$G$105)+$C$15187</f>
        <v>0.01</v>
      </c>
      <c r="H15196" s="21" t="n">
        <f aca="false">CHOOSE($C$15185,Assumptions!$H$67,Assumptions!$H$86,Assumptions!$H$105)+$C$15187</f>
        <v>0.01</v>
      </c>
      <c r="I15196" s="21" t="n">
        <f aca="false">CHOOSE($C$15185,Assumptions!$I$67,Assumptions!$I$86,Assumptions!$I$105)+$C$15187</f>
        <v>0.01</v>
      </c>
      <c r="J15196" s="21" t="n">
        <f aca="false">CHOOSE($C$15185,Assumptions!$J$67,Assumptions!$J$86,Assumptions!$J$105)+$C$15187</f>
        <v>0.01</v>
      </c>
      <c r="K15196" s="21" t="n">
        <f aca="false">CHOOSE($C$15185,Assumptions!$K$67,Assumptions!$K$86,Assumptions!$K$105)+$C$15187</f>
        <v>0.01</v>
      </c>
    </row>
    <row r="15197" customFormat="false" ht="15" hidden="false" customHeight="false" outlineLevel="0" collapsed="false">
      <c r="A15197" s="23" t="s">
        <v>240</v>
      </c>
      <c r="B15197" s="24"/>
      <c r="C15197" s="24"/>
      <c r="D15197" s="24"/>
      <c r="E15197" s="24"/>
      <c r="F15197" s="24"/>
      <c r="G15197" s="24"/>
      <c r="H15197" s="24"/>
      <c r="I15197" s="24"/>
      <c r="J15197" s="24"/>
      <c r="K15197" s="24"/>
    </row>
    <row r="15198" customFormat="false" ht="15" hidden="false" customHeight="false" outlineLevel="0" collapsed="false">
      <c r="A15198" s="2" t="s">
        <v>207</v>
      </c>
      <c r="F15198" s="27" t="n">
        <f aca="false">'Historical Financials'!E17</f>
        <v>2400</v>
      </c>
      <c r="G15198" s="16" t="n">
        <f aca="false">F15198*(1+G15194)</f>
        <v>1838.4</v>
      </c>
      <c r="H15198" s="16" t="n">
        <f aca="false">G15198*(1+H15194)</f>
        <v>1599.408</v>
      </c>
      <c r="I15198" s="16" t="n">
        <f aca="false">H15198*(1+I15194)</f>
        <v>1557.823392</v>
      </c>
      <c r="J15198" s="16" t="n">
        <f aca="false">I15198*(1+J15194)</f>
        <v>1542.24515808</v>
      </c>
      <c r="K15198" s="16" t="n">
        <f aca="false">J15198*(1+K15194)</f>
        <v>1526.8227064992</v>
      </c>
    </row>
    <row r="15199" customFormat="false" ht="15" hidden="false" customHeight="false" outlineLevel="0" collapsed="false">
      <c r="A15199" s="5" t="s">
        <v>217</v>
      </c>
      <c r="G15199" s="25" t="n">
        <f aca="false">G15198*(1-G15195)</f>
        <v>1277.688</v>
      </c>
      <c r="H15199" s="25" t="n">
        <f aca="false">H15198*(1-H15195)</f>
        <v>1111.58856</v>
      </c>
      <c r="I15199" s="25" t="n">
        <f aca="false">I15198*(1-I15195)</f>
        <v>1082.68725744</v>
      </c>
      <c r="J15199" s="25" t="n">
        <f aca="false">J15198*(1-J15195)</f>
        <v>1071.8603848656</v>
      </c>
      <c r="K15199" s="25" t="n">
        <f aca="false">K15198*(1-K15195)</f>
        <v>1061.14178101694</v>
      </c>
    </row>
    <row r="15200" customFormat="false" ht="15" hidden="false" customHeight="false" outlineLevel="0" collapsed="false">
      <c r="A15200" s="2" t="s">
        <v>218</v>
      </c>
      <c r="G15200" s="16" t="n">
        <f aca="false">G15198-G15199</f>
        <v>560.712</v>
      </c>
      <c r="H15200" s="16" t="n">
        <f aca="false">H15198-H15199</f>
        <v>487.81944</v>
      </c>
      <c r="I15200" s="16" t="n">
        <f aca="false">I15198-I15199</f>
        <v>475.13613456</v>
      </c>
      <c r="J15200" s="16" t="n">
        <f aca="false">J15198-J15199</f>
        <v>470.3847732144</v>
      </c>
      <c r="K15200" s="16" t="n">
        <f aca="false">K15198-K15199</f>
        <v>465.680925482256</v>
      </c>
    </row>
    <row r="15201" customFormat="false" ht="15" hidden="false" customHeight="false" outlineLevel="0" collapsed="false">
      <c r="A15201" s="5" t="s">
        <v>241</v>
      </c>
      <c r="G15201" s="25" t="n">
        <f aca="false">G15200-G15202</f>
        <v>542.328</v>
      </c>
      <c r="H15201" s="25" t="n">
        <f aca="false">H15200-H15202</f>
        <v>471.82536</v>
      </c>
      <c r="I15201" s="25" t="n">
        <f aca="false">I15200-I15202</f>
        <v>459.55790064</v>
      </c>
      <c r="J15201" s="25" t="n">
        <f aca="false">J15200-J15202</f>
        <v>454.9623216336</v>
      </c>
      <c r="K15201" s="25" t="n">
        <f aca="false">K15200-K15202</f>
        <v>450.412698417264</v>
      </c>
    </row>
    <row r="15202" customFormat="false" ht="15" hidden="false" customHeight="false" outlineLevel="0" collapsed="false">
      <c r="A15202" s="2" t="s">
        <v>242</v>
      </c>
      <c r="G15202" s="16" t="n">
        <f aca="false">G15198*G15196</f>
        <v>18.384</v>
      </c>
      <c r="H15202" s="16" t="n">
        <f aca="false">H15198*H15196</f>
        <v>15.99408</v>
      </c>
      <c r="I15202" s="16" t="n">
        <f aca="false">I15198*I15196</f>
        <v>15.57823392</v>
      </c>
      <c r="J15202" s="16" t="n">
        <f aca="false">J15198*J15196</f>
        <v>15.4224515808</v>
      </c>
      <c r="K15202" s="16" t="n">
        <f aca="false">K15198*K15196</f>
        <v>15.268227064992</v>
      </c>
    </row>
    <row r="15203" customFormat="false" ht="15" hidden="false" customHeight="false" outlineLevel="0" collapsed="false">
      <c r="A15203" s="5" t="s">
        <v>243</v>
      </c>
      <c r="G15203" s="25" t="n">
        <f aca="false">G15198*'Historical Financials'!E22/'Historical Financials'!E17</f>
        <v>40.4448</v>
      </c>
      <c r="H15203" s="25" t="n">
        <f aca="false">H15198*'Historical Financials'!E22/'Historical Financials'!E17</f>
        <v>35.186976</v>
      </c>
      <c r="I15203" s="25" t="n">
        <f aca="false">I15198*'Historical Financials'!E22/'Historical Financials'!E17</f>
        <v>34.272114624</v>
      </c>
      <c r="J15203" s="25" t="n">
        <f aca="false">J15198*'Historical Financials'!E22/'Historical Financials'!E17</f>
        <v>33.92939347776</v>
      </c>
      <c r="K15203" s="25" t="n">
        <f aca="false">K15198*'Historical Financials'!E22/'Historical Financials'!E17</f>
        <v>33.5900995429824</v>
      </c>
    </row>
    <row r="15204" customFormat="false" ht="15" hidden="false" customHeight="false" outlineLevel="0" collapsed="false">
      <c r="A15204" s="5" t="s">
        <v>244</v>
      </c>
      <c r="G15204" s="25" t="n">
        <f aca="false">G15198*'Historical Financials'!E23/'Historical Financials'!E17</f>
        <v>0</v>
      </c>
      <c r="H15204" s="25" t="n">
        <f aca="false">H15198*'Historical Financials'!E23/'Historical Financials'!E17</f>
        <v>0</v>
      </c>
      <c r="I15204" s="25" t="n">
        <f aca="false">I15198*'Historical Financials'!E23/'Historical Financials'!E17</f>
        <v>0</v>
      </c>
      <c r="J15204" s="25" t="n">
        <f aca="false">J15198*'Historical Financials'!E23/'Historical Financials'!E17</f>
        <v>0</v>
      </c>
      <c r="K15204" s="25" t="n">
        <f aca="false">K15198*'Historical Financials'!E23/'Historical Financials'!E17</f>
        <v>0</v>
      </c>
    </row>
    <row r="15205" customFormat="false" ht="15" hidden="false" customHeight="false" outlineLevel="0" collapsed="false">
      <c r="A15205" s="2" t="s">
        <v>245</v>
      </c>
      <c r="G15205" s="16" t="n">
        <f aca="false">G15202-G15203-G15204</f>
        <v>-22.0608</v>
      </c>
      <c r="H15205" s="16" t="n">
        <f aca="false">H15202-H15203-H15204</f>
        <v>-19.192896</v>
      </c>
      <c r="I15205" s="16" t="n">
        <f aca="false">I15202-I15203-I15204</f>
        <v>-18.693880704</v>
      </c>
      <c r="J15205" s="16" t="n">
        <f aca="false">J15202-J15203-J15204</f>
        <v>-18.50694189696</v>
      </c>
      <c r="K15205" s="16" t="n">
        <f aca="false">K15202-K15203-K15204</f>
        <v>-18.3218724779904</v>
      </c>
    </row>
    <row r="15206" customFormat="false" ht="15" hidden="false" customHeight="false" outlineLevel="0" collapsed="false">
      <c r="A15206" s="5" t="s">
        <v>246</v>
      </c>
      <c r="G15206" s="25" t="n">
        <f aca="false">G15232+G15245+G15258+G15271</f>
        <v>133.04</v>
      </c>
      <c r="H15206" s="25" t="n">
        <f aca="false">H15232+H15245+H15258+H15271</f>
        <v>135.6219608</v>
      </c>
      <c r="I15206" s="25" t="n">
        <f aca="false">I15232+I15245+I15258+I15271</f>
        <v>133.1515888</v>
      </c>
      <c r="J15206" s="25" t="n">
        <f aca="false">J15232+J15245+J15258+J15271</f>
        <v>132.5379888</v>
      </c>
      <c r="K15206" s="25" t="n">
        <f aca="false">K15232+K15245+K15258+K15271</f>
        <v>131.9243888</v>
      </c>
    </row>
    <row r="15207" customFormat="false" ht="15" hidden="false" customHeight="false" outlineLevel="0" collapsed="false">
      <c r="A15207" s="5" t="s">
        <v>247</v>
      </c>
      <c r="G15207" s="25" t="n">
        <f aca="false">G15233+G15246+G15259+G15272</f>
        <v>0</v>
      </c>
      <c r="H15207" s="25" t="n">
        <f aca="false">H15233+H15246+H15259+H15272</f>
        <v>0</v>
      </c>
      <c r="I15207" s="25" t="n">
        <f aca="false">I15233+I15246+I15259+I15272</f>
        <v>0</v>
      </c>
      <c r="J15207" s="25" t="n">
        <f aca="false">J15233+J15246+J15259+J15272</f>
        <v>0</v>
      </c>
      <c r="K15207" s="25" t="n">
        <f aca="false">K15233+K15246+K15259+K15272</f>
        <v>0</v>
      </c>
    </row>
    <row r="15208" customFormat="false" ht="15" hidden="false" customHeight="false" outlineLevel="0" collapsed="false">
      <c r="A15208" s="5" t="s">
        <v>212</v>
      </c>
      <c r="G15208" s="25" t="n">
        <f aca="false">G15206+G15207</f>
        <v>133.04</v>
      </c>
      <c r="H15208" s="25" t="n">
        <f aca="false">H15206+H15207</f>
        <v>135.6219608</v>
      </c>
      <c r="I15208" s="25" t="n">
        <f aca="false">I15206+I15207</f>
        <v>133.1515888</v>
      </c>
      <c r="J15208" s="25" t="n">
        <f aca="false">J15206+J15207</f>
        <v>132.5379888</v>
      </c>
      <c r="K15208" s="25" t="n">
        <f aca="false">K15206+K15207</f>
        <v>131.9243888</v>
      </c>
    </row>
    <row r="15209" customFormat="false" ht="15" hidden="false" customHeight="false" outlineLevel="0" collapsed="false">
      <c r="A15209" s="2" t="s">
        <v>223</v>
      </c>
      <c r="G15209" s="16" t="n">
        <f aca="false">G15205-G15208</f>
        <v>-155.1008</v>
      </c>
      <c r="H15209" s="16" t="n">
        <f aca="false">H15205-H15208</f>
        <v>-154.8148568</v>
      </c>
      <c r="I15209" s="16" t="n">
        <f aca="false">I15205-I15208</f>
        <v>-151.845469504</v>
      </c>
      <c r="J15209" s="16" t="n">
        <f aca="false">J15205-J15208</f>
        <v>-151.04493069696</v>
      </c>
      <c r="K15209" s="16" t="n">
        <f aca="false">K15205-K15208</f>
        <v>-150.24626127799</v>
      </c>
    </row>
    <row r="15210" customFormat="false" ht="15" hidden="false" customHeight="false" outlineLevel="0" collapsed="false">
      <c r="A15210" s="5" t="s">
        <v>213</v>
      </c>
      <c r="G15210" s="25" t="n">
        <f aca="false">MAX(0,G15209)*Assumptions!$C$9</f>
        <v>0</v>
      </c>
      <c r="H15210" s="25" t="n">
        <f aca="false">MAX(0,H15209)*Assumptions!$C$9</f>
        <v>0</v>
      </c>
      <c r="I15210" s="25" t="n">
        <f aca="false">MAX(0,I15209)*Assumptions!$C$9</f>
        <v>0</v>
      </c>
      <c r="J15210" s="25" t="n">
        <f aca="false">MAX(0,J15209)*Assumptions!$C$9</f>
        <v>0</v>
      </c>
      <c r="K15210" s="25" t="n">
        <f aca="false">MAX(0,K15209)*Assumptions!$C$9</f>
        <v>0</v>
      </c>
    </row>
    <row r="15211" customFormat="false" ht="15" hidden="false" customHeight="false" outlineLevel="0" collapsed="false">
      <c r="A15211" s="2" t="s">
        <v>248</v>
      </c>
      <c r="G15211" s="16" t="n">
        <f aca="false">G15209-G15210</f>
        <v>-155.1008</v>
      </c>
      <c r="H15211" s="16" t="n">
        <f aca="false">H15209-H15210</f>
        <v>-154.8148568</v>
      </c>
      <c r="I15211" s="16" t="n">
        <f aca="false">I15209-I15210</f>
        <v>-151.845469504</v>
      </c>
      <c r="J15211" s="16" t="n">
        <f aca="false">J15209-J15210</f>
        <v>-151.04493069696</v>
      </c>
      <c r="K15211" s="16" t="n">
        <f aca="false">K15209-K15210</f>
        <v>-150.24626127799</v>
      </c>
    </row>
    <row r="15212" customFormat="false" ht="15" hidden="false" customHeight="false" outlineLevel="0" collapsed="false">
      <c r="A15212" s="23" t="s">
        <v>249</v>
      </c>
      <c r="B15212" s="24"/>
      <c r="C15212" s="24"/>
      <c r="D15212" s="24"/>
      <c r="E15212" s="24"/>
      <c r="F15212" s="24"/>
      <c r="G15212" s="24"/>
      <c r="H15212" s="24"/>
      <c r="I15212" s="24"/>
      <c r="J15212" s="24"/>
      <c r="K15212" s="24"/>
    </row>
    <row r="15213" customFormat="false" ht="15" hidden="false" customHeight="false" outlineLevel="0" collapsed="false">
      <c r="A15213" s="5" t="s">
        <v>153</v>
      </c>
      <c r="G15213" s="25" t="n">
        <f aca="false">G15198*CHOOSE($C$15185,Assumptions!$C$69,Assumptions!$C$88,Assumptions!$C$107)</f>
        <v>29.4144</v>
      </c>
      <c r="H15213" s="25" t="n">
        <f aca="false">H15198*CHOOSE($C$15185,Assumptions!$C$69,Assumptions!$C$88,Assumptions!$C$107)</f>
        <v>25.590528</v>
      </c>
      <c r="I15213" s="25" t="n">
        <f aca="false">I15198*CHOOSE($C$15185,Assumptions!$C$69,Assumptions!$C$88,Assumptions!$C$107)</f>
        <v>24.925174272</v>
      </c>
      <c r="J15213" s="25" t="n">
        <f aca="false">J15198*CHOOSE($C$15185,Assumptions!$C$69,Assumptions!$C$88,Assumptions!$C$107)</f>
        <v>24.67592252928</v>
      </c>
      <c r="K15213" s="25" t="n">
        <f aca="false">K15198*CHOOSE($C$15185,Assumptions!$C$69,Assumptions!$C$88,Assumptions!$C$107)</f>
        <v>24.4291633039872</v>
      </c>
    </row>
    <row r="15214" customFormat="false" ht="15" hidden="false" customHeight="false" outlineLevel="0" collapsed="false">
      <c r="A15214" s="5" t="s">
        <v>250</v>
      </c>
      <c r="G15214" s="25" t="n">
        <f aca="false">CHOOSE($C$15185,Assumptions!$C$70,Assumptions!$C$89,Assumptions!$C$108)*(G15198-F15198)+CHOOSE($C$15185,Assumptions!$C$71,Assumptions!$C$90,Assumptions!$C$109)*G15198</f>
        <v>-56.3616</v>
      </c>
      <c r="H15214" s="25" t="n">
        <f aca="false">CHOOSE($C$15185,Assumptions!$C$70,Assumptions!$C$89,Assumptions!$C$108)*(H15198-G15198)+CHOOSE($C$15185,Assumptions!$C$71,Assumptions!$C$90,Assumptions!$C$109)*H15198</f>
        <v>-19.082592</v>
      </c>
      <c r="I15214" s="25" t="n">
        <f aca="false">CHOOSE($C$15185,Assumptions!$C$70,Assumptions!$C$89,Assumptions!$C$108)*(I15198-H15198)+CHOOSE($C$15185,Assumptions!$C$71,Assumptions!$C$90,Assumptions!$C$109)*I15198</f>
        <v>4.35678739199999</v>
      </c>
      <c r="J15214" s="25" t="n">
        <f aca="false">CHOOSE($C$15185,Assumptions!$C$70,Assumptions!$C$89,Assumptions!$C$108)*(J15198-I15198)+CHOOSE($C$15185,Assumptions!$C$71,Assumptions!$C$90,Assumptions!$C$109)*J15198</f>
        <v>7.38408287808</v>
      </c>
      <c r="K15214" s="25" t="n">
        <f aca="false">CHOOSE($C$15185,Assumptions!$C$70,Assumptions!$C$89,Assumptions!$C$108)*(K15198-J15198)+CHOOSE($C$15185,Assumptions!$C$71,Assumptions!$C$90,Assumptions!$C$109)*K15198</f>
        <v>7.3102420492992</v>
      </c>
    </row>
    <row r="15215" customFormat="false" ht="15" hidden="false" customHeight="false" outlineLevel="0" collapsed="false">
      <c r="A15215" s="2" t="s">
        <v>251</v>
      </c>
      <c r="G15215" s="16" t="n">
        <f aca="false">G15211+G15203+G15204+G15207-G15213-G15214</f>
        <v>-87.7088</v>
      </c>
      <c r="H15215" s="16" t="n">
        <f aca="false">H15211+H15203+H15204+H15207-H15213-H15214</f>
        <v>-126.1358168</v>
      </c>
      <c r="I15215" s="16" t="n">
        <f aca="false">I15211+I15203+I15204+I15207-I15213-I15214</f>
        <v>-146.855316544</v>
      </c>
      <c r="J15215" s="16" t="n">
        <f aca="false">J15211+J15203+J15204+J15207-J15213-J15214</f>
        <v>-149.17554262656</v>
      </c>
      <c r="K15215" s="16" t="n">
        <f aca="false">K15211+K15203+K15204+K15207-K15213-K15214</f>
        <v>-148.395567088294</v>
      </c>
    </row>
    <row r="15217" customFormat="false" ht="15" hidden="false" customHeight="false" outlineLevel="0" collapsed="false">
      <c r="A15217" s="23" t="s">
        <v>253</v>
      </c>
      <c r="B15217" s="24"/>
      <c r="C15217" s="24"/>
      <c r="D15217" s="24"/>
      <c r="E15217" s="24"/>
      <c r="F15217" s="24"/>
      <c r="G15217" s="24"/>
      <c r="H15217" s="24"/>
      <c r="I15217" s="24"/>
      <c r="J15217" s="24"/>
      <c r="K15217" s="24"/>
    </row>
    <row r="15218" customFormat="false" ht="15" hidden="false" customHeight="false" outlineLevel="0" collapsed="false">
      <c r="A15218" s="5" t="s">
        <v>254</v>
      </c>
      <c r="G15218" s="29" t="n">
        <f aca="false">Assumptions!$G$49</f>
        <v>0.0425</v>
      </c>
      <c r="H15218" s="29" t="n">
        <f aca="false">Assumptions!$H$49</f>
        <v>0.04</v>
      </c>
      <c r="I15218" s="29" t="n">
        <f aca="false">Assumptions!$I$49</f>
        <v>0.0375</v>
      </c>
      <c r="J15218" s="29" t="n">
        <f aca="false">Assumptions!$J$49</f>
        <v>0.0375</v>
      </c>
      <c r="K15218" s="29" t="n">
        <f aca="false">Assumptions!$K$49</f>
        <v>0.0375</v>
      </c>
    </row>
    <row r="15219" customFormat="false" ht="15" hidden="false" customHeight="false" outlineLevel="0" collapsed="false">
      <c r="A15219" s="5" t="s">
        <v>255</v>
      </c>
      <c r="C15219" s="30" t="n">
        <f aca="false">CHOOSE($C$15185,Assumptions!$C$72,Assumptions!$C$91,Assumptions!$C$110)+$C$15188</f>
        <v>0.02</v>
      </c>
    </row>
    <row r="15220" customFormat="false" ht="15" hidden="false" customHeight="false" outlineLevel="0" collapsed="false">
      <c r="A15220" s="5" t="s">
        <v>256</v>
      </c>
      <c r="C15220" s="30" t="n">
        <f aca="false">CHOOSE($C$15185,Assumptions!$C$73,Assumptions!$C$92,Assumptions!$C$111)</f>
        <v>0.16</v>
      </c>
    </row>
    <row r="15221" customFormat="false" ht="15" hidden="false" customHeight="false" outlineLevel="0" collapsed="false">
      <c r="A15221" s="5" t="s">
        <v>257</v>
      </c>
      <c r="C15221" s="31" t="n">
        <f aca="false">CHOOSE($C$15185,Assumptions!$C$74,Assumptions!$C$93,Assumptions!$C$112)</f>
        <v>5</v>
      </c>
    </row>
    <row r="15222" customFormat="false" ht="15" hidden="false" customHeight="false" outlineLevel="0" collapsed="false">
      <c r="A15222" s="5" t="s">
        <v>258</v>
      </c>
      <c r="C15222" s="31" t="n">
        <f aca="false">CHOOSE($C$15185,Assumptions!$C$75,Assumptions!$C$94,Assumptions!$C$113)</f>
        <v>2</v>
      </c>
    </row>
    <row r="15223" customFormat="false" ht="15" hidden="false" customHeight="false" outlineLevel="0" collapsed="false">
      <c r="A15223" s="5" t="s">
        <v>259</v>
      </c>
      <c r="G15223" s="25" t="n">
        <f aca="false">G15228+G15241+G15254+G15267</f>
        <v>1250</v>
      </c>
      <c r="H15223" s="25" t="n">
        <f aca="false">H15228+H15241+H15254+H15267</f>
        <v>1292.7088</v>
      </c>
      <c r="I15223" s="25" t="n">
        <f aca="false">I15228+I15241+I15254+I15267</f>
        <v>1287.5088</v>
      </c>
      <c r="J15223" s="25" t="n">
        <f aca="false">J15228+J15241+J15254+J15267</f>
        <v>1282.3088</v>
      </c>
      <c r="K15223" s="25" t="n">
        <f aca="false">K15228+K15241+K15254+K15267</f>
        <v>1277.1088</v>
      </c>
    </row>
    <row r="15224" customFormat="false" ht="15" hidden="false" customHeight="false" outlineLevel="0" collapsed="false">
      <c r="A15224" s="5" t="s">
        <v>260</v>
      </c>
      <c r="G15224" s="25" t="n">
        <f aca="false">F15314</f>
        <v>45</v>
      </c>
      <c r="H15224" s="25" t="n">
        <f aca="false">G15314</f>
        <v>0</v>
      </c>
      <c r="I15224" s="25" t="n">
        <f aca="false">H15314</f>
        <v>-131.3358168</v>
      </c>
      <c r="J15224" s="25" t="n">
        <f aca="false">I15314</f>
        <v>-283.391133344</v>
      </c>
      <c r="K15224" s="25" t="n">
        <f aca="false">J15314</f>
        <v>-437.76667597056</v>
      </c>
    </row>
    <row r="15225" customFormat="false" ht="15" hidden="false" customHeight="false" outlineLevel="0" collapsed="false">
      <c r="A15225" s="5" t="s">
        <v>261</v>
      </c>
      <c r="G15225" s="25" t="n">
        <f aca="false">G15228*IF(G15229=1,$C$15220,IF(Assumptions!$I$53=1,MAX(G15218,Assumptions!$G$53)+Assumptions!$F$53+$C$15219,Assumptions!$E$53))+G15241*IF(G15242=1,$C$15220,IF(Assumptions!$I$54=1,MAX(G15218,Assumptions!$G$54)+Assumptions!$F$54+$C$15219,Assumptions!$E$54))+G15254*IF(G15255=1,$C$15220,IF(Assumptions!$I$55=1,MAX(G15218,Assumptions!$G$55)+Assumptions!$F$55+$C$15219,Assumptions!$E$55))+G15267*IF(G15268=1,$C$15220,IF(Assumptions!$I$56=1,MAX(G15218,Assumptions!$G$56)+Assumptions!$F$56+$C$15219,Assumptions!$E$56))</f>
        <v>133.04</v>
      </c>
      <c r="H15225" s="25" t="n">
        <f aca="false">H15228*IF(OR(H15229=1,G15380=1),$C$15220,IF(Assumptions!$I$53=1,MAX(H15218,Assumptions!$G$53)+Assumptions!$F$53+$C$15219,Assumptions!$E$53))+H15241*IF(OR(H15242=1,G15381=1),$C$15220,IF(Assumptions!$I$54=1,MAX(H15218,Assumptions!$G$54)+Assumptions!$F$54+$C$15219,Assumptions!$E$54))+H15254*IF(OR(H15255=1,G15382=1),$C$15220,IF(Assumptions!$I$55=1,MAX(H15218,Assumptions!$G$55)+Assumptions!$F$55+$C$15219,Assumptions!$E$55))+H15267*IF(OR(H15268=1,G15383=1),$C$15220,IF(Assumptions!$I$56=1,MAX(H15218,Assumptions!$G$56)+Assumptions!$F$56+$C$15219,Assumptions!$E$56))</f>
        <v>173.998808</v>
      </c>
      <c r="I15225" s="25" t="n">
        <f aca="false">I15228*IF(OR(I15229=1,H15380=1),$C$15220,IF(Assumptions!$I$53=1,MAX(I15218,Assumptions!$G$53)+Assumptions!$F$53+$C$15219,Assumptions!$E$53))+I15241*IF(OR(I15242=1,H15381=1),$C$15220,IF(Assumptions!$I$54=1,MAX(I15218,Assumptions!$G$54)+Assumptions!$F$54+$C$15219,Assumptions!$E$54))+I15254*IF(OR(I15255=1,H15382=1),$C$15220,IF(Assumptions!$I$55=1,MAX(I15218,Assumptions!$G$55)+Assumptions!$F$55+$C$15219,Assumptions!$E$55))+I15267*IF(OR(I15268=1,H15383=1),$C$15220,IF(Assumptions!$I$56=1,MAX(I15218,Assumptions!$G$56)+Assumptions!$F$56+$C$15219,Assumptions!$E$56))</f>
        <v>154.5547888</v>
      </c>
      <c r="J15225" s="25" t="n">
        <f aca="false">J15228*IF(OR(J15229=1,I15380=1),$C$15220,IF(Assumptions!$I$53=1,MAX(J15218,Assumptions!$G$53)+Assumptions!$F$53+$C$15219,Assumptions!$E$53))+J15241*IF(OR(J15242=1,I15381=1),$C$15220,IF(Assumptions!$I$54=1,MAX(J15218,Assumptions!$G$54)+Assumptions!$F$54+$C$15219,Assumptions!$E$54))+J15254*IF(OR(J15255=1,I15382=1),$C$15220,IF(Assumptions!$I$55=1,MAX(J15218,Assumptions!$G$55)+Assumptions!$F$55+$C$15219,Assumptions!$E$55))+J15267*IF(OR(J15268=1,I15383=1),$C$15220,IF(Assumptions!$I$56=1,MAX(J15218,Assumptions!$G$56)+Assumptions!$F$56+$C$15219,Assumptions!$E$56))</f>
        <v>145.0379888</v>
      </c>
      <c r="K15225" s="25" t="n">
        <f aca="false">K15228*IF(OR(K15229=1,J15380=1),$C$15220,IF(Assumptions!$I$53=1,MAX(K15218,Assumptions!$G$53)+Assumptions!$F$53+$C$15219,Assumptions!$E$53))+K15241*IF(OR(K15242=1,J15381=1),$C$15220,IF(Assumptions!$I$54=1,MAX(K15218,Assumptions!$G$54)+Assumptions!$F$54+$C$15219,Assumptions!$E$54))+K15254*IF(OR(K15255=1,J15382=1),$C$15220,IF(Assumptions!$I$55=1,MAX(K15218,Assumptions!$G$55)+Assumptions!$F$55+$C$15219,Assumptions!$E$55))+K15267*IF(OR(K15268=1,J15383=1),$C$15220,IF(Assumptions!$I$56=1,MAX(K15218,Assumptions!$G$56)+Assumptions!$F$56+$C$15219,Assumptions!$E$56))</f>
        <v>131.9243888</v>
      </c>
    </row>
    <row r="15226" customFormat="false" ht="15" hidden="false" customHeight="false" outlineLevel="0" collapsed="false">
      <c r="A15226" s="5" t="s">
        <v>262</v>
      </c>
      <c r="G15226" s="20" t="n">
        <f aca="false">IF(G15202&lt;=0,0,IF(AND((G15223-G15224)/G15202&lt;=$C$15221,G15202/G15225&gt;=$C$15222),1,0))</f>
        <v>0</v>
      </c>
      <c r="H15226" s="20" t="n">
        <f aca="false">IF(H15202&lt;=0,0,IF(AND((H15223-H15224)/H15202&lt;=$C$15221,H15202/H15225&gt;=$C$15222),1,0))</f>
        <v>0</v>
      </c>
      <c r="I15226" s="20" t="n">
        <f aca="false">IF(I15202&lt;=0,0,IF(AND((I15223-I15224)/I15202&lt;=$C$15221,I15202/I15225&gt;=$C$15222),1,0))</f>
        <v>0</v>
      </c>
      <c r="J15226" s="20" t="n">
        <f aca="false">IF(J15202&lt;=0,0,IF(AND((J15223-J15224)/J15202&lt;=$C$15221,J15202/J15225&gt;=$C$15222),1,0))</f>
        <v>0</v>
      </c>
      <c r="K15226" s="20" t="n">
        <f aca="false">IF(K15202&lt;=0,0,IF(AND((K15223-K15224)/K15202&lt;=$C$15221,K15202/K15225&gt;=$C$15222),1,0))</f>
        <v>0</v>
      </c>
    </row>
    <row r="15227" customFormat="false" ht="15" hidden="false" customHeight="false" outlineLevel="0" collapsed="false">
      <c r="A15227" s="23" t="s">
        <v>263</v>
      </c>
      <c r="B15227" s="24"/>
      <c r="C15227" s="24"/>
      <c r="D15227" s="24"/>
      <c r="E15227" s="24"/>
      <c r="F15227" s="24"/>
      <c r="G15227" s="24"/>
      <c r="H15227" s="24"/>
      <c r="I15227" s="24"/>
      <c r="J15227" s="24"/>
      <c r="K15227" s="24"/>
    </row>
    <row r="15228" customFormat="false" ht="15" hidden="false" customHeight="false" outlineLevel="0" collapsed="false">
      <c r="A15228" s="5" t="s">
        <v>264</v>
      </c>
      <c r="G15228" s="25" t="n">
        <f aca="false">F15239</f>
        <v>180</v>
      </c>
      <c r="H15228" s="25" t="n">
        <f aca="false">G15239</f>
        <v>227.9088</v>
      </c>
      <c r="I15228" s="25" t="n">
        <f aca="false">H15239</f>
        <v>227.9088</v>
      </c>
      <c r="J15228" s="25" t="n">
        <f aca="false">I15239</f>
        <v>227.9088</v>
      </c>
      <c r="K15228" s="25" t="n">
        <f aca="false">J15239</f>
        <v>227.9088</v>
      </c>
    </row>
    <row r="15229" customFormat="false" ht="15" hidden="false" customHeight="false" outlineLevel="0" collapsed="false">
      <c r="A15229" s="5" t="s">
        <v>265</v>
      </c>
      <c r="G15229" s="20" t="n">
        <f aca="false">IF(G15192=Assumptions!$K$53,1,0)</f>
        <v>0</v>
      </c>
      <c r="H15229" s="20" t="n">
        <f aca="false">IF(H15192=Assumptions!$K$53,1,0)</f>
        <v>1</v>
      </c>
      <c r="I15229" s="20" t="n">
        <f aca="false">IF(I15192=Assumptions!$K$53,1,0)</f>
        <v>0</v>
      </c>
      <c r="J15229" s="20" t="n">
        <f aca="false">IF(J15192=Assumptions!$K$53,1,0)</f>
        <v>0</v>
      </c>
      <c r="K15229" s="20" t="n">
        <f aca="false">IF(K15192=Assumptions!$K$53,1,0)</f>
        <v>0</v>
      </c>
    </row>
    <row r="15231" customFormat="false" ht="15" hidden="false" customHeight="false" outlineLevel="0" collapsed="false">
      <c r="A15231" s="5" t="s">
        <v>266</v>
      </c>
      <c r="G15231" s="30" t="n">
        <f aca="false">IF(Assumptions!$I$53=1,MAX(G15218,Assumptions!$G$53)+Assumptions!$F$53+$C$15219,Assumptions!$E$53)</f>
        <v>0.106</v>
      </c>
      <c r="H15231" s="30" t="n">
        <f aca="false">IF(G15380=1,$C$15220,IF(Assumptions!$I$53=1,MAX(H15218,Assumptions!$G$53)+Assumptions!$F$53+$C$15219,Assumptions!$E$53))</f>
        <v>0.1035</v>
      </c>
      <c r="I15231" s="30" t="n">
        <f aca="false">IF(H15380=1,$C$15220,IF(Assumptions!$I$53=1,MAX(I15218,Assumptions!$G$53)+Assumptions!$F$53+$C$15219,Assumptions!$E$53))</f>
        <v>0.101</v>
      </c>
      <c r="J15231" s="30" t="n">
        <f aca="false">IF(I15380=1,$C$15220,IF(Assumptions!$I$53=1,MAX(J15218,Assumptions!$G$53)+Assumptions!$F$53+$C$15219,Assumptions!$E$53))</f>
        <v>0.101</v>
      </c>
      <c r="K15231" s="30" t="n">
        <f aca="false">IF(J15380=1,$C$15220,IF(Assumptions!$I$53=1,MAX(K15218,Assumptions!$G$53)+Assumptions!$F$53+$C$15219,Assumptions!$E$53))</f>
        <v>0.101</v>
      </c>
    </row>
    <row r="15232" customFormat="false" ht="15" hidden="false" customHeight="false" outlineLevel="0" collapsed="false">
      <c r="A15232" s="5" t="s">
        <v>267</v>
      </c>
      <c r="G15232" s="25" t="n">
        <f aca="false">G15228*G15231</f>
        <v>19.08</v>
      </c>
      <c r="H15232" s="25" t="n">
        <f aca="false">H15228*H15231</f>
        <v>23.5885608</v>
      </c>
      <c r="I15232" s="25" t="n">
        <f aca="false">I15228*I15231</f>
        <v>23.0187888</v>
      </c>
      <c r="J15232" s="25" t="n">
        <f aca="false">J15228*J15231</f>
        <v>23.0187888</v>
      </c>
      <c r="K15232" s="25" t="n">
        <f aca="false">K15228*K15231</f>
        <v>23.0187888</v>
      </c>
    </row>
    <row r="15233" customFormat="false" ht="15" hidden="false" customHeight="false" outlineLevel="0" collapsed="false">
      <c r="A15233" s="5" t="s">
        <v>268</v>
      </c>
      <c r="G15233" s="25" t="n">
        <f aca="false">G15228*Assumptions!$H$53</f>
        <v>0</v>
      </c>
      <c r="H15233" s="25" t="n">
        <f aca="false">H15228*Assumptions!$H$53</f>
        <v>0</v>
      </c>
      <c r="I15233" s="25" t="n">
        <f aca="false">I15228*Assumptions!$H$53</f>
        <v>0</v>
      </c>
      <c r="J15233" s="25" t="n">
        <f aca="false">J15228*Assumptions!$H$53</f>
        <v>0</v>
      </c>
      <c r="K15233" s="25" t="n">
        <f aca="false">K15228*Assumptions!$H$53</f>
        <v>0</v>
      </c>
    </row>
    <row r="15234" customFormat="false" ht="15" hidden="false" customHeight="false" outlineLevel="0" collapsed="false">
      <c r="A15234" s="5" t="s">
        <v>269</v>
      </c>
      <c r="G15234" s="25" t="n">
        <f aca="false">MIN(G15228,Assumptions!$L$53*Assumptions!$C$53)</f>
        <v>0</v>
      </c>
      <c r="H15234" s="25" t="n">
        <f aca="false">MIN(H15228,Assumptions!$L$53*Assumptions!$C$53)</f>
        <v>0</v>
      </c>
      <c r="I15234" s="25" t="n">
        <f aca="false">MIN(I15228,Assumptions!$L$53*Assumptions!$C$53)</f>
        <v>0</v>
      </c>
      <c r="J15234" s="25" t="n">
        <f aca="false">MIN(J15228,Assumptions!$L$53*Assumptions!$C$53)</f>
        <v>0</v>
      </c>
      <c r="K15234" s="25" t="n">
        <f aca="false">MIN(K15228,Assumptions!$L$53*Assumptions!$C$53)</f>
        <v>0</v>
      </c>
    </row>
    <row r="15235" customFormat="false" ht="15" hidden="false" customHeight="false" outlineLevel="0" collapsed="false">
      <c r="A15235" s="5" t="s">
        <v>270</v>
      </c>
      <c r="G15235" s="25" t="n">
        <f aca="false">IF(AND(Assumptions!$P$53=1,G15192&lt;Assumptions!$K$53),MIN(MAX(0,-G15306),MAX(0,Assumptions!$D$53-G15228)),0)</f>
        <v>47.9088</v>
      </c>
      <c r="H15235" s="25" t="n">
        <f aca="false">IF(AND(Assumptions!$P$53=1,OR(H15192&lt;Assumptions!$K$53,G15380=1)),MIN(MAX(0,-H15306),MAX(0,Assumptions!$D$53-H15228)),0)</f>
        <v>0</v>
      </c>
      <c r="I15235" s="25" t="n">
        <f aca="false">IF(AND(Assumptions!$P$53=1,OR(I15192&lt;Assumptions!$K$53,H15380=1)),MIN(MAX(0,-I15306),MAX(0,Assumptions!$D$53-I15228)),0)</f>
        <v>0</v>
      </c>
      <c r="J15235" s="25" t="n">
        <f aca="false">IF(AND(Assumptions!$P$53=1,OR(J15192&lt;Assumptions!$K$53,I15380=1)),MIN(MAX(0,-J15306),MAX(0,Assumptions!$D$53-J15228)),0)</f>
        <v>0</v>
      </c>
      <c r="K15235" s="25" t="n">
        <f aca="false">IF(AND(Assumptions!$P$53=1,OR(K15192&lt;Assumptions!$K$53,J15380=1)),MIN(MAX(0,-K15306),MAX(0,Assumptions!$D$53-K15228)),0)</f>
        <v>0</v>
      </c>
    </row>
    <row r="15236" customFormat="false" ht="15" hidden="false" customHeight="false" outlineLevel="0" collapsed="false">
      <c r="A15236" s="5" t="s">
        <v>271</v>
      </c>
      <c r="G15236" s="25" t="n">
        <f aca="false">G15229*MIN(G15228-G15234+G15233,MAX(0,G15308-Assumptions!$C$12*G15226))</f>
        <v>0</v>
      </c>
      <c r="H15236" s="25" t="n">
        <f aca="false">H15229*MIN(H15228-H15234+H15233,MAX(0,H15308-Assumptions!$C$12*H15226))</f>
        <v>0</v>
      </c>
      <c r="I15236" s="25" t="n">
        <f aca="false">I15229*MIN(I15228-I15234+I15233,MAX(0,I15308-Assumptions!$C$12*I15226))</f>
        <v>0</v>
      </c>
      <c r="J15236" s="25" t="n">
        <f aca="false">J15229*MIN(J15228-J15234+J15233,MAX(0,J15308-Assumptions!$C$12*J15226))</f>
        <v>0</v>
      </c>
      <c r="K15236" s="25" t="n">
        <f aca="false">K15229*MIN(K15228-K15234+K15233,MAX(0,K15308-Assumptions!$C$12*K15226))</f>
        <v>0</v>
      </c>
    </row>
    <row r="15237" customFormat="false" ht="15" hidden="false" customHeight="false" outlineLevel="0" collapsed="false">
      <c r="A15237" s="5" t="s">
        <v>272</v>
      </c>
      <c r="G15237" s="25" t="n">
        <f aca="false">Assumptions!$N$53*MIN(G15228+G15235+G15233-G15234-G15236,MAX(0,G15312))</f>
        <v>0</v>
      </c>
      <c r="H15237" s="25" t="n">
        <f aca="false">Assumptions!$N$53*MIN(H15228+H15235+H15233-H15234-H15236,MAX(0,H15312))</f>
        <v>0</v>
      </c>
      <c r="I15237" s="25" t="n">
        <f aca="false">Assumptions!$N$53*MIN(I15228+I15235+I15233-I15234-I15236,MAX(0,I15312))</f>
        <v>0</v>
      </c>
      <c r="J15237" s="25" t="n">
        <f aca="false">Assumptions!$N$53*MIN(J15228+J15235+J15233-J15234-J15236,MAX(0,J15312))</f>
        <v>0</v>
      </c>
      <c r="K15237" s="25" t="n">
        <f aca="false">Assumptions!$N$53*MIN(K15228+K15235+K15233-K15234-K15236,MAX(0,K15312))</f>
        <v>0</v>
      </c>
    </row>
    <row r="15238" customFormat="false" ht="15" hidden="false" customHeight="false" outlineLevel="0" collapsed="false">
      <c r="A15238" s="5" t="s">
        <v>273</v>
      </c>
      <c r="G15238" s="25" t="n">
        <f aca="false">G15229*(1-G15226)*(G15228-G15234+G15233-G15236)</f>
        <v>0</v>
      </c>
      <c r="H15238" s="25" t="n">
        <f aca="false">H15229*(1-H15226)*(H15228-H15234+H15233-H15236)</f>
        <v>227.9088</v>
      </c>
      <c r="I15238" s="25" t="n">
        <f aca="false">I15229*(1-I15226)*(I15228-I15234+I15233-I15236)</f>
        <v>0</v>
      </c>
      <c r="J15238" s="25" t="n">
        <f aca="false">J15229*(1-J15226)*(J15228-J15234+J15233-J15236)</f>
        <v>0</v>
      </c>
      <c r="K15238" s="25" t="n">
        <f aca="false">K15229*(1-K15226)*(K15228-K15234+K15233-K15236)</f>
        <v>0</v>
      </c>
    </row>
    <row r="15239" customFormat="false" ht="15" hidden="false" customHeight="false" outlineLevel="0" collapsed="false">
      <c r="A15239" s="2" t="s">
        <v>274</v>
      </c>
      <c r="F15239" s="27" t="n">
        <f aca="false">Assumptions!$C$53</f>
        <v>180</v>
      </c>
      <c r="G15239" s="16" t="n">
        <f aca="false">G15228+G15235+G15233-G15234-G15236-G15237</f>
        <v>227.9088</v>
      </c>
      <c r="H15239" s="16" t="n">
        <f aca="false">H15228+H15235+H15233-H15234-H15236-H15237</f>
        <v>227.9088</v>
      </c>
      <c r="I15239" s="16" t="n">
        <f aca="false">I15228+I15235+I15233-I15234-I15236-I15237</f>
        <v>227.9088</v>
      </c>
      <c r="J15239" s="16" t="n">
        <f aca="false">J15228+J15235+J15233-J15234-J15236-J15237</f>
        <v>227.9088</v>
      </c>
      <c r="K15239" s="16" t="n">
        <f aca="false">K15228+K15235+K15233-K15234-K15236-K15237</f>
        <v>227.9088</v>
      </c>
    </row>
    <row r="15240" customFormat="false" ht="15" hidden="false" customHeight="false" outlineLevel="0" collapsed="false">
      <c r="A15240" s="23" t="s">
        <v>275</v>
      </c>
      <c r="B15240" s="24"/>
      <c r="C15240" s="24"/>
      <c r="D15240" s="24"/>
      <c r="E15240" s="24"/>
      <c r="F15240" s="24"/>
      <c r="G15240" s="24"/>
      <c r="H15240" s="24"/>
      <c r="I15240" s="24"/>
      <c r="J15240" s="24"/>
      <c r="K15240" s="24"/>
    </row>
    <row r="15241" customFormat="false" ht="15" hidden="false" customHeight="false" outlineLevel="0" collapsed="false">
      <c r="A15241" s="5" t="s">
        <v>264</v>
      </c>
      <c r="G15241" s="25" t="n">
        <f aca="false">F15252</f>
        <v>520</v>
      </c>
      <c r="H15241" s="25" t="n">
        <f aca="false">G15252</f>
        <v>514.8</v>
      </c>
      <c r="I15241" s="25" t="n">
        <f aca="false">H15252</f>
        <v>509.6</v>
      </c>
      <c r="J15241" s="25" t="n">
        <f aca="false">I15252</f>
        <v>504.4</v>
      </c>
      <c r="K15241" s="25" t="n">
        <f aca="false">J15252</f>
        <v>499.2</v>
      </c>
    </row>
    <row r="15242" customFormat="false" ht="15" hidden="false" customHeight="false" outlineLevel="0" collapsed="false">
      <c r="A15242" s="5" t="s">
        <v>265</v>
      </c>
      <c r="G15242" s="20" t="n">
        <f aca="false">IF(G15192=Assumptions!$K$54,1,0)</f>
        <v>0</v>
      </c>
      <c r="H15242" s="20" t="n">
        <f aca="false">IF(H15192=Assumptions!$K$54,1,0)</f>
        <v>0</v>
      </c>
      <c r="I15242" s="20" t="n">
        <f aca="false">IF(I15192=Assumptions!$K$54,1,0)</f>
        <v>1</v>
      </c>
      <c r="J15242" s="20" t="n">
        <f aca="false">IF(J15192=Assumptions!$K$54,1,0)</f>
        <v>0</v>
      </c>
      <c r="K15242" s="20" t="n">
        <f aca="false">IF(K15192=Assumptions!$K$54,1,0)</f>
        <v>0</v>
      </c>
    </row>
    <row r="15244" customFormat="false" ht="15" hidden="false" customHeight="false" outlineLevel="0" collapsed="false">
      <c r="A15244" s="5" t="s">
        <v>266</v>
      </c>
      <c r="G15244" s="30" t="n">
        <f aca="false">IF(Assumptions!$I$54=1,MAX(G15218,Assumptions!$G$54)+Assumptions!$F$54+$C$15219,Assumptions!$E$54)</f>
        <v>0.123</v>
      </c>
      <c r="H15244" s="30" t="n">
        <f aca="false">IF(G15381=1,$C$15220,IF(Assumptions!$I$54=1,MAX(H15218,Assumptions!$G$54)+Assumptions!$F$54+$C$15219,Assumptions!$E$54))</f>
        <v>0.1205</v>
      </c>
      <c r="I15244" s="30" t="n">
        <f aca="false">IF(H15381=1,$C$15220,IF(Assumptions!$I$54=1,MAX(I15218,Assumptions!$G$54)+Assumptions!$F$54+$C$15219,Assumptions!$E$54))</f>
        <v>0.118</v>
      </c>
      <c r="J15244" s="30" t="n">
        <f aca="false">IF(I15381=1,$C$15220,IF(Assumptions!$I$54=1,MAX(J15218,Assumptions!$G$54)+Assumptions!$F$54+$C$15219,Assumptions!$E$54))</f>
        <v>0.118</v>
      </c>
      <c r="K15244" s="30" t="n">
        <f aca="false">IF(J15381=1,$C$15220,IF(Assumptions!$I$54=1,MAX(K15218,Assumptions!$G$54)+Assumptions!$F$54+$C$15219,Assumptions!$E$54))</f>
        <v>0.118</v>
      </c>
    </row>
    <row r="15245" customFormat="false" ht="15" hidden="false" customHeight="false" outlineLevel="0" collapsed="false">
      <c r="A15245" s="5" t="s">
        <v>267</v>
      </c>
      <c r="G15245" s="25" t="n">
        <f aca="false">G15241*G15244</f>
        <v>63.96</v>
      </c>
      <c r="H15245" s="25" t="n">
        <f aca="false">H15241*H15244</f>
        <v>62.0334</v>
      </c>
      <c r="I15245" s="25" t="n">
        <f aca="false">I15241*I15244</f>
        <v>60.1328</v>
      </c>
      <c r="J15245" s="25" t="n">
        <f aca="false">J15241*J15244</f>
        <v>59.5192</v>
      </c>
      <c r="K15245" s="25" t="n">
        <f aca="false">K15241*K15244</f>
        <v>58.9056</v>
      </c>
    </row>
    <row r="15246" customFormat="false" ht="15" hidden="false" customHeight="false" outlineLevel="0" collapsed="false">
      <c r="A15246" s="5" t="s">
        <v>268</v>
      </c>
      <c r="G15246" s="25" t="n">
        <f aca="false">G15241*Assumptions!$H$54</f>
        <v>0</v>
      </c>
      <c r="H15246" s="25" t="n">
        <f aca="false">H15241*Assumptions!$H$54</f>
        <v>0</v>
      </c>
      <c r="I15246" s="25" t="n">
        <f aca="false">I15241*Assumptions!$H$54</f>
        <v>0</v>
      </c>
      <c r="J15246" s="25" t="n">
        <f aca="false">J15241*Assumptions!$H$54</f>
        <v>0</v>
      </c>
      <c r="K15246" s="25" t="n">
        <f aca="false">K15241*Assumptions!$H$54</f>
        <v>0</v>
      </c>
    </row>
    <row r="15247" customFormat="false" ht="15" hidden="false" customHeight="false" outlineLevel="0" collapsed="false">
      <c r="A15247" s="5" t="s">
        <v>269</v>
      </c>
      <c r="G15247" s="25" t="n">
        <f aca="false">MIN(G15241,Assumptions!$L$54*Assumptions!$C$54)</f>
        <v>5.2</v>
      </c>
      <c r="H15247" s="25" t="n">
        <f aca="false">MIN(H15241,Assumptions!$L$54*Assumptions!$C$54)</f>
        <v>5.2</v>
      </c>
      <c r="I15247" s="25" t="n">
        <f aca="false">MIN(I15241,Assumptions!$L$54*Assumptions!$C$54)</f>
        <v>5.2</v>
      </c>
      <c r="J15247" s="25" t="n">
        <f aca="false">MIN(J15241,Assumptions!$L$54*Assumptions!$C$54)</f>
        <v>5.2</v>
      </c>
      <c r="K15247" s="25" t="n">
        <f aca="false">MIN(K15241,Assumptions!$L$54*Assumptions!$C$54)</f>
        <v>5.2</v>
      </c>
    </row>
    <row r="15248" customFormat="false" ht="15" hidden="false" customHeight="false" outlineLevel="0" collapsed="false">
      <c r="A15248" s="5" t="s">
        <v>270</v>
      </c>
      <c r="G15248" s="25" t="n">
        <f aca="false">IF(AND(Assumptions!$P$54=1,G15192&lt;Assumptions!$K$54),MIN(MAX(0,-G15306),MAX(0,Assumptions!$D$54-G15241)),0)</f>
        <v>0</v>
      </c>
      <c r="H15248" s="25" t="n">
        <f aca="false">IF(AND(Assumptions!$P$54=1,OR(H15192&lt;Assumptions!$K$54,G15381=1)),MIN(MAX(0,-H15306),MAX(0,Assumptions!$D$54-H15241)),0)</f>
        <v>0</v>
      </c>
      <c r="I15248" s="25" t="n">
        <f aca="false">IF(AND(Assumptions!$P$54=1,OR(I15192&lt;Assumptions!$K$54,H15381=1)),MIN(MAX(0,-I15306),MAX(0,Assumptions!$D$54-I15241)),0)</f>
        <v>0</v>
      </c>
      <c r="J15248" s="25" t="n">
        <f aca="false">IF(AND(Assumptions!$P$54=1,OR(J15192&lt;Assumptions!$K$54,I15381=1)),MIN(MAX(0,-J15306),MAX(0,Assumptions!$D$54-J15241)),0)</f>
        <v>0</v>
      </c>
      <c r="K15248" s="25" t="n">
        <f aca="false">IF(AND(Assumptions!$P$54=1,OR(K15192&lt;Assumptions!$K$54,J15381=1)),MIN(MAX(0,-K15306),MAX(0,Assumptions!$D$54-K15241)),0)</f>
        <v>0</v>
      </c>
    </row>
    <row r="15249" customFormat="false" ht="15" hidden="false" customHeight="false" outlineLevel="0" collapsed="false">
      <c r="A15249" s="5" t="s">
        <v>271</v>
      </c>
      <c r="G15249" s="25" t="n">
        <f aca="false">G15242*MIN(G15241-G15247+G15246,MAX(0,G15308-Assumptions!$C$12*G15226-G15236))</f>
        <v>0</v>
      </c>
      <c r="H15249" s="25" t="n">
        <f aca="false">H15242*MIN(H15241-H15247+H15246,MAX(0,H15308-Assumptions!$C$12*H15226-H15236))</f>
        <v>0</v>
      </c>
      <c r="I15249" s="25" t="n">
        <f aca="false">I15242*MIN(I15241-I15247+I15246,MAX(0,I15308-Assumptions!$C$12*I15226-I15236))</f>
        <v>0</v>
      </c>
      <c r="J15249" s="25" t="n">
        <f aca="false">J15242*MIN(J15241-J15247+J15246,MAX(0,J15308-Assumptions!$C$12*J15226-J15236))</f>
        <v>0</v>
      </c>
      <c r="K15249" s="25" t="n">
        <f aca="false">K15242*MIN(K15241-K15247+K15246,MAX(0,K15308-Assumptions!$C$12*K15226-K15236))</f>
        <v>0</v>
      </c>
    </row>
    <row r="15250" customFormat="false" ht="15" hidden="false" customHeight="false" outlineLevel="0" collapsed="false">
      <c r="A15250" s="5" t="s">
        <v>272</v>
      </c>
      <c r="G15250" s="25" t="n">
        <f aca="false">Assumptions!$N$54*MIN(G15241+G15248+G15246-G15247-G15249,MAX(0,G15312-G15237))</f>
        <v>0</v>
      </c>
      <c r="H15250" s="25" t="n">
        <f aca="false">Assumptions!$N$54*MIN(H15241+H15248+H15246-H15247-H15249,MAX(0,H15312-H15237))</f>
        <v>0</v>
      </c>
      <c r="I15250" s="25" t="n">
        <f aca="false">Assumptions!$N$54*MIN(I15241+I15248+I15246-I15247-I15249,MAX(0,I15312-I15237))</f>
        <v>0</v>
      </c>
      <c r="J15250" s="25" t="n">
        <f aca="false">Assumptions!$N$54*MIN(J15241+J15248+J15246-J15247-J15249,MAX(0,J15312-J15237))</f>
        <v>0</v>
      </c>
      <c r="K15250" s="25" t="n">
        <f aca="false">Assumptions!$N$54*MIN(K15241+K15248+K15246-K15247-K15249,MAX(0,K15312-K15237))</f>
        <v>0</v>
      </c>
    </row>
    <row r="15251" customFormat="false" ht="15" hidden="false" customHeight="false" outlineLevel="0" collapsed="false">
      <c r="A15251" s="5" t="s">
        <v>273</v>
      </c>
      <c r="G15251" s="25" t="n">
        <f aca="false">G15242*(1-G15226)*(G15241-G15247+G15246-G15249)</f>
        <v>0</v>
      </c>
      <c r="H15251" s="25" t="n">
        <f aca="false">H15242*(1-H15226)*(H15241-H15247+H15246-H15249)</f>
        <v>0</v>
      </c>
      <c r="I15251" s="25" t="n">
        <f aca="false">I15242*(1-I15226)*(I15241-I15247+I15246-I15249)</f>
        <v>504.4</v>
      </c>
      <c r="J15251" s="25" t="n">
        <f aca="false">J15242*(1-J15226)*(J15241-J15247+J15246-J15249)</f>
        <v>0</v>
      </c>
      <c r="K15251" s="25" t="n">
        <f aca="false">K15242*(1-K15226)*(K15241-K15247+K15246-K15249)</f>
        <v>0</v>
      </c>
    </row>
    <row r="15252" customFormat="false" ht="15" hidden="false" customHeight="false" outlineLevel="0" collapsed="false">
      <c r="A15252" s="2" t="s">
        <v>274</v>
      </c>
      <c r="F15252" s="27" t="n">
        <f aca="false">Assumptions!$C$54</f>
        <v>520</v>
      </c>
      <c r="G15252" s="16" t="n">
        <f aca="false">G15241+G15248+G15246-G15247-G15249-G15250</f>
        <v>514.8</v>
      </c>
      <c r="H15252" s="16" t="n">
        <f aca="false">H15241+H15248+H15246-H15247-H15249-H15250</f>
        <v>509.6</v>
      </c>
      <c r="I15252" s="16" t="n">
        <f aca="false">I15241+I15248+I15246-I15247-I15249-I15250</f>
        <v>504.4</v>
      </c>
      <c r="J15252" s="16" t="n">
        <f aca="false">J15241+J15248+J15246-J15247-J15249-J15250</f>
        <v>499.2</v>
      </c>
      <c r="K15252" s="16" t="n">
        <f aca="false">K15241+K15248+K15246-K15247-K15249-K15250</f>
        <v>494</v>
      </c>
    </row>
    <row r="15253" customFormat="false" ht="15" hidden="false" customHeight="false" outlineLevel="0" collapsed="false">
      <c r="A15253" s="23" t="s">
        <v>276</v>
      </c>
      <c r="B15253" s="24"/>
      <c r="C15253" s="24"/>
      <c r="D15253" s="24"/>
      <c r="E15253" s="24"/>
      <c r="F15253" s="24"/>
      <c r="G15253" s="24"/>
      <c r="H15253" s="24"/>
      <c r="I15253" s="24"/>
      <c r="J15253" s="24"/>
      <c r="K15253" s="24"/>
    </row>
    <row r="15254" customFormat="false" ht="15" hidden="false" customHeight="false" outlineLevel="0" collapsed="false">
      <c r="A15254" s="5" t="s">
        <v>264</v>
      </c>
      <c r="G15254" s="25" t="n">
        <f aca="false">F15265</f>
        <v>250</v>
      </c>
      <c r="H15254" s="25" t="n">
        <f aca="false">G15265</f>
        <v>250</v>
      </c>
      <c r="I15254" s="25" t="n">
        <f aca="false">H15265</f>
        <v>250</v>
      </c>
      <c r="J15254" s="25" t="n">
        <f aca="false">I15265</f>
        <v>250</v>
      </c>
      <c r="K15254" s="25" t="n">
        <f aca="false">J15265</f>
        <v>250</v>
      </c>
    </row>
    <row r="15255" customFormat="false" ht="15" hidden="false" customHeight="false" outlineLevel="0" collapsed="false">
      <c r="A15255" s="5" t="s">
        <v>265</v>
      </c>
      <c r="G15255" s="20" t="n">
        <f aca="false">IF(G15192=Assumptions!$K$55,1,0)</f>
        <v>0</v>
      </c>
      <c r="H15255" s="20" t="n">
        <f aca="false">IF(H15192=Assumptions!$K$55,1,0)</f>
        <v>0</v>
      </c>
      <c r="I15255" s="20" t="n">
        <f aca="false">IF(I15192=Assumptions!$K$55,1,0)</f>
        <v>0</v>
      </c>
      <c r="J15255" s="20" t="n">
        <f aca="false">IF(J15192=Assumptions!$K$55,1,0)</f>
        <v>1</v>
      </c>
      <c r="K15255" s="20" t="n">
        <f aca="false">IF(K15192=Assumptions!$K$55,1,0)</f>
        <v>0</v>
      </c>
    </row>
    <row r="15257" customFormat="false" ht="15" hidden="false" customHeight="false" outlineLevel="0" collapsed="false">
      <c r="A15257" s="5" t="s">
        <v>266</v>
      </c>
      <c r="G15257" s="30" t="n">
        <f aca="false">IF(Assumptions!$I$55=1,MAX(G15218,Assumptions!$G$55)+Assumptions!$F$55+$C$15219,Assumptions!$E$55)</f>
        <v>0.11</v>
      </c>
      <c r="H15257" s="30" t="n">
        <f aca="false">IF(G15382=1,$C$15220,IF(Assumptions!$I$55=1,MAX(H15218,Assumptions!$G$55)+Assumptions!$F$55+$C$15219,Assumptions!$E$55))</f>
        <v>0.11</v>
      </c>
      <c r="I15257" s="30" t="n">
        <f aca="false">IF(H15382=1,$C$15220,IF(Assumptions!$I$55=1,MAX(I15218,Assumptions!$G$55)+Assumptions!$F$55+$C$15219,Assumptions!$E$55))</f>
        <v>0.11</v>
      </c>
      <c r="J15257" s="30" t="n">
        <f aca="false">IF(I15382=1,$C$15220,IF(Assumptions!$I$55=1,MAX(J15218,Assumptions!$G$55)+Assumptions!$F$55+$C$15219,Assumptions!$E$55))</f>
        <v>0.11</v>
      </c>
      <c r="K15257" s="30" t="n">
        <f aca="false">IF(J15382=1,$C$15220,IF(Assumptions!$I$55=1,MAX(K15218,Assumptions!$G$55)+Assumptions!$F$55+$C$15219,Assumptions!$E$55))</f>
        <v>0.11</v>
      </c>
    </row>
    <row r="15258" customFormat="false" ht="15" hidden="false" customHeight="false" outlineLevel="0" collapsed="false">
      <c r="A15258" s="5" t="s">
        <v>267</v>
      </c>
      <c r="G15258" s="25" t="n">
        <f aca="false">G15254*G15257</f>
        <v>27.5</v>
      </c>
      <c r="H15258" s="25" t="n">
        <f aca="false">H15254*H15257</f>
        <v>27.5</v>
      </c>
      <c r="I15258" s="25" t="n">
        <f aca="false">I15254*I15257</f>
        <v>27.5</v>
      </c>
      <c r="J15258" s="25" t="n">
        <f aca="false">J15254*J15257</f>
        <v>27.5</v>
      </c>
      <c r="K15258" s="25" t="n">
        <f aca="false">K15254*K15257</f>
        <v>27.5</v>
      </c>
    </row>
    <row r="15259" customFormat="false" ht="15" hidden="false" customHeight="false" outlineLevel="0" collapsed="false">
      <c r="A15259" s="5" t="s">
        <v>268</v>
      </c>
      <c r="G15259" s="25" t="n">
        <f aca="false">G15254*Assumptions!$H$55</f>
        <v>0</v>
      </c>
      <c r="H15259" s="25" t="n">
        <f aca="false">H15254*Assumptions!$H$55</f>
        <v>0</v>
      </c>
      <c r="I15259" s="25" t="n">
        <f aca="false">I15254*Assumptions!$H$55</f>
        <v>0</v>
      </c>
      <c r="J15259" s="25" t="n">
        <f aca="false">J15254*Assumptions!$H$55</f>
        <v>0</v>
      </c>
      <c r="K15259" s="25" t="n">
        <f aca="false">K15254*Assumptions!$H$55</f>
        <v>0</v>
      </c>
    </row>
    <row r="15260" customFormat="false" ht="15" hidden="false" customHeight="false" outlineLevel="0" collapsed="false">
      <c r="A15260" s="5" t="s">
        <v>269</v>
      </c>
      <c r="G15260" s="25" t="n">
        <f aca="false">MIN(G15254,Assumptions!$L$55*Assumptions!$C$55)</f>
        <v>0</v>
      </c>
      <c r="H15260" s="25" t="n">
        <f aca="false">MIN(H15254,Assumptions!$L$55*Assumptions!$C$55)</f>
        <v>0</v>
      </c>
      <c r="I15260" s="25" t="n">
        <f aca="false">MIN(I15254,Assumptions!$L$55*Assumptions!$C$55)</f>
        <v>0</v>
      </c>
      <c r="J15260" s="25" t="n">
        <f aca="false">MIN(J15254,Assumptions!$L$55*Assumptions!$C$55)</f>
        <v>0</v>
      </c>
      <c r="K15260" s="25" t="n">
        <f aca="false">MIN(K15254,Assumptions!$L$55*Assumptions!$C$55)</f>
        <v>0</v>
      </c>
    </row>
    <row r="15261" customFormat="false" ht="15" hidden="false" customHeight="false" outlineLevel="0" collapsed="false">
      <c r="A15261" s="5" t="s">
        <v>270</v>
      </c>
      <c r="G15261" s="25" t="n">
        <f aca="false">IF(AND(Assumptions!$P$55=1,G15192&lt;Assumptions!$K$55),MIN(MAX(0,-G15306),MAX(0,Assumptions!$D$55-G15254)),0)</f>
        <v>0</v>
      </c>
      <c r="H15261" s="25" t="n">
        <f aca="false">IF(AND(Assumptions!$P$55=1,OR(H15192&lt;Assumptions!$K$55,G15382=1)),MIN(MAX(0,-H15306),MAX(0,Assumptions!$D$55-H15254)),0)</f>
        <v>0</v>
      </c>
      <c r="I15261" s="25" t="n">
        <f aca="false">IF(AND(Assumptions!$P$55=1,OR(I15192&lt;Assumptions!$K$55,H15382=1)),MIN(MAX(0,-I15306),MAX(0,Assumptions!$D$55-I15254)),0)</f>
        <v>0</v>
      </c>
      <c r="J15261" s="25" t="n">
        <f aca="false">IF(AND(Assumptions!$P$55=1,OR(J15192&lt;Assumptions!$K$55,I15382=1)),MIN(MAX(0,-J15306),MAX(0,Assumptions!$D$55-J15254)),0)</f>
        <v>0</v>
      </c>
      <c r="K15261" s="25" t="n">
        <f aca="false">IF(AND(Assumptions!$P$55=1,OR(K15192&lt;Assumptions!$K$55,J15382=1)),MIN(MAX(0,-K15306),MAX(0,Assumptions!$D$55-K15254)),0)</f>
        <v>0</v>
      </c>
    </row>
    <row r="15262" customFormat="false" ht="15" hidden="false" customHeight="false" outlineLevel="0" collapsed="false">
      <c r="A15262" s="5" t="s">
        <v>271</v>
      </c>
      <c r="G15262" s="25" t="n">
        <f aca="false">G15255*MIN(G15254-G15260+G15259,MAX(0,G15308-Assumptions!$C$12*G15226-G15236-G15249))</f>
        <v>0</v>
      </c>
      <c r="H15262" s="25" t="n">
        <f aca="false">H15255*MIN(H15254-H15260+H15259,MAX(0,H15308-Assumptions!$C$12*H15226-H15236-H15249))</f>
        <v>0</v>
      </c>
      <c r="I15262" s="25" t="n">
        <f aca="false">I15255*MIN(I15254-I15260+I15259,MAX(0,I15308-Assumptions!$C$12*I15226-I15236-I15249))</f>
        <v>0</v>
      </c>
      <c r="J15262" s="25" t="n">
        <f aca="false">J15255*MIN(J15254-J15260+J15259,MAX(0,J15308-Assumptions!$C$12*J15226-J15236-J15249))</f>
        <v>0</v>
      </c>
      <c r="K15262" s="25" t="n">
        <f aca="false">K15255*MIN(K15254-K15260+K15259,MAX(0,K15308-Assumptions!$C$12*K15226-K15236-K15249))</f>
        <v>0</v>
      </c>
    </row>
    <row r="15263" customFormat="false" ht="15" hidden="false" customHeight="false" outlineLevel="0" collapsed="false">
      <c r="A15263" s="5" t="s">
        <v>272</v>
      </c>
      <c r="G15263" s="25" t="n">
        <f aca="false">Assumptions!$N$55*MIN(G15254+G15261+G15259-G15260-G15262,MAX(0,G15312-G15237-G15250))</f>
        <v>0</v>
      </c>
      <c r="H15263" s="25" t="n">
        <f aca="false">Assumptions!$N$55*MIN(H15254+H15261+H15259-H15260-H15262,MAX(0,H15312-H15237-H15250))</f>
        <v>0</v>
      </c>
      <c r="I15263" s="25" t="n">
        <f aca="false">Assumptions!$N$55*MIN(I15254+I15261+I15259-I15260-I15262,MAX(0,I15312-I15237-I15250))</f>
        <v>0</v>
      </c>
      <c r="J15263" s="25" t="n">
        <f aca="false">Assumptions!$N$55*MIN(J15254+J15261+J15259-J15260-J15262,MAX(0,J15312-J15237-J15250))</f>
        <v>0</v>
      </c>
      <c r="K15263" s="25" t="n">
        <f aca="false">Assumptions!$N$55*MIN(K15254+K15261+K15259-K15260-K15262,MAX(0,K15312-K15237-K15250))</f>
        <v>0</v>
      </c>
    </row>
    <row r="15264" customFormat="false" ht="15" hidden="false" customHeight="false" outlineLevel="0" collapsed="false">
      <c r="A15264" s="5" t="s">
        <v>273</v>
      </c>
      <c r="G15264" s="25" t="n">
        <f aca="false">G15255*(1-G15226)*(G15254-G15260+G15259-G15262)</f>
        <v>0</v>
      </c>
      <c r="H15264" s="25" t="n">
        <f aca="false">H15255*(1-H15226)*(H15254-H15260+H15259-H15262)</f>
        <v>0</v>
      </c>
      <c r="I15264" s="25" t="n">
        <f aca="false">I15255*(1-I15226)*(I15254-I15260+I15259-I15262)</f>
        <v>0</v>
      </c>
      <c r="J15264" s="25" t="n">
        <f aca="false">J15255*(1-J15226)*(J15254-J15260+J15259-J15262)</f>
        <v>250</v>
      </c>
      <c r="K15264" s="25" t="n">
        <f aca="false">K15255*(1-K15226)*(K15254-K15260+K15259-K15262)</f>
        <v>0</v>
      </c>
    </row>
    <row r="15265" customFormat="false" ht="15" hidden="false" customHeight="false" outlineLevel="0" collapsed="false">
      <c r="A15265" s="2" t="s">
        <v>274</v>
      </c>
      <c r="F15265" s="27" t="n">
        <f aca="false">Assumptions!$C$55</f>
        <v>250</v>
      </c>
      <c r="G15265" s="16" t="n">
        <f aca="false">G15254+G15261+G15259-G15260-G15262-G15263</f>
        <v>250</v>
      </c>
      <c r="H15265" s="16" t="n">
        <f aca="false">H15254+H15261+H15259-H15260-H15262-H15263</f>
        <v>250</v>
      </c>
      <c r="I15265" s="16" t="n">
        <f aca="false">I15254+I15261+I15259-I15260-I15262-I15263</f>
        <v>250</v>
      </c>
      <c r="J15265" s="16" t="n">
        <f aca="false">J15254+J15261+J15259-J15260-J15262-J15263</f>
        <v>250</v>
      </c>
      <c r="K15265" s="16" t="n">
        <f aca="false">K15254+K15261+K15259-K15260-K15262-K15263</f>
        <v>250</v>
      </c>
    </row>
    <row r="15266" customFormat="false" ht="15" hidden="false" customHeight="false" outlineLevel="0" collapsed="false">
      <c r="A15266" s="23" t="s">
        <v>277</v>
      </c>
      <c r="B15266" s="24"/>
      <c r="C15266" s="24"/>
      <c r="D15266" s="24"/>
      <c r="E15266" s="24"/>
      <c r="F15266" s="24"/>
      <c r="G15266" s="24"/>
      <c r="H15266" s="24"/>
      <c r="I15266" s="24"/>
      <c r="J15266" s="24"/>
      <c r="K15266" s="24"/>
    </row>
    <row r="15267" customFormat="false" ht="15" hidden="false" customHeight="false" outlineLevel="0" collapsed="false">
      <c r="A15267" s="5" t="s">
        <v>264</v>
      </c>
      <c r="G15267" s="25" t="n">
        <f aca="false">F15278</f>
        <v>300</v>
      </c>
      <c r="H15267" s="25" t="n">
        <f aca="false">G15278</f>
        <v>300</v>
      </c>
      <c r="I15267" s="25" t="n">
        <f aca="false">H15278</f>
        <v>300</v>
      </c>
      <c r="J15267" s="25" t="n">
        <f aca="false">I15278</f>
        <v>300</v>
      </c>
      <c r="K15267" s="25" t="n">
        <f aca="false">J15278</f>
        <v>300</v>
      </c>
    </row>
    <row r="15268" customFormat="false" ht="15" hidden="false" customHeight="false" outlineLevel="0" collapsed="false">
      <c r="A15268" s="5" t="s">
        <v>265</v>
      </c>
      <c r="G15268" s="20" t="n">
        <f aca="false">IF(G15192=Assumptions!$K$56,1,0)</f>
        <v>0</v>
      </c>
      <c r="H15268" s="20" t="n">
        <f aca="false">IF(H15192=Assumptions!$K$56,1,0)</f>
        <v>1</v>
      </c>
      <c r="I15268" s="20" t="n">
        <f aca="false">IF(I15192=Assumptions!$K$56,1,0)</f>
        <v>0</v>
      </c>
      <c r="J15268" s="20" t="n">
        <f aca="false">IF(J15192=Assumptions!$K$56,1,0)</f>
        <v>0</v>
      </c>
      <c r="K15268" s="20" t="n">
        <f aca="false">IF(K15192=Assumptions!$K$56,1,0)</f>
        <v>0</v>
      </c>
    </row>
    <row r="15270" customFormat="false" ht="15" hidden="false" customHeight="false" outlineLevel="0" collapsed="false">
      <c r="A15270" s="5" t="s">
        <v>266</v>
      </c>
      <c r="G15270" s="30" t="n">
        <f aca="false">IF(Assumptions!$I$56=1,MAX(G15218,Assumptions!$G$56)+Assumptions!$F$56+$C$15219,Assumptions!$E$56)</f>
        <v>0.075</v>
      </c>
      <c r="H15270" s="30" t="n">
        <f aca="false">IF(G15383=1,$C$15220,IF(Assumptions!$I$56=1,MAX(H15218,Assumptions!$G$56)+Assumptions!$F$56+$C$15219,Assumptions!$E$56))</f>
        <v>0.075</v>
      </c>
      <c r="I15270" s="30" t="n">
        <f aca="false">IF(H15383=1,$C$15220,IF(Assumptions!$I$56=1,MAX(I15218,Assumptions!$G$56)+Assumptions!$F$56+$C$15219,Assumptions!$E$56))</f>
        <v>0.075</v>
      </c>
      <c r="J15270" s="30" t="n">
        <f aca="false">IF(I15383=1,$C$15220,IF(Assumptions!$I$56=1,MAX(J15218,Assumptions!$G$56)+Assumptions!$F$56+$C$15219,Assumptions!$E$56))</f>
        <v>0.075</v>
      </c>
      <c r="K15270" s="30" t="n">
        <f aca="false">IF(J15383=1,$C$15220,IF(Assumptions!$I$56=1,MAX(K15218,Assumptions!$G$56)+Assumptions!$F$56+$C$15219,Assumptions!$E$56))</f>
        <v>0.075</v>
      </c>
    </row>
    <row r="15271" customFormat="false" ht="15" hidden="false" customHeight="false" outlineLevel="0" collapsed="false">
      <c r="A15271" s="5" t="s">
        <v>267</v>
      </c>
      <c r="G15271" s="25" t="n">
        <f aca="false">G15267*G15270</f>
        <v>22.5</v>
      </c>
      <c r="H15271" s="25" t="n">
        <f aca="false">H15267*H15270</f>
        <v>22.5</v>
      </c>
      <c r="I15271" s="25" t="n">
        <f aca="false">I15267*I15270</f>
        <v>22.5</v>
      </c>
      <c r="J15271" s="25" t="n">
        <f aca="false">J15267*J15270</f>
        <v>22.5</v>
      </c>
      <c r="K15271" s="25" t="n">
        <f aca="false">K15267*K15270</f>
        <v>22.5</v>
      </c>
    </row>
    <row r="15272" customFormat="false" ht="15" hidden="false" customHeight="false" outlineLevel="0" collapsed="false">
      <c r="A15272" s="5" t="s">
        <v>268</v>
      </c>
      <c r="G15272" s="25" t="n">
        <f aca="false">G15267*Assumptions!$H$56</f>
        <v>0</v>
      </c>
      <c r="H15272" s="25" t="n">
        <f aca="false">H15267*Assumptions!$H$56</f>
        <v>0</v>
      </c>
      <c r="I15272" s="25" t="n">
        <f aca="false">I15267*Assumptions!$H$56</f>
        <v>0</v>
      </c>
      <c r="J15272" s="25" t="n">
        <f aca="false">J15267*Assumptions!$H$56</f>
        <v>0</v>
      </c>
      <c r="K15272" s="25" t="n">
        <f aca="false">K15267*Assumptions!$H$56</f>
        <v>0</v>
      </c>
    </row>
    <row r="15273" customFormat="false" ht="15" hidden="false" customHeight="false" outlineLevel="0" collapsed="false">
      <c r="A15273" s="5" t="s">
        <v>269</v>
      </c>
      <c r="G15273" s="25" t="n">
        <f aca="false">MIN(G15267,Assumptions!$L$56*Assumptions!$C$56)</f>
        <v>0</v>
      </c>
      <c r="H15273" s="25" t="n">
        <f aca="false">MIN(H15267,Assumptions!$L$56*Assumptions!$C$56)</f>
        <v>0</v>
      </c>
      <c r="I15273" s="25" t="n">
        <f aca="false">MIN(I15267,Assumptions!$L$56*Assumptions!$C$56)</f>
        <v>0</v>
      </c>
      <c r="J15273" s="25" t="n">
        <f aca="false">MIN(J15267,Assumptions!$L$56*Assumptions!$C$56)</f>
        <v>0</v>
      </c>
      <c r="K15273" s="25" t="n">
        <f aca="false">MIN(K15267,Assumptions!$L$56*Assumptions!$C$56)</f>
        <v>0</v>
      </c>
    </row>
    <row r="15274" customFormat="false" ht="15" hidden="false" customHeight="false" outlineLevel="0" collapsed="false">
      <c r="A15274" s="5" t="s">
        <v>270</v>
      </c>
      <c r="G15274" s="25" t="n">
        <f aca="false">IF(AND(Assumptions!$P$56=1,G15192&lt;Assumptions!$K$56),MIN(MAX(0,-G15306),MAX(0,Assumptions!$D$56-G15267)),0)</f>
        <v>0</v>
      </c>
      <c r="H15274" s="25" t="n">
        <f aca="false">IF(AND(Assumptions!$P$56=1,OR(H15192&lt;Assumptions!$K$56,G15383=1)),MIN(MAX(0,-H15306),MAX(0,Assumptions!$D$56-H15267)),0)</f>
        <v>0</v>
      </c>
      <c r="I15274" s="25" t="n">
        <f aca="false">IF(AND(Assumptions!$P$56=1,OR(I15192&lt;Assumptions!$K$56,H15383=1)),MIN(MAX(0,-I15306),MAX(0,Assumptions!$D$56-I15267)),0)</f>
        <v>0</v>
      </c>
      <c r="J15274" s="25" t="n">
        <f aca="false">IF(AND(Assumptions!$P$56=1,OR(J15192&lt;Assumptions!$K$56,I15383=1)),MIN(MAX(0,-J15306),MAX(0,Assumptions!$D$56-J15267)),0)</f>
        <v>0</v>
      </c>
      <c r="K15274" s="25" t="n">
        <f aca="false">IF(AND(Assumptions!$P$56=1,OR(K15192&lt;Assumptions!$K$56,J15383=1)),MIN(MAX(0,-K15306),MAX(0,Assumptions!$D$56-K15267)),0)</f>
        <v>0</v>
      </c>
    </row>
    <row r="15275" customFormat="false" ht="15" hidden="false" customHeight="false" outlineLevel="0" collapsed="false">
      <c r="A15275" s="5" t="s">
        <v>271</v>
      </c>
      <c r="G15275" s="25" t="n">
        <f aca="false">G15268*MIN(G15267-G15273+G15272,MAX(0,G15308-Assumptions!$C$12*G15226-G15236-G15249-G15262))</f>
        <v>0</v>
      </c>
      <c r="H15275" s="25" t="n">
        <f aca="false">H15268*MIN(H15267-H15273+H15272,MAX(0,H15308-Assumptions!$C$12*H15226-H15236-H15249-H15262))</f>
        <v>0</v>
      </c>
      <c r="I15275" s="25" t="n">
        <f aca="false">I15268*MIN(I15267-I15273+I15272,MAX(0,I15308-Assumptions!$C$12*I15226-I15236-I15249-I15262))</f>
        <v>0</v>
      </c>
      <c r="J15275" s="25" t="n">
        <f aca="false">J15268*MIN(J15267-J15273+J15272,MAX(0,J15308-Assumptions!$C$12*J15226-J15236-J15249-J15262))</f>
        <v>0</v>
      </c>
      <c r="K15275" s="25" t="n">
        <f aca="false">K15268*MIN(K15267-K15273+K15272,MAX(0,K15308-Assumptions!$C$12*K15226-K15236-K15249-K15262))</f>
        <v>0</v>
      </c>
    </row>
    <row r="15276" customFormat="false" ht="15" hidden="false" customHeight="false" outlineLevel="0" collapsed="false">
      <c r="A15276" s="5" t="s">
        <v>272</v>
      </c>
      <c r="G15276" s="25" t="n">
        <f aca="false">Assumptions!$N$56*MIN(G15267+G15274+G15272-G15273-G15275,MAX(0,G15312-G15237-G15250-G15263))</f>
        <v>0</v>
      </c>
      <c r="H15276" s="25" t="n">
        <f aca="false">Assumptions!$N$56*MIN(H15267+H15274+H15272-H15273-H15275,MAX(0,H15312-H15237-H15250-H15263))</f>
        <v>0</v>
      </c>
      <c r="I15276" s="25" t="n">
        <f aca="false">Assumptions!$N$56*MIN(I15267+I15274+I15272-I15273-I15275,MAX(0,I15312-I15237-I15250-I15263))</f>
        <v>0</v>
      </c>
      <c r="J15276" s="25" t="n">
        <f aca="false">Assumptions!$N$56*MIN(J15267+J15274+J15272-J15273-J15275,MAX(0,J15312-J15237-J15250-J15263))</f>
        <v>0</v>
      </c>
      <c r="K15276" s="25" t="n">
        <f aca="false">Assumptions!$N$56*MIN(K15267+K15274+K15272-K15273-K15275,MAX(0,K15312-K15237-K15250-K15263))</f>
        <v>0</v>
      </c>
    </row>
    <row r="15277" customFormat="false" ht="15" hidden="false" customHeight="false" outlineLevel="0" collapsed="false">
      <c r="A15277" s="5" t="s">
        <v>273</v>
      </c>
      <c r="G15277" s="25" t="n">
        <f aca="false">G15268*(1-G15226)*(G15267-G15273+G15272-G15275)</f>
        <v>0</v>
      </c>
      <c r="H15277" s="25" t="n">
        <f aca="false">H15268*(1-H15226)*(H15267-H15273+H15272-H15275)</f>
        <v>300</v>
      </c>
      <c r="I15277" s="25" t="n">
        <f aca="false">I15268*(1-I15226)*(I15267-I15273+I15272-I15275)</f>
        <v>0</v>
      </c>
      <c r="J15277" s="25" t="n">
        <f aca="false">J15268*(1-J15226)*(J15267-J15273+J15272-J15275)</f>
        <v>0</v>
      </c>
      <c r="K15277" s="25" t="n">
        <f aca="false">K15268*(1-K15226)*(K15267-K15273+K15272-K15275)</f>
        <v>0</v>
      </c>
    </row>
    <row r="15278" customFormat="false" ht="15" hidden="false" customHeight="false" outlineLevel="0" collapsed="false">
      <c r="A15278" s="2" t="s">
        <v>274</v>
      </c>
      <c r="F15278" s="27" t="n">
        <f aca="false">Assumptions!$C$56</f>
        <v>300</v>
      </c>
      <c r="G15278" s="16" t="n">
        <f aca="false">G15267+G15274+G15272-G15273-G15275-G15276</f>
        <v>300</v>
      </c>
      <c r="H15278" s="16" t="n">
        <f aca="false">H15267+H15274+H15272-H15273-H15275-H15276</f>
        <v>300</v>
      </c>
      <c r="I15278" s="16" t="n">
        <f aca="false">I15267+I15274+I15272-I15273-I15275-I15276</f>
        <v>300</v>
      </c>
      <c r="J15278" s="16" t="n">
        <f aca="false">J15267+J15274+J15272-J15273-J15275-J15276</f>
        <v>300</v>
      </c>
      <c r="K15278" s="16" t="n">
        <f aca="false">K15267+K15274+K15272-K15273-K15275-K15276</f>
        <v>300</v>
      </c>
    </row>
    <row r="15279" customFormat="false" ht="15" hidden="false" customHeight="false" outlineLevel="0" collapsed="false">
      <c r="A15279" s="23" t="s">
        <v>278</v>
      </c>
      <c r="B15279" s="24"/>
      <c r="C15279" s="24"/>
      <c r="D15279" s="24"/>
      <c r="E15279" s="24"/>
      <c r="F15279" s="24"/>
      <c r="G15279" s="24"/>
      <c r="H15279" s="24"/>
      <c r="I15279" s="24"/>
      <c r="J15279" s="24"/>
      <c r="K15279" s="24"/>
    </row>
    <row r="15280" customFormat="false" ht="15" hidden="false" customHeight="false" outlineLevel="0" collapsed="false">
      <c r="A15280" s="2" t="s">
        <v>279</v>
      </c>
      <c r="F15280" s="16" t="n">
        <f aca="false">F15239+F15252+F15265+F15278</f>
        <v>1250</v>
      </c>
      <c r="G15280" s="16" t="n">
        <f aca="false">G15239+G15252+G15265+G15278</f>
        <v>1292.7088</v>
      </c>
      <c r="H15280" s="16" t="n">
        <f aca="false">H15239+H15252+H15265+H15278</f>
        <v>1287.5088</v>
      </c>
      <c r="I15280" s="16" t="n">
        <f aca="false">I15239+I15252+I15265+I15278</f>
        <v>1282.3088</v>
      </c>
      <c r="J15280" s="16" t="n">
        <f aca="false">J15239+J15252+J15265+J15278</f>
        <v>1277.1088</v>
      </c>
      <c r="K15280" s="16" t="n">
        <f aca="false">K15239+K15252+K15265+K15278</f>
        <v>1271.9088</v>
      </c>
    </row>
    <row r="15281" customFormat="false" ht="15" hidden="false" customHeight="false" outlineLevel="0" collapsed="false">
      <c r="A15281" s="5" t="s">
        <v>280</v>
      </c>
      <c r="G15281" s="25" t="n">
        <f aca="false">G15229*Assumptions!$C$53+G15242*Assumptions!$C$54+G15255*Assumptions!$C$55+G15268*Assumptions!$C$56</f>
        <v>0</v>
      </c>
      <c r="H15281" s="25" t="n">
        <f aca="false">H15229*Assumptions!$C$53+H15242*Assumptions!$C$54+H15255*Assumptions!$C$55+H15268*Assumptions!$C$56</f>
        <v>480</v>
      </c>
      <c r="I15281" s="25" t="n">
        <f aca="false">I15229*Assumptions!$C$53+I15242*Assumptions!$C$54+I15255*Assumptions!$C$55+I15268*Assumptions!$C$56</f>
        <v>520</v>
      </c>
      <c r="J15281" s="25" t="n">
        <f aca="false">J15229*Assumptions!$C$53+J15242*Assumptions!$C$54+J15255*Assumptions!$C$55+J15268*Assumptions!$C$56</f>
        <v>250</v>
      </c>
      <c r="K15281" s="25" t="n">
        <f aca="false">K15229*Assumptions!$C$53+K15242*Assumptions!$C$54+K15255*Assumptions!$C$55+K15268*Assumptions!$C$56</f>
        <v>0</v>
      </c>
    </row>
    <row r="15282" customFormat="false" ht="15" hidden="false" customHeight="false" outlineLevel="0" collapsed="false">
      <c r="A15282" s="23" t="s">
        <v>281</v>
      </c>
      <c r="B15282" s="24"/>
      <c r="C15282" s="24"/>
      <c r="D15282" s="24"/>
      <c r="E15282" s="24"/>
      <c r="F15282" s="24"/>
      <c r="G15282" s="24"/>
      <c r="H15282" s="24"/>
      <c r="I15282" s="24"/>
      <c r="J15282" s="24"/>
      <c r="K15282" s="24"/>
    </row>
    <row r="15283" customFormat="false" ht="15" hidden="false" customHeight="false" outlineLevel="0" collapsed="false">
      <c r="A15283" s="5" t="s">
        <v>282</v>
      </c>
      <c r="C15283" s="25" t="n">
        <f aca="false">SUMPRODUCT($G$15229:$K$15229,$G$15228:$K$15228-$G$15234:$K$15234+$G$15233:$K$15233)</f>
        <v>227.9088</v>
      </c>
    </row>
    <row r="15284" customFormat="false" ht="15" hidden="false" customHeight="false" outlineLevel="0" collapsed="false">
      <c r="A15284" s="5" t="s">
        <v>283</v>
      </c>
      <c r="C15284" s="25" t="n">
        <f aca="false">SUMPRODUCT($G$15229:$K$15229,$G$15236:$K$15236)</f>
        <v>0</v>
      </c>
    </row>
    <row r="15285" customFormat="false" ht="15" hidden="false" customHeight="false" outlineLevel="0" collapsed="false">
      <c r="A15285" s="5" t="s">
        <v>284</v>
      </c>
      <c r="C15285" s="5" t="str">
        <f aca="false">IF(SUM($G$15229:$K$15229)=0,"n/a (beyond horizon)",IF(SUMPRODUCT($G$15229:$K$15229,$G$15226:$K$15226)&gt;0,"REFINANCING PASS","REFINANCING FAILURE"))</f>
        <v>REFINANCING FAILURE</v>
      </c>
    </row>
    <row r="15286" customFormat="false" ht="15" hidden="false" customHeight="false" outlineLevel="0" collapsed="false">
      <c r="A15286" s="5" t="s">
        <v>285</v>
      </c>
      <c r="C15286" s="5" t="str">
        <f aca="false">IF(SUM($G$15229:$K$15229)=0,"n/a",IF(C15284&gt;=C15283-0.001,"Repaid from cash",IF(SUMPRODUCT($G$15229:$K$15229,$G$15226:$K$15226)&gt;0,IF(C15284&gt;0,"Partly repaid; remainder refinanced","Refinanced"),IF(SUM($G$15238:$K$15238)&gt;0.001,IF(C15284&gt;0,"Partial repayment; PAYMENT DEFAULT","PAYMENT DEFAULT"),"Repaid from cash"))))</f>
        <v>PAYMENT DEFAULT</v>
      </c>
    </row>
    <row r="15287" customFormat="false" ht="15" hidden="false" customHeight="false" outlineLevel="0" collapsed="false">
      <c r="A15287" s="5" t="s">
        <v>286</v>
      </c>
      <c r="C15287" s="25" t="n">
        <f aca="false">SUMPRODUCT($G$15242:$K$15242,$G$15241:$K$15241-$G$15247:$K$15247+$G$15246:$K$15246)</f>
        <v>504.4</v>
      </c>
    </row>
    <row r="15288" customFormat="false" ht="15" hidden="false" customHeight="false" outlineLevel="0" collapsed="false">
      <c r="A15288" s="5" t="s">
        <v>287</v>
      </c>
      <c r="C15288" s="25" t="n">
        <f aca="false">SUMPRODUCT($G$15242:$K$15242,$G$15249:$K$15249)</f>
        <v>0</v>
      </c>
    </row>
    <row r="15289" customFormat="false" ht="15" hidden="false" customHeight="false" outlineLevel="0" collapsed="false">
      <c r="A15289" s="5" t="s">
        <v>288</v>
      </c>
      <c r="C15289" s="5" t="str">
        <f aca="false">IF(SUM($G$15242:$K$15242)=0,"n/a (beyond horizon)",IF(SUMPRODUCT($G$15242:$K$15242,$G$15226:$K$15226)&gt;0,"REFINANCING PASS","REFINANCING FAILURE"))</f>
        <v>REFINANCING FAILURE</v>
      </c>
    </row>
    <row r="15290" customFormat="false" ht="15" hidden="false" customHeight="false" outlineLevel="0" collapsed="false">
      <c r="A15290" s="5" t="s">
        <v>289</v>
      </c>
      <c r="C15290" s="5" t="str">
        <f aca="false">IF(SUM($G$15242:$K$15242)=0,"n/a",IF(C15288&gt;=C15287-0.001,"Repaid from cash",IF(SUMPRODUCT($G$15242:$K$15242,$G$15226:$K$15226)&gt;0,IF(C15288&gt;0,"Partly repaid; remainder refinanced","Refinanced"),IF(SUM($G$15251:$K$15251)&gt;0.001,IF(C15288&gt;0,"Partial repayment; PAYMENT DEFAULT","PAYMENT DEFAULT"),"Repaid from cash"))))</f>
        <v>PAYMENT DEFAULT</v>
      </c>
    </row>
    <row r="15291" customFormat="false" ht="15" hidden="false" customHeight="false" outlineLevel="0" collapsed="false">
      <c r="A15291" s="5" t="s">
        <v>290</v>
      </c>
      <c r="C15291" s="25" t="n">
        <f aca="false">SUMPRODUCT($G$15255:$K$15255,$G$15254:$K$15254-$G$15260:$K$15260+$G$15259:$K$15259)</f>
        <v>250</v>
      </c>
    </row>
    <row r="15292" customFormat="false" ht="15" hidden="false" customHeight="false" outlineLevel="0" collapsed="false">
      <c r="A15292" s="5" t="s">
        <v>291</v>
      </c>
      <c r="C15292" s="25" t="n">
        <f aca="false">SUMPRODUCT($G$15255:$K$15255,$G$15262:$K$15262)</f>
        <v>0</v>
      </c>
    </row>
    <row r="15293" customFormat="false" ht="15" hidden="false" customHeight="false" outlineLevel="0" collapsed="false">
      <c r="A15293" s="5" t="s">
        <v>292</v>
      </c>
      <c r="C15293" s="5" t="str">
        <f aca="false">IF(SUM($G$15255:$K$15255)=0,"n/a (beyond horizon)",IF(SUMPRODUCT($G$15255:$K$15255,$G$15226:$K$15226)&gt;0,"REFINANCING PASS","REFINANCING FAILURE"))</f>
        <v>REFINANCING FAILURE</v>
      </c>
    </row>
    <row r="15294" customFormat="false" ht="15" hidden="false" customHeight="false" outlineLevel="0" collapsed="false">
      <c r="A15294" s="5" t="s">
        <v>293</v>
      </c>
      <c r="C15294" s="5" t="str">
        <f aca="false">IF(SUM($G$15255:$K$15255)=0,"n/a",IF(C15292&gt;=C15291-0.001,"Repaid from cash",IF(SUMPRODUCT($G$15255:$K$15255,$G$15226:$K$15226)&gt;0,IF(C15292&gt;0,"Partly repaid; remainder refinanced","Refinanced"),IF(SUM($G$15264:$K$15264)&gt;0.001,IF(C15292&gt;0,"Partial repayment; PAYMENT DEFAULT","PAYMENT DEFAULT"),"Repaid from cash"))))</f>
        <v>PAYMENT DEFAULT</v>
      </c>
    </row>
    <row r="15295" customFormat="false" ht="15" hidden="false" customHeight="false" outlineLevel="0" collapsed="false">
      <c r="A15295" s="5" t="s">
        <v>294</v>
      </c>
      <c r="C15295" s="25" t="n">
        <f aca="false">SUMPRODUCT($G$15268:$K$15268,$G$15267:$K$15267-$G$15273:$K$15273+$G$15272:$K$15272)</f>
        <v>300</v>
      </c>
    </row>
    <row r="15296" customFormat="false" ht="15" hidden="false" customHeight="false" outlineLevel="0" collapsed="false">
      <c r="A15296" s="5" t="s">
        <v>295</v>
      </c>
      <c r="C15296" s="25" t="n">
        <f aca="false">SUMPRODUCT($G$15268:$K$15268,$G$15275:$K$15275)</f>
        <v>0</v>
      </c>
    </row>
    <row r="15297" customFormat="false" ht="15" hidden="false" customHeight="false" outlineLevel="0" collapsed="false">
      <c r="A15297" s="5" t="s">
        <v>296</v>
      </c>
      <c r="C15297" s="5" t="str">
        <f aca="false">IF(SUM($G$15268:$K$15268)=0,"n/a (beyond horizon)",IF(SUMPRODUCT($G$15268:$K$15268,$G$15226:$K$15226)&gt;0,"REFINANCING PASS","REFINANCING FAILURE"))</f>
        <v>REFINANCING FAILURE</v>
      </c>
    </row>
    <row r="15298" customFormat="false" ht="15" hidden="false" customHeight="false" outlineLevel="0" collapsed="false">
      <c r="A15298" s="5" t="s">
        <v>297</v>
      </c>
      <c r="C15298" s="5" t="str">
        <f aca="false">IF(SUM($G$15268:$K$15268)=0,"n/a",IF(C15296&gt;=C15295-0.001,"Repaid from cash",IF(SUMPRODUCT($G$15268:$K$15268,$G$15226:$K$15226)&gt;0,IF(C15296&gt;0,"Partly repaid; remainder refinanced","Refinanced"),IF(SUM($G$15277:$K$15277)&gt;0.001,IF(C15296&gt;0,"Partial repayment; PAYMENT DEFAULT","PAYMENT DEFAULT"),"Repaid from cash"))))</f>
        <v>PAYMENT DEFAULT</v>
      </c>
    </row>
    <row r="15299" customFormat="false" ht="15" hidden="false" customHeight="false" outlineLevel="0" collapsed="false">
      <c r="A15299" s="5" t="s">
        <v>298</v>
      </c>
      <c r="C15299" s="20" t="n">
        <f aca="false">IF(C15285="REFINANCING FAILURE",1,0)+IF(C15289="REFINANCING FAILURE",1,0)+IF(C15293="REFINANCING FAILURE",1,0)+IF(C15297="REFINANCING FAILURE",1,0)</f>
        <v>4</v>
      </c>
    </row>
    <row r="15301" customFormat="false" ht="15" hidden="false" customHeight="false" outlineLevel="0" collapsed="false">
      <c r="A15301" s="23" t="s">
        <v>300</v>
      </c>
      <c r="B15301" s="24"/>
      <c r="C15301" s="24"/>
      <c r="D15301" s="24"/>
      <c r="E15301" s="24"/>
      <c r="F15301" s="24"/>
      <c r="G15301" s="24"/>
      <c r="H15301" s="24"/>
      <c r="I15301" s="24"/>
      <c r="J15301" s="24"/>
      <c r="K15301" s="24"/>
    </row>
    <row r="15302" customFormat="false" ht="15" hidden="false" customHeight="false" outlineLevel="0" collapsed="false">
      <c r="A15302" s="5" t="s">
        <v>260</v>
      </c>
      <c r="G15302" s="25" t="n">
        <f aca="false">F15314</f>
        <v>45</v>
      </c>
      <c r="H15302" s="25" t="n">
        <f aca="false">G15314</f>
        <v>0</v>
      </c>
      <c r="I15302" s="25" t="n">
        <f aca="false">H15314</f>
        <v>-131.3358168</v>
      </c>
      <c r="J15302" s="25" t="n">
        <f aca="false">I15314</f>
        <v>-283.391133344</v>
      </c>
      <c r="K15302" s="25" t="n">
        <f aca="false">J15314</f>
        <v>-437.76667597056</v>
      </c>
    </row>
    <row r="15303" customFormat="false" ht="15" hidden="false" customHeight="false" outlineLevel="0" collapsed="false">
      <c r="A15303" s="5" t="s">
        <v>301</v>
      </c>
      <c r="G15303" s="25" t="n">
        <f aca="false">G15215</f>
        <v>-87.7088</v>
      </c>
      <c r="H15303" s="25" t="n">
        <f aca="false">H15215</f>
        <v>-126.1358168</v>
      </c>
      <c r="I15303" s="25" t="n">
        <f aca="false">I15215</f>
        <v>-146.855316544</v>
      </c>
      <c r="J15303" s="25" t="n">
        <f aca="false">J15215</f>
        <v>-149.17554262656</v>
      </c>
      <c r="K15303" s="25" t="n">
        <f aca="false">K15215</f>
        <v>-148.395567088294</v>
      </c>
    </row>
    <row r="15304" customFormat="false" ht="15" hidden="false" customHeight="false" outlineLevel="0" collapsed="false">
      <c r="A15304" s="5" t="s">
        <v>302</v>
      </c>
      <c r="G15304" s="25" t="n">
        <f aca="false">CHOOSE($C$15185,Assumptions!$G$68,Assumptions!$G$87,Assumptions!$G$106)</f>
        <v>0</v>
      </c>
      <c r="H15304" s="25" t="n">
        <f aca="false">CHOOSE($C$15185,Assumptions!$H$68,Assumptions!$H$87,Assumptions!$H$106)</f>
        <v>0</v>
      </c>
      <c r="I15304" s="25" t="n">
        <f aca="false">CHOOSE($C$15185,Assumptions!$I$68,Assumptions!$I$87,Assumptions!$I$106)</f>
        <v>0</v>
      </c>
      <c r="J15304" s="25" t="n">
        <f aca="false">CHOOSE($C$15185,Assumptions!$J$68,Assumptions!$J$87,Assumptions!$J$106)</f>
        <v>0</v>
      </c>
      <c r="K15304" s="25" t="n">
        <f aca="false">CHOOSE($C$15185,Assumptions!$K$68,Assumptions!$K$87,Assumptions!$K$106)</f>
        <v>0</v>
      </c>
    </row>
    <row r="15305" customFormat="false" ht="15" hidden="false" customHeight="false" outlineLevel="0" collapsed="false">
      <c r="A15305" s="5" t="s">
        <v>303</v>
      </c>
      <c r="G15305" s="25" t="n">
        <f aca="false">G15234+G15247+G15260+G15273</f>
        <v>5.2</v>
      </c>
      <c r="H15305" s="25" t="n">
        <f aca="false">H15234+H15247+H15260+H15273</f>
        <v>5.2</v>
      </c>
      <c r="I15305" s="25" t="n">
        <f aca="false">I15234+I15247+I15260+I15273</f>
        <v>5.2</v>
      </c>
      <c r="J15305" s="25" t="n">
        <f aca="false">J15234+J15247+J15260+J15273</f>
        <v>5.2</v>
      </c>
      <c r="K15305" s="25" t="n">
        <f aca="false">K15234+K15247+K15260+K15273</f>
        <v>5.2</v>
      </c>
    </row>
    <row r="15306" customFormat="false" ht="15" hidden="false" customHeight="false" outlineLevel="0" collapsed="false">
      <c r="A15306" s="2" t="s">
        <v>304</v>
      </c>
      <c r="G15306" s="16" t="n">
        <f aca="false">G15302+G15303+G15304-G15305</f>
        <v>-47.9088</v>
      </c>
      <c r="H15306" s="16" t="n">
        <f aca="false">H15302+H15303+H15304-H15305</f>
        <v>-131.3358168</v>
      </c>
      <c r="I15306" s="16" t="n">
        <f aca="false">I15302+I15303+I15304-I15305</f>
        <v>-283.391133344</v>
      </c>
      <c r="J15306" s="16" t="n">
        <f aca="false">J15302+J15303+J15304-J15305</f>
        <v>-437.76667597056</v>
      </c>
      <c r="K15306" s="16" t="n">
        <f aca="false">K15302+K15303+K15304-K15305</f>
        <v>-591.362243058855</v>
      </c>
    </row>
    <row r="15307" customFormat="false" ht="15" hidden="false" customHeight="false" outlineLevel="0" collapsed="false">
      <c r="A15307" s="5" t="s">
        <v>305</v>
      </c>
      <c r="G15307" s="25" t="n">
        <f aca="false">G15235+G15248+G15261+G15274</f>
        <v>47.9088</v>
      </c>
      <c r="H15307" s="25" t="n">
        <f aca="false">H15235+H15248+H15261+H15274</f>
        <v>0</v>
      </c>
      <c r="I15307" s="25" t="n">
        <f aca="false">I15235+I15248+I15261+I15274</f>
        <v>0</v>
      </c>
      <c r="J15307" s="25" t="n">
        <f aca="false">J15235+J15248+J15261+J15274</f>
        <v>0</v>
      </c>
      <c r="K15307" s="25" t="n">
        <f aca="false">K15235+K15248+K15261+K15274</f>
        <v>0</v>
      </c>
    </row>
    <row r="15308" customFormat="false" ht="15" hidden="false" customHeight="false" outlineLevel="0" collapsed="false">
      <c r="A15308" s="2" t="s">
        <v>306</v>
      </c>
      <c r="G15308" s="16" t="n">
        <f aca="false">G15306+G15307</f>
        <v>0</v>
      </c>
      <c r="H15308" s="16" t="n">
        <f aca="false">H15306+H15307</f>
        <v>-131.3358168</v>
      </c>
      <c r="I15308" s="16" t="n">
        <f aca="false">I15306+I15307</f>
        <v>-283.391133344</v>
      </c>
      <c r="J15308" s="16" t="n">
        <f aca="false">J15306+J15307</f>
        <v>-437.76667597056</v>
      </c>
      <c r="K15308" s="16" t="n">
        <f aca="false">K15306+K15307</f>
        <v>-591.362243058855</v>
      </c>
    </row>
    <row r="15309" customFormat="false" ht="15" hidden="false" customHeight="false" outlineLevel="0" collapsed="false">
      <c r="A15309" s="5" t="s">
        <v>307</v>
      </c>
      <c r="G15309" s="25" t="n">
        <f aca="false">G15236+G15249+G15262+G15275</f>
        <v>0</v>
      </c>
      <c r="H15309" s="25" t="n">
        <f aca="false">H15236+H15249+H15262+H15275</f>
        <v>0</v>
      </c>
      <c r="I15309" s="25" t="n">
        <f aca="false">I15236+I15249+I15262+I15275</f>
        <v>0</v>
      </c>
      <c r="J15309" s="25" t="n">
        <f aca="false">J15236+J15249+J15262+J15275</f>
        <v>0</v>
      </c>
      <c r="K15309" s="25" t="n">
        <f aca="false">K15236+K15249+K15262+K15275</f>
        <v>0</v>
      </c>
    </row>
    <row r="15310" customFormat="false" ht="15" hidden="false" customHeight="false" outlineLevel="0" collapsed="false">
      <c r="A15310" s="2" t="s">
        <v>308</v>
      </c>
      <c r="G15310" s="16" t="n">
        <f aca="false">G15308-G15309</f>
        <v>0</v>
      </c>
      <c r="H15310" s="16" t="n">
        <f aca="false">H15308-H15309</f>
        <v>-131.3358168</v>
      </c>
      <c r="I15310" s="16" t="n">
        <f aca="false">I15308-I15309</f>
        <v>-283.391133344</v>
      </c>
      <c r="J15310" s="16" t="n">
        <f aca="false">J15308-J15309</f>
        <v>-437.76667597056</v>
      </c>
      <c r="K15310" s="16" t="n">
        <f aca="false">K15308-K15309</f>
        <v>-591.362243058855</v>
      </c>
    </row>
    <row r="15311" customFormat="false" ht="15" hidden="false" customHeight="false" outlineLevel="0" collapsed="false">
      <c r="A15311" s="5" t="s">
        <v>309</v>
      </c>
      <c r="G15311" s="25" t="n">
        <f aca="false">MAX(0,-G15310)</f>
        <v>-0</v>
      </c>
      <c r="H15311" s="25" t="n">
        <f aca="false">MAX(0,-H15310)</f>
        <v>131.3358168</v>
      </c>
      <c r="I15311" s="25" t="n">
        <f aca="false">MAX(0,-I15310)</f>
        <v>283.391133344</v>
      </c>
      <c r="J15311" s="25" t="n">
        <f aca="false">MAX(0,-J15310)</f>
        <v>437.76667597056</v>
      </c>
      <c r="K15311" s="25" t="n">
        <f aca="false">MAX(0,-K15310)</f>
        <v>591.362243058855</v>
      </c>
    </row>
    <row r="15312" customFormat="false" ht="15" hidden="false" customHeight="false" outlineLevel="0" collapsed="false">
      <c r="A15312" s="5" t="s">
        <v>310</v>
      </c>
      <c r="G15312" s="25" t="n">
        <f aca="false">MAX(0,G15310-Assumptions!$C$12)*Assumptions!$C$13</f>
        <v>0</v>
      </c>
      <c r="H15312" s="25" t="n">
        <f aca="false">MAX(0,H15310-Assumptions!$C$12)*Assumptions!$C$13</f>
        <v>0</v>
      </c>
      <c r="I15312" s="25" t="n">
        <f aca="false">MAX(0,I15310-Assumptions!$C$12)*Assumptions!$C$13</f>
        <v>0</v>
      </c>
      <c r="J15312" s="25" t="n">
        <f aca="false">MAX(0,J15310-Assumptions!$C$12)*Assumptions!$C$13</f>
        <v>0</v>
      </c>
      <c r="K15312" s="25" t="n">
        <f aca="false">MAX(0,K15310-Assumptions!$C$12)*Assumptions!$C$13</f>
        <v>0</v>
      </c>
    </row>
    <row r="15313" customFormat="false" ht="15" hidden="false" customHeight="false" outlineLevel="0" collapsed="false">
      <c r="A15313" s="5" t="s">
        <v>311</v>
      </c>
      <c r="G15313" s="25" t="n">
        <f aca="false">G15237+G15250+G15263+G15276</f>
        <v>0</v>
      </c>
      <c r="H15313" s="25" t="n">
        <f aca="false">H15237+H15250+H15263+H15276</f>
        <v>0</v>
      </c>
      <c r="I15313" s="25" t="n">
        <f aca="false">I15237+I15250+I15263+I15276</f>
        <v>0</v>
      </c>
      <c r="J15313" s="25" t="n">
        <f aca="false">J15237+J15250+J15263+J15276</f>
        <v>0</v>
      </c>
      <c r="K15313" s="25" t="n">
        <f aca="false">K15237+K15250+K15263+K15276</f>
        <v>0</v>
      </c>
    </row>
    <row r="15314" customFormat="false" ht="15" hidden="false" customHeight="false" outlineLevel="0" collapsed="false">
      <c r="A15314" s="2" t="s">
        <v>312</v>
      </c>
      <c r="F15314" s="27" t="n">
        <f aca="false">Assumptions!$C$11</f>
        <v>45</v>
      </c>
      <c r="G15314" s="16" t="n">
        <f aca="false">G15310-G15313</f>
        <v>0</v>
      </c>
      <c r="H15314" s="16" t="n">
        <f aca="false">H15310-H15313</f>
        <v>-131.3358168</v>
      </c>
      <c r="I15314" s="16" t="n">
        <f aca="false">I15310-I15313</f>
        <v>-283.391133344</v>
      </c>
      <c r="J15314" s="16" t="n">
        <f aca="false">J15310-J15313</f>
        <v>-437.76667597056</v>
      </c>
      <c r="K15314" s="16" t="n">
        <f aca="false">K15310-K15313</f>
        <v>-591.362243058855</v>
      </c>
    </row>
    <row r="15315" customFormat="false" ht="15" hidden="false" customHeight="false" outlineLevel="0" collapsed="false">
      <c r="A15315" s="5" t="s">
        <v>313</v>
      </c>
      <c r="G15315" s="25" t="n">
        <f aca="false">G15238+G15251+G15264+G15277</f>
        <v>0</v>
      </c>
      <c r="H15315" s="25" t="n">
        <f aca="false">H15238+H15251+H15264+H15277</f>
        <v>527.9088</v>
      </c>
      <c r="I15315" s="25" t="n">
        <f aca="false">I15238+I15251+I15264+I15277</f>
        <v>504.4</v>
      </c>
      <c r="J15315" s="25" t="n">
        <f aca="false">J15238+J15251+J15264+J15277</f>
        <v>250</v>
      </c>
      <c r="K15315" s="25" t="n">
        <f aca="false">K15238+K15251+K15264+K15277</f>
        <v>0</v>
      </c>
    </row>
    <row r="15316" customFormat="false" ht="15" hidden="false" customHeight="false" outlineLevel="0" collapsed="false">
      <c r="A15316" s="5" t="s">
        <v>314</v>
      </c>
      <c r="G15316" s="20" t="n">
        <f aca="false">IF(OR(G15311&gt;0.001,G15315&gt;0.001),1,0)</f>
        <v>0</v>
      </c>
      <c r="H15316" s="20" t="n">
        <f aca="false">IF(OR(H15311&gt;0.001,H15315&gt;0.001),1,0)</f>
        <v>1</v>
      </c>
      <c r="I15316" s="20" t="n">
        <f aca="false">IF(OR(I15311&gt;0.001,I15315&gt;0.001),1,0)</f>
        <v>1</v>
      </c>
      <c r="J15316" s="20" t="n">
        <f aca="false">IF(OR(J15311&gt;0.001,J15315&gt;0.001),1,0)</f>
        <v>1</v>
      </c>
      <c r="K15316" s="20" t="n">
        <f aca="false">IF(OR(K15311&gt;0.001,K15315&gt;0.001),1,0)</f>
        <v>1</v>
      </c>
    </row>
    <row r="15317" customFormat="false" ht="15" hidden="false" customHeight="false" outlineLevel="0" collapsed="false">
      <c r="A15317" s="5" t="s">
        <v>315</v>
      </c>
      <c r="G15317" s="20" t="n">
        <f aca="false">IF(G15316=1,1,0)</f>
        <v>0</v>
      </c>
      <c r="H15317" s="20" t="n">
        <f aca="false">IF(AND(H15316=1,SUM($G$15316:G15316)=0),1,0)</f>
        <v>1</v>
      </c>
      <c r="I15317" s="20" t="n">
        <f aca="false">IF(AND(I15316=1,SUM($G$15316:H15316)=0),1,0)</f>
        <v>0</v>
      </c>
      <c r="J15317" s="20" t="n">
        <f aca="false">IF(AND(J15316=1,SUM($G$15316:I15316)=0),1,0)</f>
        <v>0</v>
      </c>
      <c r="K15317" s="20" t="n">
        <f aca="false">IF(AND(K15316=1,SUM($G$15316:J15316)=0),1,0)</f>
        <v>0</v>
      </c>
    </row>
    <row r="15318" customFormat="false" ht="15" hidden="false" customHeight="false" outlineLevel="0" collapsed="false">
      <c r="A15318" s="5" t="s">
        <v>316</v>
      </c>
      <c r="G15318" s="25" t="n">
        <f aca="false">(G15280-F15280)-(G15307+G15207-G15305-G15309-G15313)</f>
        <v>0</v>
      </c>
      <c r="H15318" s="25" t="n">
        <f aca="false">(H15280-G15280)-(H15307+H15207-H15305-H15309-H15313)</f>
        <v>1.82076576038526E-013</v>
      </c>
      <c r="I15318" s="25" t="n">
        <f aca="false">(I15280-H15280)-(I15307+I15207-I15305-I15309-I15313)</f>
        <v>-4.52970994047064E-014</v>
      </c>
      <c r="J15318" s="25" t="n">
        <f aca="false">(J15280-I15280)-(J15307+J15207-J15305-J15309-J15313)</f>
        <v>-4.52970994047064E-014</v>
      </c>
      <c r="K15318" s="25" t="n">
        <f aca="false">(K15280-J15280)-(K15307+K15207-K15305-K15309-K15313)</f>
        <v>1.82076576038526E-013</v>
      </c>
    </row>
    <row r="15320" customFormat="false" ht="15" hidden="false" customHeight="false" outlineLevel="0" collapsed="false">
      <c r="A15320" s="23" t="s">
        <v>318</v>
      </c>
      <c r="B15320" s="24"/>
      <c r="C15320" s="24"/>
      <c r="D15320" s="24"/>
      <c r="E15320" s="24"/>
      <c r="F15320" s="24"/>
      <c r="G15320" s="24"/>
      <c r="H15320" s="24"/>
      <c r="I15320" s="24"/>
      <c r="J15320" s="24"/>
      <c r="K15320" s="24"/>
    </row>
    <row r="15321" customFormat="false" ht="15" hidden="false" customHeight="false" outlineLevel="0" collapsed="false">
      <c r="A15321" s="5" t="s">
        <v>319</v>
      </c>
      <c r="G15321" s="25" t="n">
        <f aca="false">G15280</f>
        <v>1292.7088</v>
      </c>
      <c r="H15321" s="25" t="n">
        <f aca="false">H15280</f>
        <v>1287.5088</v>
      </c>
      <c r="I15321" s="25" t="n">
        <f aca="false">I15280</f>
        <v>1282.3088</v>
      </c>
      <c r="J15321" s="25" t="n">
        <f aca="false">J15280</f>
        <v>1277.1088</v>
      </c>
      <c r="K15321" s="25" t="n">
        <f aca="false">K15280</f>
        <v>1271.9088</v>
      </c>
    </row>
    <row r="15322" customFormat="false" ht="15" hidden="false" customHeight="false" outlineLevel="0" collapsed="false">
      <c r="A15322" s="5" t="s">
        <v>320</v>
      </c>
      <c r="G15322" s="25" t="n">
        <f aca="false">Assumptions!$O$53*G15239+Assumptions!$O$54*G15252+Assumptions!$O$55*G15265+Assumptions!$O$56*G15278</f>
        <v>992.7088</v>
      </c>
      <c r="H15322" s="25" t="n">
        <f aca="false">Assumptions!$O$53*H15239+Assumptions!$O$54*H15252+Assumptions!$O$55*H15265+Assumptions!$O$56*H15278</f>
        <v>987.5088</v>
      </c>
      <c r="I15322" s="25" t="n">
        <f aca="false">Assumptions!$O$53*I15239+Assumptions!$O$54*I15252+Assumptions!$O$55*I15265+Assumptions!$O$56*I15278</f>
        <v>982.3088</v>
      </c>
      <c r="J15322" s="25" t="n">
        <f aca="false">Assumptions!$O$53*J15239+Assumptions!$O$54*J15252+Assumptions!$O$55*J15265+Assumptions!$O$56*J15278</f>
        <v>977.1088</v>
      </c>
      <c r="K15322" s="25" t="n">
        <f aca="false">Assumptions!$O$53*K15239+Assumptions!$O$54*K15252+Assumptions!$O$55*K15265+Assumptions!$O$56*K15278</f>
        <v>971.9088</v>
      </c>
    </row>
    <row r="15323" customFormat="false" ht="15" hidden="false" customHeight="false" outlineLevel="0" collapsed="false">
      <c r="A15323" s="5" t="s">
        <v>321</v>
      </c>
      <c r="G15323" s="25" t="n">
        <f aca="false">G15321-G15314</f>
        <v>1292.7088</v>
      </c>
      <c r="H15323" s="25" t="n">
        <f aca="false">H15321-H15314</f>
        <v>1418.8446168</v>
      </c>
      <c r="I15323" s="25" t="n">
        <f aca="false">I15321-I15314</f>
        <v>1565.699933344</v>
      </c>
      <c r="J15323" s="25" t="n">
        <f aca="false">J15321-J15314</f>
        <v>1714.87547597056</v>
      </c>
      <c r="K15323" s="25" t="n">
        <f aca="false">K15321-K15314</f>
        <v>1863.27104305885</v>
      </c>
    </row>
    <row r="15324" customFormat="false" ht="15" hidden="false" customHeight="false" outlineLevel="0" collapsed="false">
      <c r="A15324" s="5" t="s">
        <v>322</v>
      </c>
      <c r="G15324" s="31" t="n">
        <f aca="false">IF(G15202&gt;0,G15321/G15202,0)</f>
        <v>70.3170583115753</v>
      </c>
      <c r="H15324" s="31" t="n">
        <f aca="false">IF(H15202&gt;0,H15321/H15202,0)</f>
        <v>80.4990846613247</v>
      </c>
      <c r="I15324" s="31" t="n">
        <f aca="false">IF(I15202&gt;0,I15321/I15202,0)</f>
        <v>82.3141317934453</v>
      </c>
      <c r="J15324" s="31" t="n">
        <f aca="false">IF(J15202&gt;0,J15321/J15202,0)</f>
        <v>82.8084168920278</v>
      </c>
      <c r="K15324" s="31" t="n">
        <f aca="false">IF(K15202&gt;0,K15321/K15202,0)</f>
        <v>83.3042890039484</v>
      </c>
    </row>
    <row r="15325" customFormat="false" ht="15" hidden="false" customHeight="false" outlineLevel="0" collapsed="false">
      <c r="A15325" s="5" t="s">
        <v>323</v>
      </c>
      <c r="G15325" s="31" t="n">
        <f aca="false">IF(G15202&gt;0,G15323/G15202,0)</f>
        <v>70.3170583115753</v>
      </c>
      <c r="H15325" s="31" t="n">
        <f aca="false">IF(H15202&gt;0,H15323/H15202,0)</f>
        <v>88.7106114762462</v>
      </c>
      <c r="I15325" s="31" t="n">
        <f aca="false">IF(I15202&gt;0,I15323/I15202,0)</f>
        <v>100.505611957328</v>
      </c>
      <c r="J15325" s="31" t="n">
        <f aca="false">IF(J15202&gt;0,J15323/J15202,0)</f>
        <v>111.1934420404</v>
      </c>
      <c r="K15325" s="31" t="n">
        <f aca="false">IF(K15202&gt;0,K15323/K15202,0)</f>
        <v>122.035848375027</v>
      </c>
    </row>
    <row r="15326" customFormat="false" ht="15" hidden="false" customHeight="false" outlineLevel="0" collapsed="false">
      <c r="A15326" s="5" t="s">
        <v>324</v>
      </c>
      <c r="G15326" s="31" t="n">
        <f aca="false">IF(G15206&gt;0,G15202/G15206,0)</f>
        <v>0.138184004810583</v>
      </c>
      <c r="H15326" s="31" t="n">
        <f aca="false">IF(H15206&gt;0,H15202/H15206,0)</f>
        <v>0.117931343166364</v>
      </c>
      <c r="I15326" s="31" t="n">
        <f aca="false">IF(I15206&gt;0,I15202/I15206,0)</f>
        <v>0.116996230089295</v>
      </c>
      <c r="J15326" s="31" t="n">
        <f aca="false">IF(J15206&gt;0,J15202/J15206,0)</f>
        <v>0.116362498936607</v>
      </c>
      <c r="K15326" s="31" t="n">
        <f aca="false">IF(K15206&gt;0,K15202/K15206,0)</f>
        <v>0.11573468108417</v>
      </c>
    </row>
    <row r="15327" customFormat="false" ht="15" hidden="false" customHeight="false" outlineLevel="0" collapsed="false">
      <c r="A15327" s="5" t="s">
        <v>325</v>
      </c>
      <c r="G15327" s="31" t="n">
        <f aca="false">IF(G15206&gt;0,G15205/G15206,0)</f>
        <v>-0.1658208057727</v>
      </c>
      <c r="H15327" s="31" t="n">
        <f aca="false">IF(H15206&gt;0,H15205/H15206,0)</f>
        <v>-0.141517611799637</v>
      </c>
      <c r="I15327" s="31" t="n">
        <f aca="false">IF(I15206&gt;0,I15205/I15206,0)</f>
        <v>-0.140395476107154</v>
      </c>
      <c r="J15327" s="31" t="n">
        <f aca="false">IF(J15206&gt;0,J15205/J15206,0)</f>
        <v>-0.139634998723928</v>
      </c>
      <c r="K15327" s="31" t="n">
        <f aca="false">IF(K15206&gt;0,K15205/K15206,0)</f>
        <v>-0.138881617301004</v>
      </c>
    </row>
    <row r="15328" customFormat="false" ht="15" hidden="false" customHeight="false" outlineLevel="0" collapsed="false">
      <c r="A15328" s="5" t="s">
        <v>182</v>
      </c>
      <c r="G15328" s="21" t="n">
        <f aca="false">IF(G15321&gt;0,G15215/G15321,0)</f>
        <v>-0.067848845772536</v>
      </c>
      <c r="H15328" s="21" t="n">
        <f aca="false">IF(H15321&gt;0,H15215/H15321,0)</f>
        <v>-0.0979688968339479</v>
      </c>
      <c r="I15328" s="21" t="n">
        <f aca="false">IF(I15321&gt;0,I15215/I15321,0)</f>
        <v>-0.114524143126835</v>
      </c>
      <c r="J15328" s="21" t="n">
        <f aca="false">IF(J15321&gt;0,J15215/J15321,0)</f>
        <v>-0.116807231010044</v>
      </c>
      <c r="K15328" s="21" t="n">
        <f aca="false">IF(K15321&gt;0,K15215/K15321,0)</f>
        <v>-0.116671546802958</v>
      </c>
    </row>
    <row r="15329" customFormat="false" ht="15" hidden="false" customHeight="false" outlineLevel="0" collapsed="false">
      <c r="A15329" s="5" t="s">
        <v>326</v>
      </c>
      <c r="G15329" s="31" t="n">
        <f aca="false">IF(G15206+G15305&gt;0,(G15202-G15213-G15210)/(G15206+G15305),0)</f>
        <v>-0.0797916666666667</v>
      </c>
      <c r="H15329" s="31" t="n">
        <f aca="false">IF(H15206+H15305&gt;0,(H15202-H15213-H15210)/(H15206+H15305),0)</f>
        <v>-0.0681459620749721</v>
      </c>
      <c r="I15329" s="31" t="n">
        <f aca="false">IF(I15206+I15305&gt;0,(I15202-I15213-I15210)/(I15206+I15305),0)</f>
        <v>-0.0675593278911445</v>
      </c>
      <c r="J15329" s="31" t="n">
        <f aca="false">IF(J15206+J15305&gt;0,(J15202-J15213-J15210)/(J15206+J15305),0)</f>
        <v>-0.0671816906076387</v>
      </c>
      <c r="K15329" s="31" t="n">
        <f aca="false">IF(K15206+K15305&gt;0,(K15202-K15213-K15210)/(K15206+K15305),0)</f>
        <v>-0.0668074900399862</v>
      </c>
    </row>
    <row r="15330" customFormat="false" ht="15" hidden="false" customHeight="false" outlineLevel="0" collapsed="false">
      <c r="A15330" s="5" t="s">
        <v>327</v>
      </c>
      <c r="G15330" s="25" t="n">
        <f aca="false">MAX(0,G15314)+Assumptions!$P$53*MAX(0,Assumptions!$D$53-G15239)+Assumptions!$P$54*MAX(0,Assumptions!$D$54-G15252)+Assumptions!$P$55*MAX(0,Assumptions!$D$55-G15265)+Assumptions!$P$56*MAX(0,Assumptions!$D$56-G15278)</f>
        <v>72.0912</v>
      </c>
      <c r="H15330" s="25" t="n">
        <f aca="false">MAX(0,H15314)+Assumptions!$P$53*MAX(0,Assumptions!$D$53-H15239)+Assumptions!$P$54*MAX(0,Assumptions!$D$54-H15252)+Assumptions!$P$55*MAX(0,Assumptions!$D$55-H15265)+Assumptions!$P$56*MAX(0,Assumptions!$D$56-H15278)</f>
        <v>72.0912</v>
      </c>
      <c r="I15330" s="25" t="n">
        <f aca="false">MAX(0,I15314)+Assumptions!$P$53*MAX(0,Assumptions!$D$53-I15239)+Assumptions!$P$54*MAX(0,Assumptions!$D$54-I15252)+Assumptions!$P$55*MAX(0,Assumptions!$D$55-I15265)+Assumptions!$P$56*MAX(0,Assumptions!$D$56-I15278)</f>
        <v>72.0912</v>
      </c>
      <c r="J15330" s="25" t="n">
        <f aca="false">MAX(0,J15314)+Assumptions!$P$53*MAX(0,Assumptions!$D$53-J15239)+Assumptions!$P$54*MAX(0,Assumptions!$D$54-J15252)+Assumptions!$P$55*MAX(0,Assumptions!$D$55-J15265)+Assumptions!$P$56*MAX(0,Assumptions!$D$56-J15278)</f>
        <v>72.0912</v>
      </c>
      <c r="K15330" s="25" t="n">
        <f aca="false">MAX(0,K15314)+Assumptions!$P$53*MAX(0,Assumptions!$D$53-K15239)+Assumptions!$P$54*MAX(0,Assumptions!$D$54-K15252)+Assumptions!$P$55*MAX(0,Assumptions!$D$55-K15265)+Assumptions!$P$56*MAX(0,Assumptions!$D$56-K15278)</f>
        <v>72.0912</v>
      </c>
    </row>
    <row r="15331" customFormat="false" ht="15" hidden="false" customHeight="false" outlineLevel="0" collapsed="false">
      <c r="A15331" s="5" t="s">
        <v>328</v>
      </c>
      <c r="G15331" s="21" t="n">
        <f aca="false">IF(G15321&gt;0,G15321/(G15321+MAX(0,G15202*CHOOSE($C$15185,Assumptions!$C$76,Assumptions!$C$95,Assumptions!$C$114)-G15323)),0)</f>
        <v>1</v>
      </c>
      <c r="H15331" s="21" t="n">
        <f aca="false">IF(H15321&gt;0,H15321/(H15321+MAX(0,H15202*CHOOSE($C$15185,Assumptions!$C$76,Assumptions!$C$95,Assumptions!$C$114)-H15323)),0)</f>
        <v>1</v>
      </c>
      <c r="I15331" s="21" t="n">
        <f aca="false">IF(I15321&gt;0,I15321/(I15321+MAX(0,I15202*CHOOSE($C$15185,Assumptions!$C$76,Assumptions!$C$95,Assumptions!$C$114)-I15323)),0)</f>
        <v>1</v>
      </c>
      <c r="J15331" s="21" t="n">
        <f aca="false">IF(J15321&gt;0,J15321/(J15321+MAX(0,J15202*CHOOSE($C$15185,Assumptions!$C$76,Assumptions!$C$95,Assumptions!$C$114)-J15323)),0)</f>
        <v>1</v>
      </c>
      <c r="K15331" s="21" t="n">
        <f aca="false">IF(K15321&gt;0,K15321/(K15321+MAX(0,K15202*CHOOSE($C$15185,Assumptions!$C$76,Assumptions!$C$95,Assumptions!$C$114)-K15323)),0)</f>
        <v>1</v>
      </c>
    </row>
    <row r="15332" customFormat="false" ht="15" hidden="false" customHeight="false" outlineLevel="0" collapsed="false">
      <c r="A15332" s="5" t="s">
        <v>329</v>
      </c>
      <c r="G15332" s="21" t="n">
        <f aca="false">IF(G15321&gt;0,MAX(0,G15314)/G15321,0)</f>
        <v>0</v>
      </c>
      <c r="H15332" s="21" t="n">
        <f aca="false">IF(H15321&gt;0,MAX(0,H15314)/H15321,0)</f>
        <v>0</v>
      </c>
      <c r="I15332" s="21" t="n">
        <f aca="false">IF(I15321&gt;0,MAX(0,I15314)/I15321,0)</f>
        <v>0</v>
      </c>
      <c r="J15332" s="21" t="n">
        <f aca="false">IF(J15321&gt;0,MAX(0,J15314)/J15321,0)</f>
        <v>0</v>
      </c>
      <c r="K15332" s="21" t="n">
        <f aca="false">IF(K15321&gt;0,MAX(0,K15314)/K15321,0)</f>
        <v>0</v>
      </c>
    </row>
    <row r="15333" customFormat="false" ht="15" hidden="false" customHeight="false" outlineLevel="0" collapsed="false">
      <c r="A15333" s="5" t="s">
        <v>330</v>
      </c>
      <c r="G15333" s="25" t="n">
        <f aca="false">Assumptions!$C$27*(1-CHOOSE($C$15185,Assumptions!$C$79,Assumptions!$C$98,Assumptions!$C$117))</f>
        <v>676</v>
      </c>
      <c r="H15333" s="25" t="n">
        <f aca="false">Assumptions!$C$27*(1-CHOOSE($C$15185,Assumptions!$C$79,Assumptions!$C$98,Assumptions!$C$117))</f>
        <v>676</v>
      </c>
      <c r="I15333" s="25" t="n">
        <f aca="false">Assumptions!$C$27*(1-CHOOSE($C$15185,Assumptions!$C$79,Assumptions!$C$98,Assumptions!$C$117))</f>
        <v>676</v>
      </c>
      <c r="J15333" s="25" t="n">
        <f aca="false">Assumptions!$C$27*(1-CHOOSE($C$15185,Assumptions!$C$79,Assumptions!$C$98,Assumptions!$C$117))</f>
        <v>676</v>
      </c>
      <c r="K15333" s="25" t="n">
        <f aca="false">Assumptions!$C$27*(1-CHOOSE($C$15185,Assumptions!$C$79,Assumptions!$C$98,Assumptions!$C$117))</f>
        <v>676</v>
      </c>
    </row>
    <row r="15334" customFormat="false" ht="15" hidden="false" customHeight="false" outlineLevel="0" collapsed="false">
      <c r="A15334" s="23" t="s">
        <v>331</v>
      </c>
      <c r="B15334" s="24"/>
      <c r="C15334" s="24"/>
      <c r="D15334" s="24"/>
      <c r="E15334" s="24"/>
      <c r="F15334" s="24"/>
      <c r="G15334" s="24"/>
      <c r="H15334" s="24"/>
      <c r="I15334" s="24"/>
      <c r="J15334" s="24"/>
      <c r="K15334" s="24"/>
    </row>
    <row r="15335" customFormat="false" ht="15" hidden="false" customHeight="false" outlineLevel="0" collapsed="false">
      <c r="A15335" s="23" t="s">
        <v>332</v>
      </c>
      <c r="B15335" s="24"/>
      <c r="C15335" s="24"/>
      <c r="D15335" s="24"/>
      <c r="E15335" s="24"/>
      <c r="F15335" s="24"/>
      <c r="G15335" s="24"/>
      <c r="H15335" s="24"/>
      <c r="I15335" s="24"/>
      <c r="J15335" s="24"/>
      <c r="K15335" s="24"/>
    </row>
    <row r="15336" customFormat="false" ht="15" hidden="false" customHeight="false" outlineLevel="0" collapsed="false">
      <c r="A15336" s="5" t="s">
        <v>333</v>
      </c>
      <c r="G15336" s="31" t="n">
        <f aca="false">IF(G15202&gt;0,G15323/G15202,99)</f>
        <v>70.3170583115753</v>
      </c>
      <c r="H15336" s="31" t="n">
        <f aca="false">IF(H15202&gt;0,H15323/H15202,99)</f>
        <v>88.7106114762462</v>
      </c>
      <c r="I15336" s="31" t="n">
        <f aca="false">IF(I15202&gt;0,I15323/I15202,99)</f>
        <v>100.505611957328</v>
      </c>
      <c r="J15336" s="31" t="n">
        <f aca="false">IF(J15202&gt;0,J15323/J15202,99)</f>
        <v>111.1934420404</v>
      </c>
      <c r="K15336" s="31" t="n">
        <f aca="false">IF(K15202&gt;0,K15323/K15202,99)</f>
        <v>122.035848375027</v>
      </c>
    </row>
    <row r="15337" customFormat="false" ht="15" hidden="false" customHeight="false" outlineLevel="0" collapsed="false">
      <c r="A15337" s="5" t="s">
        <v>334</v>
      </c>
      <c r="G15337" s="32" t="n">
        <f aca="false">Assumptions!$G$61</f>
        <v>8.5</v>
      </c>
      <c r="H15337" s="32" t="n">
        <f aca="false">Assumptions!$H$61</f>
        <v>8.5</v>
      </c>
      <c r="I15337" s="32" t="n">
        <f aca="false">Assumptions!$I$61</f>
        <v>8.5</v>
      </c>
      <c r="J15337" s="32" t="n">
        <f aca="false">Assumptions!$J$61</f>
        <v>8.5</v>
      </c>
      <c r="K15337" s="32" t="n">
        <f aca="false">Assumptions!$K$61</f>
        <v>8.5</v>
      </c>
    </row>
    <row r="15338" customFormat="false" ht="15" hidden="false" customHeight="false" outlineLevel="0" collapsed="false">
      <c r="A15338" s="5" t="s">
        <v>335</v>
      </c>
      <c r="G15338" s="31" t="n">
        <f aca="false">G15337-G15336</f>
        <v>-61.8170583115753</v>
      </c>
      <c r="H15338" s="31" t="n">
        <f aca="false">H15337-H15336</f>
        <v>-80.2106114762462</v>
      </c>
      <c r="I15338" s="31" t="n">
        <f aca="false">I15337-I15336</f>
        <v>-92.0056119573277</v>
      </c>
      <c r="J15338" s="31" t="n">
        <f aca="false">J15337-J15336</f>
        <v>-102.6934420404</v>
      </c>
      <c r="K15338" s="31" t="n">
        <f aca="false">K15337-K15336</f>
        <v>-113.535848375027</v>
      </c>
    </row>
    <row r="15339" customFormat="false" ht="15" hidden="false" customHeight="false" outlineLevel="0" collapsed="false">
      <c r="A15339" s="5" t="s">
        <v>336</v>
      </c>
      <c r="G15339" s="21" t="n">
        <f aca="false">IF(G15337=0,0,G15338/ABS(G15337))</f>
        <v>-7.27259509547945</v>
      </c>
      <c r="H15339" s="21" t="n">
        <f aca="false">IF(H15337=0,0,H15338/ABS(H15337))</f>
        <v>-9.4365425266172</v>
      </c>
      <c r="I15339" s="21" t="n">
        <f aca="false">IF(I15337=0,0,I15338/ABS(I15337))</f>
        <v>-10.8241896420386</v>
      </c>
      <c r="J15339" s="21" t="n">
        <f aca="false">IF(J15337=0,0,J15338/ABS(J15337))</f>
        <v>-12.0815814165176</v>
      </c>
      <c r="K15339" s="21" t="n">
        <f aca="false">IF(K15337=0,0,K15338/ABS(K15337))</f>
        <v>-13.3571586323562</v>
      </c>
    </row>
    <row r="15340" customFormat="false" ht="15" hidden="false" customHeight="false" outlineLevel="0" collapsed="false">
      <c r="A15340" s="5" t="s">
        <v>337</v>
      </c>
      <c r="G15340" s="20" t="n">
        <f aca="false">IF(G15338&lt;0,1,0)</f>
        <v>1</v>
      </c>
      <c r="H15340" s="20" t="n">
        <f aca="false">IF(H15338&lt;0,1,0)</f>
        <v>1</v>
      </c>
      <c r="I15340" s="20" t="n">
        <f aca="false">IF(I15338&lt;0,1,0)</f>
        <v>1</v>
      </c>
      <c r="J15340" s="20" t="n">
        <f aca="false">IF(J15338&lt;0,1,0)</f>
        <v>1</v>
      </c>
      <c r="K15340" s="20" t="n">
        <f aca="false">IF(K15338&lt;0,1,0)</f>
        <v>1</v>
      </c>
    </row>
    <row r="15341" customFormat="false" ht="15" hidden="false" customHeight="false" outlineLevel="0" collapsed="false">
      <c r="A15341" s="5" t="s">
        <v>338</v>
      </c>
      <c r="C15341" s="20" t="n">
        <f aca="false">IFERROR(INDEX($G$15192:$K$15192,MATCH(1,$G$15340:$K$15340,0)),0)</f>
        <v>2026</v>
      </c>
    </row>
    <row r="15342" customFormat="false" ht="15" hidden="false" customHeight="false" outlineLevel="0" collapsed="false">
      <c r="A15342" s="5" t="s">
        <v>339</v>
      </c>
      <c r="C15342" s="21" t="n">
        <f aca="false">MIN($G$15339:$K$15339)</f>
        <v>-13.3571586323562</v>
      </c>
    </row>
    <row r="15343" customFormat="false" ht="15" hidden="false" customHeight="false" outlineLevel="0" collapsed="false">
      <c r="A15343" s="5" t="s">
        <v>340</v>
      </c>
      <c r="G15343" s="20" t="n">
        <f aca="false">G15340</f>
        <v>1</v>
      </c>
      <c r="H15343" s="20" t="n">
        <f aca="false">H15340</f>
        <v>1</v>
      </c>
      <c r="I15343" s="20" t="n">
        <f aca="false">I15340</f>
        <v>1</v>
      </c>
      <c r="J15343" s="20" t="n">
        <f aca="false">J15340</f>
        <v>1</v>
      </c>
      <c r="K15343" s="20" t="n">
        <f aca="false">K15340</f>
        <v>1</v>
      </c>
    </row>
    <row r="15344" customFormat="false" ht="15" hidden="false" customHeight="false" outlineLevel="0" collapsed="false">
      <c r="A15344" s="5" t="s">
        <v>341</v>
      </c>
      <c r="C15344" s="20" t="n">
        <f aca="false">SUM($G$15343:$K$15343)</f>
        <v>5</v>
      </c>
    </row>
    <row r="15345" customFormat="false" ht="15" hidden="false" customHeight="false" outlineLevel="0" collapsed="false">
      <c r="A15345" s="5" t="s">
        <v>342</v>
      </c>
      <c r="C15345" s="21" t="n">
        <f aca="false">MIN(C15342)</f>
        <v>-13.3571586323562</v>
      </c>
    </row>
    <row r="15347" customFormat="false" ht="15" hidden="false" customHeight="false" outlineLevel="0" collapsed="false">
      <c r="A15347" s="23" t="s">
        <v>444</v>
      </c>
      <c r="B15347" s="24"/>
      <c r="C15347" s="24"/>
      <c r="D15347" s="24"/>
      <c r="E15347" s="24"/>
      <c r="F15347" s="24"/>
      <c r="G15347" s="24"/>
      <c r="H15347" s="24"/>
      <c r="I15347" s="24"/>
      <c r="J15347" s="24"/>
      <c r="K15347" s="24"/>
    </row>
    <row r="15348" customFormat="false" ht="15" hidden="false" customHeight="false" outlineLevel="0" collapsed="false">
      <c r="A15348" s="5" t="s">
        <v>445</v>
      </c>
      <c r="G15348" s="20" t="n">
        <f aca="false">IF($C$15349=1,G15317,IF(G15202=MIN($G$15202:$K$15202),1,0))</f>
        <v>0</v>
      </c>
      <c r="H15348" s="20" t="n">
        <f aca="false">IF($C$15349=1,H15317,IF(AND(H15202=MIN($G$15202:$K$15202),SUM($G$15348:G15348)=0),1,0))</f>
        <v>1</v>
      </c>
      <c r="I15348" s="20" t="n">
        <f aca="false">IF($C$15349=1,I15317,IF(AND(I15202=MIN($G$15202:$K$15202),SUM($G$15348:H15348)=0),1,0))</f>
        <v>0</v>
      </c>
      <c r="J15348" s="20" t="n">
        <f aca="false">IF($C$15349=1,J15317,IF(AND(J15202=MIN($G$15202:$K$15202),SUM($G$15348:I15348)=0),1,0))</f>
        <v>0</v>
      </c>
      <c r="K15348" s="20" t="n">
        <f aca="false">IF($C$15349=1,K15317,IF(AND(K15202=MIN($G$15202:$K$15202),SUM($G$15348:J15348)=0),1,0))</f>
        <v>0</v>
      </c>
    </row>
    <row r="15349" customFormat="false" ht="15" hidden="false" customHeight="false" outlineLevel="0" collapsed="false">
      <c r="A15349" s="5" t="s">
        <v>446</v>
      </c>
      <c r="C15349" s="20" t="n">
        <f aca="false">IF(SUM($G$15317:$K$15317)&gt;0,1,0)</f>
        <v>1</v>
      </c>
    </row>
    <row r="15350" customFormat="false" ht="15" hidden="false" customHeight="false" outlineLevel="0" collapsed="false">
      <c r="A15350" s="5" t="s">
        <v>447</v>
      </c>
      <c r="C15350" s="20" t="n">
        <f aca="false">SUMPRODUCT($G$15348:$K$15348,$G$15192:$K$15192)</f>
        <v>2027</v>
      </c>
    </row>
    <row r="15351" customFormat="false" ht="15" hidden="false" customHeight="false" outlineLevel="0" collapsed="false">
      <c r="A15351" s="5" t="s">
        <v>448</v>
      </c>
      <c r="C15351" s="25" t="n">
        <f aca="false">SUMPRODUCT($G$15348:$K$15348,$G$15202:$K$15202)</f>
        <v>15.99408</v>
      </c>
    </row>
    <row r="15352" customFormat="false" ht="15" hidden="false" customHeight="false" outlineLevel="0" collapsed="false">
      <c r="A15352" s="5" t="s">
        <v>449</v>
      </c>
      <c r="C15352" s="25" t="n">
        <f aca="false">MAX(0,SUMPRODUCT($G$15348:$K$15348,$G$15314:$K$15314))</f>
        <v>0</v>
      </c>
    </row>
    <row r="15353" customFormat="false" ht="15" hidden="false" customHeight="false" outlineLevel="0" collapsed="false">
      <c r="A15353" s="5" t="s">
        <v>450</v>
      </c>
      <c r="C15353" s="25" t="n">
        <f aca="false">(CHOOSE($C$15185,Assumptions!$C$78,Assumptions!$C$97,Assumptions!$C$116)+$C$15189)*C15351</f>
        <v>63.97632</v>
      </c>
    </row>
    <row r="15354" customFormat="false" ht="15" hidden="false" customHeight="false" outlineLevel="0" collapsed="false">
      <c r="A15354" s="5" t="s">
        <v>451</v>
      </c>
      <c r="C15354" s="25" t="n">
        <f aca="false">Assumptions!$C$27*(1-CHOOSE($C$15185,Assumptions!$C$79,Assumptions!$C$98,Assumptions!$C$117))*CHOOSE($C$15185,Assumptions!$C$80,Assumptions!$C$99,Assumptions!$C$118)</f>
        <v>405.6</v>
      </c>
    </row>
    <row r="15355" customFormat="false" ht="15" hidden="false" customHeight="false" outlineLevel="0" collapsed="false">
      <c r="A15355" s="5" t="s">
        <v>452</v>
      </c>
      <c r="C15355" s="25" t="n">
        <f aca="false">MAX(C15353,C15354)+C15352</f>
        <v>405.6</v>
      </c>
    </row>
    <row r="15356" customFormat="false" ht="15" hidden="false" customHeight="false" outlineLevel="0" collapsed="false">
      <c r="A15356" s="2" t="s">
        <v>453</v>
      </c>
      <c r="C15356" s="16" t="n">
        <f aca="false">IF(ISNUMBER(Assumptions!$C$14),Assumptions!$C$14,C15355)</f>
        <v>405.6</v>
      </c>
    </row>
    <row r="15357" customFormat="false" ht="15" hidden="false" customHeight="false" outlineLevel="0" collapsed="false">
      <c r="A15357" s="5" t="s">
        <v>454</v>
      </c>
      <c r="C15357" s="25" t="n">
        <f aca="false">C15356*Assumptions!$C$15</f>
        <v>16.224</v>
      </c>
    </row>
    <row r="15358" customFormat="false" ht="15" hidden="false" customHeight="false" outlineLevel="0" collapsed="false">
      <c r="A15358" s="2" t="s">
        <v>455</v>
      </c>
      <c r="C15358" s="16" t="n">
        <f aca="false">C15356-C15357</f>
        <v>389.376</v>
      </c>
    </row>
    <row r="15359" customFormat="false" ht="15" hidden="false" customHeight="false" outlineLevel="0" collapsed="false">
      <c r="A15359" s="23" t="s">
        <v>456</v>
      </c>
      <c r="B15359" s="24"/>
      <c r="C15359" s="24"/>
      <c r="D15359" s="24"/>
      <c r="E15359" s="24"/>
      <c r="F15359" s="24"/>
      <c r="G15359" s="24"/>
      <c r="H15359" s="24"/>
      <c r="I15359" s="24"/>
      <c r="J15359" s="24"/>
      <c r="K15359" s="24"/>
    </row>
    <row r="15360" customFormat="false" ht="15" hidden="false" customHeight="false" outlineLevel="0" collapsed="false">
      <c r="A15360" s="5" t="s">
        <v>457</v>
      </c>
      <c r="C15360" s="25" t="n">
        <f aca="false">SUMPRODUCT($G$15348:$K$15348,$G$15239:$K$15239)*(1+SUMPRODUCT($G$15348:$K$15348,$G$15231:$K$15231)*Assumptions!$C$16/12)</f>
        <v>233.8059402</v>
      </c>
    </row>
    <row r="15361" customFormat="false" ht="15" hidden="false" customHeight="false" outlineLevel="0" collapsed="false">
      <c r="A15361" s="5" t="s">
        <v>458</v>
      </c>
      <c r="C15361" s="25" t="n">
        <f aca="false">SUMPRODUCT($G$15348:$K$15348,$G$15252:$K$15252)*(1+SUMPRODUCT($G$15348:$K$15348,$G$15244:$K$15244)*Assumptions!$C$16/12)</f>
        <v>524.9517</v>
      </c>
    </row>
    <row r="15362" customFormat="false" ht="15" hidden="false" customHeight="false" outlineLevel="0" collapsed="false">
      <c r="A15362" s="5" t="s">
        <v>459</v>
      </c>
      <c r="C15362" s="25" t="n">
        <f aca="false">SUMPRODUCT($G$15348:$K$15348,$G$15265:$K$15265)*(1+SUMPRODUCT($G$15348:$K$15348,$G$15257:$K$15257)*Assumptions!$C$16/12)</f>
        <v>256.875</v>
      </c>
    </row>
    <row r="15363" customFormat="false" ht="15" hidden="false" customHeight="false" outlineLevel="0" collapsed="false">
      <c r="A15363" s="5" t="s">
        <v>460</v>
      </c>
      <c r="C15363" s="25" t="n">
        <f aca="false">SUMPRODUCT($G$15348:$K$15348,$G$15278:$K$15278)*(1+SUMPRODUCT($G$15348:$K$15348,$G$15270:$K$15270)*Assumptions!$C$16/12)</f>
        <v>305.625</v>
      </c>
    </row>
    <row r="15364" customFormat="false" ht="15" hidden="false" customHeight="false" outlineLevel="0" collapsed="false">
      <c r="A15364" s="23" t="s">
        <v>461</v>
      </c>
      <c r="B15364" s="24"/>
      <c r="C15364" s="24"/>
      <c r="D15364" s="24"/>
      <c r="E15364" s="24"/>
      <c r="F15364" s="24"/>
      <c r="G15364" s="24"/>
      <c r="H15364" s="24"/>
      <c r="I15364" s="24"/>
      <c r="J15364" s="24"/>
      <c r="K15364" s="24"/>
    </row>
    <row r="15365" customFormat="false" ht="15" hidden="false" customHeight="false" outlineLevel="0" collapsed="false">
      <c r="A15365" s="5" t="s">
        <v>457</v>
      </c>
      <c r="C15365" s="26" t="n">
        <f aca="false">Assumptions!$M$53</f>
        <v>1</v>
      </c>
    </row>
    <row r="15366" customFormat="false" ht="15" hidden="false" customHeight="false" outlineLevel="0" collapsed="false">
      <c r="A15366" s="5" t="s">
        <v>458</v>
      </c>
      <c r="C15366" s="26" t="n">
        <f aca="false">Assumptions!$M$54</f>
        <v>2</v>
      </c>
    </row>
    <row r="15367" customFormat="false" ht="15" hidden="false" customHeight="false" outlineLevel="0" collapsed="false">
      <c r="A15367" s="5" t="s">
        <v>459</v>
      </c>
      <c r="C15367" s="26" t="n">
        <f aca="false">Assumptions!$M$55</f>
        <v>3</v>
      </c>
    </row>
    <row r="15368" customFormat="false" ht="15" hidden="false" customHeight="false" outlineLevel="0" collapsed="false">
      <c r="A15368" s="5" t="s">
        <v>460</v>
      </c>
      <c r="C15368" s="26" t="n">
        <f aca="false">Assumptions!$M$56</f>
        <v>4</v>
      </c>
    </row>
    <row r="15369" customFormat="false" ht="15" hidden="false" customHeight="false" outlineLevel="0" collapsed="false">
      <c r="A15369" s="23" t="s">
        <v>462</v>
      </c>
      <c r="B15369" s="24"/>
      <c r="C15369" s="24"/>
      <c r="D15369" s="24"/>
      <c r="E15369" s="24"/>
      <c r="F15369" s="24"/>
      <c r="G15369" s="24"/>
      <c r="H15369" s="24"/>
      <c r="I15369" s="24"/>
      <c r="J15369" s="24"/>
      <c r="K15369" s="24"/>
    </row>
    <row r="15370" customFormat="false" ht="15" hidden="false" customHeight="false" outlineLevel="0" collapsed="false">
      <c r="A15370" s="5" t="s">
        <v>457</v>
      </c>
      <c r="C15370" s="34" t="n">
        <f aca="false">Assumptions!$Q$53</f>
        <v>0</v>
      </c>
    </row>
    <row r="15371" customFormat="false" ht="15" hidden="false" customHeight="false" outlineLevel="0" collapsed="false">
      <c r="A15371" s="5" t="s">
        <v>458</v>
      </c>
      <c r="C15371" s="34" t="n">
        <f aca="false">Assumptions!$Q$54</f>
        <v>0</v>
      </c>
    </row>
    <row r="15372" customFormat="false" ht="15" hidden="false" customHeight="false" outlineLevel="0" collapsed="false">
      <c r="A15372" s="5" t="s">
        <v>459</v>
      </c>
      <c r="C15372" s="34" t="n">
        <f aca="false">Assumptions!$Q$55</f>
        <v>0</v>
      </c>
    </row>
    <row r="15373" customFormat="false" ht="15" hidden="false" customHeight="false" outlineLevel="0" collapsed="false">
      <c r="A15373" s="5" t="s">
        <v>460</v>
      </c>
      <c r="C15373" s="34" t="n">
        <f aca="false">Assumptions!$Q$56</f>
        <v>0</v>
      </c>
    </row>
    <row r="15374" customFormat="false" ht="15" hidden="false" customHeight="false" outlineLevel="0" collapsed="false">
      <c r="A15374" s="23" t="s">
        <v>463</v>
      </c>
      <c r="B15374" s="24"/>
      <c r="C15374" s="24"/>
      <c r="D15374" s="24"/>
      <c r="E15374" s="24"/>
      <c r="F15374" s="24"/>
      <c r="G15374" s="24"/>
      <c r="H15374" s="24"/>
      <c r="I15374" s="24"/>
      <c r="J15374" s="24"/>
      <c r="K15374" s="24"/>
    </row>
    <row r="15375" customFormat="false" ht="15" hidden="false" customHeight="false" outlineLevel="0" collapsed="false">
      <c r="A15375" s="5" t="s">
        <v>457</v>
      </c>
      <c r="C15375" s="25" t="n">
        <f aca="false">IF(C15370&gt;0,MIN(C15360,C15370*$C$15358),0)</f>
        <v>0</v>
      </c>
    </row>
    <row r="15376" customFormat="false" ht="15" hidden="false" customHeight="false" outlineLevel="0" collapsed="false">
      <c r="A15376" s="5" t="s">
        <v>458</v>
      </c>
      <c r="C15376" s="25" t="n">
        <f aca="false">IF(C15371&gt;0,MIN(C15361,C15371*$C$15358),0)</f>
        <v>0</v>
      </c>
    </row>
    <row r="15377" customFormat="false" ht="15" hidden="false" customHeight="false" outlineLevel="0" collapsed="false">
      <c r="A15377" s="5" t="s">
        <v>459</v>
      </c>
      <c r="C15377" s="25" t="n">
        <f aca="false">IF(C15372&gt;0,MIN(C15362,C15372*$C$15358),0)</f>
        <v>0</v>
      </c>
    </row>
    <row r="15378" customFormat="false" ht="15" hidden="false" customHeight="false" outlineLevel="0" collapsed="false">
      <c r="A15378" s="5" t="s">
        <v>460</v>
      </c>
      <c r="C15378" s="25" t="n">
        <f aca="false">IF(C15373&gt;0,MIN(C15363,C15373*$C$15358),0)</f>
        <v>0</v>
      </c>
    </row>
    <row r="15379" customFormat="false" ht="15" hidden="false" customHeight="false" outlineLevel="0" collapsed="false">
      <c r="A15379" s="23" t="s">
        <v>464</v>
      </c>
      <c r="B15379" s="24"/>
      <c r="C15379" s="24"/>
      <c r="D15379" s="24"/>
      <c r="E15379" s="24"/>
      <c r="F15379" s="24"/>
      <c r="G15379" s="24"/>
      <c r="H15379" s="24"/>
      <c r="I15379" s="24"/>
      <c r="J15379" s="24"/>
      <c r="K15379" s="24"/>
    </row>
    <row r="15380" customFormat="false" ht="15" hidden="false" customHeight="false" outlineLevel="0" collapsed="false">
      <c r="A15380" s="5" t="s">
        <v>457</v>
      </c>
      <c r="C15380" s="25" t="n">
        <f aca="false">IF(C15370&gt;0,C15360-C15375,0)</f>
        <v>0</v>
      </c>
      <c r="G15380" s="20" t="n">
        <f aca="false">IF(AND(G15229=1,G15226=1),1,0)</f>
        <v>0</v>
      </c>
      <c r="H15380" s="20" t="n">
        <f aca="false">IF(G15380=1,1,IF(AND(H15229=1,H15226=1),1,0))</f>
        <v>0</v>
      </c>
      <c r="I15380" s="20" t="n">
        <f aca="false">IF(H15380=1,1,IF(AND(I15229=1,I15226=1),1,0))</f>
        <v>0</v>
      </c>
      <c r="J15380" s="20" t="n">
        <f aca="false">IF(I15380=1,1,IF(AND(J15229=1,J15226=1),1,0))</f>
        <v>0</v>
      </c>
      <c r="K15380" s="20" t="n">
        <f aca="false">IF(J15380=1,1,IF(AND(K15229=1,K15226=1),1,0))</f>
        <v>0</v>
      </c>
    </row>
    <row r="15381" customFormat="false" ht="15" hidden="false" customHeight="false" outlineLevel="0" collapsed="false">
      <c r="A15381" s="5" t="s">
        <v>458</v>
      </c>
      <c r="C15381" s="25" t="n">
        <f aca="false">IF(C15371&gt;0,C15361-C15376,0)</f>
        <v>0</v>
      </c>
      <c r="G15381" s="20" t="n">
        <f aca="false">IF(AND(G15242=1,G15226=1),1,0)</f>
        <v>0</v>
      </c>
      <c r="H15381" s="20" t="n">
        <f aca="false">IF(G15381=1,1,IF(AND(H15242=1,H15226=1),1,0))</f>
        <v>0</v>
      </c>
      <c r="I15381" s="20" t="n">
        <f aca="false">IF(H15381=1,1,IF(AND(I15242=1,I15226=1),1,0))</f>
        <v>0</v>
      </c>
      <c r="J15381" s="20" t="n">
        <f aca="false">IF(I15381=1,1,IF(AND(J15242=1,J15226=1),1,0))</f>
        <v>0</v>
      </c>
      <c r="K15381" s="20" t="n">
        <f aca="false">IF(J15381=1,1,IF(AND(K15242=1,K15226=1),1,0))</f>
        <v>0</v>
      </c>
    </row>
    <row r="15382" customFormat="false" ht="15" hidden="false" customHeight="false" outlineLevel="0" collapsed="false">
      <c r="A15382" s="5" t="s">
        <v>459</v>
      </c>
      <c r="C15382" s="25" t="n">
        <f aca="false">IF(C15372&gt;0,C15362-C15377,0)</f>
        <v>0</v>
      </c>
      <c r="G15382" s="20" t="n">
        <f aca="false">IF(AND(G15255=1,G15226=1),1,0)</f>
        <v>0</v>
      </c>
      <c r="H15382" s="20" t="n">
        <f aca="false">IF(G15382=1,1,IF(AND(H15255=1,H15226=1),1,0))</f>
        <v>0</v>
      </c>
      <c r="I15382" s="20" t="n">
        <f aca="false">IF(H15382=1,1,IF(AND(I15255=1,I15226=1),1,0))</f>
        <v>0</v>
      </c>
      <c r="J15382" s="20" t="n">
        <f aca="false">IF(I15382=1,1,IF(AND(J15255=1,J15226=1),1,0))</f>
        <v>0</v>
      </c>
      <c r="K15382" s="20" t="n">
        <f aca="false">IF(J15382=1,1,IF(AND(K15255=1,K15226=1),1,0))</f>
        <v>0</v>
      </c>
    </row>
    <row r="15383" customFormat="false" ht="15" hidden="false" customHeight="false" outlineLevel="0" collapsed="false">
      <c r="A15383" s="5" t="s">
        <v>460</v>
      </c>
      <c r="C15383" s="25" t="n">
        <f aca="false">IF(C15373&gt;0,C15363-C15378,0)</f>
        <v>0</v>
      </c>
      <c r="G15383" s="20" t="n">
        <f aca="false">IF(AND(G15268=1,G15226=1),1,0)</f>
        <v>0</v>
      </c>
      <c r="H15383" s="20" t="n">
        <f aca="false">IF(G15383=1,1,IF(AND(H15268=1,H15226=1),1,0))</f>
        <v>0</v>
      </c>
      <c r="I15383" s="20" t="n">
        <f aca="false">IF(H15383=1,1,IF(AND(I15268=1,I15226=1),1,0))</f>
        <v>0</v>
      </c>
      <c r="J15383" s="20" t="n">
        <f aca="false">IF(I15383=1,1,IF(AND(J15268=1,J15226=1),1,0))</f>
        <v>0</v>
      </c>
      <c r="K15383" s="20" t="n">
        <f aca="false">IF(J15383=1,1,IF(AND(K15268=1,K15226=1),1,0))</f>
        <v>0</v>
      </c>
    </row>
    <row r="15384" customFormat="false" ht="15" hidden="false" customHeight="false" outlineLevel="0" collapsed="false">
      <c r="A15384" s="23" t="s">
        <v>465</v>
      </c>
      <c r="B15384" s="24"/>
      <c r="C15384" s="24"/>
      <c r="D15384" s="24"/>
      <c r="E15384" s="24"/>
      <c r="F15384" s="24"/>
      <c r="G15384" s="24"/>
      <c r="H15384" s="24"/>
      <c r="I15384" s="24"/>
      <c r="J15384" s="24"/>
      <c r="K15384" s="24"/>
    </row>
    <row r="15385" customFormat="false" ht="15" hidden="false" customHeight="false" outlineLevel="0" collapsed="false">
      <c r="A15385" s="5" t="s">
        <v>457</v>
      </c>
      <c r="C15385" s="25" t="n">
        <f aca="false">IF(C15370&gt;0,C15380,C15360)</f>
        <v>233.8059402</v>
      </c>
    </row>
    <row r="15386" customFormat="false" ht="15" hidden="false" customHeight="false" outlineLevel="0" collapsed="false">
      <c r="A15386" s="5" t="s">
        <v>458</v>
      </c>
      <c r="C15386" s="25" t="n">
        <f aca="false">IF(C15371&gt;0,C15381,C15361)</f>
        <v>524.9517</v>
      </c>
    </row>
    <row r="15387" customFormat="false" ht="15" hidden="false" customHeight="false" outlineLevel="0" collapsed="false">
      <c r="A15387" s="5" t="s">
        <v>459</v>
      </c>
      <c r="C15387" s="25" t="n">
        <f aca="false">IF(C15372&gt;0,C15382,C15362)</f>
        <v>256.875</v>
      </c>
    </row>
    <row r="15388" customFormat="false" ht="15" hidden="false" customHeight="false" outlineLevel="0" collapsed="false">
      <c r="A15388" s="5" t="s">
        <v>460</v>
      </c>
      <c r="C15388" s="25" t="n">
        <f aca="false">IF(C15373&gt;0,C15383,C15363)</f>
        <v>305.625</v>
      </c>
    </row>
    <row r="15389" customFormat="false" ht="15" hidden="false" customHeight="false" outlineLevel="0" collapsed="false">
      <c r="A15389" s="23" t="s">
        <v>466</v>
      </c>
      <c r="B15389" s="24"/>
      <c r="C15389" s="24"/>
      <c r="D15389" s="24"/>
      <c r="E15389" s="24"/>
      <c r="F15389" s="24"/>
      <c r="G15389" s="24"/>
      <c r="H15389" s="24"/>
      <c r="I15389" s="24"/>
      <c r="J15389" s="24"/>
      <c r="K15389" s="24"/>
    </row>
    <row r="15390" customFormat="false" ht="15" hidden="false" customHeight="false" outlineLevel="0" collapsed="false">
      <c r="A15390" s="5" t="s">
        <v>457</v>
      </c>
      <c r="C15390" s="20" t="n">
        <f aca="false">IF(C15370&gt;0,Assumptions!$C$17,C15365)</f>
        <v>1</v>
      </c>
    </row>
    <row r="15391" customFormat="false" ht="15" hidden="false" customHeight="false" outlineLevel="0" collapsed="false">
      <c r="A15391" s="5" t="s">
        <v>458</v>
      </c>
      <c r="C15391" s="20" t="n">
        <f aca="false">IF(C15371&gt;0,Assumptions!$C$17,C15366)</f>
        <v>2</v>
      </c>
    </row>
    <row r="15392" customFormat="false" ht="15" hidden="false" customHeight="false" outlineLevel="0" collapsed="false">
      <c r="A15392" s="5" t="s">
        <v>459</v>
      </c>
      <c r="C15392" s="20" t="n">
        <f aca="false">IF(C15372&gt;0,Assumptions!$C$17,C15367)</f>
        <v>3</v>
      </c>
    </row>
    <row r="15393" customFormat="false" ht="15" hidden="false" customHeight="false" outlineLevel="0" collapsed="false">
      <c r="A15393" s="5" t="s">
        <v>460</v>
      </c>
      <c r="C15393" s="20" t="n">
        <f aca="false">IF(C15373&gt;0,Assumptions!$C$17,C15368)</f>
        <v>4</v>
      </c>
    </row>
    <row r="15394" customFormat="false" ht="15" hidden="false" customHeight="false" outlineLevel="0" collapsed="false">
      <c r="A15394" s="23" t="s">
        <v>467</v>
      </c>
      <c r="B15394" s="24"/>
      <c r="C15394" s="24"/>
      <c r="D15394" s="24"/>
      <c r="E15394" s="24"/>
      <c r="F15394" s="24"/>
      <c r="G15394" s="24"/>
      <c r="H15394" s="24"/>
      <c r="I15394" s="24"/>
      <c r="J15394" s="24"/>
      <c r="K15394" s="24"/>
    </row>
    <row r="15395" customFormat="false" ht="15" hidden="false" customHeight="false" outlineLevel="0" collapsed="false">
      <c r="A15395" s="5" t="s">
        <v>457</v>
      </c>
      <c r="C15395" s="25" t="n">
        <f aca="false">SUMPRODUCT(($C$15390:$C$15393&lt;C15390)*$C$15385:$C$15388)</f>
        <v>0</v>
      </c>
    </row>
    <row r="15396" customFormat="false" ht="15" hidden="false" customHeight="false" outlineLevel="0" collapsed="false">
      <c r="A15396" s="5" t="s">
        <v>458</v>
      </c>
      <c r="C15396" s="25" t="n">
        <f aca="false">SUMPRODUCT(($C$15390:$C$15393&lt;C15391)*$C$15385:$C$15388)</f>
        <v>233.8059402</v>
      </c>
    </row>
    <row r="15397" customFormat="false" ht="15" hidden="false" customHeight="false" outlineLevel="0" collapsed="false">
      <c r="A15397" s="5" t="s">
        <v>459</v>
      </c>
      <c r="C15397" s="25" t="n">
        <f aca="false">SUMPRODUCT(($C$15390:$C$15393&lt;C15392)*$C$15385:$C$15388)</f>
        <v>758.7576402</v>
      </c>
    </row>
    <row r="15398" customFormat="false" ht="15" hidden="false" customHeight="false" outlineLevel="0" collapsed="false">
      <c r="A15398" s="5" t="s">
        <v>460</v>
      </c>
      <c r="C15398" s="25" t="n">
        <f aca="false">SUMPRODUCT(($C$15390:$C$15393&lt;C15393)*$C$15385:$C$15388)</f>
        <v>1015.6326402</v>
      </c>
    </row>
    <row r="15399" customFormat="false" ht="15" hidden="false" customHeight="false" outlineLevel="0" collapsed="false">
      <c r="A15399" s="23" t="s">
        <v>468</v>
      </c>
      <c r="B15399" s="24"/>
      <c r="C15399" s="24"/>
      <c r="D15399" s="24"/>
      <c r="E15399" s="24"/>
      <c r="F15399" s="24"/>
      <c r="G15399" s="24"/>
      <c r="H15399" s="24"/>
      <c r="I15399" s="24"/>
      <c r="J15399" s="24"/>
      <c r="K15399" s="24"/>
    </row>
    <row r="15400" customFormat="false" ht="15" hidden="false" customHeight="false" outlineLevel="0" collapsed="false">
      <c r="A15400" s="5" t="s">
        <v>457</v>
      </c>
      <c r="C15400" s="25" t="n">
        <f aca="false">SUMPRODUCT(($C$15390:$C$15393=C15390)*$C$15385:$C$15388)</f>
        <v>233.8059402</v>
      </c>
    </row>
    <row r="15401" customFormat="false" ht="15" hidden="false" customHeight="false" outlineLevel="0" collapsed="false">
      <c r="A15401" s="5" t="s">
        <v>458</v>
      </c>
      <c r="C15401" s="25" t="n">
        <f aca="false">SUMPRODUCT(($C$15390:$C$15393=C15391)*$C$15385:$C$15388)</f>
        <v>524.9517</v>
      </c>
    </row>
    <row r="15402" customFormat="false" ht="15" hidden="false" customHeight="false" outlineLevel="0" collapsed="false">
      <c r="A15402" s="5" t="s">
        <v>459</v>
      </c>
      <c r="C15402" s="25" t="n">
        <f aca="false">SUMPRODUCT(($C$15390:$C$15393=C15392)*$C$15385:$C$15388)</f>
        <v>256.875</v>
      </c>
    </row>
    <row r="15403" customFormat="false" ht="15" hidden="false" customHeight="false" outlineLevel="0" collapsed="false">
      <c r="A15403" s="5" t="s">
        <v>460</v>
      </c>
      <c r="C15403" s="25" t="n">
        <f aca="false">SUMPRODUCT(($C$15390:$C$15393=C15393)*$C$15385:$C$15388)</f>
        <v>305.625</v>
      </c>
    </row>
    <row r="15404" customFormat="false" ht="15" hidden="false" customHeight="false" outlineLevel="0" collapsed="false">
      <c r="A15404" s="23" t="s">
        <v>469</v>
      </c>
      <c r="B15404" s="24"/>
      <c r="C15404" s="24"/>
      <c r="D15404" s="24"/>
      <c r="E15404" s="24"/>
      <c r="F15404" s="24"/>
      <c r="G15404" s="24"/>
      <c r="H15404" s="24"/>
      <c r="I15404" s="24"/>
      <c r="J15404" s="24"/>
      <c r="K15404" s="24"/>
    </row>
    <row r="15405" customFormat="false" ht="15" hidden="false" customHeight="false" outlineLevel="0" collapsed="false">
      <c r="A15405" s="5" t="s">
        <v>457</v>
      </c>
      <c r="C15405" s="25" t="n">
        <f aca="false">IF(C15400=0,0,C15385/C15400*MAX(0,MIN(C15400,$C$15358-SUM($C$15375:$C$15378)-C15395)))</f>
        <v>233.8059402</v>
      </c>
    </row>
    <row r="15406" customFormat="false" ht="15" hidden="false" customHeight="false" outlineLevel="0" collapsed="false">
      <c r="A15406" s="5" t="s">
        <v>458</v>
      </c>
      <c r="C15406" s="25" t="n">
        <f aca="false">IF(C15401=0,0,C15386/C15401*MAX(0,MIN(C15401,$C$15358-SUM($C$15375:$C$15378)-C15396)))</f>
        <v>155.5700598</v>
      </c>
    </row>
    <row r="15407" customFormat="false" ht="15" hidden="false" customHeight="false" outlineLevel="0" collapsed="false">
      <c r="A15407" s="5" t="s">
        <v>459</v>
      </c>
      <c r="C15407" s="25" t="n">
        <f aca="false">IF(C15402=0,0,C15387/C15402*MAX(0,MIN(C15402,$C$15358-SUM($C$15375:$C$15378)-C15397)))</f>
        <v>0</v>
      </c>
    </row>
    <row r="15408" customFormat="false" ht="15" hidden="false" customHeight="false" outlineLevel="0" collapsed="false">
      <c r="A15408" s="5" t="s">
        <v>460</v>
      </c>
      <c r="C15408" s="25" t="n">
        <f aca="false">IF(C15403=0,0,C15388/C15403*MAX(0,MIN(C15403,$C$15358-SUM($C$15375:$C$15378)-C15398)))</f>
        <v>0</v>
      </c>
    </row>
    <row r="15409" customFormat="false" ht="15" hidden="false" customHeight="false" outlineLevel="0" collapsed="false">
      <c r="A15409" s="23" t="s">
        <v>470</v>
      </c>
      <c r="B15409" s="24"/>
      <c r="C15409" s="24"/>
      <c r="D15409" s="24"/>
      <c r="E15409" s="24"/>
      <c r="F15409" s="24"/>
      <c r="G15409" s="24"/>
      <c r="H15409" s="24"/>
      <c r="I15409" s="24"/>
      <c r="J15409" s="24"/>
      <c r="K15409" s="24"/>
    </row>
    <row r="15410" customFormat="false" ht="15" hidden="false" customHeight="false" outlineLevel="0" collapsed="false">
      <c r="A15410" s="2" t="s">
        <v>457</v>
      </c>
      <c r="C15410" s="16" t="n">
        <f aca="false">C15375+C15405</f>
        <v>233.8059402</v>
      </c>
    </row>
    <row r="15411" customFormat="false" ht="15" hidden="false" customHeight="false" outlineLevel="0" collapsed="false">
      <c r="A15411" s="2" t="s">
        <v>458</v>
      </c>
      <c r="C15411" s="16" t="n">
        <f aca="false">C15376+C15406</f>
        <v>155.5700598</v>
      </c>
    </row>
    <row r="15412" customFormat="false" ht="15" hidden="false" customHeight="false" outlineLevel="0" collapsed="false">
      <c r="A15412" s="2" t="s">
        <v>459</v>
      </c>
      <c r="C15412" s="16" t="n">
        <f aca="false">C15377+C15407</f>
        <v>0</v>
      </c>
    </row>
    <row r="15413" customFormat="false" ht="15" hidden="false" customHeight="false" outlineLevel="0" collapsed="false">
      <c r="A15413" s="2" t="s">
        <v>460</v>
      </c>
      <c r="C15413" s="16" t="n">
        <f aca="false">C15378+C15408</f>
        <v>0</v>
      </c>
    </row>
    <row r="15414" customFormat="false" ht="15" hidden="false" customHeight="false" outlineLevel="0" collapsed="false">
      <c r="A15414" s="23" t="s">
        <v>471</v>
      </c>
      <c r="B15414" s="24"/>
      <c r="C15414" s="24"/>
      <c r="D15414" s="24"/>
      <c r="E15414" s="24"/>
      <c r="F15414" s="24"/>
      <c r="G15414" s="24"/>
      <c r="H15414" s="24"/>
      <c r="I15414" s="24"/>
      <c r="J15414" s="24"/>
      <c r="K15414" s="24"/>
    </row>
    <row r="15415" customFormat="false" ht="15" hidden="false" customHeight="false" outlineLevel="0" collapsed="false">
      <c r="A15415" s="5" t="s">
        <v>457</v>
      </c>
      <c r="C15415" s="21" t="n">
        <f aca="false">IF(C15360=0,1,C15410/C15360)</f>
        <v>1</v>
      </c>
    </row>
    <row r="15416" customFormat="false" ht="15" hidden="false" customHeight="false" outlineLevel="0" collapsed="false">
      <c r="A15416" s="5" t="s">
        <v>458</v>
      </c>
      <c r="C15416" s="21" t="n">
        <f aca="false">IF(C15361=0,1,C15411/C15361)</f>
        <v>0.296351187737843</v>
      </c>
    </row>
    <row r="15417" customFormat="false" ht="15" hidden="false" customHeight="false" outlineLevel="0" collapsed="false">
      <c r="A15417" s="5" t="s">
        <v>459</v>
      </c>
      <c r="C15417" s="21" t="n">
        <f aca="false">IF(C15362=0,1,C15412/C15362)</f>
        <v>0</v>
      </c>
    </row>
    <row r="15418" customFormat="false" ht="15" hidden="false" customHeight="false" outlineLevel="0" collapsed="false">
      <c r="A15418" s="5" t="s">
        <v>460</v>
      </c>
      <c r="C15418" s="21" t="n">
        <f aca="false">IF(C15363=0,1,C15413/C15363)</f>
        <v>0</v>
      </c>
    </row>
    <row r="15419" customFormat="false" ht="15" hidden="false" customHeight="false" outlineLevel="0" collapsed="false">
      <c r="A15419" s="23" t="s">
        <v>472</v>
      </c>
      <c r="B15419" s="24"/>
      <c r="C15419" s="24"/>
      <c r="D15419" s="24"/>
      <c r="E15419" s="24"/>
      <c r="F15419" s="24"/>
      <c r="G15419" s="24"/>
      <c r="H15419" s="24"/>
      <c r="I15419" s="24"/>
      <c r="J15419" s="24"/>
      <c r="K15419" s="24"/>
    </row>
    <row r="15420" customFormat="false" ht="15" hidden="false" customHeight="false" outlineLevel="0" collapsed="false">
      <c r="A15420" s="5" t="s">
        <v>457</v>
      </c>
      <c r="C15420" s="25" t="n">
        <f aca="false">C15360-C15410</f>
        <v>0</v>
      </c>
    </row>
    <row r="15421" customFormat="false" ht="15" hidden="false" customHeight="false" outlineLevel="0" collapsed="false">
      <c r="A15421" s="5" t="s">
        <v>458</v>
      </c>
      <c r="C15421" s="25" t="n">
        <f aca="false">C15361-C15411</f>
        <v>369.3816402</v>
      </c>
    </row>
    <row r="15422" customFormat="false" ht="15" hidden="false" customHeight="false" outlineLevel="0" collapsed="false">
      <c r="A15422" s="5" t="s">
        <v>459</v>
      </c>
      <c r="C15422" s="25" t="n">
        <f aca="false">C15362-C15412</f>
        <v>256.875</v>
      </c>
    </row>
    <row r="15423" customFormat="false" ht="15" hidden="false" customHeight="false" outlineLevel="0" collapsed="false">
      <c r="A15423" s="5" t="s">
        <v>460</v>
      </c>
      <c r="C15423" s="25" t="n">
        <f aca="false">C15363-C15413</f>
        <v>305.625</v>
      </c>
    </row>
    <row r="15424" customFormat="false" ht="15" hidden="false" customHeight="false" outlineLevel="0" collapsed="false">
      <c r="A15424" s="23" t="s">
        <v>473</v>
      </c>
      <c r="B15424" s="24"/>
      <c r="C15424" s="24"/>
      <c r="D15424" s="24"/>
      <c r="E15424" s="24"/>
      <c r="F15424" s="24"/>
      <c r="G15424" s="24"/>
      <c r="H15424" s="24"/>
      <c r="I15424" s="24"/>
      <c r="J15424" s="24"/>
      <c r="K15424" s="24"/>
    </row>
    <row r="15425" customFormat="false" ht="15" hidden="false" customHeight="false" outlineLevel="0" collapsed="false">
      <c r="A15425" s="5" t="s">
        <v>457</v>
      </c>
      <c r="C15425" s="21" t="n">
        <f aca="false">IF(C15360=0,0,C15420/C15360)</f>
        <v>0</v>
      </c>
    </row>
    <row r="15426" customFormat="false" ht="15" hidden="false" customHeight="false" outlineLevel="0" collapsed="false">
      <c r="A15426" s="5" t="s">
        <v>458</v>
      </c>
      <c r="C15426" s="21" t="n">
        <f aca="false">IF(C15361=0,0,C15421/C15361)</f>
        <v>0.703648812262157</v>
      </c>
    </row>
    <row r="15427" customFormat="false" ht="15" hidden="false" customHeight="false" outlineLevel="0" collapsed="false">
      <c r="A15427" s="5" t="s">
        <v>459</v>
      </c>
      <c r="C15427" s="21" t="n">
        <f aca="false">IF(C15362=0,0,C15422/C15362)</f>
        <v>1</v>
      </c>
    </row>
    <row r="15428" customFormat="false" ht="15" hidden="false" customHeight="false" outlineLevel="0" collapsed="false">
      <c r="A15428" s="5" t="s">
        <v>460</v>
      </c>
      <c r="C15428" s="21" t="n">
        <f aca="false">IF(C15363=0,0,C15423/C15363)</f>
        <v>1</v>
      </c>
    </row>
    <row r="15429" customFormat="false" ht="15" hidden="false" customHeight="false" outlineLevel="0" collapsed="false">
      <c r="A15429" s="2" t="s">
        <v>474</v>
      </c>
      <c r="C15429" s="16" t="n">
        <f aca="false">MAX(0,$C$15358-SUM($C$15375:$C$15378)-SUM($C$15385:$C$15388))</f>
        <v>0</v>
      </c>
    </row>
    <row r="15430" customFormat="false" ht="15" hidden="false" customHeight="false" outlineLevel="0" collapsed="false">
      <c r="A15430" s="5" t="s">
        <v>475</v>
      </c>
      <c r="C15430" s="25" t="n">
        <f aca="false">SUM($C$15410:$C$15413)+C15429+C15357-C15356</f>
        <v>0</v>
      </c>
    </row>
    <row r="15432" customFormat="false" ht="15" hidden="false" customHeight="false" outlineLevel="0" collapsed="false">
      <c r="A15432" s="23" t="s">
        <v>478</v>
      </c>
      <c r="B15432" s="24"/>
      <c r="C15432" s="24"/>
      <c r="D15432" s="24"/>
      <c r="E15432" s="24"/>
      <c r="F15432" s="24"/>
      <c r="G15432" s="24"/>
      <c r="H15432" s="24"/>
      <c r="I15432" s="24"/>
      <c r="J15432" s="24"/>
      <c r="K15432" s="24"/>
    </row>
    <row r="15433" customFormat="false" ht="15" hidden="false" customHeight="false" outlineLevel="0" collapsed="false">
      <c r="A15433" s="5" t="s">
        <v>479</v>
      </c>
      <c r="C15433" s="26" t="n">
        <f aca="false">Assumptions!$C$30</f>
        <v>2</v>
      </c>
    </row>
    <row r="15434" customFormat="false" ht="15" hidden="false" customHeight="false" outlineLevel="0" collapsed="false">
      <c r="A15434" s="5" t="s">
        <v>480</v>
      </c>
      <c r="C15434" s="28" t="n">
        <f aca="false">Assumptions!$C$31</f>
        <v>100</v>
      </c>
    </row>
    <row r="15435" customFormat="false" ht="15" hidden="false" customHeight="false" outlineLevel="0" collapsed="false">
      <c r="A15435" s="5" t="s">
        <v>481</v>
      </c>
      <c r="C15435" s="39" t="n">
        <f aca="false">Assumptions!$C$32</f>
        <v>78</v>
      </c>
    </row>
    <row r="15436" customFormat="false" ht="15" hidden="false" customHeight="false" outlineLevel="0" collapsed="false">
      <c r="A15436" s="5" t="s">
        <v>482</v>
      </c>
      <c r="C15436" s="25" t="n">
        <f aca="false">C15434*C15435/100*(1+Assumptions!$C$33)</f>
        <v>78.39</v>
      </c>
    </row>
    <row r="15437" customFormat="false" ht="15" hidden="false" customHeight="false" outlineLevel="0" collapsed="false">
      <c r="A15437" s="5" t="s">
        <v>483</v>
      </c>
      <c r="C15437" s="26" t="n">
        <f aca="false">Assumptions!$C$34</f>
        <v>2</v>
      </c>
    </row>
    <row r="15438" customFormat="false" ht="15" hidden="false" customHeight="false" outlineLevel="0" collapsed="false">
      <c r="A15438" s="5" t="s">
        <v>484</v>
      </c>
      <c r="C15438" s="20" t="n">
        <f aca="false">IF(C15349=1,SUMPRODUCT($G$15317:$K$15317,$G$15193:$K$15193),0)</f>
        <v>2</v>
      </c>
    </row>
    <row r="15439" customFormat="false" ht="15" hidden="false" customHeight="false" outlineLevel="0" collapsed="false">
      <c r="A15439" s="5" t="s">
        <v>485</v>
      </c>
      <c r="C15439" s="21" t="n">
        <f aca="false">IFERROR(C15434/CHOOSE(C15433,SUMPRODUCT($G$15348:$K$15348,$G$15239:$K$15239),SUMPRODUCT($G$15348:$K$15348,$G$15252:$K$15252),SUMPRODUCT($G$15348:$K$15348,$G$15265:$K$15265),SUMPRODUCT($G$15348:$K$15348,$G$15278:$K$15278)),0)</f>
        <v>0.196232339089482</v>
      </c>
    </row>
    <row r="15440" customFormat="false" ht="15" hidden="false" customHeight="false" outlineLevel="0" collapsed="false">
      <c r="A15440" s="5" t="s">
        <v>486</v>
      </c>
      <c r="C15440" s="25" t="n">
        <f aca="false">CHOOSE(C15433,C15410,C15411,C15412,C15413)*C15439</f>
        <v>30.5278767268446</v>
      </c>
    </row>
    <row r="15441" customFormat="false" ht="15" hidden="false" customHeight="false" outlineLevel="0" collapsed="false">
      <c r="A15441" s="5" t="s">
        <v>487</v>
      </c>
      <c r="C15441" s="21" t="n">
        <f aca="false">CHOOSE(C15433,C15415,C15416,C15417,C15418)</f>
        <v>0.296351187737843</v>
      </c>
    </row>
    <row r="15442" customFormat="false" ht="15" hidden="false" customHeight="false" outlineLevel="0" collapsed="false">
      <c r="A15442" s="5" t="s">
        <v>488</v>
      </c>
      <c r="C15442" s="20" t="n">
        <f aca="false">IF(C15349=1,C15438,C15437)</f>
        <v>2</v>
      </c>
    </row>
    <row r="15443" customFormat="false" ht="15" hidden="false" customHeight="false" outlineLevel="0" collapsed="false">
      <c r="A15443" s="5" t="s">
        <v>489</v>
      </c>
      <c r="C15443" s="33" t="n">
        <f aca="false">CHOOSE($C$15185,Assumptions!$C$77,Assumptions!$C$96,Assumptions!$C$115)</f>
        <v>70</v>
      </c>
    </row>
    <row r="15444" customFormat="false" ht="15" hidden="false" customHeight="false" outlineLevel="0" collapsed="false">
      <c r="A15444" s="5" t="s">
        <v>490</v>
      </c>
      <c r="C15444" s="25" t="n">
        <f aca="false">INDEX($G$15202:$K$15202,C15437)*CHOOSE($C$15185,Assumptions!$C$76,Assumptions!$C$95,Assumptions!$C$114)+MAX(0,INDEX($G$15314:$K$15314,C15437))</f>
        <v>55.97928</v>
      </c>
    </row>
    <row r="15445" customFormat="false" ht="15" hidden="false" customHeight="false" outlineLevel="0" collapsed="false">
      <c r="A15445" s="23" t="s">
        <v>491</v>
      </c>
      <c r="B15445" s="24"/>
      <c r="C15445" s="24"/>
      <c r="D15445" s="24"/>
      <c r="E15445" s="24"/>
      <c r="F15445" s="24"/>
      <c r="G15445" s="24"/>
      <c r="H15445" s="24"/>
      <c r="I15445" s="24"/>
      <c r="J15445" s="24"/>
      <c r="K15445" s="24"/>
    </row>
    <row r="15446" customFormat="false" ht="15" hidden="false" customHeight="false" outlineLevel="0" collapsed="false">
      <c r="A15446" s="5" t="s">
        <v>457</v>
      </c>
      <c r="C15446" s="25" t="n">
        <f aca="false">INDEX($G$15239:$K$15239,C15437)</f>
        <v>227.9088</v>
      </c>
    </row>
    <row r="15447" customFormat="false" ht="15" hidden="false" customHeight="false" outlineLevel="0" collapsed="false">
      <c r="A15447" s="5" t="s">
        <v>458</v>
      </c>
      <c r="C15447" s="25" t="n">
        <f aca="false">INDEX($G$15252:$K$15252,C15437)</f>
        <v>509.6</v>
      </c>
    </row>
    <row r="15448" customFormat="false" ht="15" hidden="false" customHeight="false" outlineLevel="0" collapsed="false">
      <c r="A15448" s="5" t="s">
        <v>459</v>
      </c>
      <c r="C15448" s="25" t="n">
        <f aca="false">INDEX($G$15265:$K$15265,C15437)</f>
        <v>250</v>
      </c>
    </row>
    <row r="15449" customFormat="false" ht="15" hidden="false" customHeight="false" outlineLevel="0" collapsed="false">
      <c r="A15449" s="5" t="s">
        <v>460</v>
      </c>
      <c r="C15449" s="25" t="n">
        <f aca="false">INDEX($G$15278:$K$15278,C15437)</f>
        <v>300</v>
      </c>
    </row>
    <row r="15450" customFormat="false" ht="15" hidden="false" customHeight="false" outlineLevel="0" collapsed="false">
      <c r="A15450" s="23" t="s">
        <v>461</v>
      </c>
      <c r="B15450" s="24"/>
      <c r="C15450" s="24"/>
      <c r="D15450" s="24"/>
      <c r="E15450" s="24"/>
      <c r="F15450" s="24"/>
      <c r="G15450" s="24"/>
      <c r="H15450" s="24"/>
      <c r="I15450" s="24"/>
      <c r="J15450" s="24"/>
      <c r="K15450" s="24"/>
    </row>
    <row r="15451" customFormat="false" ht="15" hidden="false" customHeight="false" outlineLevel="0" collapsed="false">
      <c r="A15451" s="5" t="s">
        <v>457</v>
      </c>
      <c r="C15451" s="26" t="n">
        <f aca="false">Assumptions!$M$53</f>
        <v>1</v>
      </c>
    </row>
    <row r="15452" customFormat="false" ht="15" hidden="false" customHeight="false" outlineLevel="0" collapsed="false">
      <c r="A15452" s="5" t="s">
        <v>458</v>
      </c>
      <c r="C15452" s="26" t="n">
        <f aca="false">Assumptions!$M$54</f>
        <v>2</v>
      </c>
    </row>
    <row r="15453" customFormat="false" ht="15" hidden="false" customHeight="false" outlineLevel="0" collapsed="false">
      <c r="A15453" s="5" t="s">
        <v>459</v>
      </c>
      <c r="C15453" s="26" t="n">
        <f aca="false">Assumptions!$M$55</f>
        <v>3</v>
      </c>
    </row>
    <row r="15454" customFormat="false" ht="15" hidden="false" customHeight="false" outlineLevel="0" collapsed="false">
      <c r="A15454" s="5" t="s">
        <v>460</v>
      </c>
      <c r="C15454" s="26" t="n">
        <f aca="false">Assumptions!$M$56</f>
        <v>4</v>
      </c>
    </row>
    <row r="15455" customFormat="false" ht="15" hidden="false" customHeight="false" outlineLevel="0" collapsed="false">
      <c r="A15455" s="23" t="s">
        <v>462</v>
      </c>
      <c r="B15455" s="24"/>
      <c r="C15455" s="24"/>
      <c r="D15455" s="24"/>
      <c r="E15455" s="24"/>
      <c r="F15455" s="24"/>
      <c r="G15455" s="24"/>
      <c r="H15455" s="24"/>
      <c r="I15455" s="24"/>
      <c r="J15455" s="24"/>
      <c r="K15455" s="24"/>
    </row>
    <row r="15456" customFormat="false" ht="15" hidden="false" customHeight="false" outlineLevel="0" collapsed="false">
      <c r="A15456" s="5" t="s">
        <v>457</v>
      </c>
      <c r="C15456" s="34" t="n">
        <f aca="false">Assumptions!$Q$53</f>
        <v>0</v>
      </c>
    </row>
    <row r="15457" customFormat="false" ht="15" hidden="false" customHeight="false" outlineLevel="0" collapsed="false">
      <c r="A15457" s="5" t="s">
        <v>458</v>
      </c>
      <c r="C15457" s="34" t="n">
        <f aca="false">Assumptions!$Q$54</f>
        <v>0</v>
      </c>
    </row>
    <row r="15458" customFormat="false" ht="15" hidden="false" customHeight="false" outlineLevel="0" collapsed="false">
      <c r="A15458" s="5" t="s">
        <v>459</v>
      </c>
      <c r="C15458" s="34" t="n">
        <f aca="false">Assumptions!$Q$55</f>
        <v>0</v>
      </c>
    </row>
    <row r="15459" customFormat="false" ht="15" hidden="false" customHeight="false" outlineLevel="0" collapsed="false">
      <c r="A15459" s="5" t="s">
        <v>460</v>
      </c>
      <c r="C15459" s="34" t="n">
        <f aca="false">Assumptions!$Q$56</f>
        <v>0</v>
      </c>
    </row>
    <row r="15460" customFormat="false" ht="15" hidden="false" customHeight="false" outlineLevel="0" collapsed="false">
      <c r="A15460" s="23" t="s">
        <v>463</v>
      </c>
      <c r="B15460" s="24"/>
      <c r="C15460" s="24"/>
      <c r="D15460" s="24"/>
      <c r="E15460" s="24"/>
      <c r="F15460" s="24"/>
      <c r="G15460" s="24"/>
      <c r="H15460" s="24"/>
      <c r="I15460" s="24"/>
      <c r="J15460" s="24"/>
      <c r="K15460" s="24"/>
    </row>
    <row r="15461" customFormat="false" ht="15" hidden="false" customHeight="false" outlineLevel="0" collapsed="false">
      <c r="A15461" s="5" t="s">
        <v>457</v>
      </c>
      <c r="C15461" s="25" t="n">
        <f aca="false">IF(C15456&gt;0,MIN(C15446,C15456*$C$15444),0)</f>
        <v>0</v>
      </c>
    </row>
    <row r="15462" customFormat="false" ht="15" hidden="false" customHeight="false" outlineLevel="0" collapsed="false">
      <c r="A15462" s="5" t="s">
        <v>458</v>
      </c>
      <c r="C15462" s="25" t="n">
        <f aca="false">IF(C15457&gt;0,MIN(C15447,C15457*$C$15444),0)</f>
        <v>0</v>
      </c>
    </row>
    <row r="15463" customFormat="false" ht="15" hidden="false" customHeight="false" outlineLevel="0" collapsed="false">
      <c r="A15463" s="5" t="s">
        <v>459</v>
      </c>
      <c r="C15463" s="25" t="n">
        <f aca="false">IF(C15458&gt;0,MIN(C15448,C15458*$C$15444),0)</f>
        <v>0</v>
      </c>
    </row>
    <row r="15464" customFormat="false" ht="15" hidden="false" customHeight="false" outlineLevel="0" collapsed="false">
      <c r="A15464" s="5" t="s">
        <v>460</v>
      </c>
      <c r="C15464" s="25" t="n">
        <f aca="false">IF(C15459&gt;0,MIN(C15449,C15459*$C$15444),0)</f>
        <v>0</v>
      </c>
    </row>
    <row r="15465" customFormat="false" ht="15" hidden="false" customHeight="false" outlineLevel="0" collapsed="false">
      <c r="A15465" s="23" t="s">
        <v>464</v>
      </c>
      <c r="B15465" s="24"/>
      <c r="C15465" s="24"/>
      <c r="D15465" s="24"/>
      <c r="E15465" s="24"/>
      <c r="F15465" s="24"/>
      <c r="G15465" s="24"/>
      <c r="H15465" s="24"/>
      <c r="I15465" s="24"/>
      <c r="J15465" s="24"/>
      <c r="K15465" s="24"/>
    </row>
    <row r="15466" customFormat="false" ht="15" hidden="false" customHeight="false" outlineLevel="0" collapsed="false">
      <c r="A15466" s="5" t="s">
        <v>457</v>
      </c>
      <c r="C15466" s="25" t="n">
        <f aca="false">IF(C15456&gt;0,C15446-C15461,0)</f>
        <v>0</v>
      </c>
    </row>
    <row r="15467" customFormat="false" ht="15" hidden="false" customHeight="false" outlineLevel="0" collapsed="false">
      <c r="A15467" s="5" t="s">
        <v>458</v>
      </c>
      <c r="C15467" s="25" t="n">
        <f aca="false">IF(C15457&gt;0,C15447-C15462,0)</f>
        <v>0</v>
      </c>
    </row>
    <row r="15468" customFormat="false" ht="15" hidden="false" customHeight="false" outlineLevel="0" collapsed="false">
      <c r="A15468" s="5" t="s">
        <v>459</v>
      </c>
      <c r="C15468" s="25" t="n">
        <f aca="false">IF(C15458&gt;0,C15448-C15463,0)</f>
        <v>0</v>
      </c>
    </row>
    <row r="15469" customFormat="false" ht="15" hidden="false" customHeight="false" outlineLevel="0" collapsed="false">
      <c r="A15469" s="5" t="s">
        <v>460</v>
      </c>
      <c r="C15469" s="25" t="n">
        <f aca="false">IF(C15459&gt;0,C15449-C15464,0)</f>
        <v>0</v>
      </c>
    </row>
    <row r="15470" customFormat="false" ht="15" hidden="false" customHeight="false" outlineLevel="0" collapsed="false">
      <c r="A15470" s="23" t="s">
        <v>465</v>
      </c>
      <c r="B15470" s="24"/>
      <c r="C15470" s="24"/>
      <c r="D15470" s="24"/>
      <c r="E15470" s="24"/>
      <c r="F15470" s="24"/>
      <c r="G15470" s="24"/>
      <c r="H15470" s="24"/>
      <c r="I15470" s="24"/>
      <c r="J15470" s="24"/>
      <c r="K15470" s="24"/>
    </row>
    <row r="15471" customFormat="false" ht="15" hidden="false" customHeight="false" outlineLevel="0" collapsed="false">
      <c r="A15471" s="5" t="s">
        <v>457</v>
      </c>
      <c r="C15471" s="25" t="n">
        <f aca="false">IF(C15456&gt;0,C15466,C15446)</f>
        <v>227.9088</v>
      </c>
    </row>
    <row r="15472" customFormat="false" ht="15" hidden="false" customHeight="false" outlineLevel="0" collapsed="false">
      <c r="A15472" s="5" t="s">
        <v>458</v>
      </c>
      <c r="C15472" s="25" t="n">
        <f aca="false">IF(C15457&gt;0,C15467,C15447)</f>
        <v>509.6</v>
      </c>
    </row>
    <row r="15473" customFormat="false" ht="15" hidden="false" customHeight="false" outlineLevel="0" collapsed="false">
      <c r="A15473" s="5" t="s">
        <v>459</v>
      </c>
      <c r="C15473" s="25" t="n">
        <f aca="false">IF(C15458&gt;0,C15468,C15448)</f>
        <v>250</v>
      </c>
    </row>
    <row r="15474" customFormat="false" ht="15" hidden="false" customHeight="false" outlineLevel="0" collapsed="false">
      <c r="A15474" s="5" t="s">
        <v>460</v>
      </c>
      <c r="C15474" s="25" t="n">
        <f aca="false">IF(C15459&gt;0,C15469,C15449)</f>
        <v>300</v>
      </c>
    </row>
    <row r="15475" customFormat="false" ht="15" hidden="false" customHeight="false" outlineLevel="0" collapsed="false">
      <c r="A15475" s="23" t="s">
        <v>466</v>
      </c>
      <c r="B15475" s="24"/>
      <c r="C15475" s="24"/>
      <c r="D15475" s="24"/>
      <c r="E15475" s="24"/>
      <c r="F15475" s="24"/>
      <c r="G15475" s="24"/>
      <c r="H15475" s="24"/>
      <c r="I15475" s="24"/>
      <c r="J15475" s="24"/>
      <c r="K15475" s="24"/>
    </row>
    <row r="15476" customFormat="false" ht="15" hidden="false" customHeight="false" outlineLevel="0" collapsed="false">
      <c r="A15476" s="5" t="s">
        <v>457</v>
      </c>
      <c r="C15476" s="20" t="n">
        <f aca="false">IF(C15456&gt;0,Assumptions!$C$17,C15451)</f>
        <v>1</v>
      </c>
    </row>
    <row r="15477" customFormat="false" ht="15" hidden="false" customHeight="false" outlineLevel="0" collapsed="false">
      <c r="A15477" s="5" t="s">
        <v>458</v>
      </c>
      <c r="C15477" s="20" t="n">
        <f aca="false">IF(C15457&gt;0,Assumptions!$C$17,C15452)</f>
        <v>2</v>
      </c>
    </row>
    <row r="15478" customFormat="false" ht="15" hidden="false" customHeight="false" outlineLevel="0" collapsed="false">
      <c r="A15478" s="5" t="s">
        <v>459</v>
      </c>
      <c r="C15478" s="20" t="n">
        <f aca="false">IF(C15458&gt;0,Assumptions!$C$17,C15453)</f>
        <v>3</v>
      </c>
    </row>
    <row r="15479" customFormat="false" ht="15" hidden="false" customHeight="false" outlineLevel="0" collapsed="false">
      <c r="A15479" s="5" t="s">
        <v>460</v>
      </c>
      <c r="C15479" s="20" t="n">
        <f aca="false">IF(C15459&gt;0,Assumptions!$C$17,C15454)</f>
        <v>4</v>
      </c>
    </row>
    <row r="15480" customFormat="false" ht="15" hidden="false" customHeight="false" outlineLevel="0" collapsed="false">
      <c r="A15480" s="23" t="s">
        <v>467</v>
      </c>
      <c r="B15480" s="24"/>
      <c r="C15480" s="24"/>
      <c r="D15480" s="24"/>
      <c r="E15480" s="24"/>
      <c r="F15480" s="24"/>
      <c r="G15480" s="24"/>
      <c r="H15480" s="24"/>
      <c r="I15480" s="24"/>
      <c r="J15480" s="24"/>
      <c r="K15480" s="24"/>
    </row>
    <row r="15481" customFormat="false" ht="15" hidden="false" customHeight="false" outlineLevel="0" collapsed="false">
      <c r="A15481" s="5" t="s">
        <v>457</v>
      </c>
      <c r="C15481" s="25" t="n">
        <f aca="false">SUMPRODUCT(($C$15476:$C$15479&lt;C15476)*$C$15471:$C$15474)</f>
        <v>0</v>
      </c>
    </row>
    <row r="15482" customFormat="false" ht="15" hidden="false" customHeight="false" outlineLevel="0" collapsed="false">
      <c r="A15482" s="5" t="s">
        <v>458</v>
      </c>
      <c r="C15482" s="25" t="n">
        <f aca="false">SUMPRODUCT(($C$15476:$C$15479&lt;C15477)*$C$15471:$C$15474)</f>
        <v>227.9088</v>
      </c>
    </row>
    <row r="15483" customFormat="false" ht="15" hidden="false" customHeight="false" outlineLevel="0" collapsed="false">
      <c r="A15483" s="5" t="s">
        <v>459</v>
      </c>
      <c r="C15483" s="25" t="n">
        <f aca="false">SUMPRODUCT(($C$15476:$C$15479&lt;C15478)*$C$15471:$C$15474)</f>
        <v>737.5088</v>
      </c>
    </row>
    <row r="15484" customFormat="false" ht="15" hidden="false" customHeight="false" outlineLevel="0" collapsed="false">
      <c r="A15484" s="5" t="s">
        <v>460</v>
      </c>
      <c r="C15484" s="25" t="n">
        <f aca="false">SUMPRODUCT(($C$15476:$C$15479&lt;C15479)*$C$15471:$C$15474)</f>
        <v>987.5088</v>
      </c>
    </row>
    <row r="15485" customFormat="false" ht="15" hidden="false" customHeight="false" outlineLevel="0" collapsed="false">
      <c r="A15485" s="23" t="s">
        <v>468</v>
      </c>
      <c r="B15485" s="24"/>
      <c r="C15485" s="24"/>
      <c r="D15485" s="24"/>
      <c r="E15485" s="24"/>
      <c r="F15485" s="24"/>
      <c r="G15485" s="24"/>
      <c r="H15485" s="24"/>
      <c r="I15485" s="24"/>
      <c r="J15485" s="24"/>
      <c r="K15485" s="24"/>
    </row>
    <row r="15486" customFormat="false" ht="15" hidden="false" customHeight="false" outlineLevel="0" collapsed="false">
      <c r="A15486" s="5" t="s">
        <v>457</v>
      </c>
      <c r="C15486" s="25" t="n">
        <f aca="false">SUMPRODUCT(($C$15476:$C$15479=C15476)*$C$15471:$C$15474)</f>
        <v>227.9088</v>
      </c>
    </row>
    <row r="15487" customFormat="false" ht="15" hidden="false" customHeight="false" outlineLevel="0" collapsed="false">
      <c r="A15487" s="5" t="s">
        <v>458</v>
      </c>
      <c r="C15487" s="25" t="n">
        <f aca="false">SUMPRODUCT(($C$15476:$C$15479=C15477)*$C$15471:$C$15474)</f>
        <v>509.6</v>
      </c>
    </row>
    <row r="15488" customFormat="false" ht="15" hidden="false" customHeight="false" outlineLevel="0" collapsed="false">
      <c r="A15488" s="5" t="s">
        <v>459</v>
      </c>
      <c r="C15488" s="25" t="n">
        <f aca="false">SUMPRODUCT(($C$15476:$C$15479=C15478)*$C$15471:$C$15474)</f>
        <v>250</v>
      </c>
    </row>
    <row r="15489" customFormat="false" ht="15" hidden="false" customHeight="false" outlineLevel="0" collapsed="false">
      <c r="A15489" s="5" t="s">
        <v>460</v>
      </c>
      <c r="C15489" s="25" t="n">
        <f aca="false">SUMPRODUCT(($C$15476:$C$15479=C15479)*$C$15471:$C$15474)</f>
        <v>300</v>
      </c>
    </row>
    <row r="15490" customFormat="false" ht="15" hidden="false" customHeight="false" outlineLevel="0" collapsed="false">
      <c r="A15490" s="23" t="s">
        <v>469</v>
      </c>
      <c r="B15490" s="24"/>
      <c r="C15490" s="24"/>
      <c r="D15490" s="24"/>
      <c r="E15490" s="24"/>
      <c r="F15490" s="24"/>
      <c r="G15490" s="24"/>
      <c r="H15490" s="24"/>
      <c r="I15490" s="24"/>
      <c r="J15490" s="24"/>
      <c r="K15490" s="24"/>
    </row>
    <row r="15491" customFormat="false" ht="15" hidden="false" customHeight="false" outlineLevel="0" collapsed="false">
      <c r="A15491" s="5" t="s">
        <v>457</v>
      </c>
      <c r="C15491" s="25" t="n">
        <f aca="false">IF(C15486=0,0,C15471/C15486*MAX(0,MIN(C15486,$C$15444-SUM($C$15461:$C$15464)-C15481)))</f>
        <v>55.97928</v>
      </c>
    </row>
    <row r="15492" customFormat="false" ht="15" hidden="false" customHeight="false" outlineLevel="0" collapsed="false">
      <c r="A15492" s="5" t="s">
        <v>458</v>
      </c>
      <c r="C15492" s="25" t="n">
        <f aca="false">IF(C15487=0,0,C15472/C15487*MAX(0,MIN(C15487,$C$15444-SUM($C$15461:$C$15464)-C15482)))</f>
        <v>0</v>
      </c>
    </row>
    <row r="15493" customFormat="false" ht="15" hidden="false" customHeight="false" outlineLevel="0" collapsed="false">
      <c r="A15493" s="5" t="s">
        <v>459</v>
      </c>
      <c r="C15493" s="25" t="n">
        <f aca="false">IF(C15488=0,0,C15473/C15488*MAX(0,MIN(C15488,$C$15444-SUM($C$15461:$C$15464)-C15483)))</f>
        <v>0</v>
      </c>
    </row>
    <row r="15494" customFormat="false" ht="15" hidden="false" customHeight="false" outlineLevel="0" collapsed="false">
      <c r="A15494" s="5" t="s">
        <v>460</v>
      </c>
      <c r="C15494" s="25" t="n">
        <f aca="false">IF(C15489=0,0,C15474/C15489*MAX(0,MIN(C15489,$C$15444-SUM($C$15461:$C$15464)-C15484)))</f>
        <v>0</v>
      </c>
    </row>
    <row r="15495" customFormat="false" ht="15" hidden="false" customHeight="false" outlineLevel="0" collapsed="false">
      <c r="A15495" s="23" t="s">
        <v>470</v>
      </c>
      <c r="B15495" s="24"/>
      <c r="C15495" s="24"/>
      <c r="D15495" s="24"/>
      <c r="E15495" s="24"/>
      <c r="F15495" s="24"/>
      <c r="G15495" s="24"/>
      <c r="H15495" s="24"/>
      <c r="I15495" s="24"/>
      <c r="J15495" s="24"/>
      <c r="K15495" s="24"/>
    </row>
    <row r="15496" customFormat="false" ht="15" hidden="false" customHeight="false" outlineLevel="0" collapsed="false">
      <c r="A15496" s="2" t="s">
        <v>457</v>
      </c>
      <c r="C15496" s="16" t="n">
        <f aca="false">C15461+C15491</f>
        <v>55.97928</v>
      </c>
    </row>
    <row r="15497" customFormat="false" ht="15" hidden="false" customHeight="false" outlineLevel="0" collapsed="false">
      <c r="A15497" s="2" t="s">
        <v>458</v>
      </c>
      <c r="C15497" s="16" t="n">
        <f aca="false">C15462+C15492</f>
        <v>0</v>
      </c>
    </row>
    <row r="15498" customFormat="false" ht="15" hidden="false" customHeight="false" outlineLevel="0" collapsed="false">
      <c r="A15498" s="2" t="s">
        <v>459</v>
      </c>
      <c r="C15498" s="16" t="n">
        <f aca="false">C15463+C15493</f>
        <v>0</v>
      </c>
    </row>
    <row r="15499" customFormat="false" ht="15" hidden="false" customHeight="false" outlineLevel="0" collapsed="false">
      <c r="A15499" s="2" t="s">
        <v>460</v>
      </c>
      <c r="C15499" s="16" t="n">
        <f aca="false">C15464+C15494</f>
        <v>0</v>
      </c>
    </row>
    <row r="15500" customFormat="false" ht="15" hidden="false" customHeight="false" outlineLevel="0" collapsed="false">
      <c r="A15500" s="23" t="s">
        <v>471</v>
      </c>
      <c r="B15500" s="24"/>
      <c r="C15500" s="24"/>
      <c r="D15500" s="24"/>
      <c r="E15500" s="24"/>
      <c r="F15500" s="24"/>
      <c r="G15500" s="24"/>
      <c r="H15500" s="24"/>
      <c r="I15500" s="24"/>
      <c r="J15500" s="24"/>
      <c r="K15500" s="24"/>
    </row>
    <row r="15501" customFormat="false" ht="15" hidden="false" customHeight="false" outlineLevel="0" collapsed="false">
      <c r="A15501" s="5" t="s">
        <v>457</v>
      </c>
      <c r="C15501" s="21" t="n">
        <f aca="false">IF(C15446=0,1,C15496/C15446)</f>
        <v>0.24562140645732</v>
      </c>
    </row>
    <row r="15502" customFormat="false" ht="15" hidden="false" customHeight="false" outlineLevel="0" collapsed="false">
      <c r="A15502" s="5" t="s">
        <v>458</v>
      </c>
      <c r="C15502" s="21" t="n">
        <f aca="false">IF(C15447=0,1,C15497/C15447)</f>
        <v>0</v>
      </c>
    </row>
    <row r="15503" customFormat="false" ht="15" hidden="false" customHeight="false" outlineLevel="0" collapsed="false">
      <c r="A15503" s="5" t="s">
        <v>459</v>
      </c>
      <c r="C15503" s="21" t="n">
        <f aca="false">IF(C15448=0,1,C15498/C15448)</f>
        <v>0</v>
      </c>
    </row>
    <row r="15504" customFormat="false" ht="15" hidden="false" customHeight="false" outlineLevel="0" collapsed="false">
      <c r="A15504" s="5" t="s">
        <v>460</v>
      </c>
      <c r="C15504" s="21" t="n">
        <f aca="false">IF(C15449=0,1,C15499/C15449)</f>
        <v>0</v>
      </c>
    </row>
    <row r="15505" customFormat="false" ht="15" hidden="false" customHeight="false" outlineLevel="0" collapsed="false">
      <c r="A15505" s="23" t="s">
        <v>472</v>
      </c>
      <c r="B15505" s="24"/>
      <c r="C15505" s="24"/>
      <c r="D15505" s="24"/>
      <c r="E15505" s="24"/>
      <c r="F15505" s="24"/>
      <c r="G15505" s="24"/>
      <c r="H15505" s="24"/>
      <c r="I15505" s="24"/>
      <c r="J15505" s="24"/>
      <c r="K15505" s="24"/>
    </row>
    <row r="15506" customFormat="false" ht="15" hidden="false" customHeight="false" outlineLevel="0" collapsed="false">
      <c r="A15506" s="5" t="s">
        <v>457</v>
      </c>
      <c r="C15506" s="25" t="n">
        <f aca="false">C15446-C15496</f>
        <v>171.92952</v>
      </c>
    </row>
    <row r="15507" customFormat="false" ht="15" hidden="false" customHeight="false" outlineLevel="0" collapsed="false">
      <c r="A15507" s="5" t="s">
        <v>458</v>
      </c>
      <c r="C15507" s="25" t="n">
        <f aca="false">C15447-C15497</f>
        <v>509.6</v>
      </c>
    </row>
    <row r="15508" customFormat="false" ht="15" hidden="false" customHeight="false" outlineLevel="0" collapsed="false">
      <c r="A15508" s="5" t="s">
        <v>459</v>
      </c>
      <c r="C15508" s="25" t="n">
        <f aca="false">C15448-C15498</f>
        <v>250</v>
      </c>
    </row>
    <row r="15509" customFormat="false" ht="15" hidden="false" customHeight="false" outlineLevel="0" collapsed="false">
      <c r="A15509" s="5" t="s">
        <v>460</v>
      </c>
      <c r="C15509" s="25" t="n">
        <f aca="false">C15449-C15499</f>
        <v>300</v>
      </c>
    </row>
    <row r="15510" customFormat="false" ht="15" hidden="false" customHeight="false" outlineLevel="0" collapsed="false">
      <c r="A15510" s="23" t="s">
        <v>473</v>
      </c>
      <c r="B15510" s="24"/>
      <c r="C15510" s="24"/>
      <c r="D15510" s="24"/>
      <c r="E15510" s="24"/>
      <c r="F15510" s="24"/>
      <c r="G15510" s="24"/>
      <c r="H15510" s="24"/>
      <c r="I15510" s="24"/>
      <c r="J15510" s="24"/>
      <c r="K15510" s="24"/>
    </row>
    <row r="15511" customFormat="false" ht="15" hidden="false" customHeight="false" outlineLevel="0" collapsed="false">
      <c r="A15511" s="5" t="s">
        <v>457</v>
      </c>
      <c r="C15511" s="21" t="n">
        <f aca="false">IF(C15446=0,0,C15506/C15446)</f>
        <v>0.75437859354268</v>
      </c>
    </row>
    <row r="15512" customFormat="false" ht="15" hidden="false" customHeight="false" outlineLevel="0" collapsed="false">
      <c r="A15512" s="5" t="s">
        <v>458</v>
      </c>
      <c r="C15512" s="21" t="n">
        <f aca="false">IF(C15447=0,0,C15507/C15447)</f>
        <v>1</v>
      </c>
    </row>
    <row r="15513" customFormat="false" ht="15" hidden="false" customHeight="false" outlineLevel="0" collapsed="false">
      <c r="A15513" s="5" t="s">
        <v>459</v>
      </c>
      <c r="C15513" s="21" t="n">
        <f aca="false">IF(C15448=0,0,C15508/C15448)</f>
        <v>1</v>
      </c>
    </row>
    <row r="15514" customFormat="false" ht="15" hidden="false" customHeight="false" outlineLevel="0" collapsed="false">
      <c r="A15514" s="5" t="s">
        <v>460</v>
      </c>
      <c r="C15514" s="21" t="n">
        <f aca="false">IF(C15449=0,0,C15509/C15449)</f>
        <v>1</v>
      </c>
    </row>
    <row r="15515" customFormat="false" ht="15" hidden="false" customHeight="false" outlineLevel="0" collapsed="false">
      <c r="A15515" s="2" t="s">
        <v>474</v>
      </c>
      <c r="C15515" s="16" t="n">
        <f aca="false">MAX(0,$C$15444-SUM($C$15461:$C$15464)-SUM($C$15471:$C$15474))</f>
        <v>0</v>
      </c>
    </row>
    <row r="15516" customFormat="false" ht="15" hidden="false" customHeight="false" outlineLevel="0" collapsed="false">
      <c r="A15516" s="5" t="s">
        <v>492</v>
      </c>
      <c r="C15516" s="33" t="n">
        <f aca="false">MIN(C15443,100*CHOOSE(C15433,C15501,C15502,C15503,C15504))</f>
        <v>0</v>
      </c>
    </row>
    <row r="15517" customFormat="false" ht="15" hidden="false" customHeight="false" outlineLevel="0" collapsed="false">
      <c r="A15517" s="5" t="s">
        <v>493</v>
      </c>
      <c r="C15517" s="20" t="n">
        <f aca="false">IF(C15349=1,C15438+Assumptions!$C$36,C15437)</f>
        <v>3</v>
      </c>
    </row>
    <row r="15518" customFormat="false" ht="15" hidden="false" customHeight="false" outlineLevel="0" collapsed="false">
      <c r="A15518" s="23" t="s">
        <v>494</v>
      </c>
      <c r="B15518" s="24"/>
      <c r="C15518" s="24"/>
      <c r="D15518" s="24"/>
      <c r="E15518" s="24"/>
      <c r="F15518" s="24"/>
      <c r="G15518" s="24"/>
      <c r="H15518" s="24"/>
      <c r="I15518" s="24"/>
      <c r="J15518" s="24"/>
      <c r="K15518" s="24"/>
    </row>
    <row r="15519" customFormat="false" ht="15" hidden="false" customHeight="false" outlineLevel="0" collapsed="false">
      <c r="A15519" s="5" t="s">
        <v>495</v>
      </c>
      <c r="C15519" s="20" t="n">
        <f aca="false">COLUMN()-COLUMN($C$1)</f>
        <v>0</v>
      </c>
      <c r="D15519" s="20" t="n">
        <f aca="false">COLUMN()-COLUMN($C$1)</f>
        <v>1</v>
      </c>
      <c r="E15519" s="20" t="n">
        <f aca="false">COLUMN()-COLUMN($C$1)</f>
        <v>2</v>
      </c>
      <c r="F15519" s="20" t="n">
        <f aca="false">COLUMN()-COLUMN($C$1)</f>
        <v>3</v>
      </c>
      <c r="G15519" s="20" t="n">
        <f aca="false">COLUMN()-COLUMN($C$1)</f>
        <v>4</v>
      </c>
      <c r="H15519" s="20" t="n">
        <f aca="false">COLUMN()-COLUMN($C$1)</f>
        <v>5</v>
      </c>
      <c r="I15519" s="20" t="n">
        <f aca="false">COLUMN()-COLUMN($C$1)</f>
        <v>6</v>
      </c>
    </row>
    <row r="15520" customFormat="false" ht="15" hidden="false" customHeight="false" outlineLevel="0" collapsed="false">
      <c r="A15520" s="5" t="s">
        <v>496</v>
      </c>
      <c r="D15520" s="30" t="n">
        <f aca="false">CHOOSE($C$15433,G15231,G15244,G15257,G15270)</f>
        <v>0.123</v>
      </c>
      <c r="E15520" s="30" t="n">
        <f aca="false">CHOOSE($C$15433,H15231,H15244,H15257,H15270)</f>
        <v>0.1205</v>
      </c>
      <c r="F15520" s="30" t="n">
        <f aca="false">CHOOSE($C$15433,I15231,I15244,I15257,I15270)</f>
        <v>0.118</v>
      </c>
      <c r="G15520" s="30" t="n">
        <f aca="false">CHOOSE($C$15433,J15231,J15244,J15257,J15270)</f>
        <v>0.118</v>
      </c>
      <c r="H15520" s="30" t="n">
        <f aca="false">CHOOSE($C$15433,K15231,K15244,K15257,K15270)</f>
        <v>0.118</v>
      </c>
    </row>
    <row r="15521" customFormat="false" ht="15" hidden="false" customHeight="false" outlineLevel="0" collapsed="false">
      <c r="A15521" s="5" t="s">
        <v>497</v>
      </c>
      <c r="D15521" s="25" t="n">
        <f aca="false">IF(D15519&lt;=$C$15442,$C$15434*D15520,0)</f>
        <v>12.3</v>
      </c>
      <c r="E15521" s="25" t="n">
        <f aca="false">IF(E15519&lt;=$C$15442,$C$15434*E15520,0)</f>
        <v>12.05</v>
      </c>
      <c r="F15521" s="25" t="n">
        <f aca="false">IF(F15519&lt;=$C$15442,$C$15434*F15520,0)</f>
        <v>0</v>
      </c>
      <c r="G15521" s="25" t="n">
        <f aca="false">IF(G15519&lt;=$C$15442,$C$15434*G15520,0)</f>
        <v>0</v>
      </c>
      <c r="H15521" s="25" t="n">
        <f aca="false">IF(H15519&lt;=$C$15442,$C$15434*H15520,0)</f>
        <v>0</v>
      </c>
    </row>
    <row r="15522" customFormat="false" ht="15" hidden="false" customHeight="false" outlineLevel="0" collapsed="false">
      <c r="A15522" s="5" t="s">
        <v>498</v>
      </c>
      <c r="D15522" s="25" t="n">
        <f aca="false">IF(AND($C$15349=0,D15519=$C$15437),$C$15434*$C$15516/100,0)+IF(AND($C$15349=1,D15519=$C$15517),$C$15440,0)</f>
        <v>0</v>
      </c>
      <c r="E15522" s="25" t="n">
        <f aca="false">IF(AND($C$15349=0,E15519=$C$15437),$C$15434*$C$15516/100,0)+IF(AND($C$15349=1,E15519=$C$15517),$C$15440,0)</f>
        <v>0</v>
      </c>
      <c r="F15522" s="25" t="n">
        <f aca="false">IF(AND($C$15349=0,F15519=$C$15437),$C$15434*$C$15516/100,0)+IF(AND($C$15349=1,F15519=$C$15517),$C$15440,0)</f>
        <v>30.5278767268446</v>
      </c>
      <c r="G15522" s="25" t="n">
        <f aca="false">IF(AND($C$15349=0,G15519=$C$15437),$C$15434*$C$15516/100,0)+IF(AND($C$15349=1,G15519=$C$15517),$C$15440,0)</f>
        <v>0</v>
      </c>
      <c r="H15522" s="25" t="n">
        <f aca="false">IF(AND($C$15349=0,H15519=$C$15437),$C$15434*$C$15516/100,0)+IF(AND($C$15349=1,H15519=$C$15517),$C$15440,0)</f>
        <v>0</v>
      </c>
      <c r="I15522" s="25" t="n">
        <f aca="false">IF(AND($C$15349=0,I15519=$C$15437),$C$15434*$C$15516/100,0)+IF(AND($C$15349=1,I15519=$C$15517),$C$15440,0)</f>
        <v>0</v>
      </c>
    </row>
    <row r="15523" customFormat="false" ht="15" hidden="false" customHeight="false" outlineLevel="0" collapsed="false">
      <c r="A15523" s="2" t="s">
        <v>499</v>
      </c>
      <c r="C15523" s="16" t="n">
        <f aca="false">-$C$15436</f>
        <v>-78.39</v>
      </c>
      <c r="D15523" s="16" t="n">
        <f aca="false">D15521+D15522</f>
        <v>12.3</v>
      </c>
      <c r="E15523" s="16" t="n">
        <f aca="false">E15521+E15522</f>
        <v>12.05</v>
      </c>
      <c r="F15523" s="16" t="n">
        <f aca="false">F15521+F15522</f>
        <v>30.5278767268446</v>
      </c>
      <c r="G15523" s="16" t="n">
        <f aca="false">G15521+G15522</f>
        <v>0</v>
      </c>
      <c r="H15523" s="16" t="n">
        <f aca="false">H15521+H15522</f>
        <v>0</v>
      </c>
      <c r="I15523" s="16" t="n">
        <f aca="false">I15521+I15522</f>
        <v>0</v>
      </c>
    </row>
    <row r="15524" customFormat="false" ht="15" hidden="false" customHeight="false" outlineLevel="0" collapsed="false">
      <c r="A15524" s="5" t="s">
        <v>500</v>
      </c>
      <c r="C15524" s="25" t="n">
        <f aca="false">SUM($C$15521:$I$15521)</f>
        <v>24.35</v>
      </c>
    </row>
    <row r="15525" customFormat="false" ht="15" hidden="false" customHeight="false" outlineLevel="0" collapsed="false">
      <c r="A15525" s="5" t="s">
        <v>501</v>
      </c>
      <c r="C15525" s="25" t="n">
        <f aca="false">SUM($C$15522:$I$15522)</f>
        <v>30.5278767268446</v>
      </c>
    </row>
    <row r="15526" customFormat="false" ht="15" hidden="false" customHeight="false" outlineLevel="0" collapsed="false">
      <c r="A15526" s="5" t="s">
        <v>502</v>
      </c>
      <c r="C15526" s="25" t="n">
        <f aca="false">C15524+C15525</f>
        <v>54.8778767268446</v>
      </c>
    </row>
    <row r="15527" customFormat="false" ht="15" hidden="false" customHeight="false" outlineLevel="0" collapsed="false">
      <c r="A15527" s="5" t="s">
        <v>503</v>
      </c>
      <c r="C15527" s="25" t="n">
        <f aca="false">C15525-C15434*C15435/100</f>
        <v>-47.4721232731554</v>
      </c>
    </row>
    <row r="15528" customFormat="false" ht="15" hidden="false" customHeight="false" outlineLevel="0" collapsed="false">
      <c r="A15528" s="5" t="s">
        <v>504</v>
      </c>
      <c r="C15528" s="25" t="n">
        <f aca="false">C15526-C15436</f>
        <v>-23.5121232731554</v>
      </c>
    </row>
    <row r="15529" customFormat="false" ht="15" hidden="false" customHeight="false" outlineLevel="0" collapsed="false">
      <c r="A15529" s="2" t="s">
        <v>385</v>
      </c>
      <c r="C15529" s="43" t="n">
        <f aca="false">C15526/C15436</f>
        <v>0.700062211083615</v>
      </c>
    </row>
    <row r="15530" customFormat="false" ht="15" hidden="false" customHeight="false" outlineLevel="0" collapsed="false">
      <c r="A15530" s="2" t="s">
        <v>384</v>
      </c>
      <c r="C15530" s="41" t="n">
        <f aca="false">IF(C15526&lt;=0,-1,IFERROR(IRR($C$15523:$I$15523,MAX(-0.9,C15529^(1/C15517)-1)),IRR($C$15523:$I$15523,0.1)))</f>
        <v>-0.139094897422414</v>
      </c>
    </row>
    <row r="15531" customFormat="false" ht="15" hidden="false" customHeight="false" outlineLevel="0" collapsed="false">
      <c r="A15531" s="5" t="s">
        <v>505</v>
      </c>
      <c r="C15531" s="31" t="n">
        <f aca="false">MAX($G$15325:$K$15325)</f>
        <v>122.035848375027</v>
      </c>
    </row>
    <row r="15532" customFormat="false" ht="15" hidden="false" customHeight="false" outlineLevel="0" collapsed="false">
      <c r="A15532" s="5" t="s">
        <v>506</v>
      </c>
      <c r="C15532" s="31" t="n">
        <f aca="false">MIN($G$15326:$K$15326)</f>
        <v>0.11573468108417</v>
      </c>
    </row>
    <row r="15533" customFormat="false" ht="15" hidden="false" customHeight="false" outlineLevel="0" collapsed="false">
      <c r="A15533" s="5" t="s">
        <v>507</v>
      </c>
      <c r="C15533" s="25" t="n">
        <f aca="false">SUM($G$15215:$K$15215)</f>
        <v>-658.271043058854</v>
      </c>
    </row>
    <row r="15537" customFormat="false" ht="15" hidden="false" customHeight="false" outlineLevel="0" collapsed="false">
      <c r="A15537" s="9" t="s">
        <v>670</v>
      </c>
      <c r="B15537" s="10"/>
      <c r="C15537" s="10"/>
      <c r="D15537" s="10"/>
      <c r="E15537" s="10"/>
      <c r="F15537" s="10"/>
      <c r="G15537" s="10"/>
      <c r="H15537" s="10"/>
      <c r="I15537" s="10"/>
      <c r="J15537" s="10"/>
      <c r="K15537" s="10"/>
    </row>
    <row r="15538" customFormat="false" ht="15" hidden="false" customHeight="false" outlineLevel="0" collapsed="false">
      <c r="A15538" s="5" t="s">
        <v>622</v>
      </c>
      <c r="C15538" s="11" t="n">
        <v>3</v>
      </c>
    </row>
    <row r="15539" customFormat="false" ht="15" hidden="false" customHeight="false" outlineLevel="0" collapsed="false">
      <c r="A15539" s="5" t="s">
        <v>623</v>
      </c>
      <c r="C15539" s="18" t="n">
        <v>0</v>
      </c>
    </row>
    <row r="15540" customFormat="false" ht="15" hidden="false" customHeight="false" outlineLevel="0" collapsed="false">
      <c r="A15540" s="5" t="s">
        <v>624</v>
      </c>
      <c r="C15540" s="18" t="n">
        <v>0</v>
      </c>
    </row>
    <row r="15541" customFormat="false" ht="15" hidden="false" customHeight="false" outlineLevel="0" collapsed="false">
      <c r="A15541" s="5" t="s">
        <v>625</v>
      </c>
      <c r="C15541" s="29" t="n">
        <f aca="false">Sensitivities!$A$51</f>
        <v>-0.005</v>
      </c>
    </row>
    <row r="15542" customFormat="false" ht="15" hidden="false" customHeight="false" outlineLevel="0" collapsed="false">
      <c r="A15542" s="5" t="s">
        <v>626</v>
      </c>
      <c r="C15542" s="15" t="n">
        <v>0</v>
      </c>
    </row>
    <row r="15544" customFormat="false" ht="15" hidden="false" customHeight="false" outlineLevel="0" collapsed="false">
      <c r="A15544" s="23" t="s">
        <v>237</v>
      </c>
      <c r="B15544" s="24"/>
      <c r="C15544" s="24"/>
      <c r="D15544" s="24"/>
      <c r="E15544" s="24"/>
      <c r="F15544" s="24"/>
      <c r="G15544" s="24"/>
      <c r="H15544" s="24"/>
      <c r="I15544" s="24"/>
      <c r="J15544" s="24"/>
      <c r="K15544" s="24"/>
    </row>
    <row r="15545" customFormat="false" ht="15" hidden="false" customHeight="false" outlineLevel="0" collapsed="false">
      <c r="A15545" s="5" t="s">
        <v>238</v>
      </c>
      <c r="F15545" s="26" t="n">
        <f aca="false">Assumptions!$C$6</f>
        <v>2025</v>
      </c>
      <c r="G15545" s="20" t="n">
        <f aca="false">F15545+1</f>
        <v>2026</v>
      </c>
      <c r="H15545" s="20" t="n">
        <f aca="false">G15545+1</f>
        <v>2027</v>
      </c>
      <c r="I15545" s="20" t="n">
        <f aca="false">H15545+1</f>
        <v>2028</v>
      </c>
      <c r="J15545" s="20" t="n">
        <f aca="false">I15545+1</f>
        <v>2029</v>
      </c>
      <c r="K15545" s="20" t="n">
        <f aca="false">J15545+1</f>
        <v>2030</v>
      </c>
    </row>
    <row r="15546" customFormat="false" ht="15" hidden="false" customHeight="false" outlineLevel="0" collapsed="false">
      <c r="A15546" s="5" t="s">
        <v>239</v>
      </c>
      <c r="G15546" s="20" t="n">
        <f aca="false">G15545-Assumptions!$C$6</f>
        <v>1</v>
      </c>
      <c r="H15546" s="20" t="n">
        <f aca="false">H15545-Assumptions!$C$6</f>
        <v>2</v>
      </c>
      <c r="I15546" s="20" t="n">
        <f aca="false">I15545-Assumptions!$C$6</f>
        <v>3</v>
      </c>
      <c r="J15546" s="20" t="n">
        <f aca="false">J15545-Assumptions!$C$6</f>
        <v>4</v>
      </c>
      <c r="K15546" s="20" t="n">
        <f aca="false">K15545-Assumptions!$C$6</f>
        <v>5</v>
      </c>
    </row>
    <row r="15547" customFormat="false" ht="15" hidden="false" customHeight="false" outlineLevel="0" collapsed="false">
      <c r="A15547" s="5" t="s">
        <v>149</v>
      </c>
      <c r="G15547" s="21" t="n">
        <f aca="false">CHOOSE($C$15538,Assumptions!$G$65,Assumptions!$G$84,Assumptions!$G$103)+$C$15539</f>
        <v>-0.234</v>
      </c>
      <c r="H15547" s="21" t="n">
        <f aca="false">CHOOSE($C$15538,Assumptions!$H$65,Assumptions!$H$84,Assumptions!$H$103)+$C$15539</f>
        <v>-0.13</v>
      </c>
      <c r="I15547" s="21" t="n">
        <f aca="false">CHOOSE($C$15538,Assumptions!$I$65,Assumptions!$I$84,Assumptions!$I$103)+$C$15539</f>
        <v>-0.026</v>
      </c>
      <c r="J15547" s="21" t="n">
        <f aca="false">CHOOSE($C$15538,Assumptions!$J$65,Assumptions!$J$84,Assumptions!$J$103)+$C$15539</f>
        <v>-0.01</v>
      </c>
      <c r="K15547" s="21" t="n">
        <f aca="false">CHOOSE($C$15538,Assumptions!$K$65,Assumptions!$K$84,Assumptions!$K$103)+$C$15539</f>
        <v>-0.01</v>
      </c>
    </row>
    <row r="15548" customFormat="false" ht="15" hidden="false" customHeight="false" outlineLevel="0" collapsed="false">
      <c r="A15548" s="5" t="s">
        <v>150</v>
      </c>
      <c r="G15548" s="21" t="n">
        <f aca="false">CHOOSE($C$15538,Assumptions!$G$66,Assumptions!$G$85,Assumptions!$G$104)</f>
        <v>0.305</v>
      </c>
      <c r="H15548" s="21" t="n">
        <f aca="false">CHOOSE($C$15538,Assumptions!$H$66,Assumptions!$H$85,Assumptions!$H$104)</f>
        <v>0.305</v>
      </c>
      <c r="I15548" s="21" t="n">
        <f aca="false">CHOOSE($C$15538,Assumptions!$I$66,Assumptions!$I$85,Assumptions!$I$104)</f>
        <v>0.305</v>
      </c>
      <c r="J15548" s="21" t="n">
        <f aca="false">CHOOSE($C$15538,Assumptions!$J$66,Assumptions!$J$85,Assumptions!$J$104)</f>
        <v>0.305</v>
      </c>
      <c r="K15548" s="21" t="n">
        <f aca="false">CHOOSE($C$15538,Assumptions!$K$66,Assumptions!$K$85,Assumptions!$K$104)</f>
        <v>0.305</v>
      </c>
    </row>
    <row r="15549" customFormat="false" ht="15" hidden="false" customHeight="false" outlineLevel="0" collapsed="false">
      <c r="A15549" s="5" t="s">
        <v>151</v>
      </c>
      <c r="G15549" s="21" t="n">
        <f aca="false">CHOOSE($C$15538,Assumptions!$G$67,Assumptions!$G$86,Assumptions!$G$105)+$C$15540</f>
        <v>0.01</v>
      </c>
      <c r="H15549" s="21" t="n">
        <f aca="false">CHOOSE($C$15538,Assumptions!$H$67,Assumptions!$H$86,Assumptions!$H$105)+$C$15540</f>
        <v>0.01</v>
      </c>
      <c r="I15549" s="21" t="n">
        <f aca="false">CHOOSE($C$15538,Assumptions!$I$67,Assumptions!$I$86,Assumptions!$I$105)+$C$15540</f>
        <v>0.01</v>
      </c>
      <c r="J15549" s="21" t="n">
        <f aca="false">CHOOSE($C$15538,Assumptions!$J$67,Assumptions!$J$86,Assumptions!$J$105)+$C$15540</f>
        <v>0.01</v>
      </c>
      <c r="K15549" s="21" t="n">
        <f aca="false">CHOOSE($C$15538,Assumptions!$K$67,Assumptions!$K$86,Assumptions!$K$105)+$C$15540</f>
        <v>0.01</v>
      </c>
    </row>
    <row r="15550" customFormat="false" ht="15" hidden="false" customHeight="false" outlineLevel="0" collapsed="false">
      <c r="A15550" s="23" t="s">
        <v>240</v>
      </c>
      <c r="B15550" s="24"/>
      <c r="C15550" s="24"/>
      <c r="D15550" s="24"/>
      <c r="E15550" s="24"/>
      <c r="F15550" s="24"/>
      <c r="G15550" s="24"/>
      <c r="H15550" s="24"/>
      <c r="I15550" s="24"/>
      <c r="J15550" s="24"/>
      <c r="K15550" s="24"/>
    </row>
    <row r="15551" customFormat="false" ht="15" hidden="false" customHeight="false" outlineLevel="0" collapsed="false">
      <c r="A15551" s="2" t="s">
        <v>207</v>
      </c>
      <c r="F15551" s="27" t="n">
        <f aca="false">'Historical Financials'!E17</f>
        <v>2400</v>
      </c>
      <c r="G15551" s="16" t="n">
        <f aca="false">F15551*(1+G15547)</f>
        <v>1838.4</v>
      </c>
      <c r="H15551" s="16" t="n">
        <f aca="false">G15551*(1+H15547)</f>
        <v>1599.408</v>
      </c>
      <c r="I15551" s="16" t="n">
        <f aca="false">H15551*(1+I15547)</f>
        <v>1557.823392</v>
      </c>
      <c r="J15551" s="16" t="n">
        <f aca="false">I15551*(1+J15547)</f>
        <v>1542.24515808</v>
      </c>
      <c r="K15551" s="16" t="n">
        <f aca="false">J15551*(1+K15547)</f>
        <v>1526.8227064992</v>
      </c>
    </row>
    <row r="15552" customFormat="false" ht="15" hidden="false" customHeight="false" outlineLevel="0" collapsed="false">
      <c r="A15552" s="5" t="s">
        <v>217</v>
      </c>
      <c r="G15552" s="25" t="n">
        <f aca="false">G15551*(1-G15548)</f>
        <v>1277.688</v>
      </c>
      <c r="H15552" s="25" t="n">
        <f aca="false">H15551*(1-H15548)</f>
        <v>1111.58856</v>
      </c>
      <c r="I15552" s="25" t="n">
        <f aca="false">I15551*(1-I15548)</f>
        <v>1082.68725744</v>
      </c>
      <c r="J15552" s="25" t="n">
        <f aca="false">J15551*(1-J15548)</f>
        <v>1071.8603848656</v>
      </c>
      <c r="K15552" s="25" t="n">
        <f aca="false">K15551*(1-K15548)</f>
        <v>1061.14178101694</v>
      </c>
    </row>
    <row r="15553" customFormat="false" ht="15" hidden="false" customHeight="false" outlineLevel="0" collapsed="false">
      <c r="A15553" s="2" t="s">
        <v>218</v>
      </c>
      <c r="G15553" s="16" t="n">
        <f aca="false">G15551-G15552</f>
        <v>560.712</v>
      </c>
      <c r="H15553" s="16" t="n">
        <f aca="false">H15551-H15552</f>
        <v>487.81944</v>
      </c>
      <c r="I15553" s="16" t="n">
        <f aca="false">I15551-I15552</f>
        <v>475.13613456</v>
      </c>
      <c r="J15553" s="16" t="n">
        <f aca="false">J15551-J15552</f>
        <v>470.3847732144</v>
      </c>
      <c r="K15553" s="16" t="n">
        <f aca="false">K15551-K15552</f>
        <v>465.680925482256</v>
      </c>
    </row>
    <row r="15554" customFormat="false" ht="15" hidden="false" customHeight="false" outlineLevel="0" collapsed="false">
      <c r="A15554" s="5" t="s">
        <v>241</v>
      </c>
      <c r="G15554" s="25" t="n">
        <f aca="false">G15553-G15555</f>
        <v>542.328</v>
      </c>
      <c r="H15554" s="25" t="n">
        <f aca="false">H15553-H15555</f>
        <v>471.82536</v>
      </c>
      <c r="I15554" s="25" t="n">
        <f aca="false">I15553-I15555</f>
        <v>459.55790064</v>
      </c>
      <c r="J15554" s="25" t="n">
        <f aca="false">J15553-J15555</f>
        <v>454.9623216336</v>
      </c>
      <c r="K15554" s="25" t="n">
        <f aca="false">K15553-K15555</f>
        <v>450.412698417264</v>
      </c>
    </row>
    <row r="15555" customFormat="false" ht="15" hidden="false" customHeight="false" outlineLevel="0" collapsed="false">
      <c r="A15555" s="2" t="s">
        <v>242</v>
      </c>
      <c r="G15555" s="16" t="n">
        <f aca="false">G15551*G15549</f>
        <v>18.384</v>
      </c>
      <c r="H15555" s="16" t="n">
        <f aca="false">H15551*H15549</f>
        <v>15.99408</v>
      </c>
      <c r="I15555" s="16" t="n">
        <f aca="false">I15551*I15549</f>
        <v>15.57823392</v>
      </c>
      <c r="J15555" s="16" t="n">
        <f aca="false">J15551*J15549</f>
        <v>15.4224515808</v>
      </c>
      <c r="K15555" s="16" t="n">
        <f aca="false">K15551*K15549</f>
        <v>15.268227064992</v>
      </c>
    </row>
    <row r="15556" customFormat="false" ht="15" hidden="false" customHeight="false" outlineLevel="0" collapsed="false">
      <c r="A15556" s="5" t="s">
        <v>243</v>
      </c>
      <c r="G15556" s="25" t="n">
        <f aca="false">G15551*'Historical Financials'!E22/'Historical Financials'!E17</f>
        <v>40.4448</v>
      </c>
      <c r="H15556" s="25" t="n">
        <f aca="false">H15551*'Historical Financials'!E22/'Historical Financials'!E17</f>
        <v>35.186976</v>
      </c>
      <c r="I15556" s="25" t="n">
        <f aca="false">I15551*'Historical Financials'!E22/'Historical Financials'!E17</f>
        <v>34.272114624</v>
      </c>
      <c r="J15556" s="25" t="n">
        <f aca="false">J15551*'Historical Financials'!E22/'Historical Financials'!E17</f>
        <v>33.92939347776</v>
      </c>
      <c r="K15556" s="25" t="n">
        <f aca="false">K15551*'Historical Financials'!E22/'Historical Financials'!E17</f>
        <v>33.5900995429824</v>
      </c>
    </row>
    <row r="15557" customFormat="false" ht="15" hidden="false" customHeight="false" outlineLevel="0" collapsed="false">
      <c r="A15557" s="5" t="s">
        <v>244</v>
      </c>
      <c r="G15557" s="25" t="n">
        <f aca="false">G15551*'Historical Financials'!E23/'Historical Financials'!E17</f>
        <v>0</v>
      </c>
      <c r="H15557" s="25" t="n">
        <f aca="false">H15551*'Historical Financials'!E23/'Historical Financials'!E17</f>
        <v>0</v>
      </c>
      <c r="I15557" s="25" t="n">
        <f aca="false">I15551*'Historical Financials'!E23/'Historical Financials'!E17</f>
        <v>0</v>
      </c>
      <c r="J15557" s="25" t="n">
        <f aca="false">J15551*'Historical Financials'!E23/'Historical Financials'!E17</f>
        <v>0</v>
      </c>
      <c r="K15557" s="25" t="n">
        <f aca="false">K15551*'Historical Financials'!E23/'Historical Financials'!E17</f>
        <v>0</v>
      </c>
    </row>
    <row r="15558" customFormat="false" ht="15" hidden="false" customHeight="false" outlineLevel="0" collapsed="false">
      <c r="A15558" s="2" t="s">
        <v>245</v>
      </c>
      <c r="G15558" s="16" t="n">
        <f aca="false">G15555-G15556-G15557</f>
        <v>-22.0608</v>
      </c>
      <c r="H15558" s="16" t="n">
        <f aca="false">H15555-H15556-H15557</f>
        <v>-19.192896</v>
      </c>
      <c r="I15558" s="16" t="n">
        <f aca="false">I15555-I15556-I15557</f>
        <v>-18.693880704</v>
      </c>
      <c r="J15558" s="16" t="n">
        <f aca="false">J15555-J15556-J15557</f>
        <v>-18.50694189696</v>
      </c>
      <c r="K15558" s="16" t="n">
        <f aca="false">K15555-K15556-K15557</f>
        <v>-18.3218724779904</v>
      </c>
    </row>
    <row r="15559" customFormat="false" ht="15" hidden="false" customHeight="false" outlineLevel="0" collapsed="false">
      <c r="A15559" s="5" t="s">
        <v>246</v>
      </c>
      <c r="G15559" s="25" t="n">
        <f aca="false">G15585+G15598+G15611+G15624</f>
        <v>136.54</v>
      </c>
      <c r="H15559" s="25" t="n">
        <f aca="false">H15585+H15598+H15611+H15624</f>
        <v>139.7152548</v>
      </c>
      <c r="I15559" s="25" t="n">
        <f aca="false">I15585+I15598+I15611+I15624</f>
        <v>137.2101328</v>
      </c>
      <c r="J15559" s="25" t="n">
        <f aca="false">J15585+J15598+J15611+J15624</f>
        <v>136.5705328</v>
      </c>
      <c r="K15559" s="25" t="n">
        <f aca="false">K15585+K15598+K15611+K15624</f>
        <v>135.9309328</v>
      </c>
    </row>
    <row r="15560" customFormat="false" ht="15" hidden="false" customHeight="false" outlineLevel="0" collapsed="false">
      <c r="A15560" s="5" t="s">
        <v>247</v>
      </c>
      <c r="G15560" s="25" t="n">
        <f aca="false">G15586+G15599+G15612+G15625</f>
        <v>0</v>
      </c>
      <c r="H15560" s="25" t="n">
        <f aca="false">H15586+H15599+H15612+H15625</f>
        <v>0</v>
      </c>
      <c r="I15560" s="25" t="n">
        <f aca="false">I15586+I15599+I15612+I15625</f>
        <v>0</v>
      </c>
      <c r="J15560" s="25" t="n">
        <f aca="false">J15586+J15599+J15612+J15625</f>
        <v>0</v>
      </c>
      <c r="K15560" s="25" t="n">
        <f aca="false">K15586+K15599+K15612+K15625</f>
        <v>0</v>
      </c>
    </row>
    <row r="15561" customFormat="false" ht="15" hidden="false" customHeight="false" outlineLevel="0" collapsed="false">
      <c r="A15561" s="5" t="s">
        <v>212</v>
      </c>
      <c r="G15561" s="25" t="n">
        <f aca="false">G15559+G15560</f>
        <v>136.54</v>
      </c>
      <c r="H15561" s="25" t="n">
        <f aca="false">H15559+H15560</f>
        <v>139.7152548</v>
      </c>
      <c r="I15561" s="25" t="n">
        <f aca="false">I15559+I15560</f>
        <v>137.2101328</v>
      </c>
      <c r="J15561" s="25" t="n">
        <f aca="false">J15559+J15560</f>
        <v>136.5705328</v>
      </c>
      <c r="K15561" s="25" t="n">
        <f aca="false">K15559+K15560</f>
        <v>135.9309328</v>
      </c>
    </row>
    <row r="15562" customFormat="false" ht="15" hidden="false" customHeight="false" outlineLevel="0" collapsed="false">
      <c r="A15562" s="2" t="s">
        <v>223</v>
      </c>
      <c r="G15562" s="16" t="n">
        <f aca="false">G15558-G15561</f>
        <v>-158.6008</v>
      </c>
      <c r="H15562" s="16" t="n">
        <f aca="false">H15558-H15561</f>
        <v>-158.9081508</v>
      </c>
      <c r="I15562" s="16" t="n">
        <f aca="false">I15558-I15561</f>
        <v>-155.904013504</v>
      </c>
      <c r="J15562" s="16" t="n">
        <f aca="false">J15558-J15561</f>
        <v>-155.07747469696</v>
      </c>
      <c r="K15562" s="16" t="n">
        <f aca="false">K15558-K15561</f>
        <v>-154.25280527799</v>
      </c>
    </row>
    <row r="15563" customFormat="false" ht="15" hidden="false" customHeight="false" outlineLevel="0" collapsed="false">
      <c r="A15563" s="5" t="s">
        <v>213</v>
      </c>
      <c r="G15563" s="25" t="n">
        <f aca="false">MAX(0,G15562)*Assumptions!$C$9</f>
        <v>0</v>
      </c>
      <c r="H15563" s="25" t="n">
        <f aca="false">MAX(0,H15562)*Assumptions!$C$9</f>
        <v>0</v>
      </c>
      <c r="I15563" s="25" t="n">
        <f aca="false">MAX(0,I15562)*Assumptions!$C$9</f>
        <v>0</v>
      </c>
      <c r="J15563" s="25" t="n">
        <f aca="false">MAX(0,J15562)*Assumptions!$C$9</f>
        <v>0</v>
      </c>
      <c r="K15563" s="25" t="n">
        <f aca="false">MAX(0,K15562)*Assumptions!$C$9</f>
        <v>0</v>
      </c>
    </row>
    <row r="15564" customFormat="false" ht="15" hidden="false" customHeight="false" outlineLevel="0" collapsed="false">
      <c r="A15564" s="2" t="s">
        <v>248</v>
      </c>
      <c r="G15564" s="16" t="n">
        <f aca="false">G15562-G15563</f>
        <v>-158.6008</v>
      </c>
      <c r="H15564" s="16" t="n">
        <f aca="false">H15562-H15563</f>
        <v>-158.9081508</v>
      </c>
      <c r="I15564" s="16" t="n">
        <f aca="false">I15562-I15563</f>
        <v>-155.904013504</v>
      </c>
      <c r="J15564" s="16" t="n">
        <f aca="false">J15562-J15563</f>
        <v>-155.07747469696</v>
      </c>
      <c r="K15564" s="16" t="n">
        <f aca="false">K15562-K15563</f>
        <v>-154.25280527799</v>
      </c>
    </row>
    <row r="15565" customFormat="false" ht="15" hidden="false" customHeight="false" outlineLevel="0" collapsed="false">
      <c r="A15565" s="23" t="s">
        <v>249</v>
      </c>
      <c r="B15565" s="24"/>
      <c r="C15565" s="24"/>
      <c r="D15565" s="24"/>
      <c r="E15565" s="24"/>
      <c r="F15565" s="24"/>
      <c r="G15565" s="24"/>
      <c r="H15565" s="24"/>
      <c r="I15565" s="24"/>
      <c r="J15565" s="24"/>
      <c r="K15565" s="24"/>
    </row>
    <row r="15566" customFormat="false" ht="15" hidden="false" customHeight="false" outlineLevel="0" collapsed="false">
      <c r="A15566" s="5" t="s">
        <v>153</v>
      </c>
      <c r="G15566" s="25" t="n">
        <f aca="false">G15551*CHOOSE($C$15538,Assumptions!$C$69,Assumptions!$C$88,Assumptions!$C$107)</f>
        <v>29.4144</v>
      </c>
      <c r="H15566" s="25" t="n">
        <f aca="false">H15551*CHOOSE($C$15538,Assumptions!$C$69,Assumptions!$C$88,Assumptions!$C$107)</f>
        <v>25.590528</v>
      </c>
      <c r="I15566" s="25" t="n">
        <f aca="false">I15551*CHOOSE($C$15538,Assumptions!$C$69,Assumptions!$C$88,Assumptions!$C$107)</f>
        <v>24.925174272</v>
      </c>
      <c r="J15566" s="25" t="n">
        <f aca="false">J15551*CHOOSE($C$15538,Assumptions!$C$69,Assumptions!$C$88,Assumptions!$C$107)</f>
        <v>24.67592252928</v>
      </c>
      <c r="K15566" s="25" t="n">
        <f aca="false">K15551*CHOOSE($C$15538,Assumptions!$C$69,Assumptions!$C$88,Assumptions!$C$107)</f>
        <v>24.4291633039872</v>
      </c>
    </row>
    <row r="15567" customFormat="false" ht="15" hidden="false" customHeight="false" outlineLevel="0" collapsed="false">
      <c r="A15567" s="5" t="s">
        <v>250</v>
      </c>
      <c r="G15567" s="25" t="n">
        <f aca="false">CHOOSE($C$15538,Assumptions!$C$70,Assumptions!$C$89,Assumptions!$C$108)*(G15551-F15551)+CHOOSE($C$15538,Assumptions!$C$71,Assumptions!$C$90,Assumptions!$C$109)*G15551</f>
        <v>-56.3616</v>
      </c>
      <c r="H15567" s="25" t="n">
        <f aca="false">CHOOSE($C$15538,Assumptions!$C$70,Assumptions!$C$89,Assumptions!$C$108)*(H15551-G15551)+CHOOSE($C$15538,Assumptions!$C$71,Assumptions!$C$90,Assumptions!$C$109)*H15551</f>
        <v>-19.082592</v>
      </c>
      <c r="I15567" s="25" t="n">
        <f aca="false">CHOOSE($C$15538,Assumptions!$C$70,Assumptions!$C$89,Assumptions!$C$108)*(I15551-H15551)+CHOOSE($C$15538,Assumptions!$C$71,Assumptions!$C$90,Assumptions!$C$109)*I15551</f>
        <v>4.35678739199999</v>
      </c>
      <c r="J15567" s="25" t="n">
        <f aca="false">CHOOSE($C$15538,Assumptions!$C$70,Assumptions!$C$89,Assumptions!$C$108)*(J15551-I15551)+CHOOSE($C$15538,Assumptions!$C$71,Assumptions!$C$90,Assumptions!$C$109)*J15551</f>
        <v>7.38408287808</v>
      </c>
      <c r="K15567" s="25" t="n">
        <f aca="false">CHOOSE($C$15538,Assumptions!$C$70,Assumptions!$C$89,Assumptions!$C$108)*(K15551-J15551)+CHOOSE($C$15538,Assumptions!$C$71,Assumptions!$C$90,Assumptions!$C$109)*K15551</f>
        <v>7.3102420492992</v>
      </c>
    </row>
    <row r="15568" customFormat="false" ht="15" hidden="false" customHeight="false" outlineLevel="0" collapsed="false">
      <c r="A15568" s="2" t="s">
        <v>251</v>
      </c>
      <c r="G15568" s="16" t="n">
        <f aca="false">G15564+G15556+G15557+G15560-G15566-G15567</f>
        <v>-91.2088</v>
      </c>
      <c r="H15568" s="16" t="n">
        <f aca="false">H15564+H15556+H15557+H15560-H15566-H15567</f>
        <v>-130.2291108</v>
      </c>
      <c r="I15568" s="16" t="n">
        <f aca="false">I15564+I15556+I15557+I15560-I15566-I15567</f>
        <v>-150.913860544</v>
      </c>
      <c r="J15568" s="16" t="n">
        <f aca="false">J15564+J15556+J15557+J15560-J15566-J15567</f>
        <v>-153.20808662656</v>
      </c>
      <c r="K15568" s="16" t="n">
        <f aca="false">K15564+K15556+K15557+K15560-K15566-K15567</f>
        <v>-152.402111088294</v>
      </c>
    </row>
    <row r="15570" customFormat="false" ht="15" hidden="false" customHeight="false" outlineLevel="0" collapsed="false">
      <c r="A15570" s="23" t="s">
        <v>253</v>
      </c>
      <c r="B15570" s="24"/>
      <c r="C15570" s="24"/>
      <c r="D15570" s="24"/>
      <c r="E15570" s="24"/>
      <c r="F15570" s="24"/>
      <c r="G15570" s="24"/>
      <c r="H15570" s="24"/>
      <c r="I15570" s="24"/>
      <c r="J15570" s="24"/>
      <c r="K15570" s="24"/>
    </row>
    <row r="15571" customFormat="false" ht="15" hidden="false" customHeight="false" outlineLevel="0" collapsed="false">
      <c r="A15571" s="5" t="s">
        <v>254</v>
      </c>
      <c r="G15571" s="29" t="n">
        <f aca="false">Assumptions!$G$49</f>
        <v>0.0425</v>
      </c>
      <c r="H15571" s="29" t="n">
        <f aca="false">Assumptions!$H$49</f>
        <v>0.04</v>
      </c>
      <c r="I15571" s="29" t="n">
        <f aca="false">Assumptions!$I$49</f>
        <v>0.0375</v>
      </c>
      <c r="J15571" s="29" t="n">
        <f aca="false">Assumptions!$J$49</f>
        <v>0.0375</v>
      </c>
      <c r="K15571" s="29" t="n">
        <f aca="false">Assumptions!$K$49</f>
        <v>0.0375</v>
      </c>
    </row>
    <row r="15572" customFormat="false" ht="15" hidden="false" customHeight="false" outlineLevel="0" collapsed="false">
      <c r="A15572" s="5" t="s">
        <v>255</v>
      </c>
      <c r="C15572" s="30" t="n">
        <f aca="false">CHOOSE($C$15538,Assumptions!$C$72,Assumptions!$C$91,Assumptions!$C$110)+$C$15541</f>
        <v>0.025</v>
      </c>
    </row>
    <row r="15573" customFormat="false" ht="15" hidden="false" customHeight="false" outlineLevel="0" collapsed="false">
      <c r="A15573" s="5" t="s">
        <v>256</v>
      </c>
      <c r="C15573" s="30" t="n">
        <f aca="false">CHOOSE($C$15538,Assumptions!$C$73,Assumptions!$C$92,Assumptions!$C$111)</f>
        <v>0.16</v>
      </c>
    </row>
    <row r="15574" customFormat="false" ht="15" hidden="false" customHeight="false" outlineLevel="0" collapsed="false">
      <c r="A15574" s="5" t="s">
        <v>257</v>
      </c>
      <c r="C15574" s="31" t="n">
        <f aca="false">CHOOSE($C$15538,Assumptions!$C$74,Assumptions!$C$93,Assumptions!$C$112)</f>
        <v>5</v>
      </c>
    </row>
    <row r="15575" customFormat="false" ht="15" hidden="false" customHeight="false" outlineLevel="0" collapsed="false">
      <c r="A15575" s="5" t="s">
        <v>258</v>
      </c>
      <c r="C15575" s="31" t="n">
        <f aca="false">CHOOSE($C$15538,Assumptions!$C$75,Assumptions!$C$94,Assumptions!$C$113)</f>
        <v>2</v>
      </c>
    </row>
    <row r="15576" customFormat="false" ht="15" hidden="false" customHeight="false" outlineLevel="0" collapsed="false">
      <c r="A15576" s="5" t="s">
        <v>259</v>
      </c>
      <c r="G15576" s="25" t="n">
        <f aca="false">G15581+G15594+G15607+G15620</f>
        <v>1250</v>
      </c>
      <c r="H15576" s="25" t="n">
        <f aca="false">H15581+H15594+H15607+H15620</f>
        <v>1296.2088</v>
      </c>
      <c r="I15576" s="25" t="n">
        <f aca="false">I15581+I15594+I15607+I15620</f>
        <v>1291.0088</v>
      </c>
      <c r="J15576" s="25" t="n">
        <f aca="false">J15581+J15594+J15607+J15620</f>
        <v>1285.8088</v>
      </c>
      <c r="K15576" s="25" t="n">
        <f aca="false">K15581+K15594+K15607+K15620</f>
        <v>1280.6088</v>
      </c>
    </row>
    <row r="15577" customFormat="false" ht="15" hidden="false" customHeight="false" outlineLevel="0" collapsed="false">
      <c r="A15577" s="5" t="s">
        <v>260</v>
      </c>
      <c r="G15577" s="25" t="n">
        <f aca="false">F15667</f>
        <v>45</v>
      </c>
      <c r="H15577" s="25" t="n">
        <f aca="false">G15667</f>
        <v>0</v>
      </c>
      <c r="I15577" s="25" t="n">
        <f aca="false">H15667</f>
        <v>-135.4291108</v>
      </c>
      <c r="J15577" s="25" t="n">
        <f aca="false">I15667</f>
        <v>-291.542971344</v>
      </c>
      <c r="K15577" s="25" t="n">
        <f aca="false">J15667</f>
        <v>-449.95105797056</v>
      </c>
    </row>
    <row r="15578" customFormat="false" ht="15" hidden="false" customHeight="false" outlineLevel="0" collapsed="false">
      <c r="A15578" s="5" t="s">
        <v>261</v>
      </c>
      <c r="G15578" s="25" t="n">
        <f aca="false">G15581*IF(G15582=1,$C$15573,IF(Assumptions!$I$53=1,MAX(G15571,Assumptions!$G$53)+Assumptions!$F$53+$C$15572,Assumptions!$E$53))+G15594*IF(G15595=1,$C$15573,IF(Assumptions!$I$54=1,MAX(G15571,Assumptions!$G$54)+Assumptions!$F$54+$C$15572,Assumptions!$E$54))+G15607*IF(G15608=1,$C$15573,IF(Assumptions!$I$55=1,MAX(G15571,Assumptions!$G$55)+Assumptions!$F$55+$C$15572,Assumptions!$E$55))+G15620*IF(G15621=1,$C$15573,IF(Assumptions!$I$56=1,MAX(G15571,Assumptions!$G$56)+Assumptions!$F$56+$C$15572,Assumptions!$E$56))</f>
        <v>136.54</v>
      </c>
      <c r="H15578" s="25" t="n">
        <f aca="false">H15581*IF(OR(H15582=1,G15733=1),$C$15573,IF(Assumptions!$I$53=1,MAX(H15571,Assumptions!$G$53)+Assumptions!$F$53+$C$15572,Assumptions!$E$53))+H15594*IF(OR(H15595=1,G15734=1),$C$15573,IF(Assumptions!$I$54=1,MAX(H15571,Assumptions!$G$54)+Assumptions!$F$54+$C$15572,Assumptions!$E$54))+H15607*IF(OR(H15608=1,G15735=1),$C$15573,IF(Assumptions!$I$55=1,MAX(H15571,Assumptions!$G$55)+Assumptions!$F$55+$C$15572,Assumptions!$E$55))+H15620*IF(OR(H15621=1,G15736=1),$C$15573,IF(Assumptions!$I$56=1,MAX(H15571,Assumptions!$G$56)+Assumptions!$F$56+$C$15572,Assumptions!$E$56))</f>
        <v>177.132808</v>
      </c>
      <c r="I15578" s="25" t="n">
        <f aca="false">I15581*IF(OR(I15582=1,H15733=1),$C$15573,IF(Assumptions!$I$53=1,MAX(I15571,Assumptions!$G$53)+Assumptions!$F$53+$C$15572,Assumptions!$E$53))+I15594*IF(OR(I15595=1,H15734=1),$C$15573,IF(Assumptions!$I$54=1,MAX(I15571,Assumptions!$G$54)+Assumptions!$F$54+$C$15572,Assumptions!$E$54))+I15607*IF(OR(I15608=1,H15735=1),$C$15573,IF(Assumptions!$I$55=1,MAX(I15571,Assumptions!$G$55)+Assumptions!$F$55+$C$15572,Assumptions!$E$55))+I15620*IF(OR(I15621=1,H15736=1),$C$15573,IF(Assumptions!$I$56=1,MAX(I15571,Assumptions!$G$56)+Assumptions!$F$56+$C$15572,Assumptions!$E$56))</f>
        <v>156.0653328</v>
      </c>
      <c r="J15578" s="25" t="n">
        <f aca="false">J15581*IF(OR(J15582=1,I15733=1),$C$15573,IF(Assumptions!$I$53=1,MAX(J15571,Assumptions!$G$53)+Assumptions!$F$53+$C$15572,Assumptions!$E$53))+J15594*IF(OR(J15595=1,I15734=1),$C$15573,IF(Assumptions!$I$54=1,MAX(J15571,Assumptions!$G$54)+Assumptions!$F$54+$C$15572,Assumptions!$E$54))+J15607*IF(OR(J15608=1,I15735=1),$C$15573,IF(Assumptions!$I$55=1,MAX(J15571,Assumptions!$G$55)+Assumptions!$F$55+$C$15572,Assumptions!$E$55))+J15620*IF(OR(J15621=1,I15736=1),$C$15573,IF(Assumptions!$I$56=1,MAX(J15571,Assumptions!$G$56)+Assumptions!$F$56+$C$15572,Assumptions!$E$56))</f>
        <v>149.0705328</v>
      </c>
      <c r="K15578" s="25" t="n">
        <f aca="false">K15581*IF(OR(K15582=1,J15733=1),$C$15573,IF(Assumptions!$I$53=1,MAX(K15571,Assumptions!$G$53)+Assumptions!$F$53+$C$15572,Assumptions!$E$53))+K15594*IF(OR(K15595=1,J15734=1),$C$15573,IF(Assumptions!$I$54=1,MAX(K15571,Assumptions!$G$54)+Assumptions!$F$54+$C$15572,Assumptions!$E$54))+K15607*IF(OR(K15608=1,J15735=1),$C$15573,IF(Assumptions!$I$55=1,MAX(K15571,Assumptions!$G$55)+Assumptions!$F$55+$C$15572,Assumptions!$E$55))+K15620*IF(OR(K15621=1,J15736=1),$C$15573,IF(Assumptions!$I$56=1,MAX(K15571,Assumptions!$G$56)+Assumptions!$F$56+$C$15572,Assumptions!$E$56))</f>
        <v>135.9309328</v>
      </c>
    </row>
    <row r="15579" customFormat="false" ht="15" hidden="false" customHeight="false" outlineLevel="0" collapsed="false">
      <c r="A15579" s="5" t="s">
        <v>262</v>
      </c>
      <c r="G15579" s="20" t="n">
        <f aca="false">IF(G15555&lt;=0,0,IF(AND((G15576-G15577)/G15555&lt;=$C$15574,G15555/G15578&gt;=$C$15575),1,0))</f>
        <v>0</v>
      </c>
      <c r="H15579" s="20" t="n">
        <f aca="false">IF(H15555&lt;=0,0,IF(AND((H15576-H15577)/H15555&lt;=$C$15574,H15555/H15578&gt;=$C$15575),1,0))</f>
        <v>0</v>
      </c>
      <c r="I15579" s="20" t="n">
        <f aca="false">IF(I15555&lt;=0,0,IF(AND((I15576-I15577)/I15555&lt;=$C$15574,I15555/I15578&gt;=$C$15575),1,0))</f>
        <v>0</v>
      </c>
      <c r="J15579" s="20" t="n">
        <f aca="false">IF(J15555&lt;=0,0,IF(AND((J15576-J15577)/J15555&lt;=$C$15574,J15555/J15578&gt;=$C$15575),1,0))</f>
        <v>0</v>
      </c>
      <c r="K15579" s="20" t="n">
        <f aca="false">IF(K15555&lt;=0,0,IF(AND((K15576-K15577)/K15555&lt;=$C$15574,K15555/K15578&gt;=$C$15575),1,0))</f>
        <v>0</v>
      </c>
    </row>
    <row r="15580" customFormat="false" ht="15" hidden="false" customHeight="false" outlineLevel="0" collapsed="false">
      <c r="A15580" s="23" t="s">
        <v>263</v>
      </c>
      <c r="B15580" s="24"/>
      <c r="C15580" s="24"/>
      <c r="D15580" s="24"/>
      <c r="E15580" s="24"/>
      <c r="F15580" s="24"/>
      <c r="G15580" s="24"/>
      <c r="H15580" s="24"/>
      <c r="I15580" s="24"/>
      <c r="J15580" s="24"/>
      <c r="K15580" s="24"/>
    </row>
    <row r="15581" customFormat="false" ht="15" hidden="false" customHeight="false" outlineLevel="0" collapsed="false">
      <c r="A15581" s="5" t="s">
        <v>264</v>
      </c>
      <c r="G15581" s="25" t="n">
        <f aca="false">F15592</f>
        <v>180</v>
      </c>
      <c r="H15581" s="25" t="n">
        <f aca="false">G15592</f>
        <v>231.4088</v>
      </c>
      <c r="I15581" s="25" t="n">
        <f aca="false">H15592</f>
        <v>231.4088</v>
      </c>
      <c r="J15581" s="25" t="n">
        <f aca="false">I15592</f>
        <v>231.4088</v>
      </c>
      <c r="K15581" s="25" t="n">
        <f aca="false">J15592</f>
        <v>231.4088</v>
      </c>
    </row>
    <row r="15582" customFormat="false" ht="15" hidden="false" customHeight="false" outlineLevel="0" collapsed="false">
      <c r="A15582" s="5" t="s">
        <v>265</v>
      </c>
      <c r="G15582" s="20" t="n">
        <f aca="false">IF(G15545=Assumptions!$K$53,1,0)</f>
        <v>0</v>
      </c>
      <c r="H15582" s="20" t="n">
        <f aca="false">IF(H15545=Assumptions!$K$53,1,0)</f>
        <v>1</v>
      </c>
      <c r="I15582" s="20" t="n">
        <f aca="false">IF(I15545=Assumptions!$K$53,1,0)</f>
        <v>0</v>
      </c>
      <c r="J15582" s="20" t="n">
        <f aca="false">IF(J15545=Assumptions!$K$53,1,0)</f>
        <v>0</v>
      </c>
      <c r="K15582" s="20" t="n">
        <f aca="false">IF(K15545=Assumptions!$K$53,1,0)</f>
        <v>0</v>
      </c>
    </row>
    <row r="15584" customFormat="false" ht="15" hidden="false" customHeight="false" outlineLevel="0" collapsed="false">
      <c r="A15584" s="5" t="s">
        <v>266</v>
      </c>
      <c r="G15584" s="30" t="n">
        <f aca="false">IF(Assumptions!$I$53=1,MAX(G15571,Assumptions!$G$53)+Assumptions!$F$53+$C$15572,Assumptions!$E$53)</f>
        <v>0.111</v>
      </c>
      <c r="H15584" s="30" t="n">
        <f aca="false">IF(G15733=1,$C$15573,IF(Assumptions!$I$53=1,MAX(H15571,Assumptions!$G$53)+Assumptions!$F$53+$C$15572,Assumptions!$E$53))</f>
        <v>0.1085</v>
      </c>
      <c r="I15584" s="30" t="n">
        <f aca="false">IF(H15733=1,$C$15573,IF(Assumptions!$I$53=1,MAX(I15571,Assumptions!$G$53)+Assumptions!$F$53+$C$15572,Assumptions!$E$53))</f>
        <v>0.106</v>
      </c>
      <c r="J15584" s="30" t="n">
        <f aca="false">IF(I15733=1,$C$15573,IF(Assumptions!$I$53=1,MAX(J15571,Assumptions!$G$53)+Assumptions!$F$53+$C$15572,Assumptions!$E$53))</f>
        <v>0.106</v>
      </c>
      <c r="K15584" s="30" t="n">
        <f aca="false">IF(J15733=1,$C$15573,IF(Assumptions!$I$53=1,MAX(K15571,Assumptions!$G$53)+Assumptions!$F$53+$C$15572,Assumptions!$E$53))</f>
        <v>0.106</v>
      </c>
    </row>
    <row r="15585" customFormat="false" ht="15" hidden="false" customHeight="false" outlineLevel="0" collapsed="false">
      <c r="A15585" s="5" t="s">
        <v>267</v>
      </c>
      <c r="G15585" s="25" t="n">
        <f aca="false">G15581*G15584</f>
        <v>19.98</v>
      </c>
      <c r="H15585" s="25" t="n">
        <f aca="false">H15581*H15584</f>
        <v>25.1078548</v>
      </c>
      <c r="I15585" s="25" t="n">
        <f aca="false">I15581*I15584</f>
        <v>24.5293328</v>
      </c>
      <c r="J15585" s="25" t="n">
        <f aca="false">J15581*J15584</f>
        <v>24.5293328</v>
      </c>
      <c r="K15585" s="25" t="n">
        <f aca="false">K15581*K15584</f>
        <v>24.5293328</v>
      </c>
    </row>
    <row r="15586" customFormat="false" ht="15" hidden="false" customHeight="false" outlineLevel="0" collapsed="false">
      <c r="A15586" s="5" t="s">
        <v>268</v>
      </c>
      <c r="G15586" s="25" t="n">
        <f aca="false">G15581*Assumptions!$H$53</f>
        <v>0</v>
      </c>
      <c r="H15586" s="25" t="n">
        <f aca="false">H15581*Assumptions!$H$53</f>
        <v>0</v>
      </c>
      <c r="I15586" s="25" t="n">
        <f aca="false">I15581*Assumptions!$H$53</f>
        <v>0</v>
      </c>
      <c r="J15586" s="25" t="n">
        <f aca="false">J15581*Assumptions!$H$53</f>
        <v>0</v>
      </c>
      <c r="K15586" s="25" t="n">
        <f aca="false">K15581*Assumptions!$H$53</f>
        <v>0</v>
      </c>
    </row>
    <row r="15587" customFormat="false" ht="15" hidden="false" customHeight="false" outlineLevel="0" collapsed="false">
      <c r="A15587" s="5" t="s">
        <v>269</v>
      </c>
      <c r="G15587" s="25" t="n">
        <f aca="false">MIN(G15581,Assumptions!$L$53*Assumptions!$C$53)</f>
        <v>0</v>
      </c>
      <c r="H15587" s="25" t="n">
        <f aca="false">MIN(H15581,Assumptions!$L$53*Assumptions!$C$53)</f>
        <v>0</v>
      </c>
      <c r="I15587" s="25" t="n">
        <f aca="false">MIN(I15581,Assumptions!$L$53*Assumptions!$C$53)</f>
        <v>0</v>
      </c>
      <c r="J15587" s="25" t="n">
        <f aca="false">MIN(J15581,Assumptions!$L$53*Assumptions!$C$53)</f>
        <v>0</v>
      </c>
      <c r="K15587" s="25" t="n">
        <f aca="false">MIN(K15581,Assumptions!$L$53*Assumptions!$C$53)</f>
        <v>0</v>
      </c>
    </row>
    <row r="15588" customFormat="false" ht="15" hidden="false" customHeight="false" outlineLevel="0" collapsed="false">
      <c r="A15588" s="5" t="s">
        <v>270</v>
      </c>
      <c r="G15588" s="25" t="n">
        <f aca="false">IF(AND(Assumptions!$P$53=1,G15545&lt;Assumptions!$K$53),MIN(MAX(0,-G15659),MAX(0,Assumptions!$D$53-G15581)),0)</f>
        <v>51.4088</v>
      </c>
      <c r="H15588" s="25" t="n">
        <f aca="false">IF(AND(Assumptions!$P$53=1,OR(H15545&lt;Assumptions!$K$53,G15733=1)),MIN(MAX(0,-H15659),MAX(0,Assumptions!$D$53-H15581)),0)</f>
        <v>0</v>
      </c>
      <c r="I15588" s="25" t="n">
        <f aca="false">IF(AND(Assumptions!$P$53=1,OR(I15545&lt;Assumptions!$K$53,H15733=1)),MIN(MAX(0,-I15659),MAX(0,Assumptions!$D$53-I15581)),0)</f>
        <v>0</v>
      </c>
      <c r="J15588" s="25" t="n">
        <f aca="false">IF(AND(Assumptions!$P$53=1,OR(J15545&lt;Assumptions!$K$53,I15733=1)),MIN(MAX(0,-J15659),MAX(0,Assumptions!$D$53-J15581)),0)</f>
        <v>0</v>
      </c>
      <c r="K15588" s="25" t="n">
        <f aca="false">IF(AND(Assumptions!$P$53=1,OR(K15545&lt;Assumptions!$K$53,J15733=1)),MIN(MAX(0,-K15659),MAX(0,Assumptions!$D$53-K15581)),0)</f>
        <v>0</v>
      </c>
    </row>
    <row r="15589" customFormat="false" ht="15" hidden="false" customHeight="false" outlineLevel="0" collapsed="false">
      <c r="A15589" s="5" t="s">
        <v>271</v>
      </c>
      <c r="G15589" s="25" t="n">
        <f aca="false">G15582*MIN(G15581-G15587+G15586,MAX(0,G15661-Assumptions!$C$12*G15579))</f>
        <v>0</v>
      </c>
      <c r="H15589" s="25" t="n">
        <f aca="false">H15582*MIN(H15581-H15587+H15586,MAX(0,H15661-Assumptions!$C$12*H15579))</f>
        <v>0</v>
      </c>
      <c r="I15589" s="25" t="n">
        <f aca="false">I15582*MIN(I15581-I15587+I15586,MAX(0,I15661-Assumptions!$C$12*I15579))</f>
        <v>0</v>
      </c>
      <c r="J15589" s="25" t="n">
        <f aca="false">J15582*MIN(J15581-J15587+J15586,MAX(0,J15661-Assumptions!$C$12*J15579))</f>
        <v>0</v>
      </c>
      <c r="K15589" s="25" t="n">
        <f aca="false">K15582*MIN(K15581-K15587+K15586,MAX(0,K15661-Assumptions!$C$12*K15579))</f>
        <v>0</v>
      </c>
    </row>
    <row r="15590" customFormat="false" ht="15" hidden="false" customHeight="false" outlineLevel="0" collapsed="false">
      <c r="A15590" s="5" t="s">
        <v>272</v>
      </c>
      <c r="G15590" s="25" t="n">
        <f aca="false">Assumptions!$N$53*MIN(G15581+G15588+G15586-G15587-G15589,MAX(0,G15665))</f>
        <v>0</v>
      </c>
      <c r="H15590" s="25" t="n">
        <f aca="false">Assumptions!$N$53*MIN(H15581+H15588+H15586-H15587-H15589,MAX(0,H15665))</f>
        <v>0</v>
      </c>
      <c r="I15590" s="25" t="n">
        <f aca="false">Assumptions!$N$53*MIN(I15581+I15588+I15586-I15587-I15589,MAX(0,I15665))</f>
        <v>0</v>
      </c>
      <c r="J15590" s="25" t="n">
        <f aca="false">Assumptions!$N$53*MIN(J15581+J15588+J15586-J15587-J15589,MAX(0,J15665))</f>
        <v>0</v>
      </c>
      <c r="K15590" s="25" t="n">
        <f aca="false">Assumptions!$N$53*MIN(K15581+K15588+K15586-K15587-K15589,MAX(0,K15665))</f>
        <v>0</v>
      </c>
    </row>
    <row r="15591" customFormat="false" ht="15" hidden="false" customHeight="false" outlineLevel="0" collapsed="false">
      <c r="A15591" s="5" t="s">
        <v>273</v>
      </c>
      <c r="G15591" s="25" t="n">
        <f aca="false">G15582*(1-G15579)*(G15581-G15587+G15586-G15589)</f>
        <v>0</v>
      </c>
      <c r="H15591" s="25" t="n">
        <f aca="false">H15582*(1-H15579)*(H15581-H15587+H15586-H15589)</f>
        <v>231.4088</v>
      </c>
      <c r="I15591" s="25" t="n">
        <f aca="false">I15582*(1-I15579)*(I15581-I15587+I15586-I15589)</f>
        <v>0</v>
      </c>
      <c r="J15591" s="25" t="n">
        <f aca="false">J15582*(1-J15579)*(J15581-J15587+J15586-J15589)</f>
        <v>0</v>
      </c>
      <c r="K15591" s="25" t="n">
        <f aca="false">K15582*(1-K15579)*(K15581-K15587+K15586-K15589)</f>
        <v>0</v>
      </c>
    </row>
    <row r="15592" customFormat="false" ht="15" hidden="false" customHeight="false" outlineLevel="0" collapsed="false">
      <c r="A15592" s="2" t="s">
        <v>274</v>
      </c>
      <c r="F15592" s="27" t="n">
        <f aca="false">Assumptions!$C$53</f>
        <v>180</v>
      </c>
      <c r="G15592" s="16" t="n">
        <f aca="false">G15581+G15588+G15586-G15587-G15589-G15590</f>
        <v>231.4088</v>
      </c>
      <c r="H15592" s="16" t="n">
        <f aca="false">H15581+H15588+H15586-H15587-H15589-H15590</f>
        <v>231.4088</v>
      </c>
      <c r="I15592" s="16" t="n">
        <f aca="false">I15581+I15588+I15586-I15587-I15589-I15590</f>
        <v>231.4088</v>
      </c>
      <c r="J15592" s="16" t="n">
        <f aca="false">J15581+J15588+J15586-J15587-J15589-J15590</f>
        <v>231.4088</v>
      </c>
      <c r="K15592" s="16" t="n">
        <f aca="false">K15581+K15588+K15586-K15587-K15589-K15590</f>
        <v>231.4088</v>
      </c>
    </row>
    <row r="15593" customFormat="false" ht="15" hidden="false" customHeight="false" outlineLevel="0" collapsed="false">
      <c r="A15593" s="23" t="s">
        <v>275</v>
      </c>
      <c r="B15593" s="24"/>
      <c r="C15593" s="24"/>
      <c r="D15593" s="24"/>
      <c r="E15593" s="24"/>
      <c r="F15593" s="24"/>
      <c r="G15593" s="24"/>
      <c r="H15593" s="24"/>
      <c r="I15593" s="24"/>
      <c r="J15593" s="24"/>
      <c r="K15593" s="24"/>
    </row>
    <row r="15594" customFormat="false" ht="15" hidden="false" customHeight="false" outlineLevel="0" collapsed="false">
      <c r="A15594" s="5" t="s">
        <v>264</v>
      </c>
      <c r="G15594" s="25" t="n">
        <f aca="false">F15605</f>
        <v>520</v>
      </c>
      <c r="H15594" s="25" t="n">
        <f aca="false">G15605</f>
        <v>514.8</v>
      </c>
      <c r="I15594" s="25" t="n">
        <f aca="false">H15605</f>
        <v>509.6</v>
      </c>
      <c r="J15594" s="25" t="n">
        <f aca="false">I15605</f>
        <v>504.4</v>
      </c>
      <c r="K15594" s="25" t="n">
        <f aca="false">J15605</f>
        <v>499.2</v>
      </c>
    </row>
    <row r="15595" customFormat="false" ht="15" hidden="false" customHeight="false" outlineLevel="0" collapsed="false">
      <c r="A15595" s="5" t="s">
        <v>265</v>
      </c>
      <c r="G15595" s="20" t="n">
        <f aca="false">IF(G15545=Assumptions!$K$54,1,0)</f>
        <v>0</v>
      </c>
      <c r="H15595" s="20" t="n">
        <f aca="false">IF(H15545=Assumptions!$K$54,1,0)</f>
        <v>0</v>
      </c>
      <c r="I15595" s="20" t="n">
        <f aca="false">IF(I15545=Assumptions!$K$54,1,0)</f>
        <v>1</v>
      </c>
      <c r="J15595" s="20" t="n">
        <f aca="false">IF(J15545=Assumptions!$K$54,1,0)</f>
        <v>0</v>
      </c>
      <c r="K15595" s="20" t="n">
        <f aca="false">IF(K15545=Assumptions!$K$54,1,0)</f>
        <v>0</v>
      </c>
    </row>
    <row r="15597" customFormat="false" ht="15" hidden="false" customHeight="false" outlineLevel="0" collapsed="false">
      <c r="A15597" s="5" t="s">
        <v>266</v>
      </c>
      <c r="G15597" s="30" t="n">
        <f aca="false">IF(Assumptions!$I$54=1,MAX(G15571,Assumptions!$G$54)+Assumptions!$F$54+$C$15572,Assumptions!$E$54)</f>
        <v>0.128</v>
      </c>
      <c r="H15597" s="30" t="n">
        <f aca="false">IF(G15734=1,$C$15573,IF(Assumptions!$I$54=1,MAX(H15571,Assumptions!$G$54)+Assumptions!$F$54+$C$15572,Assumptions!$E$54))</f>
        <v>0.1255</v>
      </c>
      <c r="I15597" s="30" t="n">
        <f aca="false">IF(H15734=1,$C$15573,IF(Assumptions!$I$54=1,MAX(I15571,Assumptions!$G$54)+Assumptions!$F$54+$C$15572,Assumptions!$E$54))</f>
        <v>0.123</v>
      </c>
      <c r="J15597" s="30" t="n">
        <f aca="false">IF(I15734=1,$C$15573,IF(Assumptions!$I$54=1,MAX(J15571,Assumptions!$G$54)+Assumptions!$F$54+$C$15572,Assumptions!$E$54))</f>
        <v>0.123</v>
      </c>
      <c r="K15597" s="30" t="n">
        <f aca="false">IF(J15734=1,$C$15573,IF(Assumptions!$I$54=1,MAX(K15571,Assumptions!$G$54)+Assumptions!$F$54+$C$15572,Assumptions!$E$54))</f>
        <v>0.123</v>
      </c>
    </row>
    <row r="15598" customFormat="false" ht="15" hidden="false" customHeight="false" outlineLevel="0" collapsed="false">
      <c r="A15598" s="5" t="s">
        <v>267</v>
      </c>
      <c r="G15598" s="25" t="n">
        <f aca="false">G15594*G15597</f>
        <v>66.56</v>
      </c>
      <c r="H15598" s="25" t="n">
        <f aca="false">H15594*H15597</f>
        <v>64.6074</v>
      </c>
      <c r="I15598" s="25" t="n">
        <f aca="false">I15594*I15597</f>
        <v>62.6808</v>
      </c>
      <c r="J15598" s="25" t="n">
        <f aca="false">J15594*J15597</f>
        <v>62.0412</v>
      </c>
      <c r="K15598" s="25" t="n">
        <f aca="false">K15594*K15597</f>
        <v>61.4016</v>
      </c>
    </row>
    <row r="15599" customFormat="false" ht="15" hidden="false" customHeight="false" outlineLevel="0" collapsed="false">
      <c r="A15599" s="5" t="s">
        <v>268</v>
      </c>
      <c r="G15599" s="25" t="n">
        <f aca="false">G15594*Assumptions!$H$54</f>
        <v>0</v>
      </c>
      <c r="H15599" s="25" t="n">
        <f aca="false">H15594*Assumptions!$H$54</f>
        <v>0</v>
      </c>
      <c r="I15599" s="25" t="n">
        <f aca="false">I15594*Assumptions!$H$54</f>
        <v>0</v>
      </c>
      <c r="J15599" s="25" t="n">
        <f aca="false">J15594*Assumptions!$H$54</f>
        <v>0</v>
      </c>
      <c r="K15599" s="25" t="n">
        <f aca="false">K15594*Assumptions!$H$54</f>
        <v>0</v>
      </c>
    </row>
    <row r="15600" customFormat="false" ht="15" hidden="false" customHeight="false" outlineLevel="0" collapsed="false">
      <c r="A15600" s="5" t="s">
        <v>269</v>
      </c>
      <c r="G15600" s="25" t="n">
        <f aca="false">MIN(G15594,Assumptions!$L$54*Assumptions!$C$54)</f>
        <v>5.2</v>
      </c>
      <c r="H15600" s="25" t="n">
        <f aca="false">MIN(H15594,Assumptions!$L$54*Assumptions!$C$54)</f>
        <v>5.2</v>
      </c>
      <c r="I15600" s="25" t="n">
        <f aca="false">MIN(I15594,Assumptions!$L$54*Assumptions!$C$54)</f>
        <v>5.2</v>
      </c>
      <c r="J15600" s="25" t="n">
        <f aca="false">MIN(J15594,Assumptions!$L$54*Assumptions!$C$54)</f>
        <v>5.2</v>
      </c>
      <c r="K15600" s="25" t="n">
        <f aca="false">MIN(K15594,Assumptions!$L$54*Assumptions!$C$54)</f>
        <v>5.2</v>
      </c>
    </row>
    <row r="15601" customFormat="false" ht="15" hidden="false" customHeight="false" outlineLevel="0" collapsed="false">
      <c r="A15601" s="5" t="s">
        <v>270</v>
      </c>
      <c r="G15601" s="25" t="n">
        <f aca="false">IF(AND(Assumptions!$P$54=1,G15545&lt;Assumptions!$K$54),MIN(MAX(0,-G15659),MAX(0,Assumptions!$D$54-G15594)),0)</f>
        <v>0</v>
      </c>
      <c r="H15601" s="25" t="n">
        <f aca="false">IF(AND(Assumptions!$P$54=1,OR(H15545&lt;Assumptions!$K$54,G15734=1)),MIN(MAX(0,-H15659),MAX(0,Assumptions!$D$54-H15594)),0)</f>
        <v>0</v>
      </c>
      <c r="I15601" s="25" t="n">
        <f aca="false">IF(AND(Assumptions!$P$54=1,OR(I15545&lt;Assumptions!$K$54,H15734=1)),MIN(MAX(0,-I15659),MAX(0,Assumptions!$D$54-I15594)),0)</f>
        <v>0</v>
      </c>
      <c r="J15601" s="25" t="n">
        <f aca="false">IF(AND(Assumptions!$P$54=1,OR(J15545&lt;Assumptions!$K$54,I15734=1)),MIN(MAX(0,-J15659),MAX(0,Assumptions!$D$54-J15594)),0)</f>
        <v>0</v>
      </c>
      <c r="K15601" s="25" t="n">
        <f aca="false">IF(AND(Assumptions!$P$54=1,OR(K15545&lt;Assumptions!$K$54,J15734=1)),MIN(MAX(0,-K15659),MAX(0,Assumptions!$D$54-K15594)),0)</f>
        <v>0</v>
      </c>
    </row>
    <row r="15602" customFormat="false" ht="15" hidden="false" customHeight="false" outlineLevel="0" collapsed="false">
      <c r="A15602" s="5" t="s">
        <v>271</v>
      </c>
      <c r="G15602" s="25" t="n">
        <f aca="false">G15595*MIN(G15594-G15600+G15599,MAX(0,G15661-Assumptions!$C$12*G15579-G15589))</f>
        <v>0</v>
      </c>
      <c r="H15602" s="25" t="n">
        <f aca="false">H15595*MIN(H15594-H15600+H15599,MAX(0,H15661-Assumptions!$C$12*H15579-H15589))</f>
        <v>0</v>
      </c>
      <c r="I15602" s="25" t="n">
        <f aca="false">I15595*MIN(I15594-I15600+I15599,MAX(0,I15661-Assumptions!$C$12*I15579-I15589))</f>
        <v>0</v>
      </c>
      <c r="J15602" s="25" t="n">
        <f aca="false">J15595*MIN(J15594-J15600+J15599,MAX(0,J15661-Assumptions!$C$12*J15579-J15589))</f>
        <v>0</v>
      </c>
      <c r="K15602" s="25" t="n">
        <f aca="false">K15595*MIN(K15594-K15600+K15599,MAX(0,K15661-Assumptions!$C$12*K15579-K15589))</f>
        <v>0</v>
      </c>
    </row>
    <row r="15603" customFormat="false" ht="15" hidden="false" customHeight="false" outlineLevel="0" collapsed="false">
      <c r="A15603" s="5" t="s">
        <v>272</v>
      </c>
      <c r="G15603" s="25" t="n">
        <f aca="false">Assumptions!$N$54*MIN(G15594+G15601+G15599-G15600-G15602,MAX(0,G15665-G15590))</f>
        <v>0</v>
      </c>
      <c r="H15603" s="25" t="n">
        <f aca="false">Assumptions!$N$54*MIN(H15594+H15601+H15599-H15600-H15602,MAX(0,H15665-H15590))</f>
        <v>0</v>
      </c>
      <c r="I15603" s="25" t="n">
        <f aca="false">Assumptions!$N$54*MIN(I15594+I15601+I15599-I15600-I15602,MAX(0,I15665-I15590))</f>
        <v>0</v>
      </c>
      <c r="J15603" s="25" t="n">
        <f aca="false">Assumptions!$N$54*MIN(J15594+J15601+J15599-J15600-J15602,MAX(0,J15665-J15590))</f>
        <v>0</v>
      </c>
      <c r="K15603" s="25" t="n">
        <f aca="false">Assumptions!$N$54*MIN(K15594+K15601+K15599-K15600-K15602,MAX(0,K15665-K15590))</f>
        <v>0</v>
      </c>
    </row>
    <row r="15604" customFormat="false" ht="15" hidden="false" customHeight="false" outlineLevel="0" collapsed="false">
      <c r="A15604" s="5" t="s">
        <v>273</v>
      </c>
      <c r="G15604" s="25" t="n">
        <f aca="false">G15595*(1-G15579)*(G15594-G15600+G15599-G15602)</f>
        <v>0</v>
      </c>
      <c r="H15604" s="25" t="n">
        <f aca="false">H15595*(1-H15579)*(H15594-H15600+H15599-H15602)</f>
        <v>0</v>
      </c>
      <c r="I15604" s="25" t="n">
        <f aca="false">I15595*(1-I15579)*(I15594-I15600+I15599-I15602)</f>
        <v>504.4</v>
      </c>
      <c r="J15604" s="25" t="n">
        <f aca="false">J15595*(1-J15579)*(J15594-J15600+J15599-J15602)</f>
        <v>0</v>
      </c>
      <c r="K15604" s="25" t="n">
        <f aca="false">K15595*(1-K15579)*(K15594-K15600+K15599-K15602)</f>
        <v>0</v>
      </c>
    </row>
    <row r="15605" customFormat="false" ht="15" hidden="false" customHeight="false" outlineLevel="0" collapsed="false">
      <c r="A15605" s="2" t="s">
        <v>274</v>
      </c>
      <c r="F15605" s="27" t="n">
        <f aca="false">Assumptions!$C$54</f>
        <v>520</v>
      </c>
      <c r="G15605" s="16" t="n">
        <f aca="false">G15594+G15601+G15599-G15600-G15602-G15603</f>
        <v>514.8</v>
      </c>
      <c r="H15605" s="16" t="n">
        <f aca="false">H15594+H15601+H15599-H15600-H15602-H15603</f>
        <v>509.6</v>
      </c>
      <c r="I15605" s="16" t="n">
        <f aca="false">I15594+I15601+I15599-I15600-I15602-I15603</f>
        <v>504.4</v>
      </c>
      <c r="J15605" s="16" t="n">
        <f aca="false">J15594+J15601+J15599-J15600-J15602-J15603</f>
        <v>499.2</v>
      </c>
      <c r="K15605" s="16" t="n">
        <f aca="false">K15594+K15601+K15599-K15600-K15602-K15603</f>
        <v>494</v>
      </c>
    </row>
    <row r="15606" customFormat="false" ht="15" hidden="false" customHeight="false" outlineLevel="0" collapsed="false">
      <c r="A15606" s="23" t="s">
        <v>276</v>
      </c>
      <c r="B15606" s="24"/>
      <c r="C15606" s="24"/>
      <c r="D15606" s="24"/>
      <c r="E15606" s="24"/>
      <c r="F15606" s="24"/>
      <c r="G15606" s="24"/>
      <c r="H15606" s="24"/>
      <c r="I15606" s="24"/>
      <c r="J15606" s="24"/>
      <c r="K15606" s="24"/>
    </row>
    <row r="15607" customFormat="false" ht="15" hidden="false" customHeight="false" outlineLevel="0" collapsed="false">
      <c r="A15607" s="5" t="s">
        <v>264</v>
      </c>
      <c r="G15607" s="25" t="n">
        <f aca="false">F15618</f>
        <v>250</v>
      </c>
      <c r="H15607" s="25" t="n">
        <f aca="false">G15618</f>
        <v>250</v>
      </c>
      <c r="I15607" s="25" t="n">
        <f aca="false">H15618</f>
        <v>250</v>
      </c>
      <c r="J15607" s="25" t="n">
        <f aca="false">I15618</f>
        <v>250</v>
      </c>
      <c r="K15607" s="25" t="n">
        <f aca="false">J15618</f>
        <v>250</v>
      </c>
    </row>
    <row r="15608" customFormat="false" ht="15" hidden="false" customHeight="false" outlineLevel="0" collapsed="false">
      <c r="A15608" s="5" t="s">
        <v>265</v>
      </c>
      <c r="G15608" s="20" t="n">
        <f aca="false">IF(G15545=Assumptions!$K$55,1,0)</f>
        <v>0</v>
      </c>
      <c r="H15608" s="20" t="n">
        <f aca="false">IF(H15545=Assumptions!$K$55,1,0)</f>
        <v>0</v>
      </c>
      <c r="I15608" s="20" t="n">
        <f aca="false">IF(I15545=Assumptions!$K$55,1,0)</f>
        <v>0</v>
      </c>
      <c r="J15608" s="20" t="n">
        <f aca="false">IF(J15545=Assumptions!$K$55,1,0)</f>
        <v>1</v>
      </c>
      <c r="K15608" s="20" t="n">
        <f aca="false">IF(K15545=Assumptions!$K$55,1,0)</f>
        <v>0</v>
      </c>
    </row>
    <row r="15610" customFormat="false" ht="15" hidden="false" customHeight="false" outlineLevel="0" collapsed="false">
      <c r="A15610" s="5" t="s">
        <v>266</v>
      </c>
      <c r="G15610" s="30" t="n">
        <f aca="false">IF(Assumptions!$I$55=1,MAX(G15571,Assumptions!$G$55)+Assumptions!$F$55+$C$15572,Assumptions!$E$55)</f>
        <v>0.11</v>
      </c>
      <c r="H15610" s="30" t="n">
        <f aca="false">IF(G15735=1,$C$15573,IF(Assumptions!$I$55=1,MAX(H15571,Assumptions!$G$55)+Assumptions!$F$55+$C$15572,Assumptions!$E$55))</f>
        <v>0.11</v>
      </c>
      <c r="I15610" s="30" t="n">
        <f aca="false">IF(H15735=1,$C$15573,IF(Assumptions!$I$55=1,MAX(I15571,Assumptions!$G$55)+Assumptions!$F$55+$C$15572,Assumptions!$E$55))</f>
        <v>0.11</v>
      </c>
      <c r="J15610" s="30" t="n">
        <f aca="false">IF(I15735=1,$C$15573,IF(Assumptions!$I$55=1,MAX(J15571,Assumptions!$G$55)+Assumptions!$F$55+$C$15572,Assumptions!$E$55))</f>
        <v>0.11</v>
      </c>
      <c r="K15610" s="30" t="n">
        <f aca="false">IF(J15735=1,$C$15573,IF(Assumptions!$I$55=1,MAX(K15571,Assumptions!$G$55)+Assumptions!$F$55+$C$15572,Assumptions!$E$55))</f>
        <v>0.11</v>
      </c>
    </row>
    <row r="15611" customFormat="false" ht="15" hidden="false" customHeight="false" outlineLevel="0" collapsed="false">
      <c r="A15611" s="5" t="s">
        <v>267</v>
      </c>
      <c r="G15611" s="25" t="n">
        <f aca="false">G15607*G15610</f>
        <v>27.5</v>
      </c>
      <c r="H15611" s="25" t="n">
        <f aca="false">H15607*H15610</f>
        <v>27.5</v>
      </c>
      <c r="I15611" s="25" t="n">
        <f aca="false">I15607*I15610</f>
        <v>27.5</v>
      </c>
      <c r="J15611" s="25" t="n">
        <f aca="false">J15607*J15610</f>
        <v>27.5</v>
      </c>
      <c r="K15611" s="25" t="n">
        <f aca="false">K15607*K15610</f>
        <v>27.5</v>
      </c>
    </row>
    <row r="15612" customFormat="false" ht="15" hidden="false" customHeight="false" outlineLevel="0" collapsed="false">
      <c r="A15612" s="5" t="s">
        <v>268</v>
      </c>
      <c r="G15612" s="25" t="n">
        <f aca="false">G15607*Assumptions!$H$55</f>
        <v>0</v>
      </c>
      <c r="H15612" s="25" t="n">
        <f aca="false">H15607*Assumptions!$H$55</f>
        <v>0</v>
      </c>
      <c r="I15612" s="25" t="n">
        <f aca="false">I15607*Assumptions!$H$55</f>
        <v>0</v>
      </c>
      <c r="J15612" s="25" t="n">
        <f aca="false">J15607*Assumptions!$H$55</f>
        <v>0</v>
      </c>
      <c r="K15612" s="25" t="n">
        <f aca="false">K15607*Assumptions!$H$55</f>
        <v>0</v>
      </c>
    </row>
    <row r="15613" customFormat="false" ht="15" hidden="false" customHeight="false" outlineLevel="0" collapsed="false">
      <c r="A15613" s="5" t="s">
        <v>269</v>
      </c>
      <c r="G15613" s="25" t="n">
        <f aca="false">MIN(G15607,Assumptions!$L$55*Assumptions!$C$55)</f>
        <v>0</v>
      </c>
      <c r="H15613" s="25" t="n">
        <f aca="false">MIN(H15607,Assumptions!$L$55*Assumptions!$C$55)</f>
        <v>0</v>
      </c>
      <c r="I15613" s="25" t="n">
        <f aca="false">MIN(I15607,Assumptions!$L$55*Assumptions!$C$55)</f>
        <v>0</v>
      </c>
      <c r="J15613" s="25" t="n">
        <f aca="false">MIN(J15607,Assumptions!$L$55*Assumptions!$C$55)</f>
        <v>0</v>
      </c>
      <c r="K15613" s="25" t="n">
        <f aca="false">MIN(K15607,Assumptions!$L$55*Assumptions!$C$55)</f>
        <v>0</v>
      </c>
    </row>
    <row r="15614" customFormat="false" ht="15" hidden="false" customHeight="false" outlineLevel="0" collapsed="false">
      <c r="A15614" s="5" t="s">
        <v>270</v>
      </c>
      <c r="G15614" s="25" t="n">
        <f aca="false">IF(AND(Assumptions!$P$55=1,G15545&lt;Assumptions!$K$55),MIN(MAX(0,-G15659),MAX(0,Assumptions!$D$55-G15607)),0)</f>
        <v>0</v>
      </c>
      <c r="H15614" s="25" t="n">
        <f aca="false">IF(AND(Assumptions!$P$55=1,OR(H15545&lt;Assumptions!$K$55,G15735=1)),MIN(MAX(0,-H15659),MAX(0,Assumptions!$D$55-H15607)),0)</f>
        <v>0</v>
      </c>
      <c r="I15614" s="25" t="n">
        <f aca="false">IF(AND(Assumptions!$P$55=1,OR(I15545&lt;Assumptions!$K$55,H15735=1)),MIN(MAX(0,-I15659),MAX(0,Assumptions!$D$55-I15607)),0)</f>
        <v>0</v>
      </c>
      <c r="J15614" s="25" t="n">
        <f aca="false">IF(AND(Assumptions!$P$55=1,OR(J15545&lt;Assumptions!$K$55,I15735=1)),MIN(MAX(0,-J15659),MAX(0,Assumptions!$D$55-J15607)),0)</f>
        <v>0</v>
      </c>
      <c r="K15614" s="25" t="n">
        <f aca="false">IF(AND(Assumptions!$P$55=1,OR(K15545&lt;Assumptions!$K$55,J15735=1)),MIN(MAX(0,-K15659),MAX(0,Assumptions!$D$55-K15607)),0)</f>
        <v>0</v>
      </c>
    </row>
    <row r="15615" customFormat="false" ht="15" hidden="false" customHeight="false" outlineLevel="0" collapsed="false">
      <c r="A15615" s="5" t="s">
        <v>271</v>
      </c>
      <c r="G15615" s="25" t="n">
        <f aca="false">G15608*MIN(G15607-G15613+G15612,MAX(0,G15661-Assumptions!$C$12*G15579-G15589-G15602))</f>
        <v>0</v>
      </c>
      <c r="H15615" s="25" t="n">
        <f aca="false">H15608*MIN(H15607-H15613+H15612,MAX(0,H15661-Assumptions!$C$12*H15579-H15589-H15602))</f>
        <v>0</v>
      </c>
      <c r="I15615" s="25" t="n">
        <f aca="false">I15608*MIN(I15607-I15613+I15612,MAX(0,I15661-Assumptions!$C$12*I15579-I15589-I15602))</f>
        <v>0</v>
      </c>
      <c r="J15615" s="25" t="n">
        <f aca="false">J15608*MIN(J15607-J15613+J15612,MAX(0,J15661-Assumptions!$C$12*J15579-J15589-J15602))</f>
        <v>0</v>
      </c>
      <c r="K15615" s="25" t="n">
        <f aca="false">K15608*MIN(K15607-K15613+K15612,MAX(0,K15661-Assumptions!$C$12*K15579-K15589-K15602))</f>
        <v>0</v>
      </c>
    </row>
    <row r="15616" customFormat="false" ht="15" hidden="false" customHeight="false" outlineLevel="0" collapsed="false">
      <c r="A15616" s="5" t="s">
        <v>272</v>
      </c>
      <c r="G15616" s="25" t="n">
        <f aca="false">Assumptions!$N$55*MIN(G15607+G15614+G15612-G15613-G15615,MAX(0,G15665-G15590-G15603))</f>
        <v>0</v>
      </c>
      <c r="H15616" s="25" t="n">
        <f aca="false">Assumptions!$N$55*MIN(H15607+H15614+H15612-H15613-H15615,MAX(0,H15665-H15590-H15603))</f>
        <v>0</v>
      </c>
      <c r="I15616" s="25" t="n">
        <f aca="false">Assumptions!$N$55*MIN(I15607+I15614+I15612-I15613-I15615,MAX(0,I15665-I15590-I15603))</f>
        <v>0</v>
      </c>
      <c r="J15616" s="25" t="n">
        <f aca="false">Assumptions!$N$55*MIN(J15607+J15614+J15612-J15613-J15615,MAX(0,J15665-J15590-J15603))</f>
        <v>0</v>
      </c>
      <c r="K15616" s="25" t="n">
        <f aca="false">Assumptions!$N$55*MIN(K15607+K15614+K15612-K15613-K15615,MAX(0,K15665-K15590-K15603))</f>
        <v>0</v>
      </c>
    </row>
    <row r="15617" customFormat="false" ht="15" hidden="false" customHeight="false" outlineLevel="0" collapsed="false">
      <c r="A15617" s="5" t="s">
        <v>273</v>
      </c>
      <c r="G15617" s="25" t="n">
        <f aca="false">G15608*(1-G15579)*(G15607-G15613+G15612-G15615)</f>
        <v>0</v>
      </c>
      <c r="H15617" s="25" t="n">
        <f aca="false">H15608*(1-H15579)*(H15607-H15613+H15612-H15615)</f>
        <v>0</v>
      </c>
      <c r="I15617" s="25" t="n">
        <f aca="false">I15608*(1-I15579)*(I15607-I15613+I15612-I15615)</f>
        <v>0</v>
      </c>
      <c r="J15617" s="25" t="n">
        <f aca="false">J15608*(1-J15579)*(J15607-J15613+J15612-J15615)</f>
        <v>250</v>
      </c>
      <c r="K15617" s="25" t="n">
        <f aca="false">K15608*(1-K15579)*(K15607-K15613+K15612-K15615)</f>
        <v>0</v>
      </c>
    </row>
    <row r="15618" customFormat="false" ht="15" hidden="false" customHeight="false" outlineLevel="0" collapsed="false">
      <c r="A15618" s="2" t="s">
        <v>274</v>
      </c>
      <c r="F15618" s="27" t="n">
        <f aca="false">Assumptions!$C$55</f>
        <v>250</v>
      </c>
      <c r="G15618" s="16" t="n">
        <f aca="false">G15607+G15614+G15612-G15613-G15615-G15616</f>
        <v>250</v>
      </c>
      <c r="H15618" s="16" t="n">
        <f aca="false">H15607+H15614+H15612-H15613-H15615-H15616</f>
        <v>250</v>
      </c>
      <c r="I15618" s="16" t="n">
        <f aca="false">I15607+I15614+I15612-I15613-I15615-I15616</f>
        <v>250</v>
      </c>
      <c r="J15618" s="16" t="n">
        <f aca="false">J15607+J15614+J15612-J15613-J15615-J15616</f>
        <v>250</v>
      </c>
      <c r="K15618" s="16" t="n">
        <f aca="false">K15607+K15614+K15612-K15613-K15615-K15616</f>
        <v>250</v>
      </c>
    </row>
    <row r="15619" customFormat="false" ht="15" hidden="false" customHeight="false" outlineLevel="0" collapsed="false">
      <c r="A15619" s="23" t="s">
        <v>277</v>
      </c>
      <c r="B15619" s="24"/>
      <c r="C15619" s="24"/>
      <c r="D15619" s="24"/>
      <c r="E15619" s="24"/>
      <c r="F15619" s="24"/>
      <c r="G15619" s="24"/>
      <c r="H15619" s="24"/>
      <c r="I15619" s="24"/>
      <c r="J15619" s="24"/>
      <c r="K15619" s="24"/>
    </row>
    <row r="15620" customFormat="false" ht="15" hidden="false" customHeight="false" outlineLevel="0" collapsed="false">
      <c r="A15620" s="5" t="s">
        <v>264</v>
      </c>
      <c r="G15620" s="25" t="n">
        <f aca="false">F15631</f>
        <v>300</v>
      </c>
      <c r="H15620" s="25" t="n">
        <f aca="false">G15631</f>
        <v>300</v>
      </c>
      <c r="I15620" s="25" t="n">
        <f aca="false">H15631</f>
        <v>300</v>
      </c>
      <c r="J15620" s="25" t="n">
        <f aca="false">I15631</f>
        <v>300</v>
      </c>
      <c r="K15620" s="25" t="n">
        <f aca="false">J15631</f>
        <v>300</v>
      </c>
    </row>
    <row r="15621" customFormat="false" ht="15" hidden="false" customHeight="false" outlineLevel="0" collapsed="false">
      <c r="A15621" s="5" t="s">
        <v>265</v>
      </c>
      <c r="G15621" s="20" t="n">
        <f aca="false">IF(G15545=Assumptions!$K$56,1,0)</f>
        <v>0</v>
      </c>
      <c r="H15621" s="20" t="n">
        <f aca="false">IF(H15545=Assumptions!$K$56,1,0)</f>
        <v>1</v>
      </c>
      <c r="I15621" s="20" t="n">
        <f aca="false">IF(I15545=Assumptions!$K$56,1,0)</f>
        <v>0</v>
      </c>
      <c r="J15621" s="20" t="n">
        <f aca="false">IF(J15545=Assumptions!$K$56,1,0)</f>
        <v>0</v>
      </c>
      <c r="K15621" s="20" t="n">
        <f aca="false">IF(K15545=Assumptions!$K$56,1,0)</f>
        <v>0</v>
      </c>
    </row>
    <row r="15623" customFormat="false" ht="15" hidden="false" customHeight="false" outlineLevel="0" collapsed="false">
      <c r="A15623" s="5" t="s">
        <v>266</v>
      </c>
      <c r="G15623" s="30" t="n">
        <f aca="false">IF(Assumptions!$I$56=1,MAX(G15571,Assumptions!$G$56)+Assumptions!$F$56+$C$15572,Assumptions!$E$56)</f>
        <v>0.075</v>
      </c>
      <c r="H15623" s="30" t="n">
        <f aca="false">IF(G15736=1,$C$15573,IF(Assumptions!$I$56=1,MAX(H15571,Assumptions!$G$56)+Assumptions!$F$56+$C$15572,Assumptions!$E$56))</f>
        <v>0.075</v>
      </c>
      <c r="I15623" s="30" t="n">
        <f aca="false">IF(H15736=1,$C$15573,IF(Assumptions!$I$56=1,MAX(I15571,Assumptions!$G$56)+Assumptions!$F$56+$C$15572,Assumptions!$E$56))</f>
        <v>0.075</v>
      </c>
      <c r="J15623" s="30" t="n">
        <f aca="false">IF(I15736=1,$C$15573,IF(Assumptions!$I$56=1,MAX(J15571,Assumptions!$G$56)+Assumptions!$F$56+$C$15572,Assumptions!$E$56))</f>
        <v>0.075</v>
      </c>
      <c r="K15623" s="30" t="n">
        <f aca="false">IF(J15736=1,$C$15573,IF(Assumptions!$I$56=1,MAX(K15571,Assumptions!$G$56)+Assumptions!$F$56+$C$15572,Assumptions!$E$56))</f>
        <v>0.075</v>
      </c>
    </row>
    <row r="15624" customFormat="false" ht="15" hidden="false" customHeight="false" outlineLevel="0" collapsed="false">
      <c r="A15624" s="5" t="s">
        <v>267</v>
      </c>
      <c r="G15624" s="25" t="n">
        <f aca="false">G15620*G15623</f>
        <v>22.5</v>
      </c>
      <c r="H15624" s="25" t="n">
        <f aca="false">H15620*H15623</f>
        <v>22.5</v>
      </c>
      <c r="I15624" s="25" t="n">
        <f aca="false">I15620*I15623</f>
        <v>22.5</v>
      </c>
      <c r="J15624" s="25" t="n">
        <f aca="false">J15620*J15623</f>
        <v>22.5</v>
      </c>
      <c r="K15624" s="25" t="n">
        <f aca="false">K15620*K15623</f>
        <v>22.5</v>
      </c>
    </row>
    <row r="15625" customFormat="false" ht="15" hidden="false" customHeight="false" outlineLevel="0" collapsed="false">
      <c r="A15625" s="5" t="s">
        <v>268</v>
      </c>
      <c r="G15625" s="25" t="n">
        <f aca="false">G15620*Assumptions!$H$56</f>
        <v>0</v>
      </c>
      <c r="H15625" s="25" t="n">
        <f aca="false">H15620*Assumptions!$H$56</f>
        <v>0</v>
      </c>
      <c r="I15625" s="25" t="n">
        <f aca="false">I15620*Assumptions!$H$56</f>
        <v>0</v>
      </c>
      <c r="J15625" s="25" t="n">
        <f aca="false">J15620*Assumptions!$H$56</f>
        <v>0</v>
      </c>
      <c r="K15625" s="25" t="n">
        <f aca="false">K15620*Assumptions!$H$56</f>
        <v>0</v>
      </c>
    </row>
    <row r="15626" customFormat="false" ht="15" hidden="false" customHeight="false" outlineLevel="0" collapsed="false">
      <c r="A15626" s="5" t="s">
        <v>269</v>
      </c>
      <c r="G15626" s="25" t="n">
        <f aca="false">MIN(G15620,Assumptions!$L$56*Assumptions!$C$56)</f>
        <v>0</v>
      </c>
      <c r="H15626" s="25" t="n">
        <f aca="false">MIN(H15620,Assumptions!$L$56*Assumptions!$C$56)</f>
        <v>0</v>
      </c>
      <c r="I15626" s="25" t="n">
        <f aca="false">MIN(I15620,Assumptions!$L$56*Assumptions!$C$56)</f>
        <v>0</v>
      </c>
      <c r="J15626" s="25" t="n">
        <f aca="false">MIN(J15620,Assumptions!$L$56*Assumptions!$C$56)</f>
        <v>0</v>
      </c>
      <c r="K15626" s="25" t="n">
        <f aca="false">MIN(K15620,Assumptions!$L$56*Assumptions!$C$56)</f>
        <v>0</v>
      </c>
    </row>
    <row r="15627" customFormat="false" ht="15" hidden="false" customHeight="false" outlineLevel="0" collapsed="false">
      <c r="A15627" s="5" t="s">
        <v>270</v>
      </c>
      <c r="G15627" s="25" t="n">
        <f aca="false">IF(AND(Assumptions!$P$56=1,G15545&lt;Assumptions!$K$56),MIN(MAX(0,-G15659),MAX(0,Assumptions!$D$56-G15620)),0)</f>
        <v>0</v>
      </c>
      <c r="H15627" s="25" t="n">
        <f aca="false">IF(AND(Assumptions!$P$56=1,OR(H15545&lt;Assumptions!$K$56,G15736=1)),MIN(MAX(0,-H15659),MAX(0,Assumptions!$D$56-H15620)),0)</f>
        <v>0</v>
      </c>
      <c r="I15627" s="25" t="n">
        <f aca="false">IF(AND(Assumptions!$P$56=1,OR(I15545&lt;Assumptions!$K$56,H15736=1)),MIN(MAX(0,-I15659),MAX(0,Assumptions!$D$56-I15620)),0)</f>
        <v>0</v>
      </c>
      <c r="J15627" s="25" t="n">
        <f aca="false">IF(AND(Assumptions!$P$56=1,OR(J15545&lt;Assumptions!$K$56,I15736=1)),MIN(MAX(0,-J15659),MAX(0,Assumptions!$D$56-J15620)),0)</f>
        <v>0</v>
      </c>
      <c r="K15627" s="25" t="n">
        <f aca="false">IF(AND(Assumptions!$P$56=1,OR(K15545&lt;Assumptions!$K$56,J15736=1)),MIN(MAX(0,-K15659),MAX(0,Assumptions!$D$56-K15620)),0)</f>
        <v>0</v>
      </c>
    </row>
    <row r="15628" customFormat="false" ht="15" hidden="false" customHeight="false" outlineLevel="0" collapsed="false">
      <c r="A15628" s="5" t="s">
        <v>271</v>
      </c>
      <c r="G15628" s="25" t="n">
        <f aca="false">G15621*MIN(G15620-G15626+G15625,MAX(0,G15661-Assumptions!$C$12*G15579-G15589-G15602-G15615))</f>
        <v>0</v>
      </c>
      <c r="H15628" s="25" t="n">
        <f aca="false">H15621*MIN(H15620-H15626+H15625,MAX(0,H15661-Assumptions!$C$12*H15579-H15589-H15602-H15615))</f>
        <v>0</v>
      </c>
      <c r="I15628" s="25" t="n">
        <f aca="false">I15621*MIN(I15620-I15626+I15625,MAX(0,I15661-Assumptions!$C$12*I15579-I15589-I15602-I15615))</f>
        <v>0</v>
      </c>
      <c r="J15628" s="25" t="n">
        <f aca="false">J15621*MIN(J15620-J15626+J15625,MAX(0,J15661-Assumptions!$C$12*J15579-J15589-J15602-J15615))</f>
        <v>0</v>
      </c>
      <c r="K15628" s="25" t="n">
        <f aca="false">K15621*MIN(K15620-K15626+K15625,MAX(0,K15661-Assumptions!$C$12*K15579-K15589-K15602-K15615))</f>
        <v>0</v>
      </c>
    </row>
    <row r="15629" customFormat="false" ht="15" hidden="false" customHeight="false" outlineLevel="0" collapsed="false">
      <c r="A15629" s="5" t="s">
        <v>272</v>
      </c>
      <c r="G15629" s="25" t="n">
        <f aca="false">Assumptions!$N$56*MIN(G15620+G15627+G15625-G15626-G15628,MAX(0,G15665-G15590-G15603-G15616))</f>
        <v>0</v>
      </c>
      <c r="H15629" s="25" t="n">
        <f aca="false">Assumptions!$N$56*MIN(H15620+H15627+H15625-H15626-H15628,MAX(0,H15665-H15590-H15603-H15616))</f>
        <v>0</v>
      </c>
      <c r="I15629" s="25" t="n">
        <f aca="false">Assumptions!$N$56*MIN(I15620+I15627+I15625-I15626-I15628,MAX(0,I15665-I15590-I15603-I15616))</f>
        <v>0</v>
      </c>
      <c r="J15629" s="25" t="n">
        <f aca="false">Assumptions!$N$56*MIN(J15620+J15627+J15625-J15626-J15628,MAX(0,J15665-J15590-J15603-J15616))</f>
        <v>0</v>
      </c>
      <c r="K15629" s="25" t="n">
        <f aca="false">Assumptions!$N$56*MIN(K15620+K15627+K15625-K15626-K15628,MAX(0,K15665-K15590-K15603-K15616))</f>
        <v>0</v>
      </c>
    </row>
    <row r="15630" customFormat="false" ht="15" hidden="false" customHeight="false" outlineLevel="0" collapsed="false">
      <c r="A15630" s="5" t="s">
        <v>273</v>
      </c>
      <c r="G15630" s="25" t="n">
        <f aca="false">G15621*(1-G15579)*(G15620-G15626+G15625-G15628)</f>
        <v>0</v>
      </c>
      <c r="H15630" s="25" t="n">
        <f aca="false">H15621*(1-H15579)*(H15620-H15626+H15625-H15628)</f>
        <v>300</v>
      </c>
      <c r="I15630" s="25" t="n">
        <f aca="false">I15621*(1-I15579)*(I15620-I15626+I15625-I15628)</f>
        <v>0</v>
      </c>
      <c r="J15630" s="25" t="n">
        <f aca="false">J15621*(1-J15579)*(J15620-J15626+J15625-J15628)</f>
        <v>0</v>
      </c>
      <c r="K15630" s="25" t="n">
        <f aca="false">K15621*(1-K15579)*(K15620-K15626+K15625-K15628)</f>
        <v>0</v>
      </c>
    </row>
    <row r="15631" customFormat="false" ht="15" hidden="false" customHeight="false" outlineLevel="0" collapsed="false">
      <c r="A15631" s="2" t="s">
        <v>274</v>
      </c>
      <c r="F15631" s="27" t="n">
        <f aca="false">Assumptions!$C$56</f>
        <v>300</v>
      </c>
      <c r="G15631" s="16" t="n">
        <f aca="false">G15620+G15627+G15625-G15626-G15628-G15629</f>
        <v>300</v>
      </c>
      <c r="H15631" s="16" t="n">
        <f aca="false">H15620+H15627+H15625-H15626-H15628-H15629</f>
        <v>300</v>
      </c>
      <c r="I15631" s="16" t="n">
        <f aca="false">I15620+I15627+I15625-I15626-I15628-I15629</f>
        <v>300</v>
      </c>
      <c r="J15631" s="16" t="n">
        <f aca="false">J15620+J15627+J15625-J15626-J15628-J15629</f>
        <v>300</v>
      </c>
      <c r="K15631" s="16" t="n">
        <f aca="false">K15620+K15627+K15625-K15626-K15628-K15629</f>
        <v>300</v>
      </c>
    </row>
    <row r="15632" customFormat="false" ht="15" hidden="false" customHeight="false" outlineLevel="0" collapsed="false">
      <c r="A15632" s="23" t="s">
        <v>278</v>
      </c>
      <c r="B15632" s="24"/>
      <c r="C15632" s="24"/>
      <c r="D15632" s="24"/>
      <c r="E15632" s="24"/>
      <c r="F15632" s="24"/>
      <c r="G15632" s="24"/>
      <c r="H15632" s="24"/>
      <c r="I15632" s="24"/>
      <c r="J15632" s="24"/>
      <c r="K15632" s="24"/>
    </row>
    <row r="15633" customFormat="false" ht="15" hidden="false" customHeight="false" outlineLevel="0" collapsed="false">
      <c r="A15633" s="2" t="s">
        <v>279</v>
      </c>
      <c r="F15633" s="16" t="n">
        <f aca="false">F15592+F15605+F15618+F15631</f>
        <v>1250</v>
      </c>
      <c r="G15633" s="16" t="n">
        <f aca="false">G15592+G15605+G15618+G15631</f>
        <v>1296.2088</v>
      </c>
      <c r="H15633" s="16" t="n">
        <f aca="false">H15592+H15605+H15618+H15631</f>
        <v>1291.0088</v>
      </c>
      <c r="I15633" s="16" t="n">
        <f aca="false">I15592+I15605+I15618+I15631</f>
        <v>1285.8088</v>
      </c>
      <c r="J15633" s="16" t="n">
        <f aca="false">J15592+J15605+J15618+J15631</f>
        <v>1280.6088</v>
      </c>
      <c r="K15633" s="16" t="n">
        <f aca="false">K15592+K15605+K15618+K15631</f>
        <v>1275.4088</v>
      </c>
    </row>
    <row r="15634" customFormat="false" ht="15" hidden="false" customHeight="false" outlineLevel="0" collapsed="false">
      <c r="A15634" s="5" t="s">
        <v>280</v>
      </c>
      <c r="G15634" s="25" t="n">
        <f aca="false">G15582*Assumptions!$C$53+G15595*Assumptions!$C$54+G15608*Assumptions!$C$55+G15621*Assumptions!$C$56</f>
        <v>0</v>
      </c>
      <c r="H15634" s="25" t="n">
        <f aca="false">H15582*Assumptions!$C$53+H15595*Assumptions!$C$54+H15608*Assumptions!$C$55+H15621*Assumptions!$C$56</f>
        <v>480</v>
      </c>
      <c r="I15634" s="25" t="n">
        <f aca="false">I15582*Assumptions!$C$53+I15595*Assumptions!$C$54+I15608*Assumptions!$C$55+I15621*Assumptions!$C$56</f>
        <v>520</v>
      </c>
      <c r="J15634" s="25" t="n">
        <f aca="false">J15582*Assumptions!$C$53+J15595*Assumptions!$C$54+J15608*Assumptions!$C$55+J15621*Assumptions!$C$56</f>
        <v>250</v>
      </c>
      <c r="K15634" s="25" t="n">
        <f aca="false">K15582*Assumptions!$C$53+K15595*Assumptions!$C$54+K15608*Assumptions!$C$55+K15621*Assumptions!$C$56</f>
        <v>0</v>
      </c>
    </row>
    <row r="15635" customFormat="false" ht="15" hidden="false" customHeight="false" outlineLevel="0" collapsed="false">
      <c r="A15635" s="23" t="s">
        <v>281</v>
      </c>
      <c r="B15635" s="24"/>
      <c r="C15635" s="24"/>
      <c r="D15635" s="24"/>
      <c r="E15635" s="24"/>
      <c r="F15635" s="24"/>
      <c r="G15635" s="24"/>
      <c r="H15635" s="24"/>
      <c r="I15635" s="24"/>
      <c r="J15635" s="24"/>
      <c r="K15635" s="24"/>
    </row>
    <row r="15636" customFormat="false" ht="15" hidden="false" customHeight="false" outlineLevel="0" collapsed="false">
      <c r="A15636" s="5" t="s">
        <v>282</v>
      </c>
      <c r="C15636" s="25" t="n">
        <f aca="false">SUMPRODUCT($G$15582:$K$15582,$G$15581:$K$15581-$G$15587:$K$15587+$G$15586:$K$15586)</f>
        <v>231.4088</v>
      </c>
    </row>
    <row r="15637" customFormat="false" ht="15" hidden="false" customHeight="false" outlineLevel="0" collapsed="false">
      <c r="A15637" s="5" t="s">
        <v>283</v>
      </c>
      <c r="C15637" s="25" t="n">
        <f aca="false">SUMPRODUCT($G$15582:$K$15582,$G$15589:$K$15589)</f>
        <v>0</v>
      </c>
    </row>
    <row r="15638" customFormat="false" ht="15" hidden="false" customHeight="false" outlineLevel="0" collapsed="false">
      <c r="A15638" s="5" t="s">
        <v>284</v>
      </c>
      <c r="C15638" s="5" t="str">
        <f aca="false">IF(SUM($G$15582:$K$15582)=0,"n/a (beyond horizon)",IF(SUMPRODUCT($G$15582:$K$15582,$G$15579:$K$15579)&gt;0,"REFINANCING PASS","REFINANCING FAILURE"))</f>
        <v>REFINANCING FAILURE</v>
      </c>
    </row>
    <row r="15639" customFormat="false" ht="15" hidden="false" customHeight="false" outlineLevel="0" collapsed="false">
      <c r="A15639" s="5" t="s">
        <v>285</v>
      </c>
      <c r="C15639" s="5" t="str">
        <f aca="false">IF(SUM($G$15582:$K$15582)=0,"n/a",IF(C15637&gt;=C15636-0.001,"Repaid from cash",IF(SUMPRODUCT($G$15582:$K$15582,$G$15579:$K$15579)&gt;0,IF(C15637&gt;0,"Partly repaid; remainder refinanced","Refinanced"),IF(SUM($G$15591:$K$15591)&gt;0.001,IF(C15637&gt;0,"Partial repayment; PAYMENT DEFAULT","PAYMENT DEFAULT"),"Repaid from cash"))))</f>
        <v>PAYMENT DEFAULT</v>
      </c>
    </row>
    <row r="15640" customFormat="false" ht="15" hidden="false" customHeight="false" outlineLevel="0" collapsed="false">
      <c r="A15640" s="5" t="s">
        <v>286</v>
      </c>
      <c r="C15640" s="25" t="n">
        <f aca="false">SUMPRODUCT($G$15595:$K$15595,$G$15594:$K$15594-$G$15600:$K$15600+$G$15599:$K$15599)</f>
        <v>504.4</v>
      </c>
    </row>
    <row r="15641" customFormat="false" ht="15" hidden="false" customHeight="false" outlineLevel="0" collapsed="false">
      <c r="A15641" s="5" t="s">
        <v>287</v>
      </c>
      <c r="C15641" s="25" t="n">
        <f aca="false">SUMPRODUCT($G$15595:$K$15595,$G$15602:$K$15602)</f>
        <v>0</v>
      </c>
    </row>
    <row r="15642" customFormat="false" ht="15" hidden="false" customHeight="false" outlineLevel="0" collapsed="false">
      <c r="A15642" s="5" t="s">
        <v>288</v>
      </c>
      <c r="C15642" s="5" t="str">
        <f aca="false">IF(SUM($G$15595:$K$15595)=0,"n/a (beyond horizon)",IF(SUMPRODUCT($G$15595:$K$15595,$G$15579:$K$15579)&gt;0,"REFINANCING PASS","REFINANCING FAILURE"))</f>
        <v>REFINANCING FAILURE</v>
      </c>
    </row>
    <row r="15643" customFormat="false" ht="15" hidden="false" customHeight="false" outlineLevel="0" collapsed="false">
      <c r="A15643" s="5" t="s">
        <v>289</v>
      </c>
      <c r="C15643" s="5" t="str">
        <f aca="false">IF(SUM($G$15595:$K$15595)=0,"n/a",IF(C15641&gt;=C15640-0.001,"Repaid from cash",IF(SUMPRODUCT($G$15595:$K$15595,$G$15579:$K$15579)&gt;0,IF(C15641&gt;0,"Partly repaid; remainder refinanced","Refinanced"),IF(SUM($G$15604:$K$15604)&gt;0.001,IF(C15641&gt;0,"Partial repayment; PAYMENT DEFAULT","PAYMENT DEFAULT"),"Repaid from cash"))))</f>
        <v>PAYMENT DEFAULT</v>
      </c>
    </row>
    <row r="15644" customFormat="false" ht="15" hidden="false" customHeight="false" outlineLevel="0" collapsed="false">
      <c r="A15644" s="5" t="s">
        <v>290</v>
      </c>
      <c r="C15644" s="25" t="n">
        <f aca="false">SUMPRODUCT($G$15608:$K$15608,$G$15607:$K$15607-$G$15613:$K$15613+$G$15612:$K$15612)</f>
        <v>250</v>
      </c>
    </row>
    <row r="15645" customFormat="false" ht="15" hidden="false" customHeight="false" outlineLevel="0" collapsed="false">
      <c r="A15645" s="5" t="s">
        <v>291</v>
      </c>
      <c r="C15645" s="25" t="n">
        <f aca="false">SUMPRODUCT($G$15608:$K$15608,$G$15615:$K$15615)</f>
        <v>0</v>
      </c>
    </row>
    <row r="15646" customFormat="false" ht="15" hidden="false" customHeight="false" outlineLevel="0" collapsed="false">
      <c r="A15646" s="5" t="s">
        <v>292</v>
      </c>
      <c r="C15646" s="5" t="str">
        <f aca="false">IF(SUM($G$15608:$K$15608)=0,"n/a (beyond horizon)",IF(SUMPRODUCT($G$15608:$K$15608,$G$15579:$K$15579)&gt;0,"REFINANCING PASS","REFINANCING FAILURE"))</f>
        <v>REFINANCING FAILURE</v>
      </c>
    </row>
    <row r="15647" customFormat="false" ht="15" hidden="false" customHeight="false" outlineLevel="0" collapsed="false">
      <c r="A15647" s="5" t="s">
        <v>293</v>
      </c>
      <c r="C15647" s="5" t="str">
        <f aca="false">IF(SUM($G$15608:$K$15608)=0,"n/a",IF(C15645&gt;=C15644-0.001,"Repaid from cash",IF(SUMPRODUCT($G$15608:$K$15608,$G$15579:$K$15579)&gt;0,IF(C15645&gt;0,"Partly repaid; remainder refinanced","Refinanced"),IF(SUM($G$15617:$K$15617)&gt;0.001,IF(C15645&gt;0,"Partial repayment; PAYMENT DEFAULT","PAYMENT DEFAULT"),"Repaid from cash"))))</f>
        <v>PAYMENT DEFAULT</v>
      </c>
    </row>
    <row r="15648" customFormat="false" ht="15" hidden="false" customHeight="false" outlineLevel="0" collapsed="false">
      <c r="A15648" s="5" t="s">
        <v>294</v>
      </c>
      <c r="C15648" s="25" t="n">
        <f aca="false">SUMPRODUCT($G$15621:$K$15621,$G$15620:$K$15620-$G$15626:$K$15626+$G$15625:$K$15625)</f>
        <v>300</v>
      </c>
    </row>
    <row r="15649" customFormat="false" ht="15" hidden="false" customHeight="false" outlineLevel="0" collapsed="false">
      <c r="A15649" s="5" t="s">
        <v>295</v>
      </c>
      <c r="C15649" s="25" t="n">
        <f aca="false">SUMPRODUCT($G$15621:$K$15621,$G$15628:$K$15628)</f>
        <v>0</v>
      </c>
    </row>
    <row r="15650" customFormat="false" ht="15" hidden="false" customHeight="false" outlineLevel="0" collapsed="false">
      <c r="A15650" s="5" t="s">
        <v>296</v>
      </c>
      <c r="C15650" s="5" t="str">
        <f aca="false">IF(SUM($G$15621:$K$15621)=0,"n/a (beyond horizon)",IF(SUMPRODUCT($G$15621:$K$15621,$G$15579:$K$15579)&gt;0,"REFINANCING PASS","REFINANCING FAILURE"))</f>
        <v>REFINANCING FAILURE</v>
      </c>
    </row>
    <row r="15651" customFormat="false" ht="15" hidden="false" customHeight="false" outlineLevel="0" collapsed="false">
      <c r="A15651" s="5" t="s">
        <v>297</v>
      </c>
      <c r="C15651" s="5" t="str">
        <f aca="false">IF(SUM($G$15621:$K$15621)=0,"n/a",IF(C15649&gt;=C15648-0.001,"Repaid from cash",IF(SUMPRODUCT($G$15621:$K$15621,$G$15579:$K$15579)&gt;0,IF(C15649&gt;0,"Partly repaid; remainder refinanced","Refinanced"),IF(SUM($G$15630:$K$15630)&gt;0.001,IF(C15649&gt;0,"Partial repayment; PAYMENT DEFAULT","PAYMENT DEFAULT"),"Repaid from cash"))))</f>
        <v>PAYMENT DEFAULT</v>
      </c>
    </row>
    <row r="15652" customFormat="false" ht="15" hidden="false" customHeight="false" outlineLevel="0" collapsed="false">
      <c r="A15652" s="5" t="s">
        <v>298</v>
      </c>
      <c r="C15652" s="20" t="n">
        <f aca="false">IF(C15638="REFINANCING FAILURE",1,0)+IF(C15642="REFINANCING FAILURE",1,0)+IF(C15646="REFINANCING FAILURE",1,0)+IF(C15650="REFINANCING FAILURE",1,0)</f>
        <v>4</v>
      </c>
    </row>
    <row r="15654" customFormat="false" ht="15" hidden="false" customHeight="false" outlineLevel="0" collapsed="false">
      <c r="A15654" s="23" t="s">
        <v>300</v>
      </c>
      <c r="B15654" s="24"/>
      <c r="C15654" s="24"/>
      <c r="D15654" s="24"/>
      <c r="E15654" s="24"/>
      <c r="F15654" s="24"/>
      <c r="G15654" s="24"/>
      <c r="H15654" s="24"/>
      <c r="I15654" s="24"/>
      <c r="J15654" s="24"/>
      <c r="K15654" s="24"/>
    </row>
    <row r="15655" customFormat="false" ht="15" hidden="false" customHeight="false" outlineLevel="0" collapsed="false">
      <c r="A15655" s="5" t="s">
        <v>260</v>
      </c>
      <c r="G15655" s="25" t="n">
        <f aca="false">F15667</f>
        <v>45</v>
      </c>
      <c r="H15655" s="25" t="n">
        <f aca="false">G15667</f>
        <v>0</v>
      </c>
      <c r="I15655" s="25" t="n">
        <f aca="false">H15667</f>
        <v>-135.4291108</v>
      </c>
      <c r="J15655" s="25" t="n">
        <f aca="false">I15667</f>
        <v>-291.542971344</v>
      </c>
      <c r="K15655" s="25" t="n">
        <f aca="false">J15667</f>
        <v>-449.95105797056</v>
      </c>
    </row>
    <row r="15656" customFormat="false" ht="15" hidden="false" customHeight="false" outlineLevel="0" collapsed="false">
      <c r="A15656" s="5" t="s">
        <v>301</v>
      </c>
      <c r="G15656" s="25" t="n">
        <f aca="false">G15568</f>
        <v>-91.2088</v>
      </c>
      <c r="H15656" s="25" t="n">
        <f aca="false">H15568</f>
        <v>-130.2291108</v>
      </c>
      <c r="I15656" s="25" t="n">
        <f aca="false">I15568</f>
        <v>-150.913860544</v>
      </c>
      <c r="J15656" s="25" t="n">
        <f aca="false">J15568</f>
        <v>-153.20808662656</v>
      </c>
      <c r="K15656" s="25" t="n">
        <f aca="false">K15568</f>
        <v>-152.402111088294</v>
      </c>
    </row>
    <row r="15657" customFormat="false" ht="15" hidden="false" customHeight="false" outlineLevel="0" collapsed="false">
      <c r="A15657" s="5" t="s">
        <v>302</v>
      </c>
      <c r="G15657" s="25" t="n">
        <f aca="false">CHOOSE($C$15538,Assumptions!$G$68,Assumptions!$G$87,Assumptions!$G$106)</f>
        <v>0</v>
      </c>
      <c r="H15657" s="25" t="n">
        <f aca="false">CHOOSE($C$15538,Assumptions!$H$68,Assumptions!$H$87,Assumptions!$H$106)</f>
        <v>0</v>
      </c>
      <c r="I15657" s="25" t="n">
        <f aca="false">CHOOSE($C$15538,Assumptions!$I$68,Assumptions!$I$87,Assumptions!$I$106)</f>
        <v>0</v>
      </c>
      <c r="J15657" s="25" t="n">
        <f aca="false">CHOOSE($C$15538,Assumptions!$J$68,Assumptions!$J$87,Assumptions!$J$106)</f>
        <v>0</v>
      </c>
      <c r="K15657" s="25" t="n">
        <f aca="false">CHOOSE($C$15538,Assumptions!$K$68,Assumptions!$K$87,Assumptions!$K$106)</f>
        <v>0</v>
      </c>
    </row>
    <row r="15658" customFormat="false" ht="15" hidden="false" customHeight="false" outlineLevel="0" collapsed="false">
      <c r="A15658" s="5" t="s">
        <v>303</v>
      </c>
      <c r="G15658" s="25" t="n">
        <f aca="false">G15587+G15600+G15613+G15626</f>
        <v>5.2</v>
      </c>
      <c r="H15658" s="25" t="n">
        <f aca="false">H15587+H15600+H15613+H15626</f>
        <v>5.2</v>
      </c>
      <c r="I15658" s="25" t="n">
        <f aca="false">I15587+I15600+I15613+I15626</f>
        <v>5.2</v>
      </c>
      <c r="J15658" s="25" t="n">
        <f aca="false">J15587+J15600+J15613+J15626</f>
        <v>5.2</v>
      </c>
      <c r="K15658" s="25" t="n">
        <f aca="false">K15587+K15600+K15613+K15626</f>
        <v>5.2</v>
      </c>
    </row>
    <row r="15659" customFormat="false" ht="15" hidden="false" customHeight="false" outlineLevel="0" collapsed="false">
      <c r="A15659" s="2" t="s">
        <v>304</v>
      </c>
      <c r="G15659" s="16" t="n">
        <f aca="false">G15655+G15656+G15657-G15658</f>
        <v>-51.4088</v>
      </c>
      <c r="H15659" s="16" t="n">
        <f aca="false">H15655+H15656+H15657-H15658</f>
        <v>-135.4291108</v>
      </c>
      <c r="I15659" s="16" t="n">
        <f aca="false">I15655+I15656+I15657-I15658</f>
        <v>-291.542971344</v>
      </c>
      <c r="J15659" s="16" t="n">
        <f aca="false">J15655+J15656+J15657-J15658</f>
        <v>-449.95105797056</v>
      </c>
      <c r="K15659" s="16" t="n">
        <f aca="false">K15655+K15656+K15657-K15658</f>
        <v>-607.553169058854</v>
      </c>
    </row>
    <row r="15660" customFormat="false" ht="15" hidden="false" customHeight="false" outlineLevel="0" collapsed="false">
      <c r="A15660" s="5" t="s">
        <v>305</v>
      </c>
      <c r="G15660" s="25" t="n">
        <f aca="false">G15588+G15601+G15614+G15627</f>
        <v>51.4088</v>
      </c>
      <c r="H15660" s="25" t="n">
        <f aca="false">H15588+H15601+H15614+H15627</f>
        <v>0</v>
      </c>
      <c r="I15660" s="25" t="n">
        <f aca="false">I15588+I15601+I15614+I15627</f>
        <v>0</v>
      </c>
      <c r="J15660" s="25" t="n">
        <f aca="false">J15588+J15601+J15614+J15627</f>
        <v>0</v>
      </c>
      <c r="K15660" s="25" t="n">
        <f aca="false">K15588+K15601+K15614+K15627</f>
        <v>0</v>
      </c>
    </row>
    <row r="15661" customFormat="false" ht="15" hidden="false" customHeight="false" outlineLevel="0" collapsed="false">
      <c r="A15661" s="2" t="s">
        <v>306</v>
      </c>
      <c r="G15661" s="16" t="n">
        <f aca="false">G15659+G15660</f>
        <v>0</v>
      </c>
      <c r="H15661" s="16" t="n">
        <f aca="false">H15659+H15660</f>
        <v>-135.4291108</v>
      </c>
      <c r="I15661" s="16" t="n">
        <f aca="false">I15659+I15660</f>
        <v>-291.542971344</v>
      </c>
      <c r="J15661" s="16" t="n">
        <f aca="false">J15659+J15660</f>
        <v>-449.95105797056</v>
      </c>
      <c r="K15661" s="16" t="n">
        <f aca="false">K15659+K15660</f>
        <v>-607.553169058854</v>
      </c>
    </row>
    <row r="15662" customFormat="false" ht="15" hidden="false" customHeight="false" outlineLevel="0" collapsed="false">
      <c r="A15662" s="5" t="s">
        <v>307</v>
      </c>
      <c r="G15662" s="25" t="n">
        <f aca="false">G15589+G15602+G15615+G15628</f>
        <v>0</v>
      </c>
      <c r="H15662" s="25" t="n">
        <f aca="false">H15589+H15602+H15615+H15628</f>
        <v>0</v>
      </c>
      <c r="I15662" s="25" t="n">
        <f aca="false">I15589+I15602+I15615+I15628</f>
        <v>0</v>
      </c>
      <c r="J15662" s="25" t="n">
        <f aca="false">J15589+J15602+J15615+J15628</f>
        <v>0</v>
      </c>
      <c r="K15662" s="25" t="n">
        <f aca="false">K15589+K15602+K15615+K15628</f>
        <v>0</v>
      </c>
    </row>
    <row r="15663" customFormat="false" ht="15" hidden="false" customHeight="false" outlineLevel="0" collapsed="false">
      <c r="A15663" s="2" t="s">
        <v>308</v>
      </c>
      <c r="G15663" s="16" t="n">
        <f aca="false">G15661-G15662</f>
        <v>0</v>
      </c>
      <c r="H15663" s="16" t="n">
        <f aca="false">H15661-H15662</f>
        <v>-135.4291108</v>
      </c>
      <c r="I15663" s="16" t="n">
        <f aca="false">I15661-I15662</f>
        <v>-291.542971344</v>
      </c>
      <c r="J15663" s="16" t="n">
        <f aca="false">J15661-J15662</f>
        <v>-449.95105797056</v>
      </c>
      <c r="K15663" s="16" t="n">
        <f aca="false">K15661-K15662</f>
        <v>-607.553169058854</v>
      </c>
    </row>
    <row r="15664" customFormat="false" ht="15" hidden="false" customHeight="false" outlineLevel="0" collapsed="false">
      <c r="A15664" s="5" t="s">
        <v>309</v>
      </c>
      <c r="G15664" s="25" t="n">
        <f aca="false">MAX(0,-G15663)</f>
        <v>-0</v>
      </c>
      <c r="H15664" s="25" t="n">
        <f aca="false">MAX(0,-H15663)</f>
        <v>135.4291108</v>
      </c>
      <c r="I15664" s="25" t="n">
        <f aca="false">MAX(0,-I15663)</f>
        <v>291.542971344</v>
      </c>
      <c r="J15664" s="25" t="n">
        <f aca="false">MAX(0,-J15663)</f>
        <v>449.95105797056</v>
      </c>
      <c r="K15664" s="25" t="n">
        <f aca="false">MAX(0,-K15663)</f>
        <v>607.553169058854</v>
      </c>
    </row>
    <row r="15665" customFormat="false" ht="15" hidden="false" customHeight="false" outlineLevel="0" collapsed="false">
      <c r="A15665" s="5" t="s">
        <v>310</v>
      </c>
      <c r="G15665" s="25" t="n">
        <f aca="false">MAX(0,G15663-Assumptions!$C$12)*Assumptions!$C$13</f>
        <v>0</v>
      </c>
      <c r="H15665" s="25" t="n">
        <f aca="false">MAX(0,H15663-Assumptions!$C$12)*Assumptions!$C$13</f>
        <v>0</v>
      </c>
      <c r="I15665" s="25" t="n">
        <f aca="false">MAX(0,I15663-Assumptions!$C$12)*Assumptions!$C$13</f>
        <v>0</v>
      </c>
      <c r="J15665" s="25" t="n">
        <f aca="false">MAX(0,J15663-Assumptions!$C$12)*Assumptions!$C$13</f>
        <v>0</v>
      </c>
      <c r="K15665" s="25" t="n">
        <f aca="false">MAX(0,K15663-Assumptions!$C$12)*Assumptions!$C$13</f>
        <v>0</v>
      </c>
    </row>
    <row r="15666" customFormat="false" ht="15" hidden="false" customHeight="false" outlineLevel="0" collapsed="false">
      <c r="A15666" s="5" t="s">
        <v>311</v>
      </c>
      <c r="G15666" s="25" t="n">
        <f aca="false">G15590+G15603+G15616+G15629</f>
        <v>0</v>
      </c>
      <c r="H15666" s="25" t="n">
        <f aca="false">H15590+H15603+H15616+H15629</f>
        <v>0</v>
      </c>
      <c r="I15666" s="25" t="n">
        <f aca="false">I15590+I15603+I15616+I15629</f>
        <v>0</v>
      </c>
      <c r="J15666" s="25" t="n">
        <f aca="false">J15590+J15603+J15616+J15629</f>
        <v>0</v>
      </c>
      <c r="K15666" s="25" t="n">
        <f aca="false">K15590+K15603+K15616+K15629</f>
        <v>0</v>
      </c>
    </row>
    <row r="15667" customFormat="false" ht="15" hidden="false" customHeight="false" outlineLevel="0" collapsed="false">
      <c r="A15667" s="2" t="s">
        <v>312</v>
      </c>
      <c r="F15667" s="27" t="n">
        <f aca="false">Assumptions!$C$11</f>
        <v>45</v>
      </c>
      <c r="G15667" s="16" t="n">
        <f aca="false">G15663-G15666</f>
        <v>0</v>
      </c>
      <c r="H15667" s="16" t="n">
        <f aca="false">H15663-H15666</f>
        <v>-135.4291108</v>
      </c>
      <c r="I15667" s="16" t="n">
        <f aca="false">I15663-I15666</f>
        <v>-291.542971344</v>
      </c>
      <c r="J15667" s="16" t="n">
        <f aca="false">J15663-J15666</f>
        <v>-449.95105797056</v>
      </c>
      <c r="K15667" s="16" t="n">
        <f aca="false">K15663-K15666</f>
        <v>-607.553169058854</v>
      </c>
    </row>
    <row r="15668" customFormat="false" ht="15" hidden="false" customHeight="false" outlineLevel="0" collapsed="false">
      <c r="A15668" s="5" t="s">
        <v>313</v>
      </c>
      <c r="G15668" s="25" t="n">
        <f aca="false">G15591+G15604+G15617+G15630</f>
        <v>0</v>
      </c>
      <c r="H15668" s="25" t="n">
        <f aca="false">H15591+H15604+H15617+H15630</f>
        <v>531.4088</v>
      </c>
      <c r="I15668" s="25" t="n">
        <f aca="false">I15591+I15604+I15617+I15630</f>
        <v>504.4</v>
      </c>
      <c r="J15668" s="25" t="n">
        <f aca="false">J15591+J15604+J15617+J15630</f>
        <v>250</v>
      </c>
      <c r="K15668" s="25" t="n">
        <f aca="false">K15591+K15604+K15617+K15630</f>
        <v>0</v>
      </c>
    </row>
    <row r="15669" customFormat="false" ht="15" hidden="false" customHeight="false" outlineLevel="0" collapsed="false">
      <c r="A15669" s="5" t="s">
        <v>314</v>
      </c>
      <c r="G15669" s="20" t="n">
        <f aca="false">IF(OR(G15664&gt;0.001,G15668&gt;0.001),1,0)</f>
        <v>0</v>
      </c>
      <c r="H15669" s="20" t="n">
        <f aca="false">IF(OR(H15664&gt;0.001,H15668&gt;0.001),1,0)</f>
        <v>1</v>
      </c>
      <c r="I15669" s="20" t="n">
        <f aca="false">IF(OR(I15664&gt;0.001,I15668&gt;0.001),1,0)</f>
        <v>1</v>
      </c>
      <c r="J15669" s="20" t="n">
        <f aca="false">IF(OR(J15664&gt;0.001,J15668&gt;0.001),1,0)</f>
        <v>1</v>
      </c>
      <c r="K15669" s="20" t="n">
        <f aca="false">IF(OR(K15664&gt;0.001,K15668&gt;0.001),1,0)</f>
        <v>1</v>
      </c>
    </row>
    <row r="15670" customFormat="false" ht="15" hidden="false" customHeight="false" outlineLevel="0" collapsed="false">
      <c r="A15670" s="5" t="s">
        <v>315</v>
      </c>
      <c r="G15670" s="20" t="n">
        <f aca="false">IF(G15669=1,1,0)</f>
        <v>0</v>
      </c>
      <c r="H15670" s="20" t="n">
        <f aca="false">IF(AND(H15669=1,SUM($G$15669:G15669)=0),1,0)</f>
        <v>1</v>
      </c>
      <c r="I15670" s="20" t="n">
        <f aca="false">IF(AND(I15669=1,SUM($G$15669:H15669)=0),1,0)</f>
        <v>0</v>
      </c>
      <c r="J15670" s="20" t="n">
        <f aca="false">IF(AND(J15669=1,SUM($G$15669:I15669)=0),1,0)</f>
        <v>0</v>
      </c>
      <c r="K15670" s="20" t="n">
        <f aca="false">IF(AND(K15669=1,SUM($G$15669:J15669)=0),1,0)</f>
        <v>0</v>
      </c>
    </row>
    <row r="15671" customFormat="false" ht="15" hidden="false" customHeight="false" outlineLevel="0" collapsed="false">
      <c r="A15671" s="5" t="s">
        <v>316</v>
      </c>
      <c r="G15671" s="25" t="n">
        <f aca="false">(G15633-F15633)-(G15660+G15560-G15658-G15662-G15666)</f>
        <v>0</v>
      </c>
      <c r="H15671" s="25" t="n">
        <f aca="false">(H15633-G15633)-(H15660+H15560-H15658-H15662-H15666)</f>
        <v>1.82076576038526E-013</v>
      </c>
      <c r="I15671" s="25" t="n">
        <f aca="false">(I15633-H15633)-(I15660+I15560-I15658-I15662-I15666)</f>
        <v>-4.52970994047064E-014</v>
      </c>
      <c r="J15671" s="25" t="n">
        <f aca="false">(J15633-I15633)-(J15660+J15560-J15658-J15662-J15666)</f>
        <v>-4.52970994047064E-014</v>
      </c>
      <c r="K15671" s="25" t="n">
        <f aca="false">(K15633-J15633)-(K15660+K15560-K15658-K15662-K15666)</f>
        <v>1.82076576038526E-013</v>
      </c>
    </row>
    <row r="15673" customFormat="false" ht="15" hidden="false" customHeight="false" outlineLevel="0" collapsed="false">
      <c r="A15673" s="23" t="s">
        <v>318</v>
      </c>
      <c r="B15673" s="24"/>
      <c r="C15673" s="24"/>
      <c r="D15673" s="24"/>
      <c r="E15673" s="24"/>
      <c r="F15673" s="24"/>
      <c r="G15673" s="24"/>
      <c r="H15673" s="24"/>
      <c r="I15673" s="24"/>
      <c r="J15673" s="24"/>
      <c r="K15673" s="24"/>
    </row>
    <row r="15674" customFormat="false" ht="15" hidden="false" customHeight="false" outlineLevel="0" collapsed="false">
      <c r="A15674" s="5" t="s">
        <v>319</v>
      </c>
      <c r="G15674" s="25" t="n">
        <f aca="false">G15633</f>
        <v>1296.2088</v>
      </c>
      <c r="H15674" s="25" t="n">
        <f aca="false">H15633</f>
        <v>1291.0088</v>
      </c>
      <c r="I15674" s="25" t="n">
        <f aca="false">I15633</f>
        <v>1285.8088</v>
      </c>
      <c r="J15674" s="25" t="n">
        <f aca="false">J15633</f>
        <v>1280.6088</v>
      </c>
      <c r="K15674" s="25" t="n">
        <f aca="false">K15633</f>
        <v>1275.4088</v>
      </c>
    </row>
    <row r="15675" customFormat="false" ht="15" hidden="false" customHeight="false" outlineLevel="0" collapsed="false">
      <c r="A15675" s="5" t="s">
        <v>320</v>
      </c>
      <c r="G15675" s="25" t="n">
        <f aca="false">Assumptions!$O$53*G15592+Assumptions!$O$54*G15605+Assumptions!$O$55*G15618+Assumptions!$O$56*G15631</f>
        <v>996.2088</v>
      </c>
      <c r="H15675" s="25" t="n">
        <f aca="false">Assumptions!$O$53*H15592+Assumptions!$O$54*H15605+Assumptions!$O$55*H15618+Assumptions!$O$56*H15631</f>
        <v>991.0088</v>
      </c>
      <c r="I15675" s="25" t="n">
        <f aca="false">Assumptions!$O$53*I15592+Assumptions!$O$54*I15605+Assumptions!$O$55*I15618+Assumptions!$O$56*I15631</f>
        <v>985.8088</v>
      </c>
      <c r="J15675" s="25" t="n">
        <f aca="false">Assumptions!$O$53*J15592+Assumptions!$O$54*J15605+Assumptions!$O$55*J15618+Assumptions!$O$56*J15631</f>
        <v>980.6088</v>
      </c>
      <c r="K15675" s="25" t="n">
        <f aca="false">Assumptions!$O$53*K15592+Assumptions!$O$54*K15605+Assumptions!$O$55*K15618+Assumptions!$O$56*K15631</f>
        <v>975.4088</v>
      </c>
    </row>
    <row r="15676" customFormat="false" ht="15" hidden="false" customHeight="false" outlineLevel="0" collapsed="false">
      <c r="A15676" s="5" t="s">
        <v>321</v>
      </c>
      <c r="G15676" s="25" t="n">
        <f aca="false">G15674-G15667</f>
        <v>1296.2088</v>
      </c>
      <c r="H15676" s="25" t="n">
        <f aca="false">H15674-H15667</f>
        <v>1426.4379108</v>
      </c>
      <c r="I15676" s="25" t="n">
        <f aca="false">I15674-I15667</f>
        <v>1577.351771344</v>
      </c>
      <c r="J15676" s="25" t="n">
        <f aca="false">J15674-J15667</f>
        <v>1730.55985797056</v>
      </c>
      <c r="K15676" s="25" t="n">
        <f aca="false">K15674-K15667</f>
        <v>1882.96196905885</v>
      </c>
    </row>
    <row r="15677" customFormat="false" ht="15" hidden="false" customHeight="false" outlineLevel="0" collapsed="false">
      <c r="A15677" s="5" t="s">
        <v>322</v>
      </c>
      <c r="G15677" s="31" t="n">
        <f aca="false">IF(G15555&gt;0,G15674/G15555,0)</f>
        <v>70.5074412532637</v>
      </c>
      <c r="H15677" s="31" t="n">
        <f aca="false">IF(H15555&gt;0,H15674/H15555,0)</f>
        <v>80.7179156287827</v>
      </c>
      <c r="I15677" s="31" t="n">
        <f aca="false">IF(I15555&gt;0,I15674/I15555,0)</f>
        <v>82.5388042446342</v>
      </c>
      <c r="J15677" s="31" t="n">
        <f aca="false">IF(J15555&gt;0,J15674/J15555,0)</f>
        <v>83.0353587619156</v>
      </c>
      <c r="K15677" s="31" t="n">
        <f aca="false">IF(K15555&gt;0,K15674/K15555,0)</f>
        <v>83.5335232159562</v>
      </c>
    </row>
    <row r="15678" customFormat="false" ht="15" hidden="false" customHeight="false" outlineLevel="0" collapsed="false">
      <c r="A15678" s="5" t="s">
        <v>323</v>
      </c>
      <c r="G15678" s="31" t="n">
        <f aca="false">IF(G15555&gt;0,G15676/G15555,0)</f>
        <v>70.5074412532637</v>
      </c>
      <c r="H15678" s="31" t="n">
        <f aca="false">IF(H15555&gt;0,H15676/H15555,0)</f>
        <v>89.1853680111641</v>
      </c>
      <c r="I15678" s="31" t="n">
        <f aca="false">IF(I15555&gt;0,I15676/I15555,0)</f>
        <v>101.253568244275</v>
      </c>
      <c r="J15678" s="31" t="n">
        <f aca="false">IF(J15555&gt;0,J15676/J15555,0)</f>
        <v>112.210425748718</v>
      </c>
      <c r="K15678" s="31" t="n">
        <f aca="false">IF(K15555&gt;0,K15676/K15555,0)</f>
        <v>123.325515205117</v>
      </c>
    </row>
    <row r="15679" customFormat="false" ht="15" hidden="false" customHeight="false" outlineLevel="0" collapsed="false">
      <c r="A15679" s="5" t="s">
        <v>324</v>
      </c>
      <c r="G15679" s="31" t="n">
        <f aca="false">IF(G15559&gt;0,G15555/G15559,0)</f>
        <v>0.134641863190274</v>
      </c>
      <c r="H15679" s="31" t="n">
        <f aca="false">IF(H15559&gt;0,H15555/H15559,0)</f>
        <v>0.114476261184902</v>
      </c>
      <c r="I15679" s="31" t="n">
        <f aca="false">IF(I15559&gt;0,I15555/I15559,0)</f>
        <v>0.113535593925174</v>
      </c>
      <c r="J15679" s="31" t="n">
        <f aca="false">IF(J15559&gt;0,J15555/J15559,0)</f>
        <v>0.112926641381603</v>
      </c>
      <c r="K15679" s="31" t="n">
        <f aca="false">IF(K15559&gt;0,K15555/K15559,0)</f>
        <v>0.112323418595653</v>
      </c>
    </row>
    <row r="15680" customFormat="false" ht="15" hidden="false" customHeight="false" outlineLevel="0" collapsed="false">
      <c r="A15680" s="5" t="s">
        <v>325</v>
      </c>
      <c r="G15680" s="31" t="n">
        <f aca="false">IF(G15559&gt;0,G15558/G15559,0)</f>
        <v>-0.161570235828329</v>
      </c>
      <c r="H15680" s="31" t="n">
        <f aca="false">IF(H15559&gt;0,H15558/H15559,0)</f>
        <v>-0.137371513421883</v>
      </c>
      <c r="I15680" s="31" t="n">
        <f aca="false">IF(I15559&gt;0,I15558/I15559,0)</f>
        <v>-0.136242712710209</v>
      </c>
      <c r="J15680" s="31" t="n">
        <f aca="false">IF(J15559&gt;0,J15558/J15559,0)</f>
        <v>-0.135511969657923</v>
      </c>
      <c r="K15680" s="31" t="n">
        <f aca="false">IF(K15559&gt;0,K15558/K15559,0)</f>
        <v>-0.134788102314784</v>
      </c>
    </row>
    <row r="15681" customFormat="false" ht="15" hidden="false" customHeight="false" outlineLevel="0" collapsed="false">
      <c r="A15681" s="5" t="s">
        <v>182</v>
      </c>
      <c r="G15681" s="21" t="n">
        <f aca="false">IF(G15674&gt;0,G15568/G15674,0)</f>
        <v>-0.0703658237777741</v>
      </c>
      <c r="H15681" s="21" t="n">
        <f aca="false">IF(H15674&gt;0,H15568/H15674,0)</f>
        <v>-0.100873914105001</v>
      </c>
      <c r="I15681" s="21" t="n">
        <f aca="false">IF(I15674&gt;0,I15568/I15674,0)</f>
        <v>-0.11736881917747</v>
      </c>
      <c r="J15681" s="21" t="n">
        <f aca="false">IF(J15674&gt;0,J15568/J15674,0)</f>
        <v>-0.119636915369128</v>
      </c>
      <c r="K15681" s="21" t="n">
        <f aca="false">IF(K15674&gt;0,K15568/K15674,0)</f>
        <v>-0.119492754862829</v>
      </c>
    </row>
    <row r="15682" customFormat="false" ht="15" hidden="false" customHeight="false" outlineLevel="0" collapsed="false">
      <c r="A15682" s="5" t="s">
        <v>326</v>
      </c>
      <c r="G15682" s="31" t="n">
        <f aca="false">IF(G15559+G15658&gt;0,(G15555-G15566-G15563)/(G15559+G15658),0)</f>
        <v>-0.0778213630591224</v>
      </c>
      <c r="H15682" s="31" t="n">
        <f aca="false">IF(H15559+H15658&gt;0,(H15555-H15566-H15563)/(H15559+H15658),0)</f>
        <v>-0.0662211029007555</v>
      </c>
      <c r="I15682" s="31" t="n">
        <f aca="false">IF(I15559+I15658&gt;0,(I15555-I15566-I15563)/(I15559+I15658),0)</f>
        <v>-0.0656339557321163</v>
      </c>
      <c r="J15682" s="31" t="n">
        <f aca="false">IF(J15559+J15658&gt;0,(J15555-J15566-J15563)/(J15559+J15658),0)</f>
        <v>-0.0652707637174091</v>
      </c>
      <c r="K15682" s="31" t="n">
        <f aca="false">IF(K15559+K15658&gt;0,(K15555-K15566-K15563)/(K15559+K15658),0)</f>
        <v>-0.0649109026436988</v>
      </c>
    </row>
    <row r="15683" customFormat="false" ht="15" hidden="false" customHeight="false" outlineLevel="0" collapsed="false">
      <c r="A15683" s="5" t="s">
        <v>327</v>
      </c>
      <c r="G15683" s="25" t="n">
        <f aca="false">MAX(0,G15667)+Assumptions!$P$53*MAX(0,Assumptions!$D$53-G15592)+Assumptions!$P$54*MAX(0,Assumptions!$D$54-G15605)+Assumptions!$P$55*MAX(0,Assumptions!$D$55-G15618)+Assumptions!$P$56*MAX(0,Assumptions!$D$56-G15631)</f>
        <v>68.5912</v>
      </c>
      <c r="H15683" s="25" t="n">
        <f aca="false">MAX(0,H15667)+Assumptions!$P$53*MAX(0,Assumptions!$D$53-H15592)+Assumptions!$P$54*MAX(0,Assumptions!$D$54-H15605)+Assumptions!$P$55*MAX(0,Assumptions!$D$55-H15618)+Assumptions!$P$56*MAX(0,Assumptions!$D$56-H15631)</f>
        <v>68.5912</v>
      </c>
      <c r="I15683" s="25" t="n">
        <f aca="false">MAX(0,I15667)+Assumptions!$P$53*MAX(0,Assumptions!$D$53-I15592)+Assumptions!$P$54*MAX(0,Assumptions!$D$54-I15605)+Assumptions!$P$55*MAX(0,Assumptions!$D$55-I15618)+Assumptions!$P$56*MAX(0,Assumptions!$D$56-I15631)</f>
        <v>68.5912</v>
      </c>
      <c r="J15683" s="25" t="n">
        <f aca="false">MAX(0,J15667)+Assumptions!$P$53*MAX(0,Assumptions!$D$53-J15592)+Assumptions!$P$54*MAX(0,Assumptions!$D$54-J15605)+Assumptions!$P$55*MAX(0,Assumptions!$D$55-J15618)+Assumptions!$P$56*MAX(0,Assumptions!$D$56-J15631)</f>
        <v>68.5912</v>
      </c>
      <c r="K15683" s="25" t="n">
        <f aca="false">MAX(0,K15667)+Assumptions!$P$53*MAX(0,Assumptions!$D$53-K15592)+Assumptions!$P$54*MAX(0,Assumptions!$D$54-K15605)+Assumptions!$P$55*MAX(0,Assumptions!$D$55-K15618)+Assumptions!$P$56*MAX(0,Assumptions!$D$56-K15631)</f>
        <v>68.5912</v>
      </c>
    </row>
    <row r="15684" customFormat="false" ht="15" hidden="false" customHeight="false" outlineLevel="0" collapsed="false">
      <c r="A15684" s="5" t="s">
        <v>328</v>
      </c>
      <c r="G15684" s="21" t="n">
        <f aca="false">IF(G15674&gt;0,G15674/(G15674+MAX(0,G15555*CHOOSE($C$15538,Assumptions!$C$76,Assumptions!$C$95,Assumptions!$C$114)-G15676)),0)</f>
        <v>1</v>
      </c>
      <c r="H15684" s="21" t="n">
        <f aca="false">IF(H15674&gt;0,H15674/(H15674+MAX(0,H15555*CHOOSE($C$15538,Assumptions!$C$76,Assumptions!$C$95,Assumptions!$C$114)-H15676)),0)</f>
        <v>1</v>
      </c>
      <c r="I15684" s="21" t="n">
        <f aca="false">IF(I15674&gt;0,I15674/(I15674+MAX(0,I15555*CHOOSE($C$15538,Assumptions!$C$76,Assumptions!$C$95,Assumptions!$C$114)-I15676)),0)</f>
        <v>1</v>
      </c>
      <c r="J15684" s="21" t="n">
        <f aca="false">IF(J15674&gt;0,J15674/(J15674+MAX(0,J15555*CHOOSE($C$15538,Assumptions!$C$76,Assumptions!$C$95,Assumptions!$C$114)-J15676)),0)</f>
        <v>1</v>
      </c>
      <c r="K15684" s="21" t="n">
        <f aca="false">IF(K15674&gt;0,K15674/(K15674+MAX(0,K15555*CHOOSE($C$15538,Assumptions!$C$76,Assumptions!$C$95,Assumptions!$C$114)-K15676)),0)</f>
        <v>1</v>
      </c>
    </row>
    <row r="15685" customFormat="false" ht="15" hidden="false" customHeight="false" outlineLevel="0" collapsed="false">
      <c r="A15685" s="5" t="s">
        <v>329</v>
      </c>
      <c r="G15685" s="21" t="n">
        <f aca="false">IF(G15674&gt;0,MAX(0,G15667)/G15674,0)</f>
        <v>0</v>
      </c>
      <c r="H15685" s="21" t="n">
        <f aca="false">IF(H15674&gt;0,MAX(0,H15667)/H15674,0)</f>
        <v>0</v>
      </c>
      <c r="I15685" s="21" t="n">
        <f aca="false">IF(I15674&gt;0,MAX(0,I15667)/I15674,0)</f>
        <v>0</v>
      </c>
      <c r="J15685" s="21" t="n">
        <f aca="false">IF(J15674&gt;0,MAX(0,J15667)/J15674,0)</f>
        <v>0</v>
      </c>
      <c r="K15685" s="21" t="n">
        <f aca="false">IF(K15674&gt;0,MAX(0,K15667)/K15674,0)</f>
        <v>0</v>
      </c>
    </row>
    <row r="15686" customFormat="false" ht="15" hidden="false" customHeight="false" outlineLevel="0" collapsed="false">
      <c r="A15686" s="5" t="s">
        <v>330</v>
      </c>
      <c r="G15686" s="25" t="n">
        <f aca="false">Assumptions!$C$27*(1-CHOOSE($C$15538,Assumptions!$C$79,Assumptions!$C$98,Assumptions!$C$117))</f>
        <v>676</v>
      </c>
      <c r="H15686" s="25" t="n">
        <f aca="false">Assumptions!$C$27*(1-CHOOSE($C$15538,Assumptions!$C$79,Assumptions!$C$98,Assumptions!$C$117))</f>
        <v>676</v>
      </c>
      <c r="I15686" s="25" t="n">
        <f aca="false">Assumptions!$C$27*(1-CHOOSE($C$15538,Assumptions!$C$79,Assumptions!$C$98,Assumptions!$C$117))</f>
        <v>676</v>
      </c>
      <c r="J15686" s="25" t="n">
        <f aca="false">Assumptions!$C$27*(1-CHOOSE($C$15538,Assumptions!$C$79,Assumptions!$C$98,Assumptions!$C$117))</f>
        <v>676</v>
      </c>
      <c r="K15686" s="25" t="n">
        <f aca="false">Assumptions!$C$27*(1-CHOOSE($C$15538,Assumptions!$C$79,Assumptions!$C$98,Assumptions!$C$117))</f>
        <v>676</v>
      </c>
    </row>
    <row r="15687" customFormat="false" ht="15" hidden="false" customHeight="false" outlineLevel="0" collapsed="false">
      <c r="A15687" s="23" t="s">
        <v>331</v>
      </c>
      <c r="B15687" s="24"/>
      <c r="C15687" s="24"/>
      <c r="D15687" s="24"/>
      <c r="E15687" s="24"/>
      <c r="F15687" s="24"/>
      <c r="G15687" s="24"/>
      <c r="H15687" s="24"/>
      <c r="I15687" s="24"/>
      <c r="J15687" s="24"/>
      <c r="K15687" s="24"/>
    </row>
    <row r="15688" customFormat="false" ht="15" hidden="false" customHeight="false" outlineLevel="0" collapsed="false">
      <c r="A15688" s="23" t="s">
        <v>332</v>
      </c>
      <c r="B15688" s="24"/>
      <c r="C15688" s="24"/>
      <c r="D15688" s="24"/>
      <c r="E15688" s="24"/>
      <c r="F15688" s="24"/>
      <c r="G15688" s="24"/>
      <c r="H15688" s="24"/>
      <c r="I15688" s="24"/>
      <c r="J15688" s="24"/>
      <c r="K15688" s="24"/>
    </row>
    <row r="15689" customFormat="false" ht="15" hidden="false" customHeight="false" outlineLevel="0" collapsed="false">
      <c r="A15689" s="5" t="s">
        <v>333</v>
      </c>
      <c r="G15689" s="31" t="n">
        <f aca="false">IF(G15555&gt;0,G15676/G15555,99)</f>
        <v>70.5074412532637</v>
      </c>
      <c r="H15689" s="31" t="n">
        <f aca="false">IF(H15555&gt;0,H15676/H15555,99)</f>
        <v>89.1853680111641</v>
      </c>
      <c r="I15689" s="31" t="n">
        <f aca="false">IF(I15555&gt;0,I15676/I15555,99)</f>
        <v>101.253568244275</v>
      </c>
      <c r="J15689" s="31" t="n">
        <f aca="false">IF(J15555&gt;0,J15676/J15555,99)</f>
        <v>112.210425748718</v>
      </c>
      <c r="K15689" s="31" t="n">
        <f aca="false">IF(K15555&gt;0,K15676/K15555,99)</f>
        <v>123.325515205117</v>
      </c>
    </row>
    <row r="15690" customFormat="false" ht="15" hidden="false" customHeight="false" outlineLevel="0" collapsed="false">
      <c r="A15690" s="5" t="s">
        <v>334</v>
      </c>
      <c r="G15690" s="32" t="n">
        <f aca="false">Assumptions!$G$61</f>
        <v>8.5</v>
      </c>
      <c r="H15690" s="32" t="n">
        <f aca="false">Assumptions!$H$61</f>
        <v>8.5</v>
      </c>
      <c r="I15690" s="32" t="n">
        <f aca="false">Assumptions!$I$61</f>
        <v>8.5</v>
      </c>
      <c r="J15690" s="32" t="n">
        <f aca="false">Assumptions!$J$61</f>
        <v>8.5</v>
      </c>
      <c r="K15690" s="32" t="n">
        <f aca="false">Assumptions!$K$61</f>
        <v>8.5</v>
      </c>
    </row>
    <row r="15691" customFormat="false" ht="15" hidden="false" customHeight="false" outlineLevel="0" collapsed="false">
      <c r="A15691" s="5" t="s">
        <v>335</v>
      </c>
      <c r="G15691" s="31" t="n">
        <f aca="false">G15690-G15689</f>
        <v>-62.0074412532637</v>
      </c>
      <c r="H15691" s="31" t="n">
        <f aca="false">H15690-H15689</f>
        <v>-80.6853680111641</v>
      </c>
      <c r="I15691" s="31" t="n">
        <f aca="false">I15690-I15689</f>
        <v>-92.753568244275</v>
      </c>
      <c r="J15691" s="31" t="n">
        <f aca="false">J15690-J15689</f>
        <v>-103.710425748718</v>
      </c>
      <c r="K15691" s="31" t="n">
        <f aca="false">K15690-K15689</f>
        <v>-114.825515205117</v>
      </c>
    </row>
    <row r="15692" customFormat="false" ht="15" hidden="false" customHeight="false" outlineLevel="0" collapsed="false">
      <c r="A15692" s="5" t="s">
        <v>336</v>
      </c>
      <c r="G15692" s="21" t="n">
        <f aca="false">IF(G15690=0,0,G15691/ABS(G15690))</f>
        <v>-7.29499308861926</v>
      </c>
      <c r="H15692" s="21" t="n">
        <f aca="false">IF(H15690=0,0,H15691/ABS(H15690))</f>
        <v>-9.49239623660755</v>
      </c>
      <c r="I15692" s="21" t="n">
        <f aca="false">IF(I15690=0,0,I15691/ABS(I15690))</f>
        <v>-10.9121844993265</v>
      </c>
      <c r="J15692" s="21" t="n">
        <f aca="false">IF(J15690=0,0,J15691/ABS(J15690))</f>
        <v>-12.2012265586727</v>
      </c>
      <c r="K15692" s="21" t="n">
        <f aca="false">IF(K15690=0,0,K15691/ABS(K15690))</f>
        <v>-13.5088841417785</v>
      </c>
    </row>
    <row r="15693" customFormat="false" ht="15" hidden="false" customHeight="false" outlineLevel="0" collapsed="false">
      <c r="A15693" s="5" t="s">
        <v>337</v>
      </c>
      <c r="G15693" s="20" t="n">
        <f aca="false">IF(G15691&lt;0,1,0)</f>
        <v>1</v>
      </c>
      <c r="H15693" s="20" t="n">
        <f aca="false">IF(H15691&lt;0,1,0)</f>
        <v>1</v>
      </c>
      <c r="I15693" s="20" t="n">
        <f aca="false">IF(I15691&lt;0,1,0)</f>
        <v>1</v>
      </c>
      <c r="J15693" s="20" t="n">
        <f aca="false">IF(J15691&lt;0,1,0)</f>
        <v>1</v>
      </c>
      <c r="K15693" s="20" t="n">
        <f aca="false">IF(K15691&lt;0,1,0)</f>
        <v>1</v>
      </c>
    </row>
    <row r="15694" customFormat="false" ht="15" hidden="false" customHeight="false" outlineLevel="0" collapsed="false">
      <c r="A15694" s="5" t="s">
        <v>338</v>
      </c>
      <c r="C15694" s="20" t="n">
        <f aca="false">IFERROR(INDEX($G$15545:$K$15545,MATCH(1,$G$15693:$K$15693,0)),0)</f>
        <v>2026</v>
      </c>
    </row>
    <row r="15695" customFormat="false" ht="15" hidden="false" customHeight="false" outlineLevel="0" collapsed="false">
      <c r="A15695" s="5" t="s">
        <v>339</v>
      </c>
      <c r="C15695" s="21" t="n">
        <f aca="false">MIN($G$15692:$K$15692)</f>
        <v>-13.5088841417785</v>
      </c>
    </row>
    <row r="15696" customFormat="false" ht="15" hidden="false" customHeight="false" outlineLevel="0" collapsed="false">
      <c r="A15696" s="5" t="s">
        <v>340</v>
      </c>
      <c r="G15696" s="20" t="n">
        <f aca="false">G15693</f>
        <v>1</v>
      </c>
      <c r="H15696" s="20" t="n">
        <f aca="false">H15693</f>
        <v>1</v>
      </c>
      <c r="I15696" s="20" t="n">
        <f aca="false">I15693</f>
        <v>1</v>
      </c>
      <c r="J15696" s="20" t="n">
        <f aca="false">J15693</f>
        <v>1</v>
      </c>
      <c r="K15696" s="20" t="n">
        <f aca="false">K15693</f>
        <v>1</v>
      </c>
    </row>
    <row r="15697" customFormat="false" ht="15" hidden="false" customHeight="false" outlineLevel="0" collapsed="false">
      <c r="A15697" s="5" t="s">
        <v>341</v>
      </c>
      <c r="C15697" s="20" t="n">
        <f aca="false">SUM($G$15696:$K$15696)</f>
        <v>5</v>
      </c>
    </row>
    <row r="15698" customFormat="false" ht="15" hidden="false" customHeight="false" outlineLevel="0" collapsed="false">
      <c r="A15698" s="5" t="s">
        <v>342</v>
      </c>
      <c r="C15698" s="21" t="n">
        <f aca="false">MIN(C15695)</f>
        <v>-13.5088841417785</v>
      </c>
    </row>
    <row r="15700" customFormat="false" ht="15" hidden="false" customHeight="false" outlineLevel="0" collapsed="false">
      <c r="A15700" s="23" t="s">
        <v>444</v>
      </c>
      <c r="B15700" s="24"/>
      <c r="C15700" s="24"/>
      <c r="D15700" s="24"/>
      <c r="E15700" s="24"/>
      <c r="F15700" s="24"/>
      <c r="G15700" s="24"/>
      <c r="H15700" s="24"/>
      <c r="I15700" s="24"/>
      <c r="J15700" s="24"/>
      <c r="K15700" s="24"/>
    </row>
    <row r="15701" customFormat="false" ht="15" hidden="false" customHeight="false" outlineLevel="0" collapsed="false">
      <c r="A15701" s="5" t="s">
        <v>445</v>
      </c>
      <c r="G15701" s="20" t="n">
        <f aca="false">IF($C$15702=1,G15670,IF(G15555=MIN($G$15555:$K$15555),1,0))</f>
        <v>0</v>
      </c>
      <c r="H15701" s="20" t="n">
        <f aca="false">IF($C$15702=1,H15670,IF(AND(H15555=MIN($G$15555:$K$15555),SUM($G$15701:G15701)=0),1,0))</f>
        <v>1</v>
      </c>
      <c r="I15701" s="20" t="n">
        <f aca="false">IF($C$15702=1,I15670,IF(AND(I15555=MIN($G$15555:$K$15555),SUM($G$15701:H15701)=0),1,0))</f>
        <v>0</v>
      </c>
      <c r="J15701" s="20" t="n">
        <f aca="false">IF($C$15702=1,J15670,IF(AND(J15555=MIN($G$15555:$K$15555),SUM($G$15701:I15701)=0),1,0))</f>
        <v>0</v>
      </c>
      <c r="K15701" s="20" t="n">
        <f aca="false">IF($C$15702=1,K15670,IF(AND(K15555=MIN($G$15555:$K$15555),SUM($G$15701:J15701)=0),1,0))</f>
        <v>0</v>
      </c>
    </row>
    <row r="15702" customFormat="false" ht="15" hidden="false" customHeight="false" outlineLevel="0" collapsed="false">
      <c r="A15702" s="5" t="s">
        <v>446</v>
      </c>
      <c r="C15702" s="20" t="n">
        <f aca="false">IF(SUM($G$15670:$K$15670)&gt;0,1,0)</f>
        <v>1</v>
      </c>
    </row>
    <row r="15703" customFormat="false" ht="15" hidden="false" customHeight="false" outlineLevel="0" collapsed="false">
      <c r="A15703" s="5" t="s">
        <v>447</v>
      </c>
      <c r="C15703" s="20" t="n">
        <f aca="false">SUMPRODUCT($G$15701:$K$15701,$G$15545:$K$15545)</f>
        <v>2027</v>
      </c>
    </row>
    <row r="15704" customFormat="false" ht="15" hidden="false" customHeight="false" outlineLevel="0" collapsed="false">
      <c r="A15704" s="5" t="s">
        <v>448</v>
      </c>
      <c r="C15704" s="25" t="n">
        <f aca="false">SUMPRODUCT($G$15701:$K$15701,$G$15555:$K$15555)</f>
        <v>15.99408</v>
      </c>
    </row>
    <row r="15705" customFormat="false" ht="15" hidden="false" customHeight="false" outlineLevel="0" collapsed="false">
      <c r="A15705" s="5" t="s">
        <v>449</v>
      </c>
      <c r="C15705" s="25" t="n">
        <f aca="false">MAX(0,SUMPRODUCT($G$15701:$K$15701,$G$15667:$K$15667))</f>
        <v>0</v>
      </c>
    </row>
    <row r="15706" customFormat="false" ht="15" hidden="false" customHeight="false" outlineLevel="0" collapsed="false">
      <c r="A15706" s="5" t="s">
        <v>450</v>
      </c>
      <c r="C15706" s="25" t="n">
        <f aca="false">(CHOOSE($C$15538,Assumptions!$C$78,Assumptions!$C$97,Assumptions!$C$116)+$C$15542)*C15704</f>
        <v>63.97632</v>
      </c>
    </row>
    <row r="15707" customFormat="false" ht="15" hidden="false" customHeight="false" outlineLevel="0" collapsed="false">
      <c r="A15707" s="5" t="s">
        <v>451</v>
      </c>
      <c r="C15707" s="25" t="n">
        <f aca="false">Assumptions!$C$27*(1-CHOOSE($C$15538,Assumptions!$C$79,Assumptions!$C$98,Assumptions!$C$117))*CHOOSE($C$15538,Assumptions!$C$80,Assumptions!$C$99,Assumptions!$C$118)</f>
        <v>405.6</v>
      </c>
    </row>
    <row r="15708" customFormat="false" ht="15" hidden="false" customHeight="false" outlineLevel="0" collapsed="false">
      <c r="A15708" s="5" t="s">
        <v>452</v>
      </c>
      <c r="C15708" s="25" t="n">
        <f aca="false">MAX(C15706,C15707)+C15705</f>
        <v>405.6</v>
      </c>
    </row>
    <row r="15709" customFormat="false" ht="15" hidden="false" customHeight="false" outlineLevel="0" collapsed="false">
      <c r="A15709" s="2" t="s">
        <v>453</v>
      </c>
      <c r="C15709" s="16" t="n">
        <f aca="false">IF(ISNUMBER(Assumptions!$C$14),Assumptions!$C$14,C15708)</f>
        <v>405.6</v>
      </c>
    </row>
    <row r="15710" customFormat="false" ht="15" hidden="false" customHeight="false" outlineLevel="0" collapsed="false">
      <c r="A15710" s="5" t="s">
        <v>454</v>
      </c>
      <c r="C15710" s="25" t="n">
        <f aca="false">C15709*Assumptions!$C$15</f>
        <v>16.224</v>
      </c>
    </row>
    <row r="15711" customFormat="false" ht="15" hidden="false" customHeight="false" outlineLevel="0" collapsed="false">
      <c r="A15711" s="2" t="s">
        <v>455</v>
      </c>
      <c r="C15711" s="16" t="n">
        <f aca="false">C15709-C15710</f>
        <v>389.376</v>
      </c>
    </row>
    <row r="15712" customFormat="false" ht="15" hidden="false" customHeight="false" outlineLevel="0" collapsed="false">
      <c r="A15712" s="23" t="s">
        <v>456</v>
      </c>
      <c r="B15712" s="24"/>
      <c r="C15712" s="24"/>
      <c r="D15712" s="24"/>
      <c r="E15712" s="24"/>
      <c r="F15712" s="24"/>
      <c r="G15712" s="24"/>
      <c r="H15712" s="24"/>
      <c r="I15712" s="24"/>
      <c r="J15712" s="24"/>
      <c r="K15712" s="24"/>
    </row>
    <row r="15713" customFormat="false" ht="15" hidden="false" customHeight="false" outlineLevel="0" collapsed="false">
      <c r="A15713" s="5" t="s">
        <v>457</v>
      </c>
      <c r="C15713" s="25" t="n">
        <f aca="false">SUMPRODUCT($G$15701:$K$15701,$G$15592:$K$15592)*(1+SUMPRODUCT($G$15701:$K$15701,$G$15584:$K$15584)*Assumptions!$C$16/12)</f>
        <v>237.6857637</v>
      </c>
    </row>
    <row r="15714" customFormat="false" ht="15" hidden="false" customHeight="false" outlineLevel="0" collapsed="false">
      <c r="A15714" s="5" t="s">
        <v>458</v>
      </c>
      <c r="C15714" s="25" t="n">
        <f aca="false">SUMPRODUCT($G$15701:$K$15701,$G$15605:$K$15605)*(1+SUMPRODUCT($G$15701:$K$15701,$G$15597:$K$15597)*Assumptions!$C$16/12)</f>
        <v>525.5887</v>
      </c>
    </row>
    <row r="15715" customFormat="false" ht="15" hidden="false" customHeight="false" outlineLevel="0" collapsed="false">
      <c r="A15715" s="5" t="s">
        <v>459</v>
      </c>
      <c r="C15715" s="25" t="n">
        <f aca="false">SUMPRODUCT($G$15701:$K$15701,$G$15618:$K$15618)*(1+SUMPRODUCT($G$15701:$K$15701,$G$15610:$K$15610)*Assumptions!$C$16/12)</f>
        <v>256.875</v>
      </c>
    </row>
    <row r="15716" customFormat="false" ht="15" hidden="false" customHeight="false" outlineLevel="0" collapsed="false">
      <c r="A15716" s="5" t="s">
        <v>460</v>
      </c>
      <c r="C15716" s="25" t="n">
        <f aca="false">SUMPRODUCT($G$15701:$K$15701,$G$15631:$K$15631)*(1+SUMPRODUCT($G$15701:$K$15701,$G$15623:$K$15623)*Assumptions!$C$16/12)</f>
        <v>305.625</v>
      </c>
    </row>
    <row r="15717" customFormat="false" ht="15" hidden="false" customHeight="false" outlineLevel="0" collapsed="false">
      <c r="A15717" s="23" t="s">
        <v>461</v>
      </c>
      <c r="B15717" s="24"/>
      <c r="C15717" s="24"/>
      <c r="D15717" s="24"/>
      <c r="E15717" s="24"/>
      <c r="F15717" s="24"/>
      <c r="G15717" s="24"/>
      <c r="H15717" s="24"/>
      <c r="I15717" s="24"/>
      <c r="J15717" s="24"/>
      <c r="K15717" s="24"/>
    </row>
    <row r="15718" customFormat="false" ht="15" hidden="false" customHeight="false" outlineLevel="0" collapsed="false">
      <c r="A15718" s="5" t="s">
        <v>457</v>
      </c>
      <c r="C15718" s="26" t="n">
        <f aca="false">Assumptions!$M$53</f>
        <v>1</v>
      </c>
    </row>
    <row r="15719" customFormat="false" ht="15" hidden="false" customHeight="false" outlineLevel="0" collapsed="false">
      <c r="A15719" s="5" t="s">
        <v>458</v>
      </c>
      <c r="C15719" s="26" t="n">
        <f aca="false">Assumptions!$M$54</f>
        <v>2</v>
      </c>
    </row>
    <row r="15720" customFormat="false" ht="15" hidden="false" customHeight="false" outlineLevel="0" collapsed="false">
      <c r="A15720" s="5" t="s">
        <v>459</v>
      </c>
      <c r="C15720" s="26" t="n">
        <f aca="false">Assumptions!$M$55</f>
        <v>3</v>
      </c>
    </row>
    <row r="15721" customFormat="false" ht="15" hidden="false" customHeight="false" outlineLevel="0" collapsed="false">
      <c r="A15721" s="5" t="s">
        <v>460</v>
      </c>
      <c r="C15721" s="26" t="n">
        <f aca="false">Assumptions!$M$56</f>
        <v>4</v>
      </c>
    </row>
    <row r="15722" customFormat="false" ht="15" hidden="false" customHeight="false" outlineLevel="0" collapsed="false">
      <c r="A15722" s="23" t="s">
        <v>462</v>
      </c>
      <c r="B15722" s="24"/>
      <c r="C15722" s="24"/>
      <c r="D15722" s="24"/>
      <c r="E15722" s="24"/>
      <c r="F15722" s="24"/>
      <c r="G15722" s="24"/>
      <c r="H15722" s="24"/>
      <c r="I15722" s="24"/>
      <c r="J15722" s="24"/>
      <c r="K15722" s="24"/>
    </row>
    <row r="15723" customFormat="false" ht="15" hidden="false" customHeight="false" outlineLevel="0" collapsed="false">
      <c r="A15723" s="5" t="s">
        <v>457</v>
      </c>
      <c r="C15723" s="34" t="n">
        <f aca="false">Assumptions!$Q$53</f>
        <v>0</v>
      </c>
    </row>
    <row r="15724" customFormat="false" ht="15" hidden="false" customHeight="false" outlineLevel="0" collapsed="false">
      <c r="A15724" s="5" t="s">
        <v>458</v>
      </c>
      <c r="C15724" s="34" t="n">
        <f aca="false">Assumptions!$Q$54</f>
        <v>0</v>
      </c>
    </row>
    <row r="15725" customFormat="false" ht="15" hidden="false" customHeight="false" outlineLevel="0" collapsed="false">
      <c r="A15725" s="5" t="s">
        <v>459</v>
      </c>
      <c r="C15725" s="34" t="n">
        <f aca="false">Assumptions!$Q$55</f>
        <v>0</v>
      </c>
    </row>
    <row r="15726" customFormat="false" ht="15" hidden="false" customHeight="false" outlineLevel="0" collapsed="false">
      <c r="A15726" s="5" t="s">
        <v>460</v>
      </c>
      <c r="C15726" s="34" t="n">
        <f aca="false">Assumptions!$Q$56</f>
        <v>0</v>
      </c>
    </row>
    <row r="15727" customFormat="false" ht="15" hidden="false" customHeight="false" outlineLevel="0" collapsed="false">
      <c r="A15727" s="23" t="s">
        <v>463</v>
      </c>
      <c r="B15727" s="24"/>
      <c r="C15727" s="24"/>
      <c r="D15727" s="24"/>
      <c r="E15727" s="24"/>
      <c r="F15727" s="24"/>
      <c r="G15727" s="24"/>
      <c r="H15727" s="24"/>
      <c r="I15727" s="24"/>
      <c r="J15727" s="24"/>
      <c r="K15727" s="24"/>
    </row>
    <row r="15728" customFormat="false" ht="15" hidden="false" customHeight="false" outlineLevel="0" collapsed="false">
      <c r="A15728" s="5" t="s">
        <v>457</v>
      </c>
      <c r="C15728" s="25" t="n">
        <f aca="false">IF(C15723&gt;0,MIN(C15713,C15723*$C$15711),0)</f>
        <v>0</v>
      </c>
    </row>
    <row r="15729" customFormat="false" ht="15" hidden="false" customHeight="false" outlineLevel="0" collapsed="false">
      <c r="A15729" s="5" t="s">
        <v>458</v>
      </c>
      <c r="C15729" s="25" t="n">
        <f aca="false">IF(C15724&gt;0,MIN(C15714,C15724*$C$15711),0)</f>
        <v>0</v>
      </c>
    </row>
    <row r="15730" customFormat="false" ht="15" hidden="false" customHeight="false" outlineLevel="0" collapsed="false">
      <c r="A15730" s="5" t="s">
        <v>459</v>
      </c>
      <c r="C15730" s="25" t="n">
        <f aca="false">IF(C15725&gt;0,MIN(C15715,C15725*$C$15711),0)</f>
        <v>0</v>
      </c>
    </row>
    <row r="15731" customFormat="false" ht="15" hidden="false" customHeight="false" outlineLevel="0" collapsed="false">
      <c r="A15731" s="5" t="s">
        <v>460</v>
      </c>
      <c r="C15731" s="25" t="n">
        <f aca="false">IF(C15726&gt;0,MIN(C15716,C15726*$C$15711),0)</f>
        <v>0</v>
      </c>
    </row>
    <row r="15732" customFormat="false" ht="15" hidden="false" customHeight="false" outlineLevel="0" collapsed="false">
      <c r="A15732" s="23" t="s">
        <v>464</v>
      </c>
      <c r="B15732" s="24"/>
      <c r="C15732" s="24"/>
      <c r="D15732" s="24"/>
      <c r="E15732" s="24"/>
      <c r="F15732" s="24"/>
      <c r="G15732" s="24"/>
      <c r="H15732" s="24"/>
      <c r="I15732" s="24"/>
      <c r="J15732" s="24"/>
      <c r="K15732" s="24"/>
    </row>
    <row r="15733" customFormat="false" ht="15" hidden="false" customHeight="false" outlineLevel="0" collapsed="false">
      <c r="A15733" s="5" t="s">
        <v>457</v>
      </c>
      <c r="C15733" s="25" t="n">
        <f aca="false">IF(C15723&gt;0,C15713-C15728,0)</f>
        <v>0</v>
      </c>
      <c r="G15733" s="20" t="n">
        <f aca="false">IF(AND(G15582=1,G15579=1),1,0)</f>
        <v>0</v>
      </c>
      <c r="H15733" s="20" t="n">
        <f aca="false">IF(G15733=1,1,IF(AND(H15582=1,H15579=1),1,0))</f>
        <v>0</v>
      </c>
      <c r="I15733" s="20" t="n">
        <f aca="false">IF(H15733=1,1,IF(AND(I15582=1,I15579=1),1,0))</f>
        <v>0</v>
      </c>
      <c r="J15733" s="20" t="n">
        <f aca="false">IF(I15733=1,1,IF(AND(J15582=1,J15579=1),1,0))</f>
        <v>0</v>
      </c>
      <c r="K15733" s="20" t="n">
        <f aca="false">IF(J15733=1,1,IF(AND(K15582=1,K15579=1),1,0))</f>
        <v>0</v>
      </c>
    </row>
    <row r="15734" customFormat="false" ht="15" hidden="false" customHeight="false" outlineLevel="0" collapsed="false">
      <c r="A15734" s="5" t="s">
        <v>458</v>
      </c>
      <c r="C15734" s="25" t="n">
        <f aca="false">IF(C15724&gt;0,C15714-C15729,0)</f>
        <v>0</v>
      </c>
      <c r="G15734" s="20" t="n">
        <f aca="false">IF(AND(G15595=1,G15579=1),1,0)</f>
        <v>0</v>
      </c>
      <c r="H15734" s="20" t="n">
        <f aca="false">IF(G15734=1,1,IF(AND(H15595=1,H15579=1),1,0))</f>
        <v>0</v>
      </c>
      <c r="I15734" s="20" t="n">
        <f aca="false">IF(H15734=1,1,IF(AND(I15595=1,I15579=1),1,0))</f>
        <v>0</v>
      </c>
      <c r="J15734" s="20" t="n">
        <f aca="false">IF(I15734=1,1,IF(AND(J15595=1,J15579=1),1,0))</f>
        <v>0</v>
      </c>
      <c r="K15734" s="20" t="n">
        <f aca="false">IF(J15734=1,1,IF(AND(K15595=1,K15579=1),1,0))</f>
        <v>0</v>
      </c>
    </row>
    <row r="15735" customFormat="false" ht="15" hidden="false" customHeight="false" outlineLevel="0" collapsed="false">
      <c r="A15735" s="5" t="s">
        <v>459</v>
      </c>
      <c r="C15735" s="25" t="n">
        <f aca="false">IF(C15725&gt;0,C15715-C15730,0)</f>
        <v>0</v>
      </c>
      <c r="G15735" s="20" t="n">
        <f aca="false">IF(AND(G15608=1,G15579=1),1,0)</f>
        <v>0</v>
      </c>
      <c r="H15735" s="20" t="n">
        <f aca="false">IF(G15735=1,1,IF(AND(H15608=1,H15579=1),1,0))</f>
        <v>0</v>
      </c>
      <c r="I15735" s="20" t="n">
        <f aca="false">IF(H15735=1,1,IF(AND(I15608=1,I15579=1),1,0))</f>
        <v>0</v>
      </c>
      <c r="J15735" s="20" t="n">
        <f aca="false">IF(I15735=1,1,IF(AND(J15608=1,J15579=1),1,0))</f>
        <v>0</v>
      </c>
      <c r="K15735" s="20" t="n">
        <f aca="false">IF(J15735=1,1,IF(AND(K15608=1,K15579=1),1,0))</f>
        <v>0</v>
      </c>
    </row>
    <row r="15736" customFormat="false" ht="15" hidden="false" customHeight="false" outlineLevel="0" collapsed="false">
      <c r="A15736" s="5" t="s">
        <v>460</v>
      </c>
      <c r="C15736" s="25" t="n">
        <f aca="false">IF(C15726&gt;0,C15716-C15731,0)</f>
        <v>0</v>
      </c>
      <c r="G15736" s="20" t="n">
        <f aca="false">IF(AND(G15621=1,G15579=1),1,0)</f>
        <v>0</v>
      </c>
      <c r="H15736" s="20" t="n">
        <f aca="false">IF(G15736=1,1,IF(AND(H15621=1,H15579=1),1,0))</f>
        <v>0</v>
      </c>
      <c r="I15736" s="20" t="n">
        <f aca="false">IF(H15736=1,1,IF(AND(I15621=1,I15579=1),1,0))</f>
        <v>0</v>
      </c>
      <c r="J15736" s="20" t="n">
        <f aca="false">IF(I15736=1,1,IF(AND(J15621=1,J15579=1),1,0))</f>
        <v>0</v>
      </c>
      <c r="K15736" s="20" t="n">
        <f aca="false">IF(J15736=1,1,IF(AND(K15621=1,K15579=1),1,0))</f>
        <v>0</v>
      </c>
    </row>
    <row r="15737" customFormat="false" ht="15" hidden="false" customHeight="false" outlineLevel="0" collapsed="false">
      <c r="A15737" s="23" t="s">
        <v>465</v>
      </c>
      <c r="B15737" s="24"/>
      <c r="C15737" s="24"/>
      <c r="D15737" s="24"/>
      <c r="E15737" s="24"/>
      <c r="F15737" s="24"/>
      <c r="G15737" s="24"/>
      <c r="H15737" s="24"/>
      <c r="I15737" s="24"/>
      <c r="J15737" s="24"/>
      <c r="K15737" s="24"/>
    </row>
    <row r="15738" customFormat="false" ht="15" hidden="false" customHeight="false" outlineLevel="0" collapsed="false">
      <c r="A15738" s="5" t="s">
        <v>457</v>
      </c>
      <c r="C15738" s="25" t="n">
        <f aca="false">IF(C15723&gt;0,C15733,C15713)</f>
        <v>237.6857637</v>
      </c>
    </row>
    <row r="15739" customFormat="false" ht="15" hidden="false" customHeight="false" outlineLevel="0" collapsed="false">
      <c r="A15739" s="5" t="s">
        <v>458</v>
      </c>
      <c r="C15739" s="25" t="n">
        <f aca="false">IF(C15724&gt;0,C15734,C15714)</f>
        <v>525.5887</v>
      </c>
    </row>
    <row r="15740" customFormat="false" ht="15" hidden="false" customHeight="false" outlineLevel="0" collapsed="false">
      <c r="A15740" s="5" t="s">
        <v>459</v>
      </c>
      <c r="C15740" s="25" t="n">
        <f aca="false">IF(C15725&gt;0,C15735,C15715)</f>
        <v>256.875</v>
      </c>
    </row>
    <row r="15741" customFormat="false" ht="15" hidden="false" customHeight="false" outlineLevel="0" collapsed="false">
      <c r="A15741" s="5" t="s">
        <v>460</v>
      </c>
      <c r="C15741" s="25" t="n">
        <f aca="false">IF(C15726&gt;0,C15736,C15716)</f>
        <v>305.625</v>
      </c>
    </row>
    <row r="15742" customFormat="false" ht="15" hidden="false" customHeight="false" outlineLevel="0" collapsed="false">
      <c r="A15742" s="23" t="s">
        <v>466</v>
      </c>
      <c r="B15742" s="24"/>
      <c r="C15742" s="24"/>
      <c r="D15742" s="24"/>
      <c r="E15742" s="24"/>
      <c r="F15742" s="24"/>
      <c r="G15742" s="24"/>
      <c r="H15742" s="24"/>
      <c r="I15742" s="24"/>
      <c r="J15742" s="24"/>
      <c r="K15742" s="24"/>
    </row>
    <row r="15743" customFormat="false" ht="15" hidden="false" customHeight="false" outlineLevel="0" collapsed="false">
      <c r="A15743" s="5" t="s">
        <v>457</v>
      </c>
      <c r="C15743" s="20" t="n">
        <f aca="false">IF(C15723&gt;0,Assumptions!$C$17,C15718)</f>
        <v>1</v>
      </c>
    </row>
    <row r="15744" customFormat="false" ht="15" hidden="false" customHeight="false" outlineLevel="0" collapsed="false">
      <c r="A15744" s="5" t="s">
        <v>458</v>
      </c>
      <c r="C15744" s="20" t="n">
        <f aca="false">IF(C15724&gt;0,Assumptions!$C$17,C15719)</f>
        <v>2</v>
      </c>
    </row>
    <row r="15745" customFormat="false" ht="15" hidden="false" customHeight="false" outlineLevel="0" collapsed="false">
      <c r="A15745" s="5" t="s">
        <v>459</v>
      </c>
      <c r="C15745" s="20" t="n">
        <f aca="false">IF(C15725&gt;0,Assumptions!$C$17,C15720)</f>
        <v>3</v>
      </c>
    </row>
    <row r="15746" customFormat="false" ht="15" hidden="false" customHeight="false" outlineLevel="0" collapsed="false">
      <c r="A15746" s="5" t="s">
        <v>460</v>
      </c>
      <c r="C15746" s="20" t="n">
        <f aca="false">IF(C15726&gt;0,Assumptions!$C$17,C15721)</f>
        <v>4</v>
      </c>
    </row>
    <row r="15747" customFormat="false" ht="15" hidden="false" customHeight="false" outlineLevel="0" collapsed="false">
      <c r="A15747" s="23" t="s">
        <v>467</v>
      </c>
      <c r="B15747" s="24"/>
      <c r="C15747" s="24"/>
      <c r="D15747" s="24"/>
      <c r="E15747" s="24"/>
      <c r="F15747" s="24"/>
      <c r="G15747" s="24"/>
      <c r="H15747" s="24"/>
      <c r="I15747" s="24"/>
      <c r="J15747" s="24"/>
      <c r="K15747" s="24"/>
    </row>
    <row r="15748" customFormat="false" ht="15" hidden="false" customHeight="false" outlineLevel="0" collapsed="false">
      <c r="A15748" s="5" t="s">
        <v>457</v>
      </c>
      <c r="C15748" s="25" t="n">
        <f aca="false">SUMPRODUCT(($C$15743:$C$15746&lt;C15743)*$C$15738:$C$15741)</f>
        <v>0</v>
      </c>
    </row>
    <row r="15749" customFormat="false" ht="15" hidden="false" customHeight="false" outlineLevel="0" collapsed="false">
      <c r="A15749" s="5" t="s">
        <v>458</v>
      </c>
      <c r="C15749" s="25" t="n">
        <f aca="false">SUMPRODUCT(($C$15743:$C$15746&lt;C15744)*$C$15738:$C$15741)</f>
        <v>237.6857637</v>
      </c>
    </row>
    <row r="15750" customFormat="false" ht="15" hidden="false" customHeight="false" outlineLevel="0" collapsed="false">
      <c r="A15750" s="5" t="s">
        <v>459</v>
      </c>
      <c r="C15750" s="25" t="n">
        <f aca="false">SUMPRODUCT(($C$15743:$C$15746&lt;C15745)*$C$15738:$C$15741)</f>
        <v>763.2744637</v>
      </c>
    </row>
    <row r="15751" customFormat="false" ht="15" hidden="false" customHeight="false" outlineLevel="0" collapsed="false">
      <c r="A15751" s="5" t="s">
        <v>460</v>
      </c>
      <c r="C15751" s="25" t="n">
        <f aca="false">SUMPRODUCT(($C$15743:$C$15746&lt;C15746)*$C$15738:$C$15741)</f>
        <v>1020.1494637</v>
      </c>
    </row>
    <row r="15752" customFormat="false" ht="15" hidden="false" customHeight="false" outlineLevel="0" collapsed="false">
      <c r="A15752" s="23" t="s">
        <v>468</v>
      </c>
      <c r="B15752" s="24"/>
      <c r="C15752" s="24"/>
      <c r="D15752" s="24"/>
      <c r="E15752" s="24"/>
      <c r="F15752" s="24"/>
      <c r="G15752" s="24"/>
      <c r="H15752" s="24"/>
      <c r="I15752" s="24"/>
      <c r="J15752" s="24"/>
      <c r="K15752" s="24"/>
    </row>
    <row r="15753" customFormat="false" ht="15" hidden="false" customHeight="false" outlineLevel="0" collapsed="false">
      <c r="A15753" s="5" t="s">
        <v>457</v>
      </c>
      <c r="C15753" s="25" t="n">
        <f aca="false">SUMPRODUCT(($C$15743:$C$15746=C15743)*$C$15738:$C$15741)</f>
        <v>237.6857637</v>
      </c>
    </row>
    <row r="15754" customFormat="false" ht="15" hidden="false" customHeight="false" outlineLevel="0" collapsed="false">
      <c r="A15754" s="5" t="s">
        <v>458</v>
      </c>
      <c r="C15754" s="25" t="n">
        <f aca="false">SUMPRODUCT(($C$15743:$C$15746=C15744)*$C$15738:$C$15741)</f>
        <v>525.5887</v>
      </c>
    </row>
    <row r="15755" customFormat="false" ht="15" hidden="false" customHeight="false" outlineLevel="0" collapsed="false">
      <c r="A15755" s="5" t="s">
        <v>459</v>
      </c>
      <c r="C15755" s="25" t="n">
        <f aca="false">SUMPRODUCT(($C$15743:$C$15746=C15745)*$C$15738:$C$15741)</f>
        <v>256.875</v>
      </c>
    </row>
    <row r="15756" customFormat="false" ht="15" hidden="false" customHeight="false" outlineLevel="0" collapsed="false">
      <c r="A15756" s="5" t="s">
        <v>460</v>
      </c>
      <c r="C15756" s="25" t="n">
        <f aca="false">SUMPRODUCT(($C$15743:$C$15746=C15746)*$C$15738:$C$15741)</f>
        <v>305.625</v>
      </c>
    </row>
    <row r="15757" customFormat="false" ht="15" hidden="false" customHeight="false" outlineLevel="0" collapsed="false">
      <c r="A15757" s="23" t="s">
        <v>469</v>
      </c>
      <c r="B15757" s="24"/>
      <c r="C15757" s="24"/>
      <c r="D15757" s="24"/>
      <c r="E15757" s="24"/>
      <c r="F15757" s="24"/>
      <c r="G15757" s="24"/>
      <c r="H15757" s="24"/>
      <c r="I15757" s="24"/>
      <c r="J15757" s="24"/>
      <c r="K15757" s="24"/>
    </row>
    <row r="15758" customFormat="false" ht="15" hidden="false" customHeight="false" outlineLevel="0" collapsed="false">
      <c r="A15758" s="5" t="s">
        <v>457</v>
      </c>
      <c r="C15758" s="25" t="n">
        <f aca="false">IF(C15753=0,0,C15738/C15753*MAX(0,MIN(C15753,$C$15711-SUM($C$15728:$C$15731)-C15748)))</f>
        <v>237.6857637</v>
      </c>
    </row>
    <row r="15759" customFormat="false" ht="15" hidden="false" customHeight="false" outlineLevel="0" collapsed="false">
      <c r="A15759" s="5" t="s">
        <v>458</v>
      </c>
      <c r="C15759" s="25" t="n">
        <f aca="false">IF(C15754=0,0,C15739/C15754*MAX(0,MIN(C15754,$C$15711-SUM($C$15728:$C$15731)-C15749)))</f>
        <v>151.6902363</v>
      </c>
    </row>
    <row r="15760" customFormat="false" ht="15" hidden="false" customHeight="false" outlineLevel="0" collapsed="false">
      <c r="A15760" s="5" t="s">
        <v>459</v>
      </c>
      <c r="C15760" s="25" t="n">
        <f aca="false">IF(C15755=0,0,C15740/C15755*MAX(0,MIN(C15755,$C$15711-SUM($C$15728:$C$15731)-C15750)))</f>
        <v>0</v>
      </c>
    </row>
    <row r="15761" customFormat="false" ht="15" hidden="false" customHeight="false" outlineLevel="0" collapsed="false">
      <c r="A15761" s="5" t="s">
        <v>460</v>
      </c>
      <c r="C15761" s="25" t="n">
        <f aca="false">IF(C15756=0,0,C15741/C15756*MAX(0,MIN(C15756,$C$15711-SUM($C$15728:$C$15731)-C15751)))</f>
        <v>0</v>
      </c>
    </row>
    <row r="15762" customFormat="false" ht="15" hidden="false" customHeight="false" outlineLevel="0" collapsed="false">
      <c r="A15762" s="23" t="s">
        <v>470</v>
      </c>
      <c r="B15762" s="24"/>
      <c r="C15762" s="24"/>
      <c r="D15762" s="24"/>
      <c r="E15762" s="24"/>
      <c r="F15762" s="24"/>
      <c r="G15762" s="24"/>
      <c r="H15762" s="24"/>
      <c r="I15762" s="24"/>
      <c r="J15762" s="24"/>
      <c r="K15762" s="24"/>
    </row>
    <row r="15763" customFormat="false" ht="15" hidden="false" customHeight="false" outlineLevel="0" collapsed="false">
      <c r="A15763" s="2" t="s">
        <v>457</v>
      </c>
      <c r="C15763" s="16" t="n">
        <f aca="false">C15728+C15758</f>
        <v>237.6857637</v>
      </c>
    </row>
    <row r="15764" customFormat="false" ht="15" hidden="false" customHeight="false" outlineLevel="0" collapsed="false">
      <c r="A15764" s="2" t="s">
        <v>458</v>
      </c>
      <c r="C15764" s="16" t="n">
        <f aca="false">C15729+C15759</f>
        <v>151.6902363</v>
      </c>
    </row>
    <row r="15765" customFormat="false" ht="15" hidden="false" customHeight="false" outlineLevel="0" collapsed="false">
      <c r="A15765" s="2" t="s">
        <v>459</v>
      </c>
      <c r="C15765" s="16" t="n">
        <f aca="false">C15730+C15760</f>
        <v>0</v>
      </c>
    </row>
    <row r="15766" customFormat="false" ht="15" hidden="false" customHeight="false" outlineLevel="0" collapsed="false">
      <c r="A15766" s="2" t="s">
        <v>460</v>
      </c>
      <c r="C15766" s="16" t="n">
        <f aca="false">C15731+C15761</f>
        <v>0</v>
      </c>
    </row>
    <row r="15767" customFormat="false" ht="15" hidden="false" customHeight="false" outlineLevel="0" collapsed="false">
      <c r="A15767" s="23" t="s">
        <v>471</v>
      </c>
      <c r="B15767" s="24"/>
      <c r="C15767" s="24"/>
      <c r="D15767" s="24"/>
      <c r="E15767" s="24"/>
      <c r="F15767" s="24"/>
      <c r="G15767" s="24"/>
      <c r="H15767" s="24"/>
      <c r="I15767" s="24"/>
      <c r="J15767" s="24"/>
      <c r="K15767" s="24"/>
    </row>
    <row r="15768" customFormat="false" ht="15" hidden="false" customHeight="false" outlineLevel="0" collapsed="false">
      <c r="A15768" s="5" t="s">
        <v>457</v>
      </c>
      <c r="C15768" s="21" t="n">
        <f aca="false">IF(C15713=0,1,C15763/C15713)</f>
        <v>1</v>
      </c>
    </row>
    <row r="15769" customFormat="false" ht="15" hidden="false" customHeight="false" outlineLevel="0" collapsed="false">
      <c r="A15769" s="5" t="s">
        <v>458</v>
      </c>
      <c r="C15769" s="21" t="n">
        <f aca="false">IF(C15714=0,1,C15764/C15714)</f>
        <v>0.288610155241161</v>
      </c>
    </row>
    <row r="15770" customFormat="false" ht="15" hidden="false" customHeight="false" outlineLevel="0" collapsed="false">
      <c r="A15770" s="5" t="s">
        <v>459</v>
      </c>
      <c r="C15770" s="21" t="n">
        <f aca="false">IF(C15715=0,1,C15765/C15715)</f>
        <v>0</v>
      </c>
    </row>
    <row r="15771" customFormat="false" ht="15" hidden="false" customHeight="false" outlineLevel="0" collapsed="false">
      <c r="A15771" s="5" t="s">
        <v>460</v>
      </c>
      <c r="C15771" s="21" t="n">
        <f aca="false">IF(C15716=0,1,C15766/C15716)</f>
        <v>0</v>
      </c>
    </row>
    <row r="15772" customFormat="false" ht="15" hidden="false" customHeight="false" outlineLevel="0" collapsed="false">
      <c r="A15772" s="23" t="s">
        <v>472</v>
      </c>
      <c r="B15772" s="24"/>
      <c r="C15772" s="24"/>
      <c r="D15772" s="24"/>
      <c r="E15772" s="24"/>
      <c r="F15772" s="24"/>
      <c r="G15772" s="24"/>
      <c r="H15772" s="24"/>
      <c r="I15772" s="24"/>
      <c r="J15772" s="24"/>
      <c r="K15772" s="24"/>
    </row>
    <row r="15773" customFormat="false" ht="15" hidden="false" customHeight="false" outlineLevel="0" collapsed="false">
      <c r="A15773" s="5" t="s">
        <v>457</v>
      </c>
      <c r="C15773" s="25" t="n">
        <f aca="false">C15713-C15763</f>
        <v>0</v>
      </c>
    </row>
    <row r="15774" customFormat="false" ht="15" hidden="false" customHeight="false" outlineLevel="0" collapsed="false">
      <c r="A15774" s="5" t="s">
        <v>458</v>
      </c>
      <c r="C15774" s="25" t="n">
        <f aca="false">C15714-C15764</f>
        <v>373.8984637</v>
      </c>
    </row>
    <row r="15775" customFormat="false" ht="15" hidden="false" customHeight="false" outlineLevel="0" collapsed="false">
      <c r="A15775" s="5" t="s">
        <v>459</v>
      </c>
      <c r="C15775" s="25" t="n">
        <f aca="false">C15715-C15765</f>
        <v>256.875</v>
      </c>
    </row>
    <row r="15776" customFormat="false" ht="15" hidden="false" customHeight="false" outlineLevel="0" collapsed="false">
      <c r="A15776" s="5" t="s">
        <v>460</v>
      </c>
      <c r="C15776" s="25" t="n">
        <f aca="false">C15716-C15766</f>
        <v>305.625</v>
      </c>
    </row>
    <row r="15777" customFormat="false" ht="15" hidden="false" customHeight="false" outlineLevel="0" collapsed="false">
      <c r="A15777" s="23" t="s">
        <v>473</v>
      </c>
      <c r="B15777" s="24"/>
      <c r="C15777" s="24"/>
      <c r="D15777" s="24"/>
      <c r="E15777" s="24"/>
      <c r="F15777" s="24"/>
      <c r="G15777" s="24"/>
      <c r="H15777" s="24"/>
      <c r="I15777" s="24"/>
      <c r="J15777" s="24"/>
      <c r="K15777" s="24"/>
    </row>
    <row r="15778" customFormat="false" ht="15" hidden="false" customHeight="false" outlineLevel="0" collapsed="false">
      <c r="A15778" s="5" t="s">
        <v>457</v>
      </c>
      <c r="C15778" s="21" t="n">
        <f aca="false">IF(C15713=0,0,C15773/C15713)</f>
        <v>0</v>
      </c>
    </row>
    <row r="15779" customFormat="false" ht="15" hidden="false" customHeight="false" outlineLevel="0" collapsed="false">
      <c r="A15779" s="5" t="s">
        <v>458</v>
      </c>
      <c r="C15779" s="21" t="n">
        <f aca="false">IF(C15714=0,0,C15774/C15714)</f>
        <v>0.711389844758839</v>
      </c>
    </row>
    <row r="15780" customFormat="false" ht="15" hidden="false" customHeight="false" outlineLevel="0" collapsed="false">
      <c r="A15780" s="5" t="s">
        <v>459</v>
      </c>
      <c r="C15780" s="21" t="n">
        <f aca="false">IF(C15715=0,0,C15775/C15715)</f>
        <v>1</v>
      </c>
    </row>
    <row r="15781" customFormat="false" ht="15" hidden="false" customHeight="false" outlineLevel="0" collapsed="false">
      <c r="A15781" s="5" t="s">
        <v>460</v>
      </c>
      <c r="C15781" s="21" t="n">
        <f aca="false">IF(C15716=0,0,C15776/C15716)</f>
        <v>1</v>
      </c>
    </row>
    <row r="15782" customFormat="false" ht="15" hidden="false" customHeight="false" outlineLevel="0" collapsed="false">
      <c r="A15782" s="2" t="s">
        <v>474</v>
      </c>
      <c r="C15782" s="16" t="n">
        <f aca="false">MAX(0,$C$15711-SUM($C$15728:$C$15731)-SUM($C$15738:$C$15741))</f>
        <v>0</v>
      </c>
    </row>
    <row r="15783" customFormat="false" ht="15" hidden="false" customHeight="false" outlineLevel="0" collapsed="false">
      <c r="A15783" s="5" t="s">
        <v>475</v>
      </c>
      <c r="C15783" s="25" t="n">
        <f aca="false">SUM($C$15763:$C$15766)+C15782+C15710-C15709</f>
        <v>0</v>
      </c>
    </row>
    <row r="15785" customFormat="false" ht="15" hidden="false" customHeight="false" outlineLevel="0" collapsed="false">
      <c r="A15785" s="23" t="s">
        <v>478</v>
      </c>
      <c r="B15785" s="24"/>
      <c r="C15785" s="24"/>
      <c r="D15785" s="24"/>
      <c r="E15785" s="24"/>
      <c r="F15785" s="24"/>
      <c r="G15785" s="24"/>
      <c r="H15785" s="24"/>
      <c r="I15785" s="24"/>
      <c r="J15785" s="24"/>
      <c r="K15785" s="24"/>
    </row>
    <row r="15786" customFormat="false" ht="15" hidden="false" customHeight="false" outlineLevel="0" collapsed="false">
      <c r="A15786" s="5" t="s">
        <v>479</v>
      </c>
      <c r="C15786" s="26" t="n">
        <f aca="false">Assumptions!$C$30</f>
        <v>2</v>
      </c>
    </row>
    <row r="15787" customFormat="false" ht="15" hidden="false" customHeight="false" outlineLevel="0" collapsed="false">
      <c r="A15787" s="5" t="s">
        <v>480</v>
      </c>
      <c r="C15787" s="28" t="n">
        <f aca="false">Assumptions!$C$31</f>
        <v>100</v>
      </c>
    </row>
    <row r="15788" customFormat="false" ht="15" hidden="false" customHeight="false" outlineLevel="0" collapsed="false">
      <c r="A15788" s="5" t="s">
        <v>481</v>
      </c>
      <c r="C15788" s="39" t="n">
        <f aca="false">Assumptions!$C$32</f>
        <v>78</v>
      </c>
    </row>
    <row r="15789" customFormat="false" ht="15" hidden="false" customHeight="false" outlineLevel="0" collapsed="false">
      <c r="A15789" s="5" t="s">
        <v>482</v>
      </c>
      <c r="C15789" s="25" t="n">
        <f aca="false">C15787*C15788/100*(1+Assumptions!$C$33)</f>
        <v>78.39</v>
      </c>
    </row>
    <row r="15790" customFormat="false" ht="15" hidden="false" customHeight="false" outlineLevel="0" collapsed="false">
      <c r="A15790" s="5" t="s">
        <v>483</v>
      </c>
      <c r="C15790" s="26" t="n">
        <f aca="false">Assumptions!$C$34</f>
        <v>2</v>
      </c>
    </row>
    <row r="15791" customFormat="false" ht="15" hidden="false" customHeight="false" outlineLevel="0" collapsed="false">
      <c r="A15791" s="5" t="s">
        <v>484</v>
      </c>
      <c r="C15791" s="20" t="n">
        <f aca="false">IF(C15702=1,SUMPRODUCT($G$15670:$K$15670,$G$15546:$K$15546),0)</f>
        <v>2</v>
      </c>
    </row>
    <row r="15792" customFormat="false" ht="15" hidden="false" customHeight="false" outlineLevel="0" collapsed="false">
      <c r="A15792" s="5" t="s">
        <v>485</v>
      </c>
      <c r="C15792" s="21" t="n">
        <f aca="false">IFERROR(C15787/CHOOSE(C15786,SUMPRODUCT($G$15701:$K$15701,$G$15592:$K$15592),SUMPRODUCT($G$15701:$K$15701,$G$15605:$K$15605),SUMPRODUCT($G$15701:$K$15701,$G$15618:$K$15618),SUMPRODUCT($G$15701:$K$15701,$G$15631:$K$15631)),0)</f>
        <v>0.196232339089482</v>
      </c>
    </row>
    <row r="15793" customFormat="false" ht="15" hidden="false" customHeight="false" outlineLevel="0" collapsed="false">
      <c r="A15793" s="5" t="s">
        <v>486</v>
      </c>
      <c r="C15793" s="25" t="n">
        <f aca="false">CHOOSE(C15786,C15763,C15764,C15765,C15766)*C15792</f>
        <v>29.7665298861852</v>
      </c>
    </row>
    <row r="15794" customFormat="false" ht="15" hidden="false" customHeight="false" outlineLevel="0" collapsed="false">
      <c r="A15794" s="5" t="s">
        <v>487</v>
      </c>
      <c r="C15794" s="21" t="n">
        <f aca="false">CHOOSE(C15786,C15768,C15769,C15770,C15771)</f>
        <v>0.288610155241161</v>
      </c>
    </row>
    <row r="15795" customFormat="false" ht="15" hidden="false" customHeight="false" outlineLevel="0" collapsed="false">
      <c r="A15795" s="5" t="s">
        <v>488</v>
      </c>
      <c r="C15795" s="20" t="n">
        <f aca="false">IF(C15702=1,C15791,C15790)</f>
        <v>2</v>
      </c>
    </row>
    <row r="15796" customFormat="false" ht="15" hidden="false" customHeight="false" outlineLevel="0" collapsed="false">
      <c r="A15796" s="5" t="s">
        <v>489</v>
      </c>
      <c r="C15796" s="33" t="n">
        <f aca="false">CHOOSE($C$15538,Assumptions!$C$77,Assumptions!$C$96,Assumptions!$C$115)</f>
        <v>70</v>
      </c>
    </row>
    <row r="15797" customFormat="false" ht="15" hidden="false" customHeight="false" outlineLevel="0" collapsed="false">
      <c r="A15797" s="5" t="s">
        <v>490</v>
      </c>
      <c r="C15797" s="25" t="n">
        <f aca="false">INDEX($G$15555:$K$15555,C15790)*CHOOSE($C$15538,Assumptions!$C$76,Assumptions!$C$95,Assumptions!$C$114)+MAX(0,INDEX($G$15667:$K$15667,C15790))</f>
        <v>55.97928</v>
      </c>
    </row>
    <row r="15798" customFormat="false" ht="15" hidden="false" customHeight="false" outlineLevel="0" collapsed="false">
      <c r="A15798" s="23" t="s">
        <v>491</v>
      </c>
      <c r="B15798" s="24"/>
      <c r="C15798" s="24"/>
      <c r="D15798" s="24"/>
      <c r="E15798" s="24"/>
      <c r="F15798" s="24"/>
      <c r="G15798" s="24"/>
      <c r="H15798" s="24"/>
      <c r="I15798" s="24"/>
      <c r="J15798" s="24"/>
      <c r="K15798" s="24"/>
    </row>
    <row r="15799" customFormat="false" ht="15" hidden="false" customHeight="false" outlineLevel="0" collapsed="false">
      <c r="A15799" s="5" t="s">
        <v>457</v>
      </c>
      <c r="C15799" s="25" t="n">
        <f aca="false">INDEX($G$15592:$K$15592,C15790)</f>
        <v>231.4088</v>
      </c>
    </row>
    <row r="15800" customFormat="false" ht="15" hidden="false" customHeight="false" outlineLevel="0" collapsed="false">
      <c r="A15800" s="5" t="s">
        <v>458</v>
      </c>
      <c r="C15800" s="25" t="n">
        <f aca="false">INDEX($G$15605:$K$15605,C15790)</f>
        <v>509.6</v>
      </c>
    </row>
    <row r="15801" customFormat="false" ht="15" hidden="false" customHeight="false" outlineLevel="0" collapsed="false">
      <c r="A15801" s="5" t="s">
        <v>459</v>
      </c>
      <c r="C15801" s="25" t="n">
        <f aca="false">INDEX($G$15618:$K$15618,C15790)</f>
        <v>250</v>
      </c>
    </row>
    <row r="15802" customFormat="false" ht="15" hidden="false" customHeight="false" outlineLevel="0" collapsed="false">
      <c r="A15802" s="5" t="s">
        <v>460</v>
      </c>
      <c r="C15802" s="25" t="n">
        <f aca="false">INDEX($G$15631:$K$15631,C15790)</f>
        <v>300</v>
      </c>
    </row>
    <row r="15803" customFormat="false" ht="15" hidden="false" customHeight="false" outlineLevel="0" collapsed="false">
      <c r="A15803" s="23" t="s">
        <v>461</v>
      </c>
      <c r="B15803" s="24"/>
      <c r="C15803" s="24"/>
      <c r="D15803" s="24"/>
      <c r="E15803" s="24"/>
      <c r="F15803" s="24"/>
      <c r="G15803" s="24"/>
      <c r="H15803" s="24"/>
      <c r="I15803" s="24"/>
      <c r="J15803" s="24"/>
      <c r="K15803" s="24"/>
    </row>
    <row r="15804" customFormat="false" ht="15" hidden="false" customHeight="false" outlineLevel="0" collapsed="false">
      <c r="A15804" s="5" t="s">
        <v>457</v>
      </c>
      <c r="C15804" s="26" t="n">
        <f aca="false">Assumptions!$M$53</f>
        <v>1</v>
      </c>
    </row>
    <row r="15805" customFormat="false" ht="15" hidden="false" customHeight="false" outlineLevel="0" collapsed="false">
      <c r="A15805" s="5" t="s">
        <v>458</v>
      </c>
      <c r="C15805" s="26" t="n">
        <f aca="false">Assumptions!$M$54</f>
        <v>2</v>
      </c>
    </row>
    <row r="15806" customFormat="false" ht="15" hidden="false" customHeight="false" outlineLevel="0" collapsed="false">
      <c r="A15806" s="5" t="s">
        <v>459</v>
      </c>
      <c r="C15806" s="26" t="n">
        <f aca="false">Assumptions!$M$55</f>
        <v>3</v>
      </c>
    </row>
    <row r="15807" customFormat="false" ht="15" hidden="false" customHeight="false" outlineLevel="0" collapsed="false">
      <c r="A15807" s="5" t="s">
        <v>460</v>
      </c>
      <c r="C15807" s="26" t="n">
        <f aca="false">Assumptions!$M$56</f>
        <v>4</v>
      </c>
    </row>
    <row r="15808" customFormat="false" ht="15" hidden="false" customHeight="false" outlineLevel="0" collapsed="false">
      <c r="A15808" s="23" t="s">
        <v>462</v>
      </c>
      <c r="B15808" s="24"/>
      <c r="C15808" s="24"/>
      <c r="D15808" s="24"/>
      <c r="E15808" s="24"/>
      <c r="F15808" s="24"/>
      <c r="G15808" s="24"/>
      <c r="H15808" s="24"/>
      <c r="I15808" s="24"/>
      <c r="J15808" s="24"/>
      <c r="K15808" s="24"/>
    </row>
    <row r="15809" customFormat="false" ht="15" hidden="false" customHeight="false" outlineLevel="0" collapsed="false">
      <c r="A15809" s="5" t="s">
        <v>457</v>
      </c>
      <c r="C15809" s="34" t="n">
        <f aca="false">Assumptions!$Q$53</f>
        <v>0</v>
      </c>
    </row>
    <row r="15810" customFormat="false" ht="15" hidden="false" customHeight="false" outlineLevel="0" collapsed="false">
      <c r="A15810" s="5" t="s">
        <v>458</v>
      </c>
      <c r="C15810" s="34" t="n">
        <f aca="false">Assumptions!$Q$54</f>
        <v>0</v>
      </c>
    </row>
    <row r="15811" customFormat="false" ht="15" hidden="false" customHeight="false" outlineLevel="0" collapsed="false">
      <c r="A15811" s="5" t="s">
        <v>459</v>
      </c>
      <c r="C15811" s="34" t="n">
        <f aca="false">Assumptions!$Q$55</f>
        <v>0</v>
      </c>
    </row>
    <row r="15812" customFormat="false" ht="15" hidden="false" customHeight="false" outlineLevel="0" collapsed="false">
      <c r="A15812" s="5" t="s">
        <v>460</v>
      </c>
      <c r="C15812" s="34" t="n">
        <f aca="false">Assumptions!$Q$56</f>
        <v>0</v>
      </c>
    </row>
    <row r="15813" customFormat="false" ht="15" hidden="false" customHeight="false" outlineLevel="0" collapsed="false">
      <c r="A15813" s="23" t="s">
        <v>463</v>
      </c>
      <c r="B15813" s="24"/>
      <c r="C15813" s="24"/>
      <c r="D15813" s="24"/>
      <c r="E15813" s="24"/>
      <c r="F15813" s="24"/>
      <c r="G15813" s="24"/>
      <c r="H15813" s="24"/>
      <c r="I15813" s="24"/>
      <c r="J15813" s="24"/>
      <c r="K15813" s="24"/>
    </row>
    <row r="15814" customFormat="false" ht="15" hidden="false" customHeight="false" outlineLevel="0" collapsed="false">
      <c r="A15814" s="5" t="s">
        <v>457</v>
      </c>
      <c r="C15814" s="25" t="n">
        <f aca="false">IF(C15809&gt;0,MIN(C15799,C15809*$C$15797),0)</f>
        <v>0</v>
      </c>
    </row>
    <row r="15815" customFormat="false" ht="15" hidden="false" customHeight="false" outlineLevel="0" collapsed="false">
      <c r="A15815" s="5" t="s">
        <v>458</v>
      </c>
      <c r="C15815" s="25" t="n">
        <f aca="false">IF(C15810&gt;0,MIN(C15800,C15810*$C$15797),0)</f>
        <v>0</v>
      </c>
    </row>
    <row r="15816" customFormat="false" ht="15" hidden="false" customHeight="false" outlineLevel="0" collapsed="false">
      <c r="A15816" s="5" t="s">
        <v>459</v>
      </c>
      <c r="C15816" s="25" t="n">
        <f aca="false">IF(C15811&gt;0,MIN(C15801,C15811*$C$15797),0)</f>
        <v>0</v>
      </c>
    </row>
    <row r="15817" customFormat="false" ht="15" hidden="false" customHeight="false" outlineLevel="0" collapsed="false">
      <c r="A15817" s="5" t="s">
        <v>460</v>
      </c>
      <c r="C15817" s="25" t="n">
        <f aca="false">IF(C15812&gt;0,MIN(C15802,C15812*$C$15797),0)</f>
        <v>0</v>
      </c>
    </row>
    <row r="15818" customFormat="false" ht="15" hidden="false" customHeight="false" outlineLevel="0" collapsed="false">
      <c r="A15818" s="23" t="s">
        <v>464</v>
      </c>
      <c r="B15818" s="24"/>
      <c r="C15818" s="24"/>
      <c r="D15818" s="24"/>
      <c r="E15818" s="24"/>
      <c r="F15818" s="24"/>
      <c r="G15818" s="24"/>
      <c r="H15818" s="24"/>
      <c r="I15818" s="24"/>
      <c r="J15818" s="24"/>
      <c r="K15818" s="24"/>
    </row>
    <row r="15819" customFormat="false" ht="15" hidden="false" customHeight="false" outlineLevel="0" collapsed="false">
      <c r="A15819" s="5" t="s">
        <v>457</v>
      </c>
      <c r="C15819" s="25" t="n">
        <f aca="false">IF(C15809&gt;0,C15799-C15814,0)</f>
        <v>0</v>
      </c>
    </row>
    <row r="15820" customFormat="false" ht="15" hidden="false" customHeight="false" outlineLevel="0" collapsed="false">
      <c r="A15820" s="5" t="s">
        <v>458</v>
      </c>
      <c r="C15820" s="25" t="n">
        <f aca="false">IF(C15810&gt;0,C15800-C15815,0)</f>
        <v>0</v>
      </c>
    </row>
    <row r="15821" customFormat="false" ht="15" hidden="false" customHeight="false" outlineLevel="0" collapsed="false">
      <c r="A15821" s="5" t="s">
        <v>459</v>
      </c>
      <c r="C15821" s="25" t="n">
        <f aca="false">IF(C15811&gt;0,C15801-C15816,0)</f>
        <v>0</v>
      </c>
    </row>
    <row r="15822" customFormat="false" ht="15" hidden="false" customHeight="false" outlineLevel="0" collapsed="false">
      <c r="A15822" s="5" t="s">
        <v>460</v>
      </c>
      <c r="C15822" s="25" t="n">
        <f aca="false">IF(C15812&gt;0,C15802-C15817,0)</f>
        <v>0</v>
      </c>
    </row>
    <row r="15823" customFormat="false" ht="15" hidden="false" customHeight="false" outlineLevel="0" collapsed="false">
      <c r="A15823" s="23" t="s">
        <v>465</v>
      </c>
      <c r="B15823" s="24"/>
      <c r="C15823" s="24"/>
      <c r="D15823" s="24"/>
      <c r="E15823" s="24"/>
      <c r="F15823" s="24"/>
      <c r="G15823" s="24"/>
      <c r="H15823" s="24"/>
      <c r="I15823" s="24"/>
      <c r="J15823" s="24"/>
      <c r="K15823" s="24"/>
    </row>
    <row r="15824" customFormat="false" ht="15" hidden="false" customHeight="false" outlineLevel="0" collapsed="false">
      <c r="A15824" s="5" t="s">
        <v>457</v>
      </c>
      <c r="C15824" s="25" t="n">
        <f aca="false">IF(C15809&gt;0,C15819,C15799)</f>
        <v>231.4088</v>
      </c>
    </row>
    <row r="15825" customFormat="false" ht="15" hidden="false" customHeight="false" outlineLevel="0" collapsed="false">
      <c r="A15825" s="5" t="s">
        <v>458</v>
      </c>
      <c r="C15825" s="25" t="n">
        <f aca="false">IF(C15810&gt;0,C15820,C15800)</f>
        <v>509.6</v>
      </c>
    </row>
    <row r="15826" customFormat="false" ht="15" hidden="false" customHeight="false" outlineLevel="0" collapsed="false">
      <c r="A15826" s="5" t="s">
        <v>459</v>
      </c>
      <c r="C15826" s="25" t="n">
        <f aca="false">IF(C15811&gt;0,C15821,C15801)</f>
        <v>250</v>
      </c>
    </row>
    <row r="15827" customFormat="false" ht="15" hidden="false" customHeight="false" outlineLevel="0" collapsed="false">
      <c r="A15827" s="5" t="s">
        <v>460</v>
      </c>
      <c r="C15827" s="25" t="n">
        <f aca="false">IF(C15812&gt;0,C15822,C15802)</f>
        <v>300</v>
      </c>
    </row>
    <row r="15828" customFormat="false" ht="15" hidden="false" customHeight="false" outlineLevel="0" collapsed="false">
      <c r="A15828" s="23" t="s">
        <v>466</v>
      </c>
      <c r="B15828" s="24"/>
      <c r="C15828" s="24"/>
      <c r="D15828" s="24"/>
      <c r="E15828" s="24"/>
      <c r="F15828" s="24"/>
      <c r="G15828" s="24"/>
      <c r="H15828" s="24"/>
      <c r="I15828" s="24"/>
      <c r="J15828" s="24"/>
      <c r="K15828" s="24"/>
    </row>
    <row r="15829" customFormat="false" ht="15" hidden="false" customHeight="false" outlineLevel="0" collapsed="false">
      <c r="A15829" s="5" t="s">
        <v>457</v>
      </c>
      <c r="C15829" s="20" t="n">
        <f aca="false">IF(C15809&gt;0,Assumptions!$C$17,C15804)</f>
        <v>1</v>
      </c>
    </row>
    <row r="15830" customFormat="false" ht="15" hidden="false" customHeight="false" outlineLevel="0" collapsed="false">
      <c r="A15830" s="5" t="s">
        <v>458</v>
      </c>
      <c r="C15830" s="20" t="n">
        <f aca="false">IF(C15810&gt;0,Assumptions!$C$17,C15805)</f>
        <v>2</v>
      </c>
    </row>
    <row r="15831" customFormat="false" ht="15" hidden="false" customHeight="false" outlineLevel="0" collapsed="false">
      <c r="A15831" s="5" t="s">
        <v>459</v>
      </c>
      <c r="C15831" s="20" t="n">
        <f aca="false">IF(C15811&gt;0,Assumptions!$C$17,C15806)</f>
        <v>3</v>
      </c>
    </row>
    <row r="15832" customFormat="false" ht="15" hidden="false" customHeight="false" outlineLevel="0" collapsed="false">
      <c r="A15832" s="5" t="s">
        <v>460</v>
      </c>
      <c r="C15832" s="20" t="n">
        <f aca="false">IF(C15812&gt;0,Assumptions!$C$17,C15807)</f>
        <v>4</v>
      </c>
    </row>
    <row r="15833" customFormat="false" ht="15" hidden="false" customHeight="false" outlineLevel="0" collapsed="false">
      <c r="A15833" s="23" t="s">
        <v>467</v>
      </c>
      <c r="B15833" s="24"/>
      <c r="C15833" s="24"/>
      <c r="D15833" s="24"/>
      <c r="E15833" s="24"/>
      <c r="F15833" s="24"/>
      <c r="G15833" s="24"/>
      <c r="H15833" s="24"/>
      <c r="I15833" s="24"/>
      <c r="J15833" s="24"/>
      <c r="K15833" s="24"/>
    </row>
    <row r="15834" customFormat="false" ht="15" hidden="false" customHeight="false" outlineLevel="0" collapsed="false">
      <c r="A15834" s="5" t="s">
        <v>457</v>
      </c>
      <c r="C15834" s="25" t="n">
        <f aca="false">SUMPRODUCT(($C$15829:$C$15832&lt;C15829)*$C$15824:$C$15827)</f>
        <v>0</v>
      </c>
    </row>
    <row r="15835" customFormat="false" ht="15" hidden="false" customHeight="false" outlineLevel="0" collapsed="false">
      <c r="A15835" s="5" t="s">
        <v>458</v>
      </c>
      <c r="C15835" s="25" t="n">
        <f aca="false">SUMPRODUCT(($C$15829:$C$15832&lt;C15830)*$C$15824:$C$15827)</f>
        <v>231.4088</v>
      </c>
    </row>
    <row r="15836" customFormat="false" ht="15" hidden="false" customHeight="false" outlineLevel="0" collapsed="false">
      <c r="A15836" s="5" t="s">
        <v>459</v>
      </c>
      <c r="C15836" s="25" t="n">
        <f aca="false">SUMPRODUCT(($C$15829:$C$15832&lt;C15831)*$C$15824:$C$15827)</f>
        <v>741.0088</v>
      </c>
    </row>
    <row r="15837" customFormat="false" ht="15" hidden="false" customHeight="false" outlineLevel="0" collapsed="false">
      <c r="A15837" s="5" t="s">
        <v>460</v>
      </c>
      <c r="C15837" s="25" t="n">
        <f aca="false">SUMPRODUCT(($C$15829:$C$15832&lt;C15832)*$C$15824:$C$15827)</f>
        <v>991.0088</v>
      </c>
    </row>
    <row r="15838" customFormat="false" ht="15" hidden="false" customHeight="false" outlineLevel="0" collapsed="false">
      <c r="A15838" s="23" t="s">
        <v>468</v>
      </c>
      <c r="B15838" s="24"/>
      <c r="C15838" s="24"/>
      <c r="D15838" s="24"/>
      <c r="E15838" s="24"/>
      <c r="F15838" s="24"/>
      <c r="G15838" s="24"/>
      <c r="H15838" s="24"/>
      <c r="I15838" s="24"/>
      <c r="J15838" s="24"/>
      <c r="K15838" s="24"/>
    </row>
    <row r="15839" customFormat="false" ht="15" hidden="false" customHeight="false" outlineLevel="0" collapsed="false">
      <c r="A15839" s="5" t="s">
        <v>457</v>
      </c>
      <c r="C15839" s="25" t="n">
        <f aca="false">SUMPRODUCT(($C$15829:$C$15832=C15829)*$C$15824:$C$15827)</f>
        <v>231.4088</v>
      </c>
    </row>
    <row r="15840" customFormat="false" ht="15" hidden="false" customHeight="false" outlineLevel="0" collapsed="false">
      <c r="A15840" s="5" t="s">
        <v>458</v>
      </c>
      <c r="C15840" s="25" t="n">
        <f aca="false">SUMPRODUCT(($C$15829:$C$15832=C15830)*$C$15824:$C$15827)</f>
        <v>509.6</v>
      </c>
    </row>
    <row r="15841" customFormat="false" ht="15" hidden="false" customHeight="false" outlineLevel="0" collapsed="false">
      <c r="A15841" s="5" t="s">
        <v>459</v>
      </c>
      <c r="C15841" s="25" t="n">
        <f aca="false">SUMPRODUCT(($C$15829:$C$15832=C15831)*$C$15824:$C$15827)</f>
        <v>250</v>
      </c>
    </row>
    <row r="15842" customFormat="false" ht="15" hidden="false" customHeight="false" outlineLevel="0" collapsed="false">
      <c r="A15842" s="5" t="s">
        <v>460</v>
      </c>
      <c r="C15842" s="25" t="n">
        <f aca="false">SUMPRODUCT(($C$15829:$C$15832=C15832)*$C$15824:$C$15827)</f>
        <v>300</v>
      </c>
    </row>
    <row r="15843" customFormat="false" ht="15" hidden="false" customHeight="false" outlineLevel="0" collapsed="false">
      <c r="A15843" s="23" t="s">
        <v>469</v>
      </c>
      <c r="B15843" s="24"/>
      <c r="C15843" s="24"/>
      <c r="D15843" s="24"/>
      <c r="E15843" s="24"/>
      <c r="F15843" s="24"/>
      <c r="G15843" s="24"/>
      <c r="H15843" s="24"/>
      <c r="I15843" s="24"/>
      <c r="J15843" s="24"/>
      <c r="K15843" s="24"/>
    </row>
    <row r="15844" customFormat="false" ht="15" hidden="false" customHeight="false" outlineLevel="0" collapsed="false">
      <c r="A15844" s="5" t="s">
        <v>457</v>
      </c>
      <c r="C15844" s="25" t="n">
        <f aca="false">IF(C15839=0,0,C15824/C15839*MAX(0,MIN(C15839,$C$15797-SUM($C$15814:$C$15817)-C15834)))</f>
        <v>55.97928</v>
      </c>
    </row>
    <row r="15845" customFormat="false" ht="15" hidden="false" customHeight="false" outlineLevel="0" collapsed="false">
      <c r="A15845" s="5" t="s">
        <v>458</v>
      </c>
      <c r="C15845" s="25" t="n">
        <f aca="false">IF(C15840=0,0,C15825/C15840*MAX(0,MIN(C15840,$C$15797-SUM($C$15814:$C$15817)-C15835)))</f>
        <v>0</v>
      </c>
    </row>
    <row r="15846" customFormat="false" ht="15" hidden="false" customHeight="false" outlineLevel="0" collapsed="false">
      <c r="A15846" s="5" t="s">
        <v>459</v>
      </c>
      <c r="C15846" s="25" t="n">
        <f aca="false">IF(C15841=0,0,C15826/C15841*MAX(0,MIN(C15841,$C$15797-SUM($C$15814:$C$15817)-C15836)))</f>
        <v>0</v>
      </c>
    </row>
    <row r="15847" customFormat="false" ht="15" hidden="false" customHeight="false" outlineLevel="0" collapsed="false">
      <c r="A15847" s="5" t="s">
        <v>460</v>
      </c>
      <c r="C15847" s="25" t="n">
        <f aca="false">IF(C15842=0,0,C15827/C15842*MAX(0,MIN(C15842,$C$15797-SUM($C$15814:$C$15817)-C15837)))</f>
        <v>0</v>
      </c>
    </row>
    <row r="15848" customFormat="false" ht="15" hidden="false" customHeight="false" outlineLevel="0" collapsed="false">
      <c r="A15848" s="23" t="s">
        <v>470</v>
      </c>
      <c r="B15848" s="24"/>
      <c r="C15848" s="24"/>
      <c r="D15848" s="24"/>
      <c r="E15848" s="24"/>
      <c r="F15848" s="24"/>
      <c r="G15848" s="24"/>
      <c r="H15848" s="24"/>
      <c r="I15848" s="24"/>
      <c r="J15848" s="24"/>
      <c r="K15848" s="24"/>
    </row>
    <row r="15849" customFormat="false" ht="15" hidden="false" customHeight="false" outlineLevel="0" collapsed="false">
      <c r="A15849" s="2" t="s">
        <v>457</v>
      </c>
      <c r="C15849" s="16" t="n">
        <f aca="false">C15814+C15844</f>
        <v>55.97928</v>
      </c>
    </row>
    <row r="15850" customFormat="false" ht="15" hidden="false" customHeight="false" outlineLevel="0" collapsed="false">
      <c r="A15850" s="2" t="s">
        <v>458</v>
      </c>
      <c r="C15850" s="16" t="n">
        <f aca="false">C15815+C15845</f>
        <v>0</v>
      </c>
    </row>
    <row r="15851" customFormat="false" ht="15" hidden="false" customHeight="false" outlineLevel="0" collapsed="false">
      <c r="A15851" s="2" t="s">
        <v>459</v>
      </c>
      <c r="C15851" s="16" t="n">
        <f aca="false">C15816+C15846</f>
        <v>0</v>
      </c>
    </row>
    <row r="15852" customFormat="false" ht="15" hidden="false" customHeight="false" outlineLevel="0" collapsed="false">
      <c r="A15852" s="2" t="s">
        <v>460</v>
      </c>
      <c r="C15852" s="16" t="n">
        <f aca="false">C15817+C15847</f>
        <v>0</v>
      </c>
    </row>
    <row r="15853" customFormat="false" ht="15" hidden="false" customHeight="false" outlineLevel="0" collapsed="false">
      <c r="A15853" s="23" t="s">
        <v>471</v>
      </c>
      <c r="B15853" s="24"/>
      <c r="C15853" s="24"/>
      <c r="D15853" s="24"/>
      <c r="E15853" s="24"/>
      <c r="F15853" s="24"/>
      <c r="G15853" s="24"/>
      <c r="H15853" s="24"/>
      <c r="I15853" s="24"/>
      <c r="J15853" s="24"/>
      <c r="K15853" s="24"/>
    </row>
    <row r="15854" customFormat="false" ht="15" hidden="false" customHeight="false" outlineLevel="0" collapsed="false">
      <c r="A15854" s="5" t="s">
        <v>457</v>
      </c>
      <c r="C15854" s="21" t="n">
        <f aca="false">IF(C15799=0,1,C15849/C15799)</f>
        <v>0.241906444353024</v>
      </c>
    </row>
    <row r="15855" customFormat="false" ht="15" hidden="false" customHeight="false" outlineLevel="0" collapsed="false">
      <c r="A15855" s="5" t="s">
        <v>458</v>
      </c>
      <c r="C15855" s="21" t="n">
        <f aca="false">IF(C15800=0,1,C15850/C15800)</f>
        <v>0</v>
      </c>
    </row>
    <row r="15856" customFormat="false" ht="15" hidden="false" customHeight="false" outlineLevel="0" collapsed="false">
      <c r="A15856" s="5" t="s">
        <v>459</v>
      </c>
      <c r="C15856" s="21" t="n">
        <f aca="false">IF(C15801=0,1,C15851/C15801)</f>
        <v>0</v>
      </c>
    </row>
    <row r="15857" customFormat="false" ht="15" hidden="false" customHeight="false" outlineLevel="0" collapsed="false">
      <c r="A15857" s="5" t="s">
        <v>460</v>
      </c>
      <c r="C15857" s="21" t="n">
        <f aca="false">IF(C15802=0,1,C15852/C15802)</f>
        <v>0</v>
      </c>
    </row>
    <row r="15858" customFormat="false" ht="15" hidden="false" customHeight="false" outlineLevel="0" collapsed="false">
      <c r="A15858" s="23" t="s">
        <v>472</v>
      </c>
      <c r="B15858" s="24"/>
      <c r="C15858" s="24"/>
      <c r="D15858" s="24"/>
      <c r="E15858" s="24"/>
      <c r="F15858" s="24"/>
      <c r="G15858" s="24"/>
      <c r="H15858" s="24"/>
      <c r="I15858" s="24"/>
      <c r="J15858" s="24"/>
      <c r="K15858" s="24"/>
    </row>
    <row r="15859" customFormat="false" ht="15" hidden="false" customHeight="false" outlineLevel="0" collapsed="false">
      <c r="A15859" s="5" t="s">
        <v>457</v>
      </c>
      <c r="C15859" s="25" t="n">
        <f aca="false">C15799-C15849</f>
        <v>175.42952</v>
      </c>
    </row>
    <row r="15860" customFormat="false" ht="15" hidden="false" customHeight="false" outlineLevel="0" collapsed="false">
      <c r="A15860" s="5" t="s">
        <v>458</v>
      </c>
      <c r="C15860" s="25" t="n">
        <f aca="false">C15800-C15850</f>
        <v>509.6</v>
      </c>
    </row>
    <row r="15861" customFormat="false" ht="15" hidden="false" customHeight="false" outlineLevel="0" collapsed="false">
      <c r="A15861" s="5" t="s">
        <v>459</v>
      </c>
      <c r="C15861" s="25" t="n">
        <f aca="false">C15801-C15851</f>
        <v>250</v>
      </c>
    </row>
    <row r="15862" customFormat="false" ht="15" hidden="false" customHeight="false" outlineLevel="0" collapsed="false">
      <c r="A15862" s="5" t="s">
        <v>460</v>
      </c>
      <c r="C15862" s="25" t="n">
        <f aca="false">C15802-C15852</f>
        <v>300</v>
      </c>
    </row>
    <row r="15863" customFormat="false" ht="15" hidden="false" customHeight="false" outlineLevel="0" collapsed="false">
      <c r="A15863" s="23" t="s">
        <v>473</v>
      </c>
      <c r="B15863" s="24"/>
      <c r="C15863" s="24"/>
      <c r="D15863" s="24"/>
      <c r="E15863" s="24"/>
      <c r="F15863" s="24"/>
      <c r="G15863" s="24"/>
      <c r="H15863" s="24"/>
      <c r="I15863" s="24"/>
      <c r="J15863" s="24"/>
      <c r="K15863" s="24"/>
    </row>
    <row r="15864" customFormat="false" ht="15" hidden="false" customHeight="false" outlineLevel="0" collapsed="false">
      <c r="A15864" s="5" t="s">
        <v>457</v>
      </c>
      <c r="C15864" s="21" t="n">
        <f aca="false">IF(C15799=0,0,C15859/C15799)</f>
        <v>0.758093555646976</v>
      </c>
    </row>
    <row r="15865" customFormat="false" ht="15" hidden="false" customHeight="false" outlineLevel="0" collapsed="false">
      <c r="A15865" s="5" t="s">
        <v>458</v>
      </c>
      <c r="C15865" s="21" t="n">
        <f aca="false">IF(C15800=0,0,C15860/C15800)</f>
        <v>1</v>
      </c>
    </row>
    <row r="15866" customFormat="false" ht="15" hidden="false" customHeight="false" outlineLevel="0" collapsed="false">
      <c r="A15866" s="5" t="s">
        <v>459</v>
      </c>
      <c r="C15866" s="21" t="n">
        <f aca="false">IF(C15801=0,0,C15861/C15801)</f>
        <v>1</v>
      </c>
    </row>
    <row r="15867" customFormat="false" ht="15" hidden="false" customHeight="false" outlineLevel="0" collapsed="false">
      <c r="A15867" s="5" t="s">
        <v>460</v>
      </c>
      <c r="C15867" s="21" t="n">
        <f aca="false">IF(C15802=0,0,C15862/C15802)</f>
        <v>1</v>
      </c>
    </row>
    <row r="15868" customFormat="false" ht="15" hidden="false" customHeight="false" outlineLevel="0" collapsed="false">
      <c r="A15868" s="2" t="s">
        <v>474</v>
      </c>
      <c r="C15868" s="16" t="n">
        <f aca="false">MAX(0,$C$15797-SUM($C$15814:$C$15817)-SUM($C$15824:$C$15827))</f>
        <v>0</v>
      </c>
    </row>
    <row r="15869" customFormat="false" ht="15" hidden="false" customHeight="false" outlineLevel="0" collapsed="false">
      <c r="A15869" s="5" t="s">
        <v>492</v>
      </c>
      <c r="C15869" s="33" t="n">
        <f aca="false">MIN(C15796,100*CHOOSE(C15786,C15854,C15855,C15856,C15857))</f>
        <v>0</v>
      </c>
    </row>
    <row r="15870" customFormat="false" ht="15" hidden="false" customHeight="false" outlineLevel="0" collapsed="false">
      <c r="A15870" s="5" t="s">
        <v>493</v>
      </c>
      <c r="C15870" s="20" t="n">
        <f aca="false">IF(C15702=1,C15791+Assumptions!$C$36,C15790)</f>
        <v>3</v>
      </c>
    </row>
    <row r="15871" customFormat="false" ht="15" hidden="false" customHeight="false" outlineLevel="0" collapsed="false">
      <c r="A15871" s="23" t="s">
        <v>494</v>
      </c>
      <c r="B15871" s="24"/>
      <c r="C15871" s="24"/>
      <c r="D15871" s="24"/>
      <c r="E15871" s="24"/>
      <c r="F15871" s="24"/>
      <c r="G15871" s="24"/>
      <c r="H15871" s="24"/>
      <c r="I15871" s="24"/>
      <c r="J15871" s="24"/>
      <c r="K15871" s="24"/>
    </row>
    <row r="15872" customFormat="false" ht="15" hidden="false" customHeight="false" outlineLevel="0" collapsed="false">
      <c r="A15872" s="5" t="s">
        <v>495</v>
      </c>
      <c r="C15872" s="20" t="n">
        <f aca="false">COLUMN()-COLUMN($C$1)</f>
        <v>0</v>
      </c>
      <c r="D15872" s="20" t="n">
        <f aca="false">COLUMN()-COLUMN($C$1)</f>
        <v>1</v>
      </c>
      <c r="E15872" s="20" t="n">
        <f aca="false">COLUMN()-COLUMN($C$1)</f>
        <v>2</v>
      </c>
      <c r="F15872" s="20" t="n">
        <f aca="false">COLUMN()-COLUMN($C$1)</f>
        <v>3</v>
      </c>
      <c r="G15872" s="20" t="n">
        <f aca="false">COLUMN()-COLUMN($C$1)</f>
        <v>4</v>
      </c>
      <c r="H15872" s="20" t="n">
        <f aca="false">COLUMN()-COLUMN($C$1)</f>
        <v>5</v>
      </c>
      <c r="I15872" s="20" t="n">
        <f aca="false">COLUMN()-COLUMN($C$1)</f>
        <v>6</v>
      </c>
    </row>
    <row r="15873" customFormat="false" ht="15" hidden="false" customHeight="false" outlineLevel="0" collapsed="false">
      <c r="A15873" s="5" t="s">
        <v>496</v>
      </c>
      <c r="D15873" s="30" t="n">
        <f aca="false">CHOOSE($C$15786,G15584,G15597,G15610,G15623)</f>
        <v>0.128</v>
      </c>
      <c r="E15873" s="30" t="n">
        <f aca="false">CHOOSE($C$15786,H15584,H15597,H15610,H15623)</f>
        <v>0.1255</v>
      </c>
      <c r="F15873" s="30" t="n">
        <f aca="false">CHOOSE($C$15786,I15584,I15597,I15610,I15623)</f>
        <v>0.123</v>
      </c>
      <c r="G15873" s="30" t="n">
        <f aca="false">CHOOSE($C$15786,J15584,J15597,J15610,J15623)</f>
        <v>0.123</v>
      </c>
      <c r="H15873" s="30" t="n">
        <f aca="false">CHOOSE($C$15786,K15584,K15597,K15610,K15623)</f>
        <v>0.123</v>
      </c>
    </row>
    <row r="15874" customFormat="false" ht="15" hidden="false" customHeight="false" outlineLevel="0" collapsed="false">
      <c r="A15874" s="5" t="s">
        <v>497</v>
      </c>
      <c r="D15874" s="25" t="n">
        <f aca="false">IF(D15872&lt;=$C$15795,$C$15787*D15873,0)</f>
        <v>12.8</v>
      </c>
      <c r="E15874" s="25" t="n">
        <f aca="false">IF(E15872&lt;=$C$15795,$C$15787*E15873,0)</f>
        <v>12.55</v>
      </c>
      <c r="F15874" s="25" t="n">
        <f aca="false">IF(F15872&lt;=$C$15795,$C$15787*F15873,0)</f>
        <v>0</v>
      </c>
      <c r="G15874" s="25" t="n">
        <f aca="false">IF(G15872&lt;=$C$15795,$C$15787*G15873,0)</f>
        <v>0</v>
      </c>
      <c r="H15874" s="25" t="n">
        <f aca="false">IF(H15872&lt;=$C$15795,$C$15787*H15873,0)</f>
        <v>0</v>
      </c>
    </row>
    <row r="15875" customFormat="false" ht="15" hidden="false" customHeight="false" outlineLevel="0" collapsed="false">
      <c r="A15875" s="5" t="s">
        <v>498</v>
      </c>
      <c r="D15875" s="25" t="n">
        <f aca="false">IF(AND($C$15702=0,D15872=$C$15790),$C$15787*$C$15869/100,0)+IF(AND($C$15702=1,D15872=$C$15870),$C$15793,0)</f>
        <v>0</v>
      </c>
      <c r="E15875" s="25" t="n">
        <f aca="false">IF(AND($C$15702=0,E15872=$C$15790),$C$15787*$C$15869/100,0)+IF(AND($C$15702=1,E15872=$C$15870),$C$15793,0)</f>
        <v>0</v>
      </c>
      <c r="F15875" s="25" t="n">
        <f aca="false">IF(AND($C$15702=0,F15872=$C$15790),$C$15787*$C$15869/100,0)+IF(AND($C$15702=1,F15872=$C$15870),$C$15793,0)</f>
        <v>29.7665298861852</v>
      </c>
      <c r="G15875" s="25" t="n">
        <f aca="false">IF(AND($C$15702=0,G15872=$C$15790),$C$15787*$C$15869/100,0)+IF(AND($C$15702=1,G15872=$C$15870),$C$15793,0)</f>
        <v>0</v>
      </c>
      <c r="H15875" s="25" t="n">
        <f aca="false">IF(AND($C$15702=0,H15872=$C$15790),$C$15787*$C$15869/100,0)+IF(AND($C$15702=1,H15872=$C$15870),$C$15793,0)</f>
        <v>0</v>
      </c>
      <c r="I15875" s="25" t="n">
        <f aca="false">IF(AND($C$15702=0,I15872=$C$15790),$C$15787*$C$15869/100,0)+IF(AND($C$15702=1,I15872=$C$15870),$C$15793,0)</f>
        <v>0</v>
      </c>
    </row>
    <row r="15876" customFormat="false" ht="15" hidden="false" customHeight="false" outlineLevel="0" collapsed="false">
      <c r="A15876" s="2" t="s">
        <v>499</v>
      </c>
      <c r="C15876" s="16" t="n">
        <f aca="false">-$C$15789</f>
        <v>-78.39</v>
      </c>
      <c r="D15876" s="16" t="n">
        <f aca="false">D15874+D15875</f>
        <v>12.8</v>
      </c>
      <c r="E15876" s="16" t="n">
        <f aca="false">E15874+E15875</f>
        <v>12.55</v>
      </c>
      <c r="F15876" s="16" t="n">
        <f aca="false">F15874+F15875</f>
        <v>29.7665298861852</v>
      </c>
      <c r="G15876" s="16" t="n">
        <f aca="false">G15874+G15875</f>
        <v>0</v>
      </c>
      <c r="H15876" s="16" t="n">
        <f aca="false">H15874+H15875</f>
        <v>0</v>
      </c>
      <c r="I15876" s="16" t="n">
        <f aca="false">I15874+I15875</f>
        <v>0</v>
      </c>
    </row>
    <row r="15877" customFormat="false" ht="15" hidden="false" customHeight="false" outlineLevel="0" collapsed="false">
      <c r="A15877" s="5" t="s">
        <v>500</v>
      </c>
      <c r="C15877" s="25" t="n">
        <f aca="false">SUM($C$15874:$I$15874)</f>
        <v>25.35</v>
      </c>
    </row>
    <row r="15878" customFormat="false" ht="15" hidden="false" customHeight="false" outlineLevel="0" collapsed="false">
      <c r="A15878" s="5" t="s">
        <v>501</v>
      </c>
      <c r="C15878" s="25" t="n">
        <f aca="false">SUM($C$15875:$I$15875)</f>
        <v>29.7665298861852</v>
      </c>
    </row>
    <row r="15879" customFormat="false" ht="15" hidden="false" customHeight="false" outlineLevel="0" collapsed="false">
      <c r="A15879" s="5" t="s">
        <v>502</v>
      </c>
      <c r="C15879" s="25" t="n">
        <f aca="false">C15877+C15878</f>
        <v>55.1165298861852</v>
      </c>
    </row>
    <row r="15880" customFormat="false" ht="15" hidden="false" customHeight="false" outlineLevel="0" collapsed="false">
      <c r="A15880" s="5" t="s">
        <v>503</v>
      </c>
      <c r="C15880" s="25" t="n">
        <f aca="false">C15878-C15787*C15788/100</f>
        <v>-48.2334701138148</v>
      </c>
    </row>
    <row r="15881" customFormat="false" ht="15" hidden="false" customHeight="false" outlineLevel="0" collapsed="false">
      <c r="A15881" s="5" t="s">
        <v>504</v>
      </c>
      <c r="C15881" s="25" t="n">
        <f aca="false">C15879-C15789</f>
        <v>-23.2734701138148</v>
      </c>
    </row>
    <row r="15882" customFormat="false" ht="15" hidden="false" customHeight="false" outlineLevel="0" collapsed="false">
      <c r="A15882" s="2" t="s">
        <v>385</v>
      </c>
      <c r="C15882" s="43" t="n">
        <f aca="false">C15879/C15789</f>
        <v>0.703106644803996</v>
      </c>
    </row>
    <row r="15883" customFormat="false" ht="15" hidden="false" customHeight="false" outlineLevel="0" collapsed="false">
      <c r="A15883" s="2" t="s">
        <v>384</v>
      </c>
      <c r="C15883" s="41" t="n">
        <f aca="false">IF(C15879&lt;=0,-1,IFERROR(IRR($C$15876:$I$15876,MAX(-0.9,C15882^(1/C15870)-1)),IRR($C$15876:$I$15876,0.1)))</f>
        <v>-0.138810955405867</v>
      </c>
    </row>
    <row r="15884" customFormat="false" ht="15" hidden="false" customHeight="false" outlineLevel="0" collapsed="false">
      <c r="A15884" s="5" t="s">
        <v>505</v>
      </c>
      <c r="C15884" s="31" t="n">
        <f aca="false">MAX($G$15678:$K$15678)</f>
        <v>123.325515205117</v>
      </c>
    </row>
    <row r="15885" customFormat="false" ht="15" hidden="false" customHeight="false" outlineLevel="0" collapsed="false">
      <c r="A15885" s="5" t="s">
        <v>506</v>
      </c>
      <c r="C15885" s="31" t="n">
        <f aca="false">MIN($G$15679:$K$15679)</f>
        <v>0.112323418595653</v>
      </c>
    </row>
    <row r="15886" customFormat="false" ht="15" hidden="false" customHeight="false" outlineLevel="0" collapsed="false">
      <c r="A15886" s="5" t="s">
        <v>507</v>
      </c>
      <c r="C15886" s="25" t="n">
        <f aca="false">SUM($G$15568:$K$15568)</f>
        <v>-677.961969058854</v>
      </c>
    </row>
    <row r="15890" customFormat="false" ht="15" hidden="false" customHeight="false" outlineLevel="0" collapsed="false">
      <c r="A15890" s="9" t="s">
        <v>671</v>
      </c>
      <c r="B15890" s="10"/>
      <c r="C15890" s="10"/>
      <c r="D15890" s="10"/>
      <c r="E15890" s="10"/>
      <c r="F15890" s="10"/>
      <c r="G15890" s="10"/>
      <c r="H15890" s="10"/>
      <c r="I15890" s="10"/>
      <c r="J15890" s="10"/>
      <c r="K15890" s="10"/>
    </row>
    <row r="15891" customFormat="false" ht="15" hidden="false" customHeight="false" outlineLevel="0" collapsed="false">
      <c r="A15891" s="5" t="s">
        <v>622</v>
      </c>
      <c r="C15891" s="11" t="n">
        <v>3</v>
      </c>
    </row>
    <row r="15892" customFormat="false" ht="15" hidden="false" customHeight="false" outlineLevel="0" collapsed="false">
      <c r="A15892" s="5" t="s">
        <v>623</v>
      </c>
      <c r="C15892" s="18" t="n">
        <v>0</v>
      </c>
    </row>
    <row r="15893" customFormat="false" ht="15" hidden="false" customHeight="false" outlineLevel="0" collapsed="false">
      <c r="A15893" s="5" t="s">
        <v>624</v>
      </c>
      <c r="C15893" s="18" t="n">
        <v>0</v>
      </c>
    </row>
    <row r="15894" customFormat="false" ht="15" hidden="false" customHeight="false" outlineLevel="0" collapsed="false">
      <c r="A15894" s="5" t="s">
        <v>625</v>
      </c>
      <c r="C15894" s="29" t="n">
        <f aca="false">Sensitivities!$A$52</f>
        <v>0</v>
      </c>
    </row>
    <row r="15895" customFormat="false" ht="15" hidden="false" customHeight="false" outlineLevel="0" collapsed="false">
      <c r="A15895" s="5" t="s">
        <v>626</v>
      </c>
      <c r="C15895" s="15" t="n">
        <v>0</v>
      </c>
    </row>
    <row r="15897" customFormat="false" ht="15" hidden="false" customHeight="false" outlineLevel="0" collapsed="false">
      <c r="A15897" s="23" t="s">
        <v>237</v>
      </c>
      <c r="B15897" s="24"/>
      <c r="C15897" s="24"/>
      <c r="D15897" s="24"/>
      <c r="E15897" s="24"/>
      <c r="F15897" s="24"/>
      <c r="G15897" s="24"/>
      <c r="H15897" s="24"/>
      <c r="I15897" s="24"/>
      <c r="J15897" s="24"/>
      <c r="K15897" s="24"/>
    </row>
    <row r="15898" customFormat="false" ht="15" hidden="false" customHeight="false" outlineLevel="0" collapsed="false">
      <c r="A15898" s="5" t="s">
        <v>238</v>
      </c>
      <c r="F15898" s="26" t="n">
        <f aca="false">Assumptions!$C$6</f>
        <v>2025</v>
      </c>
      <c r="G15898" s="20" t="n">
        <f aca="false">F15898+1</f>
        <v>2026</v>
      </c>
      <c r="H15898" s="20" t="n">
        <f aca="false">G15898+1</f>
        <v>2027</v>
      </c>
      <c r="I15898" s="20" t="n">
        <f aca="false">H15898+1</f>
        <v>2028</v>
      </c>
      <c r="J15898" s="20" t="n">
        <f aca="false">I15898+1</f>
        <v>2029</v>
      </c>
      <c r="K15898" s="20" t="n">
        <f aca="false">J15898+1</f>
        <v>2030</v>
      </c>
    </row>
    <row r="15899" customFormat="false" ht="15" hidden="false" customHeight="false" outlineLevel="0" collapsed="false">
      <c r="A15899" s="5" t="s">
        <v>239</v>
      </c>
      <c r="G15899" s="20" t="n">
        <f aca="false">G15898-Assumptions!$C$6</f>
        <v>1</v>
      </c>
      <c r="H15899" s="20" t="n">
        <f aca="false">H15898-Assumptions!$C$6</f>
        <v>2</v>
      </c>
      <c r="I15899" s="20" t="n">
        <f aca="false">I15898-Assumptions!$C$6</f>
        <v>3</v>
      </c>
      <c r="J15899" s="20" t="n">
        <f aca="false">J15898-Assumptions!$C$6</f>
        <v>4</v>
      </c>
      <c r="K15899" s="20" t="n">
        <f aca="false">K15898-Assumptions!$C$6</f>
        <v>5</v>
      </c>
    </row>
    <row r="15900" customFormat="false" ht="15" hidden="false" customHeight="false" outlineLevel="0" collapsed="false">
      <c r="A15900" s="5" t="s">
        <v>149</v>
      </c>
      <c r="G15900" s="21" t="n">
        <f aca="false">CHOOSE($C$15891,Assumptions!$G$65,Assumptions!$G$84,Assumptions!$G$103)+$C$15892</f>
        <v>-0.234</v>
      </c>
      <c r="H15900" s="21" t="n">
        <f aca="false">CHOOSE($C$15891,Assumptions!$H$65,Assumptions!$H$84,Assumptions!$H$103)+$C$15892</f>
        <v>-0.13</v>
      </c>
      <c r="I15900" s="21" t="n">
        <f aca="false">CHOOSE($C$15891,Assumptions!$I$65,Assumptions!$I$84,Assumptions!$I$103)+$C$15892</f>
        <v>-0.026</v>
      </c>
      <c r="J15900" s="21" t="n">
        <f aca="false">CHOOSE($C$15891,Assumptions!$J$65,Assumptions!$J$84,Assumptions!$J$103)+$C$15892</f>
        <v>-0.01</v>
      </c>
      <c r="K15900" s="21" t="n">
        <f aca="false">CHOOSE($C$15891,Assumptions!$K$65,Assumptions!$K$84,Assumptions!$K$103)+$C$15892</f>
        <v>-0.01</v>
      </c>
    </row>
    <row r="15901" customFormat="false" ht="15" hidden="false" customHeight="false" outlineLevel="0" collapsed="false">
      <c r="A15901" s="5" t="s">
        <v>150</v>
      </c>
      <c r="G15901" s="21" t="n">
        <f aca="false">CHOOSE($C$15891,Assumptions!$G$66,Assumptions!$G$85,Assumptions!$G$104)</f>
        <v>0.305</v>
      </c>
      <c r="H15901" s="21" t="n">
        <f aca="false">CHOOSE($C$15891,Assumptions!$H$66,Assumptions!$H$85,Assumptions!$H$104)</f>
        <v>0.305</v>
      </c>
      <c r="I15901" s="21" t="n">
        <f aca="false">CHOOSE($C$15891,Assumptions!$I$66,Assumptions!$I$85,Assumptions!$I$104)</f>
        <v>0.305</v>
      </c>
      <c r="J15901" s="21" t="n">
        <f aca="false">CHOOSE($C$15891,Assumptions!$J$66,Assumptions!$J$85,Assumptions!$J$104)</f>
        <v>0.305</v>
      </c>
      <c r="K15901" s="21" t="n">
        <f aca="false">CHOOSE($C$15891,Assumptions!$K$66,Assumptions!$K$85,Assumptions!$K$104)</f>
        <v>0.305</v>
      </c>
    </row>
    <row r="15902" customFormat="false" ht="15" hidden="false" customHeight="false" outlineLevel="0" collapsed="false">
      <c r="A15902" s="5" t="s">
        <v>151</v>
      </c>
      <c r="G15902" s="21" t="n">
        <f aca="false">CHOOSE($C$15891,Assumptions!$G$67,Assumptions!$G$86,Assumptions!$G$105)+$C$15893</f>
        <v>0.01</v>
      </c>
      <c r="H15902" s="21" t="n">
        <f aca="false">CHOOSE($C$15891,Assumptions!$H$67,Assumptions!$H$86,Assumptions!$H$105)+$C$15893</f>
        <v>0.01</v>
      </c>
      <c r="I15902" s="21" t="n">
        <f aca="false">CHOOSE($C$15891,Assumptions!$I$67,Assumptions!$I$86,Assumptions!$I$105)+$C$15893</f>
        <v>0.01</v>
      </c>
      <c r="J15902" s="21" t="n">
        <f aca="false">CHOOSE($C$15891,Assumptions!$J$67,Assumptions!$J$86,Assumptions!$J$105)+$C$15893</f>
        <v>0.01</v>
      </c>
      <c r="K15902" s="21" t="n">
        <f aca="false">CHOOSE($C$15891,Assumptions!$K$67,Assumptions!$K$86,Assumptions!$K$105)+$C$15893</f>
        <v>0.01</v>
      </c>
    </row>
    <row r="15903" customFormat="false" ht="15" hidden="false" customHeight="false" outlineLevel="0" collapsed="false">
      <c r="A15903" s="23" t="s">
        <v>240</v>
      </c>
      <c r="B15903" s="24"/>
      <c r="C15903" s="24"/>
      <c r="D15903" s="24"/>
      <c r="E15903" s="24"/>
      <c r="F15903" s="24"/>
      <c r="G15903" s="24"/>
      <c r="H15903" s="24"/>
      <c r="I15903" s="24"/>
      <c r="J15903" s="24"/>
      <c r="K15903" s="24"/>
    </row>
    <row r="15904" customFormat="false" ht="15" hidden="false" customHeight="false" outlineLevel="0" collapsed="false">
      <c r="A15904" s="2" t="s">
        <v>207</v>
      </c>
      <c r="F15904" s="27" t="n">
        <f aca="false">'Historical Financials'!E17</f>
        <v>2400</v>
      </c>
      <c r="G15904" s="16" t="n">
        <f aca="false">F15904*(1+G15900)</f>
        <v>1838.4</v>
      </c>
      <c r="H15904" s="16" t="n">
        <f aca="false">G15904*(1+H15900)</f>
        <v>1599.408</v>
      </c>
      <c r="I15904" s="16" t="n">
        <f aca="false">H15904*(1+I15900)</f>
        <v>1557.823392</v>
      </c>
      <c r="J15904" s="16" t="n">
        <f aca="false">I15904*(1+J15900)</f>
        <v>1542.24515808</v>
      </c>
      <c r="K15904" s="16" t="n">
        <f aca="false">J15904*(1+K15900)</f>
        <v>1526.8227064992</v>
      </c>
    </row>
    <row r="15905" customFormat="false" ht="15" hidden="false" customHeight="false" outlineLevel="0" collapsed="false">
      <c r="A15905" s="5" t="s">
        <v>217</v>
      </c>
      <c r="G15905" s="25" t="n">
        <f aca="false">G15904*(1-G15901)</f>
        <v>1277.688</v>
      </c>
      <c r="H15905" s="25" t="n">
        <f aca="false">H15904*(1-H15901)</f>
        <v>1111.58856</v>
      </c>
      <c r="I15905" s="25" t="n">
        <f aca="false">I15904*(1-I15901)</f>
        <v>1082.68725744</v>
      </c>
      <c r="J15905" s="25" t="n">
        <f aca="false">J15904*(1-J15901)</f>
        <v>1071.8603848656</v>
      </c>
      <c r="K15905" s="25" t="n">
        <f aca="false">K15904*(1-K15901)</f>
        <v>1061.14178101694</v>
      </c>
    </row>
    <row r="15906" customFormat="false" ht="15" hidden="false" customHeight="false" outlineLevel="0" collapsed="false">
      <c r="A15906" s="2" t="s">
        <v>218</v>
      </c>
      <c r="G15906" s="16" t="n">
        <f aca="false">G15904-G15905</f>
        <v>560.712</v>
      </c>
      <c r="H15906" s="16" t="n">
        <f aca="false">H15904-H15905</f>
        <v>487.81944</v>
      </c>
      <c r="I15906" s="16" t="n">
        <f aca="false">I15904-I15905</f>
        <v>475.13613456</v>
      </c>
      <c r="J15906" s="16" t="n">
        <f aca="false">J15904-J15905</f>
        <v>470.3847732144</v>
      </c>
      <c r="K15906" s="16" t="n">
        <f aca="false">K15904-K15905</f>
        <v>465.680925482256</v>
      </c>
    </row>
    <row r="15907" customFormat="false" ht="15" hidden="false" customHeight="false" outlineLevel="0" collapsed="false">
      <c r="A15907" s="5" t="s">
        <v>241</v>
      </c>
      <c r="G15907" s="25" t="n">
        <f aca="false">G15906-G15908</f>
        <v>542.328</v>
      </c>
      <c r="H15907" s="25" t="n">
        <f aca="false">H15906-H15908</f>
        <v>471.82536</v>
      </c>
      <c r="I15907" s="25" t="n">
        <f aca="false">I15906-I15908</f>
        <v>459.55790064</v>
      </c>
      <c r="J15907" s="25" t="n">
        <f aca="false">J15906-J15908</f>
        <v>454.9623216336</v>
      </c>
      <c r="K15907" s="25" t="n">
        <f aca="false">K15906-K15908</f>
        <v>450.412698417264</v>
      </c>
    </row>
    <row r="15908" customFormat="false" ht="15" hidden="false" customHeight="false" outlineLevel="0" collapsed="false">
      <c r="A15908" s="2" t="s">
        <v>242</v>
      </c>
      <c r="G15908" s="16" t="n">
        <f aca="false">G15904*G15902</f>
        <v>18.384</v>
      </c>
      <c r="H15908" s="16" t="n">
        <f aca="false">H15904*H15902</f>
        <v>15.99408</v>
      </c>
      <c r="I15908" s="16" t="n">
        <f aca="false">I15904*I15902</f>
        <v>15.57823392</v>
      </c>
      <c r="J15908" s="16" t="n">
        <f aca="false">J15904*J15902</f>
        <v>15.4224515808</v>
      </c>
      <c r="K15908" s="16" t="n">
        <f aca="false">K15904*K15902</f>
        <v>15.268227064992</v>
      </c>
    </row>
    <row r="15909" customFormat="false" ht="15" hidden="false" customHeight="false" outlineLevel="0" collapsed="false">
      <c r="A15909" s="5" t="s">
        <v>243</v>
      </c>
      <c r="G15909" s="25" t="n">
        <f aca="false">G15904*'Historical Financials'!E22/'Historical Financials'!E17</f>
        <v>40.4448</v>
      </c>
      <c r="H15909" s="25" t="n">
        <f aca="false">H15904*'Historical Financials'!E22/'Historical Financials'!E17</f>
        <v>35.186976</v>
      </c>
      <c r="I15909" s="25" t="n">
        <f aca="false">I15904*'Historical Financials'!E22/'Historical Financials'!E17</f>
        <v>34.272114624</v>
      </c>
      <c r="J15909" s="25" t="n">
        <f aca="false">J15904*'Historical Financials'!E22/'Historical Financials'!E17</f>
        <v>33.92939347776</v>
      </c>
      <c r="K15909" s="25" t="n">
        <f aca="false">K15904*'Historical Financials'!E22/'Historical Financials'!E17</f>
        <v>33.5900995429824</v>
      </c>
    </row>
    <row r="15910" customFormat="false" ht="15" hidden="false" customHeight="false" outlineLevel="0" collapsed="false">
      <c r="A15910" s="5" t="s">
        <v>244</v>
      </c>
      <c r="G15910" s="25" t="n">
        <f aca="false">G15904*'Historical Financials'!E23/'Historical Financials'!E17</f>
        <v>0</v>
      </c>
      <c r="H15910" s="25" t="n">
        <f aca="false">H15904*'Historical Financials'!E23/'Historical Financials'!E17</f>
        <v>0</v>
      </c>
      <c r="I15910" s="25" t="n">
        <f aca="false">I15904*'Historical Financials'!E23/'Historical Financials'!E17</f>
        <v>0</v>
      </c>
      <c r="J15910" s="25" t="n">
        <f aca="false">J15904*'Historical Financials'!E23/'Historical Financials'!E17</f>
        <v>0</v>
      </c>
      <c r="K15910" s="25" t="n">
        <f aca="false">K15904*'Historical Financials'!E23/'Historical Financials'!E17</f>
        <v>0</v>
      </c>
    </row>
    <row r="15911" customFormat="false" ht="15" hidden="false" customHeight="false" outlineLevel="0" collapsed="false">
      <c r="A15911" s="2" t="s">
        <v>245</v>
      </c>
      <c r="G15911" s="16" t="n">
        <f aca="false">G15908-G15909-G15910</f>
        <v>-22.0608</v>
      </c>
      <c r="H15911" s="16" t="n">
        <f aca="false">H15908-H15909-H15910</f>
        <v>-19.192896</v>
      </c>
      <c r="I15911" s="16" t="n">
        <f aca="false">I15908-I15909-I15910</f>
        <v>-18.693880704</v>
      </c>
      <c r="J15911" s="16" t="n">
        <f aca="false">J15908-J15909-J15910</f>
        <v>-18.50694189696</v>
      </c>
      <c r="K15911" s="16" t="n">
        <f aca="false">K15908-K15909-K15910</f>
        <v>-18.3218724779904</v>
      </c>
    </row>
    <row r="15912" customFormat="false" ht="15" hidden="false" customHeight="false" outlineLevel="0" collapsed="false">
      <c r="A15912" s="5" t="s">
        <v>246</v>
      </c>
      <c r="G15912" s="25" t="n">
        <f aca="false">G15938+G15951+G15964+G15977</f>
        <v>140.04</v>
      </c>
      <c r="H15912" s="25" t="n">
        <f aca="false">H15938+H15951+H15964+H15977</f>
        <v>143.8435488</v>
      </c>
      <c r="I15912" s="25" t="n">
        <f aca="false">I15938+I15951+I15964+I15977</f>
        <v>141.3036768</v>
      </c>
      <c r="J15912" s="25" t="n">
        <f aca="false">J15938+J15951+J15964+J15977</f>
        <v>140.6380768</v>
      </c>
      <c r="K15912" s="25" t="n">
        <f aca="false">K15938+K15951+K15964+K15977</f>
        <v>139.9724768</v>
      </c>
    </row>
    <row r="15913" customFormat="false" ht="15" hidden="false" customHeight="false" outlineLevel="0" collapsed="false">
      <c r="A15913" s="5" t="s">
        <v>247</v>
      </c>
      <c r="G15913" s="25" t="n">
        <f aca="false">G15939+G15952+G15965+G15978</f>
        <v>0</v>
      </c>
      <c r="H15913" s="25" t="n">
        <f aca="false">H15939+H15952+H15965+H15978</f>
        <v>0</v>
      </c>
      <c r="I15913" s="25" t="n">
        <f aca="false">I15939+I15952+I15965+I15978</f>
        <v>0</v>
      </c>
      <c r="J15913" s="25" t="n">
        <f aca="false">J15939+J15952+J15965+J15978</f>
        <v>0</v>
      </c>
      <c r="K15913" s="25" t="n">
        <f aca="false">K15939+K15952+K15965+K15978</f>
        <v>0</v>
      </c>
    </row>
    <row r="15914" customFormat="false" ht="15" hidden="false" customHeight="false" outlineLevel="0" collapsed="false">
      <c r="A15914" s="5" t="s">
        <v>212</v>
      </c>
      <c r="G15914" s="25" t="n">
        <f aca="false">G15912+G15913</f>
        <v>140.04</v>
      </c>
      <c r="H15914" s="25" t="n">
        <f aca="false">H15912+H15913</f>
        <v>143.8435488</v>
      </c>
      <c r="I15914" s="25" t="n">
        <f aca="false">I15912+I15913</f>
        <v>141.3036768</v>
      </c>
      <c r="J15914" s="25" t="n">
        <f aca="false">J15912+J15913</f>
        <v>140.6380768</v>
      </c>
      <c r="K15914" s="25" t="n">
        <f aca="false">K15912+K15913</f>
        <v>139.9724768</v>
      </c>
    </row>
    <row r="15915" customFormat="false" ht="15" hidden="false" customHeight="false" outlineLevel="0" collapsed="false">
      <c r="A15915" s="2" t="s">
        <v>223</v>
      </c>
      <c r="G15915" s="16" t="n">
        <f aca="false">G15911-G15914</f>
        <v>-162.1008</v>
      </c>
      <c r="H15915" s="16" t="n">
        <f aca="false">H15911-H15914</f>
        <v>-163.0364448</v>
      </c>
      <c r="I15915" s="16" t="n">
        <f aca="false">I15911-I15914</f>
        <v>-159.997557504</v>
      </c>
      <c r="J15915" s="16" t="n">
        <f aca="false">J15911-J15914</f>
        <v>-159.14501869696</v>
      </c>
      <c r="K15915" s="16" t="n">
        <f aca="false">K15911-K15914</f>
        <v>-158.29434927799</v>
      </c>
    </row>
    <row r="15916" customFormat="false" ht="15" hidden="false" customHeight="false" outlineLevel="0" collapsed="false">
      <c r="A15916" s="5" t="s">
        <v>213</v>
      </c>
      <c r="G15916" s="25" t="n">
        <f aca="false">MAX(0,G15915)*Assumptions!$C$9</f>
        <v>0</v>
      </c>
      <c r="H15916" s="25" t="n">
        <f aca="false">MAX(0,H15915)*Assumptions!$C$9</f>
        <v>0</v>
      </c>
      <c r="I15916" s="25" t="n">
        <f aca="false">MAX(0,I15915)*Assumptions!$C$9</f>
        <v>0</v>
      </c>
      <c r="J15916" s="25" t="n">
        <f aca="false">MAX(0,J15915)*Assumptions!$C$9</f>
        <v>0</v>
      </c>
      <c r="K15916" s="25" t="n">
        <f aca="false">MAX(0,K15915)*Assumptions!$C$9</f>
        <v>0</v>
      </c>
    </row>
    <row r="15917" customFormat="false" ht="15" hidden="false" customHeight="false" outlineLevel="0" collapsed="false">
      <c r="A15917" s="2" t="s">
        <v>248</v>
      </c>
      <c r="G15917" s="16" t="n">
        <f aca="false">G15915-G15916</f>
        <v>-162.1008</v>
      </c>
      <c r="H15917" s="16" t="n">
        <f aca="false">H15915-H15916</f>
        <v>-163.0364448</v>
      </c>
      <c r="I15917" s="16" t="n">
        <f aca="false">I15915-I15916</f>
        <v>-159.997557504</v>
      </c>
      <c r="J15917" s="16" t="n">
        <f aca="false">J15915-J15916</f>
        <v>-159.14501869696</v>
      </c>
      <c r="K15917" s="16" t="n">
        <f aca="false">K15915-K15916</f>
        <v>-158.29434927799</v>
      </c>
    </row>
    <row r="15918" customFormat="false" ht="15" hidden="false" customHeight="false" outlineLevel="0" collapsed="false">
      <c r="A15918" s="23" t="s">
        <v>249</v>
      </c>
      <c r="B15918" s="24"/>
      <c r="C15918" s="24"/>
      <c r="D15918" s="24"/>
      <c r="E15918" s="24"/>
      <c r="F15918" s="24"/>
      <c r="G15918" s="24"/>
      <c r="H15918" s="24"/>
      <c r="I15918" s="24"/>
      <c r="J15918" s="24"/>
      <c r="K15918" s="24"/>
    </row>
    <row r="15919" customFormat="false" ht="15" hidden="false" customHeight="false" outlineLevel="0" collapsed="false">
      <c r="A15919" s="5" t="s">
        <v>153</v>
      </c>
      <c r="G15919" s="25" t="n">
        <f aca="false">G15904*CHOOSE($C$15891,Assumptions!$C$69,Assumptions!$C$88,Assumptions!$C$107)</f>
        <v>29.4144</v>
      </c>
      <c r="H15919" s="25" t="n">
        <f aca="false">H15904*CHOOSE($C$15891,Assumptions!$C$69,Assumptions!$C$88,Assumptions!$C$107)</f>
        <v>25.590528</v>
      </c>
      <c r="I15919" s="25" t="n">
        <f aca="false">I15904*CHOOSE($C$15891,Assumptions!$C$69,Assumptions!$C$88,Assumptions!$C$107)</f>
        <v>24.925174272</v>
      </c>
      <c r="J15919" s="25" t="n">
        <f aca="false">J15904*CHOOSE($C$15891,Assumptions!$C$69,Assumptions!$C$88,Assumptions!$C$107)</f>
        <v>24.67592252928</v>
      </c>
      <c r="K15919" s="25" t="n">
        <f aca="false">K15904*CHOOSE($C$15891,Assumptions!$C$69,Assumptions!$C$88,Assumptions!$C$107)</f>
        <v>24.4291633039872</v>
      </c>
    </row>
    <row r="15920" customFormat="false" ht="15" hidden="false" customHeight="false" outlineLevel="0" collapsed="false">
      <c r="A15920" s="5" t="s">
        <v>250</v>
      </c>
      <c r="G15920" s="25" t="n">
        <f aca="false">CHOOSE($C$15891,Assumptions!$C$70,Assumptions!$C$89,Assumptions!$C$108)*(G15904-F15904)+CHOOSE($C$15891,Assumptions!$C$71,Assumptions!$C$90,Assumptions!$C$109)*G15904</f>
        <v>-56.3616</v>
      </c>
      <c r="H15920" s="25" t="n">
        <f aca="false">CHOOSE($C$15891,Assumptions!$C$70,Assumptions!$C$89,Assumptions!$C$108)*(H15904-G15904)+CHOOSE($C$15891,Assumptions!$C$71,Assumptions!$C$90,Assumptions!$C$109)*H15904</f>
        <v>-19.082592</v>
      </c>
      <c r="I15920" s="25" t="n">
        <f aca="false">CHOOSE($C$15891,Assumptions!$C$70,Assumptions!$C$89,Assumptions!$C$108)*(I15904-H15904)+CHOOSE($C$15891,Assumptions!$C$71,Assumptions!$C$90,Assumptions!$C$109)*I15904</f>
        <v>4.35678739199999</v>
      </c>
      <c r="J15920" s="25" t="n">
        <f aca="false">CHOOSE($C$15891,Assumptions!$C$70,Assumptions!$C$89,Assumptions!$C$108)*(J15904-I15904)+CHOOSE($C$15891,Assumptions!$C$71,Assumptions!$C$90,Assumptions!$C$109)*J15904</f>
        <v>7.38408287808</v>
      </c>
      <c r="K15920" s="25" t="n">
        <f aca="false">CHOOSE($C$15891,Assumptions!$C$70,Assumptions!$C$89,Assumptions!$C$108)*(K15904-J15904)+CHOOSE($C$15891,Assumptions!$C$71,Assumptions!$C$90,Assumptions!$C$109)*K15904</f>
        <v>7.3102420492992</v>
      </c>
    </row>
    <row r="15921" customFormat="false" ht="15" hidden="false" customHeight="false" outlineLevel="0" collapsed="false">
      <c r="A15921" s="2" t="s">
        <v>251</v>
      </c>
      <c r="G15921" s="16" t="n">
        <f aca="false">G15917+G15909+G15910+G15913-G15919-G15920</f>
        <v>-94.7088</v>
      </c>
      <c r="H15921" s="16" t="n">
        <f aca="false">H15917+H15909+H15910+H15913-H15919-H15920</f>
        <v>-134.3574048</v>
      </c>
      <c r="I15921" s="16" t="n">
        <f aca="false">I15917+I15909+I15910+I15913-I15919-I15920</f>
        <v>-155.007404544</v>
      </c>
      <c r="J15921" s="16" t="n">
        <f aca="false">J15917+J15909+J15910+J15913-J15919-J15920</f>
        <v>-157.27563062656</v>
      </c>
      <c r="K15921" s="16" t="n">
        <f aca="false">K15917+K15909+K15910+K15913-K15919-K15920</f>
        <v>-156.443655088294</v>
      </c>
    </row>
    <row r="15923" customFormat="false" ht="15" hidden="false" customHeight="false" outlineLevel="0" collapsed="false">
      <c r="A15923" s="23" t="s">
        <v>253</v>
      </c>
      <c r="B15923" s="24"/>
      <c r="C15923" s="24"/>
      <c r="D15923" s="24"/>
      <c r="E15923" s="24"/>
      <c r="F15923" s="24"/>
      <c r="G15923" s="24"/>
      <c r="H15923" s="24"/>
      <c r="I15923" s="24"/>
      <c r="J15923" s="24"/>
      <c r="K15923" s="24"/>
    </row>
    <row r="15924" customFormat="false" ht="15" hidden="false" customHeight="false" outlineLevel="0" collapsed="false">
      <c r="A15924" s="5" t="s">
        <v>254</v>
      </c>
      <c r="G15924" s="29" t="n">
        <f aca="false">Assumptions!$G$49</f>
        <v>0.0425</v>
      </c>
      <c r="H15924" s="29" t="n">
        <f aca="false">Assumptions!$H$49</f>
        <v>0.04</v>
      </c>
      <c r="I15924" s="29" t="n">
        <f aca="false">Assumptions!$I$49</f>
        <v>0.0375</v>
      </c>
      <c r="J15924" s="29" t="n">
        <f aca="false">Assumptions!$J$49</f>
        <v>0.0375</v>
      </c>
      <c r="K15924" s="29" t="n">
        <f aca="false">Assumptions!$K$49</f>
        <v>0.0375</v>
      </c>
    </row>
    <row r="15925" customFormat="false" ht="15" hidden="false" customHeight="false" outlineLevel="0" collapsed="false">
      <c r="A15925" s="5" t="s">
        <v>255</v>
      </c>
      <c r="C15925" s="30" t="n">
        <f aca="false">CHOOSE($C$15891,Assumptions!$C$72,Assumptions!$C$91,Assumptions!$C$110)+$C$15894</f>
        <v>0.03</v>
      </c>
    </row>
    <row r="15926" customFormat="false" ht="15" hidden="false" customHeight="false" outlineLevel="0" collapsed="false">
      <c r="A15926" s="5" t="s">
        <v>256</v>
      </c>
      <c r="C15926" s="30" t="n">
        <f aca="false">CHOOSE($C$15891,Assumptions!$C$73,Assumptions!$C$92,Assumptions!$C$111)</f>
        <v>0.16</v>
      </c>
    </row>
    <row r="15927" customFormat="false" ht="15" hidden="false" customHeight="false" outlineLevel="0" collapsed="false">
      <c r="A15927" s="5" t="s">
        <v>257</v>
      </c>
      <c r="C15927" s="31" t="n">
        <f aca="false">CHOOSE($C$15891,Assumptions!$C$74,Assumptions!$C$93,Assumptions!$C$112)</f>
        <v>5</v>
      </c>
    </row>
    <row r="15928" customFormat="false" ht="15" hidden="false" customHeight="false" outlineLevel="0" collapsed="false">
      <c r="A15928" s="5" t="s">
        <v>258</v>
      </c>
      <c r="C15928" s="31" t="n">
        <f aca="false">CHOOSE($C$15891,Assumptions!$C$75,Assumptions!$C$94,Assumptions!$C$113)</f>
        <v>2</v>
      </c>
    </row>
    <row r="15929" customFormat="false" ht="15" hidden="false" customHeight="false" outlineLevel="0" collapsed="false">
      <c r="A15929" s="5" t="s">
        <v>259</v>
      </c>
      <c r="G15929" s="25" t="n">
        <f aca="false">G15934+G15947+G15960+G15973</f>
        <v>1250</v>
      </c>
      <c r="H15929" s="25" t="n">
        <f aca="false">H15934+H15947+H15960+H15973</f>
        <v>1299.7088</v>
      </c>
      <c r="I15929" s="25" t="n">
        <f aca="false">I15934+I15947+I15960+I15973</f>
        <v>1294.5088</v>
      </c>
      <c r="J15929" s="25" t="n">
        <f aca="false">J15934+J15947+J15960+J15973</f>
        <v>1289.3088</v>
      </c>
      <c r="K15929" s="25" t="n">
        <f aca="false">K15934+K15947+K15960+K15973</f>
        <v>1284.1088</v>
      </c>
    </row>
    <row r="15930" customFormat="false" ht="15" hidden="false" customHeight="false" outlineLevel="0" collapsed="false">
      <c r="A15930" s="5" t="s">
        <v>260</v>
      </c>
      <c r="G15930" s="25" t="n">
        <f aca="false">F16020</f>
        <v>45</v>
      </c>
      <c r="H15930" s="25" t="n">
        <f aca="false">G16020</f>
        <v>0</v>
      </c>
      <c r="I15930" s="25" t="n">
        <f aca="false">H16020</f>
        <v>-139.5574048</v>
      </c>
      <c r="J15930" s="25" t="n">
        <f aca="false">I16020</f>
        <v>-299.764809344</v>
      </c>
      <c r="K15930" s="25" t="n">
        <f aca="false">J16020</f>
        <v>-462.24043997056</v>
      </c>
    </row>
    <row r="15931" customFormat="false" ht="15" hidden="false" customHeight="false" outlineLevel="0" collapsed="false">
      <c r="A15931" s="5" t="s">
        <v>261</v>
      </c>
      <c r="G15931" s="25" t="n">
        <f aca="false">G15934*IF(G15935=1,$C$15926,IF(Assumptions!$I$53=1,MAX(G15924,Assumptions!$G$53)+Assumptions!$F$53+$C$15925,Assumptions!$E$53))+G15947*IF(G15948=1,$C$15926,IF(Assumptions!$I$54=1,MAX(G15924,Assumptions!$G$54)+Assumptions!$F$54+$C$15925,Assumptions!$E$54))+G15960*IF(G15961=1,$C$15926,IF(Assumptions!$I$55=1,MAX(G15924,Assumptions!$G$55)+Assumptions!$F$55+$C$15925,Assumptions!$E$55))+G15973*IF(G15974=1,$C$15926,IF(Assumptions!$I$56=1,MAX(G15924,Assumptions!$G$56)+Assumptions!$F$56+$C$15925,Assumptions!$E$56))</f>
        <v>140.04</v>
      </c>
      <c r="H15931" s="25" t="n">
        <f aca="false">H15934*IF(OR(H15935=1,G16086=1),$C$15926,IF(Assumptions!$I$53=1,MAX(H15924,Assumptions!$G$53)+Assumptions!$F$53+$C$15925,Assumptions!$E$53))+H15947*IF(OR(H15948=1,G16087=1),$C$15926,IF(Assumptions!$I$54=1,MAX(H15924,Assumptions!$G$54)+Assumptions!$F$54+$C$15925,Assumptions!$E$54))+H15960*IF(OR(H15961=1,G16088=1),$C$15926,IF(Assumptions!$I$55=1,MAX(H15924,Assumptions!$G$55)+Assumptions!$F$55+$C$15925,Assumptions!$E$55))+H15973*IF(OR(H15974=1,G16089=1),$C$15926,IF(Assumptions!$I$56=1,MAX(H15924,Assumptions!$G$56)+Assumptions!$F$56+$C$15925,Assumptions!$E$56))</f>
        <v>180.266808</v>
      </c>
      <c r="I15931" s="25" t="n">
        <f aca="false">I15934*IF(OR(I15935=1,H16086=1),$C$15926,IF(Assumptions!$I$53=1,MAX(I15924,Assumptions!$G$53)+Assumptions!$F$53+$C$15925,Assumptions!$E$53))+I15947*IF(OR(I15948=1,H16087=1),$C$15926,IF(Assumptions!$I$54=1,MAX(I15924,Assumptions!$G$54)+Assumptions!$F$54+$C$15925,Assumptions!$E$54))+I15960*IF(OR(I15961=1,H16088=1),$C$15926,IF(Assumptions!$I$55=1,MAX(I15924,Assumptions!$G$55)+Assumptions!$F$55+$C$15925,Assumptions!$E$55))+I15973*IF(OR(I15974=1,H16089=1),$C$15926,IF(Assumptions!$I$56=1,MAX(I15924,Assumptions!$G$56)+Assumptions!$F$56+$C$15925,Assumptions!$E$56))</f>
        <v>157.6108768</v>
      </c>
      <c r="J15931" s="25" t="n">
        <f aca="false">J15934*IF(OR(J15935=1,I16086=1),$C$15926,IF(Assumptions!$I$53=1,MAX(J15924,Assumptions!$G$53)+Assumptions!$F$53+$C$15925,Assumptions!$E$53))+J15947*IF(OR(J15948=1,I16087=1),$C$15926,IF(Assumptions!$I$54=1,MAX(J15924,Assumptions!$G$54)+Assumptions!$F$54+$C$15925,Assumptions!$E$54))+J15960*IF(OR(J15961=1,I16088=1),$C$15926,IF(Assumptions!$I$55=1,MAX(J15924,Assumptions!$G$55)+Assumptions!$F$55+$C$15925,Assumptions!$E$55))+J15973*IF(OR(J15974=1,I16089=1),$C$15926,IF(Assumptions!$I$56=1,MAX(J15924,Assumptions!$G$56)+Assumptions!$F$56+$C$15925,Assumptions!$E$56))</f>
        <v>153.1380768</v>
      </c>
      <c r="K15931" s="25" t="n">
        <f aca="false">K15934*IF(OR(K15935=1,J16086=1),$C$15926,IF(Assumptions!$I$53=1,MAX(K15924,Assumptions!$G$53)+Assumptions!$F$53+$C$15925,Assumptions!$E$53))+K15947*IF(OR(K15948=1,J16087=1),$C$15926,IF(Assumptions!$I$54=1,MAX(K15924,Assumptions!$G$54)+Assumptions!$F$54+$C$15925,Assumptions!$E$54))+K15960*IF(OR(K15961=1,J16088=1),$C$15926,IF(Assumptions!$I$55=1,MAX(K15924,Assumptions!$G$55)+Assumptions!$F$55+$C$15925,Assumptions!$E$55))+K15973*IF(OR(K15974=1,J16089=1),$C$15926,IF(Assumptions!$I$56=1,MAX(K15924,Assumptions!$G$56)+Assumptions!$F$56+$C$15925,Assumptions!$E$56))</f>
        <v>139.9724768</v>
      </c>
    </row>
    <row r="15932" customFormat="false" ht="15" hidden="false" customHeight="false" outlineLevel="0" collapsed="false">
      <c r="A15932" s="5" t="s">
        <v>262</v>
      </c>
      <c r="G15932" s="20" t="n">
        <f aca="false">IF(G15908&lt;=0,0,IF(AND((G15929-G15930)/G15908&lt;=$C$15927,G15908/G15931&gt;=$C$15928),1,0))</f>
        <v>0</v>
      </c>
      <c r="H15932" s="20" t="n">
        <f aca="false">IF(H15908&lt;=0,0,IF(AND((H15929-H15930)/H15908&lt;=$C$15927,H15908/H15931&gt;=$C$15928),1,0))</f>
        <v>0</v>
      </c>
      <c r="I15932" s="20" t="n">
        <f aca="false">IF(I15908&lt;=0,0,IF(AND((I15929-I15930)/I15908&lt;=$C$15927,I15908/I15931&gt;=$C$15928),1,0))</f>
        <v>0</v>
      </c>
      <c r="J15932" s="20" t="n">
        <f aca="false">IF(J15908&lt;=0,0,IF(AND((J15929-J15930)/J15908&lt;=$C$15927,J15908/J15931&gt;=$C$15928),1,0))</f>
        <v>0</v>
      </c>
      <c r="K15932" s="20" t="n">
        <f aca="false">IF(K15908&lt;=0,0,IF(AND((K15929-K15930)/K15908&lt;=$C$15927,K15908/K15931&gt;=$C$15928),1,0))</f>
        <v>0</v>
      </c>
    </row>
    <row r="15933" customFormat="false" ht="15" hidden="false" customHeight="false" outlineLevel="0" collapsed="false">
      <c r="A15933" s="23" t="s">
        <v>263</v>
      </c>
      <c r="B15933" s="24"/>
      <c r="C15933" s="24"/>
      <c r="D15933" s="24"/>
      <c r="E15933" s="24"/>
      <c r="F15933" s="24"/>
      <c r="G15933" s="24"/>
      <c r="H15933" s="24"/>
      <c r="I15933" s="24"/>
      <c r="J15933" s="24"/>
      <c r="K15933" s="24"/>
    </row>
    <row r="15934" customFormat="false" ht="15" hidden="false" customHeight="false" outlineLevel="0" collapsed="false">
      <c r="A15934" s="5" t="s">
        <v>264</v>
      </c>
      <c r="G15934" s="25" t="n">
        <f aca="false">F15945</f>
        <v>180</v>
      </c>
      <c r="H15934" s="25" t="n">
        <f aca="false">G15945</f>
        <v>234.9088</v>
      </c>
      <c r="I15934" s="25" t="n">
        <f aca="false">H15945</f>
        <v>234.9088</v>
      </c>
      <c r="J15934" s="25" t="n">
        <f aca="false">I15945</f>
        <v>234.9088</v>
      </c>
      <c r="K15934" s="25" t="n">
        <f aca="false">J15945</f>
        <v>234.9088</v>
      </c>
    </row>
    <row r="15935" customFormat="false" ht="15" hidden="false" customHeight="false" outlineLevel="0" collapsed="false">
      <c r="A15935" s="5" t="s">
        <v>265</v>
      </c>
      <c r="G15935" s="20" t="n">
        <f aca="false">IF(G15898=Assumptions!$K$53,1,0)</f>
        <v>0</v>
      </c>
      <c r="H15935" s="20" t="n">
        <f aca="false">IF(H15898=Assumptions!$K$53,1,0)</f>
        <v>1</v>
      </c>
      <c r="I15935" s="20" t="n">
        <f aca="false">IF(I15898=Assumptions!$K$53,1,0)</f>
        <v>0</v>
      </c>
      <c r="J15935" s="20" t="n">
        <f aca="false">IF(J15898=Assumptions!$K$53,1,0)</f>
        <v>0</v>
      </c>
      <c r="K15935" s="20" t="n">
        <f aca="false">IF(K15898=Assumptions!$K$53,1,0)</f>
        <v>0</v>
      </c>
    </row>
    <row r="15937" customFormat="false" ht="15" hidden="false" customHeight="false" outlineLevel="0" collapsed="false">
      <c r="A15937" s="5" t="s">
        <v>266</v>
      </c>
      <c r="G15937" s="30" t="n">
        <f aca="false">IF(Assumptions!$I$53=1,MAX(G15924,Assumptions!$G$53)+Assumptions!$F$53+$C$15925,Assumptions!$E$53)</f>
        <v>0.116</v>
      </c>
      <c r="H15937" s="30" t="n">
        <f aca="false">IF(G16086=1,$C$15926,IF(Assumptions!$I$53=1,MAX(H15924,Assumptions!$G$53)+Assumptions!$F$53+$C$15925,Assumptions!$E$53))</f>
        <v>0.1135</v>
      </c>
      <c r="I15937" s="30" t="n">
        <f aca="false">IF(H16086=1,$C$15926,IF(Assumptions!$I$53=1,MAX(I15924,Assumptions!$G$53)+Assumptions!$F$53+$C$15925,Assumptions!$E$53))</f>
        <v>0.111</v>
      </c>
      <c r="J15937" s="30" t="n">
        <f aca="false">IF(I16086=1,$C$15926,IF(Assumptions!$I$53=1,MAX(J15924,Assumptions!$G$53)+Assumptions!$F$53+$C$15925,Assumptions!$E$53))</f>
        <v>0.111</v>
      </c>
      <c r="K15937" s="30" t="n">
        <f aca="false">IF(J16086=1,$C$15926,IF(Assumptions!$I$53=1,MAX(K15924,Assumptions!$G$53)+Assumptions!$F$53+$C$15925,Assumptions!$E$53))</f>
        <v>0.111</v>
      </c>
    </row>
    <row r="15938" customFormat="false" ht="15" hidden="false" customHeight="false" outlineLevel="0" collapsed="false">
      <c r="A15938" s="5" t="s">
        <v>267</v>
      </c>
      <c r="G15938" s="25" t="n">
        <f aca="false">G15934*G15937</f>
        <v>20.88</v>
      </c>
      <c r="H15938" s="25" t="n">
        <f aca="false">H15934*H15937</f>
        <v>26.6621488</v>
      </c>
      <c r="I15938" s="25" t="n">
        <f aca="false">I15934*I15937</f>
        <v>26.0748768</v>
      </c>
      <c r="J15938" s="25" t="n">
        <f aca="false">J15934*J15937</f>
        <v>26.0748768</v>
      </c>
      <c r="K15938" s="25" t="n">
        <f aca="false">K15934*K15937</f>
        <v>26.0748768</v>
      </c>
    </row>
    <row r="15939" customFormat="false" ht="15" hidden="false" customHeight="false" outlineLevel="0" collapsed="false">
      <c r="A15939" s="5" t="s">
        <v>268</v>
      </c>
      <c r="G15939" s="25" t="n">
        <f aca="false">G15934*Assumptions!$H$53</f>
        <v>0</v>
      </c>
      <c r="H15939" s="25" t="n">
        <f aca="false">H15934*Assumptions!$H$53</f>
        <v>0</v>
      </c>
      <c r="I15939" s="25" t="n">
        <f aca="false">I15934*Assumptions!$H$53</f>
        <v>0</v>
      </c>
      <c r="J15939" s="25" t="n">
        <f aca="false">J15934*Assumptions!$H$53</f>
        <v>0</v>
      </c>
      <c r="K15939" s="25" t="n">
        <f aca="false">K15934*Assumptions!$H$53</f>
        <v>0</v>
      </c>
    </row>
    <row r="15940" customFormat="false" ht="15" hidden="false" customHeight="false" outlineLevel="0" collapsed="false">
      <c r="A15940" s="5" t="s">
        <v>269</v>
      </c>
      <c r="G15940" s="25" t="n">
        <f aca="false">MIN(G15934,Assumptions!$L$53*Assumptions!$C$53)</f>
        <v>0</v>
      </c>
      <c r="H15940" s="25" t="n">
        <f aca="false">MIN(H15934,Assumptions!$L$53*Assumptions!$C$53)</f>
        <v>0</v>
      </c>
      <c r="I15940" s="25" t="n">
        <f aca="false">MIN(I15934,Assumptions!$L$53*Assumptions!$C$53)</f>
        <v>0</v>
      </c>
      <c r="J15940" s="25" t="n">
        <f aca="false">MIN(J15934,Assumptions!$L$53*Assumptions!$C$53)</f>
        <v>0</v>
      </c>
      <c r="K15940" s="25" t="n">
        <f aca="false">MIN(K15934,Assumptions!$L$53*Assumptions!$C$53)</f>
        <v>0</v>
      </c>
    </row>
    <row r="15941" customFormat="false" ht="15" hidden="false" customHeight="false" outlineLevel="0" collapsed="false">
      <c r="A15941" s="5" t="s">
        <v>270</v>
      </c>
      <c r="G15941" s="25" t="n">
        <f aca="false">IF(AND(Assumptions!$P$53=1,G15898&lt;Assumptions!$K$53),MIN(MAX(0,-G16012),MAX(0,Assumptions!$D$53-G15934)),0)</f>
        <v>54.9088</v>
      </c>
      <c r="H15941" s="25" t="n">
        <f aca="false">IF(AND(Assumptions!$P$53=1,OR(H15898&lt;Assumptions!$K$53,G16086=1)),MIN(MAX(0,-H16012),MAX(0,Assumptions!$D$53-H15934)),0)</f>
        <v>0</v>
      </c>
      <c r="I15941" s="25" t="n">
        <f aca="false">IF(AND(Assumptions!$P$53=1,OR(I15898&lt;Assumptions!$K$53,H16086=1)),MIN(MAX(0,-I16012),MAX(0,Assumptions!$D$53-I15934)),0)</f>
        <v>0</v>
      </c>
      <c r="J15941" s="25" t="n">
        <f aca="false">IF(AND(Assumptions!$P$53=1,OR(J15898&lt;Assumptions!$K$53,I16086=1)),MIN(MAX(0,-J16012),MAX(0,Assumptions!$D$53-J15934)),0)</f>
        <v>0</v>
      </c>
      <c r="K15941" s="25" t="n">
        <f aca="false">IF(AND(Assumptions!$P$53=1,OR(K15898&lt;Assumptions!$K$53,J16086=1)),MIN(MAX(0,-K16012),MAX(0,Assumptions!$D$53-K15934)),0)</f>
        <v>0</v>
      </c>
    </row>
    <row r="15942" customFormat="false" ht="15" hidden="false" customHeight="false" outlineLevel="0" collapsed="false">
      <c r="A15942" s="5" t="s">
        <v>271</v>
      </c>
      <c r="G15942" s="25" t="n">
        <f aca="false">G15935*MIN(G15934-G15940+G15939,MAX(0,G16014-Assumptions!$C$12*G15932))</f>
        <v>0</v>
      </c>
      <c r="H15942" s="25" t="n">
        <f aca="false">H15935*MIN(H15934-H15940+H15939,MAX(0,H16014-Assumptions!$C$12*H15932))</f>
        <v>0</v>
      </c>
      <c r="I15942" s="25" t="n">
        <f aca="false">I15935*MIN(I15934-I15940+I15939,MAX(0,I16014-Assumptions!$C$12*I15932))</f>
        <v>0</v>
      </c>
      <c r="J15942" s="25" t="n">
        <f aca="false">J15935*MIN(J15934-J15940+J15939,MAX(0,J16014-Assumptions!$C$12*J15932))</f>
        <v>0</v>
      </c>
      <c r="K15942" s="25" t="n">
        <f aca="false">K15935*MIN(K15934-K15940+K15939,MAX(0,K16014-Assumptions!$C$12*K15932))</f>
        <v>0</v>
      </c>
    </row>
    <row r="15943" customFormat="false" ht="15" hidden="false" customHeight="false" outlineLevel="0" collapsed="false">
      <c r="A15943" s="5" t="s">
        <v>272</v>
      </c>
      <c r="G15943" s="25" t="n">
        <f aca="false">Assumptions!$N$53*MIN(G15934+G15941+G15939-G15940-G15942,MAX(0,G16018))</f>
        <v>0</v>
      </c>
      <c r="H15943" s="25" t="n">
        <f aca="false">Assumptions!$N$53*MIN(H15934+H15941+H15939-H15940-H15942,MAX(0,H16018))</f>
        <v>0</v>
      </c>
      <c r="I15943" s="25" t="n">
        <f aca="false">Assumptions!$N$53*MIN(I15934+I15941+I15939-I15940-I15942,MAX(0,I16018))</f>
        <v>0</v>
      </c>
      <c r="J15943" s="25" t="n">
        <f aca="false">Assumptions!$N$53*MIN(J15934+J15941+J15939-J15940-J15942,MAX(0,J16018))</f>
        <v>0</v>
      </c>
      <c r="K15943" s="25" t="n">
        <f aca="false">Assumptions!$N$53*MIN(K15934+K15941+K15939-K15940-K15942,MAX(0,K16018))</f>
        <v>0</v>
      </c>
    </row>
    <row r="15944" customFormat="false" ht="15" hidden="false" customHeight="false" outlineLevel="0" collapsed="false">
      <c r="A15944" s="5" t="s">
        <v>273</v>
      </c>
      <c r="G15944" s="25" t="n">
        <f aca="false">G15935*(1-G15932)*(G15934-G15940+G15939-G15942)</f>
        <v>0</v>
      </c>
      <c r="H15944" s="25" t="n">
        <f aca="false">H15935*(1-H15932)*(H15934-H15940+H15939-H15942)</f>
        <v>234.9088</v>
      </c>
      <c r="I15944" s="25" t="n">
        <f aca="false">I15935*(1-I15932)*(I15934-I15940+I15939-I15942)</f>
        <v>0</v>
      </c>
      <c r="J15944" s="25" t="n">
        <f aca="false">J15935*(1-J15932)*(J15934-J15940+J15939-J15942)</f>
        <v>0</v>
      </c>
      <c r="K15944" s="25" t="n">
        <f aca="false">K15935*(1-K15932)*(K15934-K15940+K15939-K15942)</f>
        <v>0</v>
      </c>
    </row>
    <row r="15945" customFormat="false" ht="15" hidden="false" customHeight="false" outlineLevel="0" collapsed="false">
      <c r="A15945" s="2" t="s">
        <v>274</v>
      </c>
      <c r="F15945" s="27" t="n">
        <f aca="false">Assumptions!$C$53</f>
        <v>180</v>
      </c>
      <c r="G15945" s="16" t="n">
        <f aca="false">G15934+G15941+G15939-G15940-G15942-G15943</f>
        <v>234.9088</v>
      </c>
      <c r="H15945" s="16" t="n">
        <f aca="false">H15934+H15941+H15939-H15940-H15942-H15943</f>
        <v>234.9088</v>
      </c>
      <c r="I15945" s="16" t="n">
        <f aca="false">I15934+I15941+I15939-I15940-I15942-I15943</f>
        <v>234.9088</v>
      </c>
      <c r="J15945" s="16" t="n">
        <f aca="false">J15934+J15941+J15939-J15940-J15942-J15943</f>
        <v>234.9088</v>
      </c>
      <c r="K15945" s="16" t="n">
        <f aca="false">K15934+K15941+K15939-K15940-K15942-K15943</f>
        <v>234.9088</v>
      </c>
    </row>
    <row r="15946" customFormat="false" ht="15" hidden="false" customHeight="false" outlineLevel="0" collapsed="false">
      <c r="A15946" s="23" t="s">
        <v>275</v>
      </c>
      <c r="B15946" s="24"/>
      <c r="C15946" s="24"/>
      <c r="D15946" s="24"/>
      <c r="E15946" s="24"/>
      <c r="F15946" s="24"/>
      <c r="G15946" s="24"/>
      <c r="H15946" s="24"/>
      <c r="I15946" s="24"/>
      <c r="J15946" s="24"/>
      <c r="K15946" s="24"/>
    </row>
    <row r="15947" customFormat="false" ht="15" hidden="false" customHeight="false" outlineLevel="0" collapsed="false">
      <c r="A15947" s="5" t="s">
        <v>264</v>
      </c>
      <c r="G15947" s="25" t="n">
        <f aca="false">F15958</f>
        <v>520</v>
      </c>
      <c r="H15947" s="25" t="n">
        <f aca="false">G15958</f>
        <v>514.8</v>
      </c>
      <c r="I15947" s="25" t="n">
        <f aca="false">H15958</f>
        <v>509.6</v>
      </c>
      <c r="J15947" s="25" t="n">
        <f aca="false">I15958</f>
        <v>504.4</v>
      </c>
      <c r="K15947" s="25" t="n">
        <f aca="false">J15958</f>
        <v>499.2</v>
      </c>
    </row>
    <row r="15948" customFormat="false" ht="15" hidden="false" customHeight="false" outlineLevel="0" collapsed="false">
      <c r="A15948" s="5" t="s">
        <v>265</v>
      </c>
      <c r="G15948" s="20" t="n">
        <f aca="false">IF(G15898=Assumptions!$K$54,1,0)</f>
        <v>0</v>
      </c>
      <c r="H15948" s="20" t="n">
        <f aca="false">IF(H15898=Assumptions!$K$54,1,0)</f>
        <v>0</v>
      </c>
      <c r="I15948" s="20" t="n">
        <f aca="false">IF(I15898=Assumptions!$K$54,1,0)</f>
        <v>1</v>
      </c>
      <c r="J15948" s="20" t="n">
        <f aca="false">IF(J15898=Assumptions!$K$54,1,0)</f>
        <v>0</v>
      </c>
      <c r="K15948" s="20" t="n">
        <f aca="false">IF(K15898=Assumptions!$K$54,1,0)</f>
        <v>0</v>
      </c>
    </row>
    <row r="15950" customFormat="false" ht="15" hidden="false" customHeight="false" outlineLevel="0" collapsed="false">
      <c r="A15950" s="5" t="s">
        <v>266</v>
      </c>
      <c r="G15950" s="30" t="n">
        <f aca="false">IF(Assumptions!$I$54=1,MAX(G15924,Assumptions!$G$54)+Assumptions!$F$54+$C$15925,Assumptions!$E$54)</f>
        <v>0.133</v>
      </c>
      <c r="H15950" s="30" t="n">
        <f aca="false">IF(G16087=1,$C$15926,IF(Assumptions!$I$54=1,MAX(H15924,Assumptions!$G$54)+Assumptions!$F$54+$C$15925,Assumptions!$E$54))</f>
        <v>0.1305</v>
      </c>
      <c r="I15950" s="30" t="n">
        <f aca="false">IF(H16087=1,$C$15926,IF(Assumptions!$I$54=1,MAX(I15924,Assumptions!$G$54)+Assumptions!$F$54+$C$15925,Assumptions!$E$54))</f>
        <v>0.128</v>
      </c>
      <c r="J15950" s="30" t="n">
        <f aca="false">IF(I16087=1,$C$15926,IF(Assumptions!$I$54=1,MAX(J15924,Assumptions!$G$54)+Assumptions!$F$54+$C$15925,Assumptions!$E$54))</f>
        <v>0.128</v>
      </c>
      <c r="K15950" s="30" t="n">
        <f aca="false">IF(J16087=1,$C$15926,IF(Assumptions!$I$54=1,MAX(K15924,Assumptions!$G$54)+Assumptions!$F$54+$C$15925,Assumptions!$E$54))</f>
        <v>0.128</v>
      </c>
    </row>
    <row r="15951" customFormat="false" ht="15" hidden="false" customHeight="false" outlineLevel="0" collapsed="false">
      <c r="A15951" s="5" t="s">
        <v>267</v>
      </c>
      <c r="G15951" s="25" t="n">
        <f aca="false">G15947*G15950</f>
        <v>69.16</v>
      </c>
      <c r="H15951" s="25" t="n">
        <f aca="false">H15947*H15950</f>
        <v>67.1814</v>
      </c>
      <c r="I15951" s="25" t="n">
        <f aca="false">I15947*I15950</f>
        <v>65.2288</v>
      </c>
      <c r="J15951" s="25" t="n">
        <f aca="false">J15947*J15950</f>
        <v>64.5632</v>
      </c>
      <c r="K15951" s="25" t="n">
        <f aca="false">K15947*K15950</f>
        <v>63.8976</v>
      </c>
    </row>
    <row r="15952" customFormat="false" ht="15" hidden="false" customHeight="false" outlineLevel="0" collapsed="false">
      <c r="A15952" s="5" t="s">
        <v>268</v>
      </c>
      <c r="G15952" s="25" t="n">
        <f aca="false">G15947*Assumptions!$H$54</f>
        <v>0</v>
      </c>
      <c r="H15952" s="25" t="n">
        <f aca="false">H15947*Assumptions!$H$54</f>
        <v>0</v>
      </c>
      <c r="I15952" s="25" t="n">
        <f aca="false">I15947*Assumptions!$H$54</f>
        <v>0</v>
      </c>
      <c r="J15952" s="25" t="n">
        <f aca="false">J15947*Assumptions!$H$54</f>
        <v>0</v>
      </c>
      <c r="K15952" s="25" t="n">
        <f aca="false">K15947*Assumptions!$H$54</f>
        <v>0</v>
      </c>
    </row>
    <row r="15953" customFormat="false" ht="15" hidden="false" customHeight="false" outlineLevel="0" collapsed="false">
      <c r="A15953" s="5" t="s">
        <v>269</v>
      </c>
      <c r="G15953" s="25" t="n">
        <f aca="false">MIN(G15947,Assumptions!$L$54*Assumptions!$C$54)</f>
        <v>5.2</v>
      </c>
      <c r="H15953" s="25" t="n">
        <f aca="false">MIN(H15947,Assumptions!$L$54*Assumptions!$C$54)</f>
        <v>5.2</v>
      </c>
      <c r="I15953" s="25" t="n">
        <f aca="false">MIN(I15947,Assumptions!$L$54*Assumptions!$C$54)</f>
        <v>5.2</v>
      </c>
      <c r="J15953" s="25" t="n">
        <f aca="false">MIN(J15947,Assumptions!$L$54*Assumptions!$C$54)</f>
        <v>5.2</v>
      </c>
      <c r="K15953" s="25" t="n">
        <f aca="false">MIN(K15947,Assumptions!$L$54*Assumptions!$C$54)</f>
        <v>5.2</v>
      </c>
    </row>
    <row r="15954" customFormat="false" ht="15" hidden="false" customHeight="false" outlineLevel="0" collapsed="false">
      <c r="A15954" s="5" t="s">
        <v>270</v>
      </c>
      <c r="G15954" s="25" t="n">
        <f aca="false">IF(AND(Assumptions!$P$54=1,G15898&lt;Assumptions!$K$54),MIN(MAX(0,-G16012),MAX(0,Assumptions!$D$54-G15947)),0)</f>
        <v>0</v>
      </c>
      <c r="H15954" s="25" t="n">
        <f aca="false">IF(AND(Assumptions!$P$54=1,OR(H15898&lt;Assumptions!$K$54,G16087=1)),MIN(MAX(0,-H16012),MAX(0,Assumptions!$D$54-H15947)),0)</f>
        <v>0</v>
      </c>
      <c r="I15954" s="25" t="n">
        <f aca="false">IF(AND(Assumptions!$P$54=1,OR(I15898&lt;Assumptions!$K$54,H16087=1)),MIN(MAX(0,-I16012),MAX(0,Assumptions!$D$54-I15947)),0)</f>
        <v>0</v>
      </c>
      <c r="J15954" s="25" t="n">
        <f aca="false">IF(AND(Assumptions!$P$54=1,OR(J15898&lt;Assumptions!$K$54,I16087=1)),MIN(MAX(0,-J16012),MAX(0,Assumptions!$D$54-J15947)),0)</f>
        <v>0</v>
      </c>
      <c r="K15954" s="25" t="n">
        <f aca="false">IF(AND(Assumptions!$P$54=1,OR(K15898&lt;Assumptions!$K$54,J16087=1)),MIN(MAX(0,-K16012),MAX(0,Assumptions!$D$54-K15947)),0)</f>
        <v>0</v>
      </c>
    </row>
    <row r="15955" customFormat="false" ht="15" hidden="false" customHeight="false" outlineLevel="0" collapsed="false">
      <c r="A15955" s="5" t="s">
        <v>271</v>
      </c>
      <c r="G15955" s="25" t="n">
        <f aca="false">G15948*MIN(G15947-G15953+G15952,MAX(0,G16014-Assumptions!$C$12*G15932-G15942))</f>
        <v>0</v>
      </c>
      <c r="H15955" s="25" t="n">
        <f aca="false">H15948*MIN(H15947-H15953+H15952,MAX(0,H16014-Assumptions!$C$12*H15932-H15942))</f>
        <v>0</v>
      </c>
      <c r="I15955" s="25" t="n">
        <f aca="false">I15948*MIN(I15947-I15953+I15952,MAX(0,I16014-Assumptions!$C$12*I15932-I15942))</f>
        <v>0</v>
      </c>
      <c r="J15955" s="25" t="n">
        <f aca="false">J15948*MIN(J15947-J15953+J15952,MAX(0,J16014-Assumptions!$C$12*J15932-J15942))</f>
        <v>0</v>
      </c>
      <c r="K15955" s="25" t="n">
        <f aca="false">K15948*MIN(K15947-K15953+K15952,MAX(0,K16014-Assumptions!$C$12*K15932-K15942))</f>
        <v>0</v>
      </c>
    </row>
    <row r="15956" customFormat="false" ht="15" hidden="false" customHeight="false" outlineLevel="0" collapsed="false">
      <c r="A15956" s="5" t="s">
        <v>272</v>
      </c>
      <c r="G15956" s="25" t="n">
        <f aca="false">Assumptions!$N$54*MIN(G15947+G15954+G15952-G15953-G15955,MAX(0,G16018-G15943))</f>
        <v>0</v>
      </c>
      <c r="H15956" s="25" t="n">
        <f aca="false">Assumptions!$N$54*MIN(H15947+H15954+H15952-H15953-H15955,MAX(0,H16018-H15943))</f>
        <v>0</v>
      </c>
      <c r="I15956" s="25" t="n">
        <f aca="false">Assumptions!$N$54*MIN(I15947+I15954+I15952-I15953-I15955,MAX(0,I16018-I15943))</f>
        <v>0</v>
      </c>
      <c r="J15956" s="25" t="n">
        <f aca="false">Assumptions!$N$54*MIN(J15947+J15954+J15952-J15953-J15955,MAX(0,J16018-J15943))</f>
        <v>0</v>
      </c>
      <c r="K15956" s="25" t="n">
        <f aca="false">Assumptions!$N$54*MIN(K15947+K15954+K15952-K15953-K15955,MAX(0,K16018-K15943))</f>
        <v>0</v>
      </c>
    </row>
    <row r="15957" customFormat="false" ht="15" hidden="false" customHeight="false" outlineLevel="0" collapsed="false">
      <c r="A15957" s="5" t="s">
        <v>273</v>
      </c>
      <c r="G15957" s="25" t="n">
        <f aca="false">G15948*(1-G15932)*(G15947-G15953+G15952-G15955)</f>
        <v>0</v>
      </c>
      <c r="H15957" s="25" t="n">
        <f aca="false">H15948*(1-H15932)*(H15947-H15953+H15952-H15955)</f>
        <v>0</v>
      </c>
      <c r="I15957" s="25" t="n">
        <f aca="false">I15948*(1-I15932)*(I15947-I15953+I15952-I15955)</f>
        <v>504.4</v>
      </c>
      <c r="J15957" s="25" t="n">
        <f aca="false">J15948*(1-J15932)*(J15947-J15953+J15952-J15955)</f>
        <v>0</v>
      </c>
      <c r="K15957" s="25" t="n">
        <f aca="false">K15948*(1-K15932)*(K15947-K15953+K15952-K15955)</f>
        <v>0</v>
      </c>
    </row>
    <row r="15958" customFormat="false" ht="15" hidden="false" customHeight="false" outlineLevel="0" collapsed="false">
      <c r="A15958" s="2" t="s">
        <v>274</v>
      </c>
      <c r="F15958" s="27" t="n">
        <f aca="false">Assumptions!$C$54</f>
        <v>520</v>
      </c>
      <c r="G15958" s="16" t="n">
        <f aca="false">G15947+G15954+G15952-G15953-G15955-G15956</f>
        <v>514.8</v>
      </c>
      <c r="H15958" s="16" t="n">
        <f aca="false">H15947+H15954+H15952-H15953-H15955-H15956</f>
        <v>509.6</v>
      </c>
      <c r="I15958" s="16" t="n">
        <f aca="false">I15947+I15954+I15952-I15953-I15955-I15956</f>
        <v>504.4</v>
      </c>
      <c r="J15958" s="16" t="n">
        <f aca="false">J15947+J15954+J15952-J15953-J15955-J15956</f>
        <v>499.2</v>
      </c>
      <c r="K15958" s="16" t="n">
        <f aca="false">K15947+K15954+K15952-K15953-K15955-K15956</f>
        <v>494</v>
      </c>
    </row>
    <row r="15959" customFormat="false" ht="15" hidden="false" customHeight="false" outlineLevel="0" collapsed="false">
      <c r="A15959" s="23" t="s">
        <v>276</v>
      </c>
      <c r="B15959" s="24"/>
      <c r="C15959" s="24"/>
      <c r="D15959" s="24"/>
      <c r="E15959" s="24"/>
      <c r="F15959" s="24"/>
      <c r="G15959" s="24"/>
      <c r="H15959" s="24"/>
      <c r="I15959" s="24"/>
      <c r="J15959" s="24"/>
      <c r="K15959" s="24"/>
    </row>
    <row r="15960" customFormat="false" ht="15" hidden="false" customHeight="false" outlineLevel="0" collapsed="false">
      <c r="A15960" s="5" t="s">
        <v>264</v>
      </c>
      <c r="G15960" s="25" t="n">
        <f aca="false">F15971</f>
        <v>250</v>
      </c>
      <c r="H15960" s="25" t="n">
        <f aca="false">G15971</f>
        <v>250</v>
      </c>
      <c r="I15960" s="25" t="n">
        <f aca="false">H15971</f>
        <v>250</v>
      </c>
      <c r="J15960" s="25" t="n">
        <f aca="false">I15971</f>
        <v>250</v>
      </c>
      <c r="K15960" s="25" t="n">
        <f aca="false">J15971</f>
        <v>250</v>
      </c>
    </row>
    <row r="15961" customFormat="false" ht="15" hidden="false" customHeight="false" outlineLevel="0" collapsed="false">
      <c r="A15961" s="5" t="s">
        <v>265</v>
      </c>
      <c r="G15961" s="20" t="n">
        <f aca="false">IF(G15898=Assumptions!$K$55,1,0)</f>
        <v>0</v>
      </c>
      <c r="H15961" s="20" t="n">
        <f aca="false">IF(H15898=Assumptions!$K$55,1,0)</f>
        <v>0</v>
      </c>
      <c r="I15961" s="20" t="n">
        <f aca="false">IF(I15898=Assumptions!$K$55,1,0)</f>
        <v>0</v>
      </c>
      <c r="J15961" s="20" t="n">
        <f aca="false">IF(J15898=Assumptions!$K$55,1,0)</f>
        <v>1</v>
      </c>
      <c r="K15961" s="20" t="n">
        <f aca="false">IF(K15898=Assumptions!$K$55,1,0)</f>
        <v>0</v>
      </c>
    </row>
    <row r="15963" customFormat="false" ht="15" hidden="false" customHeight="false" outlineLevel="0" collapsed="false">
      <c r="A15963" s="5" t="s">
        <v>266</v>
      </c>
      <c r="G15963" s="30" t="n">
        <f aca="false">IF(Assumptions!$I$55=1,MAX(G15924,Assumptions!$G$55)+Assumptions!$F$55+$C$15925,Assumptions!$E$55)</f>
        <v>0.11</v>
      </c>
      <c r="H15963" s="30" t="n">
        <f aca="false">IF(G16088=1,$C$15926,IF(Assumptions!$I$55=1,MAX(H15924,Assumptions!$G$55)+Assumptions!$F$55+$C$15925,Assumptions!$E$55))</f>
        <v>0.11</v>
      </c>
      <c r="I15963" s="30" t="n">
        <f aca="false">IF(H16088=1,$C$15926,IF(Assumptions!$I$55=1,MAX(I15924,Assumptions!$G$55)+Assumptions!$F$55+$C$15925,Assumptions!$E$55))</f>
        <v>0.11</v>
      </c>
      <c r="J15963" s="30" t="n">
        <f aca="false">IF(I16088=1,$C$15926,IF(Assumptions!$I$55=1,MAX(J15924,Assumptions!$G$55)+Assumptions!$F$55+$C$15925,Assumptions!$E$55))</f>
        <v>0.11</v>
      </c>
      <c r="K15963" s="30" t="n">
        <f aca="false">IF(J16088=1,$C$15926,IF(Assumptions!$I$55=1,MAX(K15924,Assumptions!$G$55)+Assumptions!$F$55+$C$15925,Assumptions!$E$55))</f>
        <v>0.11</v>
      </c>
    </row>
    <row r="15964" customFormat="false" ht="15" hidden="false" customHeight="false" outlineLevel="0" collapsed="false">
      <c r="A15964" s="5" t="s">
        <v>267</v>
      </c>
      <c r="G15964" s="25" t="n">
        <f aca="false">G15960*G15963</f>
        <v>27.5</v>
      </c>
      <c r="H15964" s="25" t="n">
        <f aca="false">H15960*H15963</f>
        <v>27.5</v>
      </c>
      <c r="I15964" s="25" t="n">
        <f aca="false">I15960*I15963</f>
        <v>27.5</v>
      </c>
      <c r="J15964" s="25" t="n">
        <f aca="false">J15960*J15963</f>
        <v>27.5</v>
      </c>
      <c r="K15964" s="25" t="n">
        <f aca="false">K15960*K15963</f>
        <v>27.5</v>
      </c>
    </row>
    <row r="15965" customFormat="false" ht="15" hidden="false" customHeight="false" outlineLevel="0" collapsed="false">
      <c r="A15965" s="5" t="s">
        <v>268</v>
      </c>
      <c r="G15965" s="25" t="n">
        <f aca="false">G15960*Assumptions!$H$55</f>
        <v>0</v>
      </c>
      <c r="H15965" s="25" t="n">
        <f aca="false">H15960*Assumptions!$H$55</f>
        <v>0</v>
      </c>
      <c r="I15965" s="25" t="n">
        <f aca="false">I15960*Assumptions!$H$55</f>
        <v>0</v>
      </c>
      <c r="J15965" s="25" t="n">
        <f aca="false">J15960*Assumptions!$H$55</f>
        <v>0</v>
      </c>
      <c r="K15965" s="25" t="n">
        <f aca="false">K15960*Assumptions!$H$55</f>
        <v>0</v>
      </c>
    </row>
    <row r="15966" customFormat="false" ht="15" hidden="false" customHeight="false" outlineLevel="0" collapsed="false">
      <c r="A15966" s="5" t="s">
        <v>269</v>
      </c>
      <c r="G15966" s="25" t="n">
        <f aca="false">MIN(G15960,Assumptions!$L$55*Assumptions!$C$55)</f>
        <v>0</v>
      </c>
      <c r="H15966" s="25" t="n">
        <f aca="false">MIN(H15960,Assumptions!$L$55*Assumptions!$C$55)</f>
        <v>0</v>
      </c>
      <c r="I15966" s="25" t="n">
        <f aca="false">MIN(I15960,Assumptions!$L$55*Assumptions!$C$55)</f>
        <v>0</v>
      </c>
      <c r="J15966" s="25" t="n">
        <f aca="false">MIN(J15960,Assumptions!$L$55*Assumptions!$C$55)</f>
        <v>0</v>
      </c>
      <c r="K15966" s="25" t="n">
        <f aca="false">MIN(K15960,Assumptions!$L$55*Assumptions!$C$55)</f>
        <v>0</v>
      </c>
    </row>
    <row r="15967" customFormat="false" ht="15" hidden="false" customHeight="false" outlineLevel="0" collapsed="false">
      <c r="A15967" s="5" t="s">
        <v>270</v>
      </c>
      <c r="G15967" s="25" t="n">
        <f aca="false">IF(AND(Assumptions!$P$55=1,G15898&lt;Assumptions!$K$55),MIN(MAX(0,-G16012),MAX(0,Assumptions!$D$55-G15960)),0)</f>
        <v>0</v>
      </c>
      <c r="H15967" s="25" t="n">
        <f aca="false">IF(AND(Assumptions!$P$55=1,OR(H15898&lt;Assumptions!$K$55,G16088=1)),MIN(MAX(0,-H16012),MAX(0,Assumptions!$D$55-H15960)),0)</f>
        <v>0</v>
      </c>
      <c r="I15967" s="25" t="n">
        <f aca="false">IF(AND(Assumptions!$P$55=1,OR(I15898&lt;Assumptions!$K$55,H16088=1)),MIN(MAX(0,-I16012),MAX(0,Assumptions!$D$55-I15960)),0)</f>
        <v>0</v>
      </c>
      <c r="J15967" s="25" t="n">
        <f aca="false">IF(AND(Assumptions!$P$55=1,OR(J15898&lt;Assumptions!$K$55,I16088=1)),MIN(MAX(0,-J16012),MAX(0,Assumptions!$D$55-J15960)),0)</f>
        <v>0</v>
      </c>
      <c r="K15967" s="25" t="n">
        <f aca="false">IF(AND(Assumptions!$P$55=1,OR(K15898&lt;Assumptions!$K$55,J16088=1)),MIN(MAX(0,-K16012),MAX(0,Assumptions!$D$55-K15960)),0)</f>
        <v>0</v>
      </c>
    </row>
    <row r="15968" customFormat="false" ht="15" hidden="false" customHeight="false" outlineLevel="0" collapsed="false">
      <c r="A15968" s="5" t="s">
        <v>271</v>
      </c>
      <c r="G15968" s="25" t="n">
        <f aca="false">G15961*MIN(G15960-G15966+G15965,MAX(0,G16014-Assumptions!$C$12*G15932-G15942-G15955))</f>
        <v>0</v>
      </c>
      <c r="H15968" s="25" t="n">
        <f aca="false">H15961*MIN(H15960-H15966+H15965,MAX(0,H16014-Assumptions!$C$12*H15932-H15942-H15955))</f>
        <v>0</v>
      </c>
      <c r="I15968" s="25" t="n">
        <f aca="false">I15961*MIN(I15960-I15966+I15965,MAX(0,I16014-Assumptions!$C$12*I15932-I15942-I15955))</f>
        <v>0</v>
      </c>
      <c r="J15968" s="25" t="n">
        <f aca="false">J15961*MIN(J15960-J15966+J15965,MAX(0,J16014-Assumptions!$C$12*J15932-J15942-J15955))</f>
        <v>0</v>
      </c>
      <c r="K15968" s="25" t="n">
        <f aca="false">K15961*MIN(K15960-K15966+K15965,MAX(0,K16014-Assumptions!$C$12*K15932-K15942-K15955))</f>
        <v>0</v>
      </c>
    </row>
    <row r="15969" customFormat="false" ht="15" hidden="false" customHeight="false" outlineLevel="0" collapsed="false">
      <c r="A15969" s="5" t="s">
        <v>272</v>
      </c>
      <c r="G15969" s="25" t="n">
        <f aca="false">Assumptions!$N$55*MIN(G15960+G15967+G15965-G15966-G15968,MAX(0,G16018-G15943-G15956))</f>
        <v>0</v>
      </c>
      <c r="H15969" s="25" t="n">
        <f aca="false">Assumptions!$N$55*MIN(H15960+H15967+H15965-H15966-H15968,MAX(0,H16018-H15943-H15956))</f>
        <v>0</v>
      </c>
      <c r="I15969" s="25" t="n">
        <f aca="false">Assumptions!$N$55*MIN(I15960+I15967+I15965-I15966-I15968,MAX(0,I16018-I15943-I15956))</f>
        <v>0</v>
      </c>
      <c r="J15969" s="25" t="n">
        <f aca="false">Assumptions!$N$55*MIN(J15960+J15967+J15965-J15966-J15968,MAX(0,J16018-J15943-J15956))</f>
        <v>0</v>
      </c>
      <c r="K15969" s="25" t="n">
        <f aca="false">Assumptions!$N$55*MIN(K15960+K15967+K15965-K15966-K15968,MAX(0,K16018-K15943-K15956))</f>
        <v>0</v>
      </c>
    </row>
    <row r="15970" customFormat="false" ht="15" hidden="false" customHeight="false" outlineLevel="0" collapsed="false">
      <c r="A15970" s="5" t="s">
        <v>273</v>
      </c>
      <c r="G15970" s="25" t="n">
        <f aca="false">G15961*(1-G15932)*(G15960-G15966+G15965-G15968)</f>
        <v>0</v>
      </c>
      <c r="H15970" s="25" t="n">
        <f aca="false">H15961*(1-H15932)*(H15960-H15966+H15965-H15968)</f>
        <v>0</v>
      </c>
      <c r="I15970" s="25" t="n">
        <f aca="false">I15961*(1-I15932)*(I15960-I15966+I15965-I15968)</f>
        <v>0</v>
      </c>
      <c r="J15970" s="25" t="n">
        <f aca="false">J15961*(1-J15932)*(J15960-J15966+J15965-J15968)</f>
        <v>250</v>
      </c>
      <c r="K15970" s="25" t="n">
        <f aca="false">K15961*(1-K15932)*(K15960-K15966+K15965-K15968)</f>
        <v>0</v>
      </c>
    </row>
    <row r="15971" customFormat="false" ht="15" hidden="false" customHeight="false" outlineLevel="0" collapsed="false">
      <c r="A15971" s="2" t="s">
        <v>274</v>
      </c>
      <c r="F15971" s="27" t="n">
        <f aca="false">Assumptions!$C$55</f>
        <v>250</v>
      </c>
      <c r="G15971" s="16" t="n">
        <f aca="false">G15960+G15967+G15965-G15966-G15968-G15969</f>
        <v>250</v>
      </c>
      <c r="H15971" s="16" t="n">
        <f aca="false">H15960+H15967+H15965-H15966-H15968-H15969</f>
        <v>250</v>
      </c>
      <c r="I15971" s="16" t="n">
        <f aca="false">I15960+I15967+I15965-I15966-I15968-I15969</f>
        <v>250</v>
      </c>
      <c r="J15971" s="16" t="n">
        <f aca="false">J15960+J15967+J15965-J15966-J15968-J15969</f>
        <v>250</v>
      </c>
      <c r="K15971" s="16" t="n">
        <f aca="false">K15960+K15967+K15965-K15966-K15968-K15969</f>
        <v>250</v>
      </c>
    </row>
    <row r="15972" customFormat="false" ht="15" hidden="false" customHeight="false" outlineLevel="0" collapsed="false">
      <c r="A15972" s="23" t="s">
        <v>277</v>
      </c>
      <c r="B15972" s="24"/>
      <c r="C15972" s="24"/>
      <c r="D15972" s="24"/>
      <c r="E15972" s="24"/>
      <c r="F15972" s="24"/>
      <c r="G15972" s="24"/>
      <c r="H15972" s="24"/>
      <c r="I15972" s="24"/>
      <c r="J15972" s="24"/>
      <c r="K15972" s="24"/>
    </row>
    <row r="15973" customFormat="false" ht="15" hidden="false" customHeight="false" outlineLevel="0" collapsed="false">
      <c r="A15973" s="5" t="s">
        <v>264</v>
      </c>
      <c r="G15973" s="25" t="n">
        <f aca="false">F15984</f>
        <v>300</v>
      </c>
      <c r="H15973" s="25" t="n">
        <f aca="false">G15984</f>
        <v>300</v>
      </c>
      <c r="I15973" s="25" t="n">
        <f aca="false">H15984</f>
        <v>300</v>
      </c>
      <c r="J15973" s="25" t="n">
        <f aca="false">I15984</f>
        <v>300</v>
      </c>
      <c r="K15973" s="25" t="n">
        <f aca="false">J15984</f>
        <v>300</v>
      </c>
    </row>
    <row r="15974" customFormat="false" ht="15" hidden="false" customHeight="false" outlineLevel="0" collapsed="false">
      <c r="A15974" s="5" t="s">
        <v>265</v>
      </c>
      <c r="G15974" s="20" t="n">
        <f aca="false">IF(G15898=Assumptions!$K$56,1,0)</f>
        <v>0</v>
      </c>
      <c r="H15974" s="20" t="n">
        <f aca="false">IF(H15898=Assumptions!$K$56,1,0)</f>
        <v>1</v>
      </c>
      <c r="I15974" s="20" t="n">
        <f aca="false">IF(I15898=Assumptions!$K$56,1,0)</f>
        <v>0</v>
      </c>
      <c r="J15974" s="20" t="n">
        <f aca="false">IF(J15898=Assumptions!$K$56,1,0)</f>
        <v>0</v>
      </c>
      <c r="K15974" s="20" t="n">
        <f aca="false">IF(K15898=Assumptions!$K$56,1,0)</f>
        <v>0</v>
      </c>
    </row>
    <row r="15976" customFormat="false" ht="15" hidden="false" customHeight="false" outlineLevel="0" collapsed="false">
      <c r="A15976" s="5" t="s">
        <v>266</v>
      </c>
      <c r="G15976" s="30" t="n">
        <f aca="false">IF(Assumptions!$I$56=1,MAX(G15924,Assumptions!$G$56)+Assumptions!$F$56+$C$15925,Assumptions!$E$56)</f>
        <v>0.075</v>
      </c>
      <c r="H15976" s="30" t="n">
        <f aca="false">IF(G16089=1,$C$15926,IF(Assumptions!$I$56=1,MAX(H15924,Assumptions!$G$56)+Assumptions!$F$56+$C$15925,Assumptions!$E$56))</f>
        <v>0.075</v>
      </c>
      <c r="I15976" s="30" t="n">
        <f aca="false">IF(H16089=1,$C$15926,IF(Assumptions!$I$56=1,MAX(I15924,Assumptions!$G$56)+Assumptions!$F$56+$C$15925,Assumptions!$E$56))</f>
        <v>0.075</v>
      </c>
      <c r="J15976" s="30" t="n">
        <f aca="false">IF(I16089=1,$C$15926,IF(Assumptions!$I$56=1,MAX(J15924,Assumptions!$G$56)+Assumptions!$F$56+$C$15925,Assumptions!$E$56))</f>
        <v>0.075</v>
      </c>
      <c r="K15976" s="30" t="n">
        <f aca="false">IF(J16089=1,$C$15926,IF(Assumptions!$I$56=1,MAX(K15924,Assumptions!$G$56)+Assumptions!$F$56+$C$15925,Assumptions!$E$56))</f>
        <v>0.075</v>
      </c>
    </row>
    <row r="15977" customFormat="false" ht="15" hidden="false" customHeight="false" outlineLevel="0" collapsed="false">
      <c r="A15977" s="5" t="s">
        <v>267</v>
      </c>
      <c r="G15977" s="25" t="n">
        <f aca="false">G15973*G15976</f>
        <v>22.5</v>
      </c>
      <c r="H15977" s="25" t="n">
        <f aca="false">H15973*H15976</f>
        <v>22.5</v>
      </c>
      <c r="I15977" s="25" t="n">
        <f aca="false">I15973*I15976</f>
        <v>22.5</v>
      </c>
      <c r="J15977" s="25" t="n">
        <f aca="false">J15973*J15976</f>
        <v>22.5</v>
      </c>
      <c r="K15977" s="25" t="n">
        <f aca="false">K15973*K15976</f>
        <v>22.5</v>
      </c>
    </row>
    <row r="15978" customFormat="false" ht="15" hidden="false" customHeight="false" outlineLevel="0" collapsed="false">
      <c r="A15978" s="5" t="s">
        <v>268</v>
      </c>
      <c r="G15978" s="25" t="n">
        <f aca="false">G15973*Assumptions!$H$56</f>
        <v>0</v>
      </c>
      <c r="H15978" s="25" t="n">
        <f aca="false">H15973*Assumptions!$H$56</f>
        <v>0</v>
      </c>
      <c r="I15978" s="25" t="n">
        <f aca="false">I15973*Assumptions!$H$56</f>
        <v>0</v>
      </c>
      <c r="J15978" s="25" t="n">
        <f aca="false">J15973*Assumptions!$H$56</f>
        <v>0</v>
      </c>
      <c r="K15978" s="25" t="n">
        <f aca="false">K15973*Assumptions!$H$56</f>
        <v>0</v>
      </c>
    </row>
    <row r="15979" customFormat="false" ht="15" hidden="false" customHeight="false" outlineLevel="0" collapsed="false">
      <c r="A15979" s="5" t="s">
        <v>269</v>
      </c>
      <c r="G15979" s="25" t="n">
        <f aca="false">MIN(G15973,Assumptions!$L$56*Assumptions!$C$56)</f>
        <v>0</v>
      </c>
      <c r="H15979" s="25" t="n">
        <f aca="false">MIN(H15973,Assumptions!$L$56*Assumptions!$C$56)</f>
        <v>0</v>
      </c>
      <c r="I15979" s="25" t="n">
        <f aca="false">MIN(I15973,Assumptions!$L$56*Assumptions!$C$56)</f>
        <v>0</v>
      </c>
      <c r="J15979" s="25" t="n">
        <f aca="false">MIN(J15973,Assumptions!$L$56*Assumptions!$C$56)</f>
        <v>0</v>
      </c>
      <c r="K15979" s="25" t="n">
        <f aca="false">MIN(K15973,Assumptions!$L$56*Assumptions!$C$56)</f>
        <v>0</v>
      </c>
    </row>
    <row r="15980" customFormat="false" ht="15" hidden="false" customHeight="false" outlineLevel="0" collapsed="false">
      <c r="A15980" s="5" t="s">
        <v>270</v>
      </c>
      <c r="G15980" s="25" t="n">
        <f aca="false">IF(AND(Assumptions!$P$56=1,G15898&lt;Assumptions!$K$56),MIN(MAX(0,-G16012),MAX(0,Assumptions!$D$56-G15973)),0)</f>
        <v>0</v>
      </c>
      <c r="H15980" s="25" t="n">
        <f aca="false">IF(AND(Assumptions!$P$56=1,OR(H15898&lt;Assumptions!$K$56,G16089=1)),MIN(MAX(0,-H16012),MAX(0,Assumptions!$D$56-H15973)),0)</f>
        <v>0</v>
      </c>
      <c r="I15980" s="25" t="n">
        <f aca="false">IF(AND(Assumptions!$P$56=1,OR(I15898&lt;Assumptions!$K$56,H16089=1)),MIN(MAX(0,-I16012),MAX(0,Assumptions!$D$56-I15973)),0)</f>
        <v>0</v>
      </c>
      <c r="J15980" s="25" t="n">
        <f aca="false">IF(AND(Assumptions!$P$56=1,OR(J15898&lt;Assumptions!$K$56,I16089=1)),MIN(MAX(0,-J16012),MAX(0,Assumptions!$D$56-J15973)),0)</f>
        <v>0</v>
      </c>
      <c r="K15980" s="25" t="n">
        <f aca="false">IF(AND(Assumptions!$P$56=1,OR(K15898&lt;Assumptions!$K$56,J16089=1)),MIN(MAX(0,-K16012),MAX(0,Assumptions!$D$56-K15973)),0)</f>
        <v>0</v>
      </c>
    </row>
    <row r="15981" customFormat="false" ht="15" hidden="false" customHeight="false" outlineLevel="0" collapsed="false">
      <c r="A15981" s="5" t="s">
        <v>271</v>
      </c>
      <c r="G15981" s="25" t="n">
        <f aca="false">G15974*MIN(G15973-G15979+G15978,MAX(0,G16014-Assumptions!$C$12*G15932-G15942-G15955-G15968))</f>
        <v>0</v>
      </c>
      <c r="H15981" s="25" t="n">
        <f aca="false">H15974*MIN(H15973-H15979+H15978,MAX(0,H16014-Assumptions!$C$12*H15932-H15942-H15955-H15968))</f>
        <v>0</v>
      </c>
      <c r="I15981" s="25" t="n">
        <f aca="false">I15974*MIN(I15973-I15979+I15978,MAX(0,I16014-Assumptions!$C$12*I15932-I15942-I15955-I15968))</f>
        <v>0</v>
      </c>
      <c r="J15981" s="25" t="n">
        <f aca="false">J15974*MIN(J15973-J15979+J15978,MAX(0,J16014-Assumptions!$C$12*J15932-J15942-J15955-J15968))</f>
        <v>0</v>
      </c>
      <c r="K15981" s="25" t="n">
        <f aca="false">K15974*MIN(K15973-K15979+K15978,MAX(0,K16014-Assumptions!$C$12*K15932-K15942-K15955-K15968))</f>
        <v>0</v>
      </c>
    </row>
    <row r="15982" customFormat="false" ht="15" hidden="false" customHeight="false" outlineLevel="0" collapsed="false">
      <c r="A15982" s="5" t="s">
        <v>272</v>
      </c>
      <c r="G15982" s="25" t="n">
        <f aca="false">Assumptions!$N$56*MIN(G15973+G15980+G15978-G15979-G15981,MAX(0,G16018-G15943-G15956-G15969))</f>
        <v>0</v>
      </c>
      <c r="H15982" s="25" t="n">
        <f aca="false">Assumptions!$N$56*MIN(H15973+H15980+H15978-H15979-H15981,MAX(0,H16018-H15943-H15956-H15969))</f>
        <v>0</v>
      </c>
      <c r="I15982" s="25" t="n">
        <f aca="false">Assumptions!$N$56*MIN(I15973+I15980+I15978-I15979-I15981,MAX(0,I16018-I15943-I15956-I15969))</f>
        <v>0</v>
      </c>
      <c r="J15982" s="25" t="n">
        <f aca="false">Assumptions!$N$56*MIN(J15973+J15980+J15978-J15979-J15981,MAX(0,J16018-J15943-J15956-J15969))</f>
        <v>0</v>
      </c>
      <c r="K15982" s="25" t="n">
        <f aca="false">Assumptions!$N$56*MIN(K15973+K15980+K15978-K15979-K15981,MAX(0,K16018-K15943-K15956-K15969))</f>
        <v>0</v>
      </c>
    </row>
    <row r="15983" customFormat="false" ht="15" hidden="false" customHeight="false" outlineLevel="0" collapsed="false">
      <c r="A15983" s="5" t="s">
        <v>273</v>
      </c>
      <c r="G15983" s="25" t="n">
        <f aca="false">G15974*(1-G15932)*(G15973-G15979+G15978-G15981)</f>
        <v>0</v>
      </c>
      <c r="H15983" s="25" t="n">
        <f aca="false">H15974*(1-H15932)*(H15973-H15979+H15978-H15981)</f>
        <v>300</v>
      </c>
      <c r="I15983" s="25" t="n">
        <f aca="false">I15974*(1-I15932)*(I15973-I15979+I15978-I15981)</f>
        <v>0</v>
      </c>
      <c r="J15983" s="25" t="n">
        <f aca="false">J15974*(1-J15932)*(J15973-J15979+J15978-J15981)</f>
        <v>0</v>
      </c>
      <c r="K15983" s="25" t="n">
        <f aca="false">K15974*(1-K15932)*(K15973-K15979+K15978-K15981)</f>
        <v>0</v>
      </c>
    </row>
    <row r="15984" customFormat="false" ht="15" hidden="false" customHeight="false" outlineLevel="0" collapsed="false">
      <c r="A15984" s="2" t="s">
        <v>274</v>
      </c>
      <c r="F15984" s="27" t="n">
        <f aca="false">Assumptions!$C$56</f>
        <v>300</v>
      </c>
      <c r="G15984" s="16" t="n">
        <f aca="false">G15973+G15980+G15978-G15979-G15981-G15982</f>
        <v>300</v>
      </c>
      <c r="H15984" s="16" t="n">
        <f aca="false">H15973+H15980+H15978-H15979-H15981-H15982</f>
        <v>300</v>
      </c>
      <c r="I15984" s="16" t="n">
        <f aca="false">I15973+I15980+I15978-I15979-I15981-I15982</f>
        <v>300</v>
      </c>
      <c r="J15984" s="16" t="n">
        <f aca="false">J15973+J15980+J15978-J15979-J15981-J15982</f>
        <v>300</v>
      </c>
      <c r="K15984" s="16" t="n">
        <f aca="false">K15973+K15980+K15978-K15979-K15981-K15982</f>
        <v>300</v>
      </c>
    </row>
    <row r="15985" customFormat="false" ht="15" hidden="false" customHeight="false" outlineLevel="0" collapsed="false">
      <c r="A15985" s="23" t="s">
        <v>278</v>
      </c>
      <c r="B15985" s="24"/>
      <c r="C15985" s="24"/>
      <c r="D15985" s="24"/>
      <c r="E15985" s="24"/>
      <c r="F15985" s="24"/>
      <c r="G15985" s="24"/>
      <c r="H15985" s="24"/>
      <c r="I15985" s="24"/>
      <c r="J15985" s="24"/>
      <c r="K15985" s="24"/>
    </row>
    <row r="15986" customFormat="false" ht="15" hidden="false" customHeight="false" outlineLevel="0" collapsed="false">
      <c r="A15986" s="2" t="s">
        <v>279</v>
      </c>
      <c r="F15986" s="16" t="n">
        <f aca="false">F15945+F15958+F15971+F15984</f>
        <v>1250</v>
      </c>
      <c r="G15986" s="16" t="n">
        <f aca="false">G15945+G15958+G15971+G15984</f>
        <v>1299.7088</v>
      </c>
      <c r="H15986" s="16" t="n">
        <f aca="false">H15945+H15958+H15971+H15984</f>
        <v>1294.5088</v>
      </c>
      <c r="I15986" s="16" t="n">
        <f aca="false">I15945+I15958+I15971+I15984</f>
        <v>1289.3088</v>
      </c>
      <c r="J15986" s="16" t="n">
        <f aca="false">J15945+J15958+J15971+J15984</f>
        <v>1284.1088</v>
      </c>
      <c r="K15986" s="16" t="n">
        <f aca="false">K15945+K15958+K15971+K15984</f>
        <v>1278.9088</v>
      </c>
    </row>
    <row r="15987" customFormat="false" ht="15" hidden="false" customHeight="false" outlineLevel="0" collapsed="false">
      <c r="A15987" s="5" t="s">
        <v>280</v>
      </c>
      <c r="G15987" s="25" t="n">
        <f aca="false">G15935*Assumptions!$C$53+G15948*Assumptions!$C$54+G15961*Assumptions!$C$55+G15974*Assumptions!$C$56</f>
        <v>0</v>
      </c>
      <c r="H15987" s="25" t="n">
        <f aca="false">H15935*Assumptions!$C$53+H15948*Assumptions!$C$54+H15961*Assumptions!$C$55+H15974*Assumptions!$C$56</f>
        <v>480</v>
      </c>
      <c r="I15987" s="25" t="n">
        <f aca="false">I15935*Assumptions!$C$53+I15948*Assumptions!$C$54+I15961*Assumptions!$C$55+I15974*Assumptions!$C$56</f>
        <v>520</v>
      </c>
      <c r="J15987" s="25" t="n">
        <f aca="false">J15935*Assumptions!$C$53+J15948*Assumptions!$C$54+J15961*Assumptions!$C$55+J15974*Assumptions!$C$56</f>
        <v>250</v>
      </c>
      <c r="K15987" s="25" t="n">
        <f aca="false">K15935*Assumptions!$C$53+K15948*Assumptions!$C$54+K15961*Assumptions!$C$55+K15974*Assumptions!$C$56</f>
        <v>0</v>
      </c>
    </row>
    <row r="15988" customFormat="false" ht="15" hidden="false" customHeight="false" outlineLevel="0" collapsed="false">
      <c r="A15988" s="23" t="s">
        <v>281</v>
      </c>
      <c r="B15988" s="24"/>
      <c r="C15988" s="24"/>
      <c r="D15988" s="24"/>
      <c r="E15988" s="24"/>
      <c r="F15988" s="24"/>
      <c r="G15988" s="24"/>
      <c r="H15988" s="24"/>
      <c r="I15988" s="24"/>
      <c r="J15988" s="24"/>
      <c r="K15988" s="24"/>
    </row>
    <row r="15989" customFormat="false" ht="15" hidden="false" customHeight="false" outlineLevel="0" collapsed="false">
      <c r="A15989" s="5" t="s">
        <v>282</v>
      </c>
      <c r="C15989" s="25" t="n">
        <f aca="false">SUMPRODUCT($G$15935:$K$15935,$G$15934:$K$15934-$G$15940:$K$15940+$G$15939:$K$15939)</f>
        <v>234.9088</v>
      </c>
    </row>
    <row r="15990" customFormat="false" ht="15" hidden="false" customHeight="false" outlineLevel="0" collapsed="false">
      <c r="A15990" s="5" t="s">
        <v>283</v>
      </c>
      <c r="C15990" s="25" t="n">
        <f aca="false">SUMPRODUCT($G$15935:$K$15935,$G$15942:$K$15942)</f>
        <v>0</v>
      </c>
    </row>
    <row r="15991" customFormat="false" ht="15" hidden="false" customHeight="false" outlineLevel="0" collapsed="false">
      <c r="A15991" s="5" t="s">
        <v>284</v>
      </c>
      <c r="C15991" s="5" t="str">
        <f aca="false">IF(SUM($G$15935:$K$15935)=0,"n/a (beyond horizon)",IF(SUMPRODUCT($G$15935:$K$15935,$G$15932:$K$15932)&gt;0,"REFINANCING PASS","REFINANCING FAILURE"))</f>
        <v>REFINANCING FAILURE</v>
      </c>
    </row>
    <row r="15992" customFormat="false" ht="15" hidden="false" customHeight="false" outlineLevel="0" collapsed="false">
      <c r="A15992" s="5" t="s">
        <v>285</v>
      </c>
      <c r="C15992" s="5" t="str">
        <f aca="false">IF(SUM($G$15935:$K$15935)=0,"n/a",IF(C15990&gt;=C15989-0.001,"Repaid from cash",IF(SUMPRODUCT($G$15935:$K$15935,$G$15932:$K$15932)&gt;0,IF(C15990&gt;0,"Partly repaid; remainder refinanced","Refinanced"),IF(SUM($G$15944:$K$15944)&gt;0.001,IF(C15990&gt;0,"Partial repayment; PAYMENT DEFAULT","PAYMENT DEFAULT"),"Repaid from cash"))))</f>
        <v>PAYMENT DEFAULT</v>
      </c>
    </row>
    <row r="15993" customFormat="false" ht="15" hidden="false" customHeight="false" outlineLevel="0" collapsed="false">
      <c r="A15993" s="5" t="s">
        <v>286</v>
      </c>
      <c r="C15993" s="25" t="n">
        <f aca="false">SUMPRODUCT($G$15948:$K$15948,$G$15947:$K$15947-$G$15953:$K$15953+$G$15952:$K$15952)</f>
        <v>504.4</v>
      </c>
    </row>
    <row r="15994" customFormat="false" ht="15" hidden="false" customHeight="false" outlineLevel="0" collapsed="false">
      <c r="A15994" s="5" t="s">
        <v>287</v>
      </c>
      <c r="C15994" s="25" t="n">
        <f aca="false">SUMPRODUCT($G$15948:$K$15948,$G$15955:$K$15955)</f>
        <v>0</v>
      </c>
    </row>
    <row r="15995" customFormat="false" ht="15" hidden="false" customHeight="false" outlineLevel="0" collapsed="false">
      <c r="A15995" s="5" t="s">
        <v>288</v>
      </c>
      <c r="C15995" s="5" t="str">
        <f aca="false">IF(SUM($G$15948:$K$15948)=0,"n/a (beyond horizon)",IF(SUMPRODUCT($G$15948:$K$15948,$G$15932:$K$15932)&gt;0,"REFINANCING PASS","REFINANCING FAILURE"))</f>
        <v>REFINANCING FAILURE</v>
      </c>
    </row>
    <row r="15996" customFormat="false" ht="15" hidden="false" customHeight="false" outlineLevel="0" collapsed="false">
      <c r="A15996" s="5" t="s">
        <v>289</v>
      </c>
      <c r="C15996" s="5" t="str">
        <f aca="false">IF(SUM($G$15948:$K$15948)=0,"n/a",IF(C15994&gt;=C15993-0.001,"Repaid from cash",IF(SUMPRODUCT($G$15948:$K$15948,$G$15932:$K$15932)&gt;0,IF(C15994&gt;0,"Partly repaid; remainder refinanced","Refinanced"),IF(SUM($G$15957:$K$15957)&gt;0.001,IF(C15994&gt;0,"Partial repayment; PAYMENT DEFAULT","PAYMENT DEFAULT"),"Repaid from cash"))))</f>
        <v>PAYMENT DEFAULT</v>
      </c>
    </row>
    <row r="15997" customFormat="false" ht="15" hidden="false" customHeight="false" outlineLevel="0" collapsed="false">
      <c r="A15997" s="5" t="s">
        <v>290</v>
      </c>
      <c r="C15997" s="25" t="n">
        <f aca="false">SUMPRODUCT($G$15961:$K$15961,$G$15960:$K$15960-$G$15966:$K$15966+$G$15965:$K$15965)</f>
        <v>250</v>
      </c>
    </row>
    <row r="15998" customFormat="false" ht="15" hidden="false" customHeight="false" outlineLevel="0" collapsed="false">
      <c r="A15998" s="5" t="s">
        <v>291</v>
      </c>
      <c r="C15998" s="25" t="n">
        <f aca="false">SUMPRODUCT($G$15961:$K$15961,$G$15968:$K$15968)</f>
        <v>0</v>
      </c>
    </row>
    <row r="15999" customFormat="false" ht="15" hidden="false" customHeight="false" outlineLevel="0" collapsed="false">
      <c r="A15999" s="5" t="s">
        <v>292</v>
      </c>
      <c r="C15999" s="5" t="str">
        <f aca="false">IF(SUM($G$15961:$K$15961)=0,"n/a (beyond horizon)",IF(SUMPRODUCT($G$15961:$K$15961,$G$15932:$K$15932)&gt;0,"REFINANCING PASS","REFINANCING FAILURE"))</f>
        <v>REFINANCING FAILURE</v>
      </c>
    </row>
    <row r="16000" customFormat="false" ht="15" hidden="false" customHeight="false" outlineLevel="0" collapsed="false">
      <c r="A16000" s="5" t="s">
        <v>293</v>
      </c>
      <c r="C16000" s="5" t="str">
        <f aca="false">IF(SUM($G$15961:$K$15961)=0,"n/a",IF(C15998&gt;=C15997-0.001,"Repaid from cash",IF(SUMPRODUCT($G$15961:$K$15961,$G$15932:$K$15932)&gt;0,IF(C15998&gt;0,"Partly repaid; remainder refinanced","Refinanced"),IF(SUM($G$15970:$K$15970)&gt;0.001,IF(C15998&gt;0,"Partial repayment; PAYMENT DEFAULT","PAYMENT DEFAULT"),"Repaid from cash"))))</f>
        <v>PAYMENT DEFAULT</v>
      </c>
    </row>
    <row r="16001" customFormat="false" ht="15" hidden="false" customHeight="false" outlineLevel="0" collapsed="false">
      <c r="A16001" s="5" t="s">
        <v>294</v>
      </c>
      <c r="C16001" s="25" t="n">
        <f aca="false">SUMPRODUCT($G$15974:$K$15974,$G$15973:$K$15973-$G$15979:$K$15979+$G$15978:$K$15978)</f>
        <v>300</v>
      </c>
    </row>
    <row r="16002" customFormat="false" ht="15" hidden="false" customHeight="false" outlineLevel="0" collapsed="false">
      <c r="A16002" s="5" t="s">
        <v>295</v>
      </c>
      <c r="C16002" s="25" t="n">
        <f aca="false">SUMPRODUCT($G$15974:$K$15974,$G$15981:$K$15981)</f>
        <v>0</v>
      </c>
    </row>
    <row r="16003" customFormat="false" ht="15" hidden="false" customHeight="false" outlineLevel="0" collapsed="false">
      <c r="A16003" s="5" t="s">
        <v>296</v>
      </c>
      <c r="C16003" s="5" t="str">
        <f aca="false">IF(SUM($G$15974:$K$15974)=0,"n/a (beyond horizon)",IF(SUMPRODUCT($G$15974:$K$15974,$G$15932:$K$15932)&gt;0,"REFINANCING PASS","REFINANCING FAILURE"))</f>
        <v>REFINANCING FAILURE</v>
      </c>
    </row>
    <row r="16004" customFormat="false" ht="15" hidden="false" customHeight="false" outlineLevel="0" collapsed="false">
      <c r="A16004" s="5" t="s">
        <v>297</v>
      </c>
      <c r="C16004" s="5" t="str">
        <f aca="false">IF(SUM($G$15974:$K$15974)=0,"n/a",IF(C16002&gt;=C16001-0.001,"Repaid from cash",IF(SUMPRODUCT($G$15974:$K$15974,$G$15932:$K$15932)&gt;0,IF(C16002&gt;0,"Partly repaid; remainder refinanced","Refinanced"),IF(SUM($G$15983:$K$15983)&gt;0.001,IF(C16002&gt;0,"Partial repayment; PAYMENT DEFAULT","PAYMENT DEFAULT"),"Repaid from cash"))))</f>
        <v>PAYMENT DEFAULT</v>
      </c>
    </row>
    <row r="16005" customFormat="false" ht="15" hidden="false" customHeight="false" outlineLevel="0" collapsed="false">
      <c r="A16005" s="5" t="s">
        <v>298</v>
      </c>
      <c r="C16005" s="20" t="n">
        <f aca="false">IF(C15991="REFINANCING FAILURE",1,0)+IF(C15995="REFINANCING FAILURE",1,0)+IF(C15999="REFINANCING FAILURE",1,0)+IF(C16003="REFINANCING FAILURE",1,0)</f>
        <v>4</v>
      </c>
    </row>
    <row r="16007" customFormat="false" ht="15" hidden="false" customHeight="false" outlineLevel="0" collapsed="false">
      <c r="A16007" s="23" t="s">
        <v>300</v>
      </c>
      <c r="B16007" s="24"/>
      <c r="C16007" s="24"/>
      <c r="D16007" s="24"/>
      <c r="E16007" s="24"/>
      <c r="F16007" s="24"/>
      <c r="G16007" s="24"/>
      <c r="H16007" s="24"/>
      <c r="I16007" s="24"/>
      <c r="J16007" s="24"/>
      <c r="K16007" s="24"/>
    </row>
    <row r="16008" customFormat="false" ht="15" hidden="false" customHeight="false" outlineLevel="0" collapsed="false">
      <c r="A16008" s="5" t="s">
        <v>260</v>
      </c>
      <c r="G16008" s="25" t="n">
        <f aca="false">F16020</f>
        <v>45</v>
      </c>
      <c r="H16008" s="25" t="n">
        <f aca="false">G16020</f>
        <v>0</v>
      </c>
      <c r="I16008" s="25" t="n">
        <f aca="false">H16020</f>
        <v>-139.5574048</v>
      </c>
      <c r="J16008" s="25" t="n">
        <f aca="false">I16020</f>
        <v>-299.764809344</v>
      </c>
      <c r="K16008" s="25" t="n">
        <f aca="false">J16020</f>
        <v>-462.24043997056</v>
      </c>
    </row>
    <row r="16009" customFormat="false" ht="15" hidden="false" customHeight="false" outlineLevel="0" collapsed="false">
      <c r="A16009" s="5" t="s">
        <v>301</v>
      </c>
      <c r="G16009" s="25" t="n">
        <f aca="false">G15921</f>
        <v>-94.7088</v>
      </c>
      <c r="H16009" s="25" t="n">
        <f aca="false">H15921</f>
        <v>-134.3574048</v>
      </c>
      <c r="I16009" s="25" t="n">
        <f aca="false">I15921</f>
        <v>-155.007404544</v>
      </c>
      <c r="J16009" s="25" t="n">
        <f aca="false">J15921</f>
        <v>-157.27563062656</v>
      </c>
      <c r="K16009" s="25" t="n">
        <f aca="false">K15921</f>
        <v>-156.443655088294</v>
      </c>
    </row>
    <row r="16010" customFormat="false" ht="15" hidden="false" customHeight="false" outlineLevel="0" collapsed="false">
      <c r="A16010" s="5" t="s">
        <v>302</v>
      </c>
      <c r="G16010" s="25" t="n">
        <f aca="false">CHOOSE($C$15891,Assumptions!$G$68,Assumptions!$G$87,Assumptions!$G$106)</f>
        <v>0</v>
      </c>
      <c r="H16010" s="25" t="n">
        <f aca="false">CHOOSE($C$15891,Assumptions!$H$68,Assumptions!$H$87,Assumptions!$H$106)</f>
        <v>0</v>
      </c>
      <c r="I16010" s="25" t="n">
        <f aca="false">CHOOSE($C$15891,Assumptions!$I$68,Assumptions!$I$87,Assumptions!$I$106)</f>
        <v>0</v>
      </c>
      <c r="J16010" s="25" t="n">
        <f aca="false">CHOOSE($C$15891,Assumptions!$J$68,Assumptions!$J$87,Assumptions!$J$106)</f>
        <v>0</v>
      </c>
      <c r="K16010" s="25" t="n">
        <f aca="false">CHOOSE($C$15891,Assumptions!$K$68,Assumptions!$K$87,Assumptions!$K$106)</f>
        <v>0</v>
      </c>
    </row>
    <row r="16011" customFormat="false" ht="15" hidden="false" customHeight="false" outlineLevel="0" collapsed="false">
      <c r="A16011" s="5" t="s">
        <v>303</v>
      </c>
      <c r="G16011" s="25" t="n">
        <f aca="false">G15940+G15953+G15966+G15979</f>
        <v>5.2</v>
      </c>
      <c r="H16011" s="25" t="n">
        <f aca="false">H15940+H15953+H15966+H15979</f>
        <v>5.2</v>
      </c>
      <c r="I16011" s="25" t="n">
        <f aca="false">I15940+I15953+I15966+I15979</f>
        <v>5.2</v>
      </c>
      <c r="J16011" s="25" t="n">
        <f aca="false">J15940+J15953+J15966+J15979</f>
        <v>5.2</v>
      </c>
      <c r="K16011" s="25" t="n">
        <f aca="false">K15940+K15953+K15966+K15979</f>
        <v>5.2</v>
      </c>
    </row>
    <row r="16012" customFormat="false" ht="15" hidden="false" customHeight="false" outlineLevel="0" collapsed="false">
      <c r="A16012" s="2" t="s">
        <v>304</v>
      </c>
      <c r="G16012" s="16" t="n">
        <f aca="false">G16008+G16009+G16010-G16011</f>
        <v>-54.9088</v>
      </c>
      <c r="H16012" s="16" t="n">
        <f aca="false">H16008+H16009+H16010-H16011</f>
        <v>-139.5574048</v>
      </c>
      <c r="I16012" s="16" t="n">
        <f aca="false">I16008+I16009+I16010-I16011</f>
        <v>-299.764809344</v>
      </c>
      <c r="J16012" s="16" t="n">
        <f aca="false">J16008+J16009+J16010-J16011</f>
        <v>-462.24043997056</v>
      </c>
      <c r="K16012" s="16" t="n">
        <f aca="false">K16008+K16009+K16010-K16011</f>
        <v>-623.884095058854</v>
      </c>
    </row>
    <row r="16013" customFormat="false" ht="15" hidden="false" customHeight="false" outlineLevel="0" collapsed="false">
      <c r="A16013" s="5" t="s">
        <v>305</v>
      </c>
      <c r="G16013" s="25" t="n">
        <f aca="false">G15941+G15954+G15967+G15980</f>
        <v>54.9088</v>
      </c>
      <c r="H16013" s="25" t="n">
        <f aca="false">H15941+H15954+H15967+H15980</f>
        <v>0</v>
      </c>
      <c r="I16013" s="25" t="n">
        <f aca="false">I15941+I15954+I15967+I15980</f>
        <v>0</v>
      </c>
      <c r="J16013" s="25" t="n">
        <f aca="false">J15941+J15954+J15967+J15980</f>
        <v>0</v>
      </c>
      <c r="K16013" s="25" t="n">
        <f aca="false">K15941+K15954+K15967+K15980</f>
        <v>0</v>
      </c>
    </row>
    <row r="16014" customFormat="false" ht="15" hidden="false" customHeight="false" outlineLevel="0" collapsed="false">
      <c r="A16014" s="2" t="s">
        <v>306</v>
      </c>
      <c r="G16014" s="16" t="n">
        <f aca="false">G16012+G16013</f>
        <v>0</v>
      </c>
      <c r="H16014" s="16" t="n">
        <f aca="false">H16012+H16013</f>
        <v>-139.5574048</v>
      </c>
      <c r="I16014" s="16" t="n">
        <f aca="false">I16012+I16013</f>
        <v>-299.764809344</v>
      </c>
      <c r="J16014" s="16" t="n">
        <f aca="false">J16012+J16013</f>
        <v>-462.24043997056</v>
      </c>
      <c r="K16014" s="16" t="n">
        <f aca="false">K16012+K16013</f>
        <v>-623.884095058854</v>
      </c>
    </row>
    <row r="16015" customFormat="false" ht="15" hidden="false" customHeight="false" outlineLevel="0" collapsed="false">
      <c r="A16015" s="5" t="s">
        <v>307</v>
      </c>
      <c r="G16015" s="25" t="n">
        <f aca="false">G15942+G15955+G15968+G15981</f>
        <v>0</v>
      </c>
      <c r="H16015" s="25" t="n">
        <f aca="false">H15942+H15955+H15968+H15981</f>
        <v>0</v>
      </c>
      <c r="I16015" s="25" t="n">
        <f aca="false">I15942+I15955+I15968+I15981</f>
        <v>0</v>
      </c>
      <c r="J16015" s="25" t="n">
        <f aca="false">J15942+J15955+J15968+J15981</f>
        <v>0</v>
      </c>
      <c r="K16015" s="25" t="n">
        <f aca="false">K15942+K15955+K15968+K15981</f>
        <v>0</v>
      </c>
    </row>
    <row r="16016" customFormat="false" ht="15" hidden="false" customHeight="false" outlineLevel="0" collapsed="false">
      <c r="A16016" s="2" t="s">
        <v>308</v>
      </c>
      <c r="G16016" s="16" t="n">
        <f aca="false">G16014-G16015</f>
        <v>0</v>
      </c>
      <c r="H16016" s="16" t="n">
        <f aca="false">H16014-H16015</f>
        <v>-139.5574048</v>
      </c>
      <c r="I16016" s="16" t="n">
        <f aca="false">I16014-I16015</f>
        <v>-299.764809344</v>
      </c>
      <c r="J16016" s="16" t="n">
        <f aca="false">J16014-J16015</f>
        <v>-462.24043997056</v>
      </c>
      <c r="K16016" s="16" t="n">
        <f aca="false">K16014-K16015</f>
        <v>-623.884095058854</v>
      </c>
    </row>
    <row r="16017" customFormat="false" ht="15" hidden="false" customHeight="false" outlineLevel="0" collapsed="false">
      <c r="A16017" s="5" t="s">
        <v>309</v>
      </c>
      <c r="G16017" s="25" t="n">
        <f aca="false">MAX(0,-G16016)</f>
        <v>-0</v>
      </c>
      <c r="H16017" s="25" t="n">
        <f aca="false">MAX(0,-H16016)</f>
        <v>139.5574048</v>
      </c>
      <c r="I16017" s="25" t="n">
        <f aca="false">MAX(0,-I16016)</f>
        <v>299.764809344</v>
      </c>
      <c r="J16017" s="25" t="n">
        <f aca="false">MAX(0,-J16016)</f>
        <v>462.24043997056</v>
      </c>
      <c r="K16017" s="25" t="n">
        <f aca="false">MAX(0,-K16016)</f>
        <v>623.884095058854</v>
      </c>
    </row>
    <row r="16018" customFormat="false" ht="15" hidden="false" customHeight="false" outlineLevel="0" collapsed="false">
      <c r="A16018" s="5" t="s">
        <v>310</v>
      </c>
      <c r="G16018" s="25" t="n">
        <f aca="false">MAX(0,G16016-Assumptions!$C$12)*Assumptions!$C$13</f>
        <v>0</v>
      </c>
      <c r="H16018" s="25" t="n">
        <f aca="false">MAX(0,H16016-Assumptions!$C$12)*Assumptions!$C$13</f>
        <v>0</v>
      </c>
      <c r="I16018" s="25" t="n">
        <f aca="false">MAX(0,I16016-Assumptions!$C$12)*Assumptions!$C$13</f>
        <v>0</v>
      </c>
      <c r="J16018" s="25" t="n">
        <f aca="false">MAX(0,J16016-Assumptions!$C$12)*Assumptions!$C$13</f>
        <v>0</v>
      </c>
      <c r="K16018" s="25" t="n">
        <f aca="false">MAX(0,K16016-Assumptions!$C$12)*Assumptions!$C$13</f>
        <v>0</v>
      </c>
    </row>
    <row r="16019" customFormat="false" ht="15" hidden="false" customHeight="false" outlineLevel="0" collapsed="false">
      <c r="A16019" s="5" t="s">
        <v>311</v>
      </c>
      <c r="G16019" s="25" t="n">
        <f aca="false">G15943+G15956+G15969+G15982</f>
        <v>0</v>
      </c>
      <c r="H16019" s="25" t="n">
        <f aca="false">H15943+H15956+H15969+H15982</f>
        <v>0</v>
      </c>
      <c r="I16019" s="25" t="n">
        <f aca="false">I15943+I15956+I15969+I15982</f>
        <v>0</v>
      </c>
      <c r="J16019" s="25" t="n">
        <f aca="false">J15943+J15956+J15969+J15982</f>
        <v>0</v>
      </c>
      <c r="K16019" s="25" t="n">
        <f aca="false">K15943+K15956+K15969+K15982</f>
        <v>0</v>
      </c>
    </row>
    <row r="16020" customFormat="false" ht="15" hidden="false" customHeight="false" outlineLevel="0" collapsed="false">
      <c r="A16020" s="2" t="s">
        <v>312</v>
      </c>
      <c r="F16020" s="27" t="n">
        <f aca="false">Assumptions!$C$11</f>
        <v>45</v>
      </c>
      <c r="G16020" s="16" t="n">
        <f aca="false">G16016-G16019</f>
        <v>0</v>
      </c>
      <c r="H16020" s="16" t="n">
        <f aca="false">H16016-H16019</f>
        <v>-139.5574048</v>
      </c>
      <c r="I16020" s="16" t="n">
        <f aca="false">I16016-I16019</f>
        <v>-299.764809344</v>
      </c>
      <c r="J16020" s="16" t="n">
        <f aca="false">J16016-J16019</f>
        <v>-462.24043997056</v>
      </c>
      <c r="K16020" s="16" t="n">
        <f aca="false">K16016-K16019</f>
        <v>-623.884095058854</v>
      </c>
    </row>
    <row r="16021" customFormat="false" ht="15" hidden="false" customHeight="false" outlineLevel="0" collapsed="false">
      <c r="A16021" s="5" t="s">
        <v>313</v>
      </c>
      <c r="G16021" s="25" t="n">
        <f aca="false">G15944+G15957+G15970+G15983</f>
        <v>0</v>
      </c>
      <c r="H16021" s="25" t="n">
        <f aca="false">H15944+H15957+H15970+H15983</f>
        <v>534.9088</v>
      </c>
      <c r="I16021" s="25" t="n">
        <f aca="false">I15944+I15957+I15970+I15983</f>
        <v>504.4</v>
      </c>
      <c r="J16021" s="25" t="n">
        <f aca="false">J15944+J15957+J15970+J15983</f>
        <v>250</v>
      </c>
      <c r="K16021" s="25" t="n">
        <f aca="false">K15944+K15957+K15970+K15983</f>
        <v>0</v>
      </c>
    </row>
    <row r="16022" customFormat="false" ht="15" hidden="false" customHeight="false" outlineLevel="0" collapsed="false">
      <c r="A16022" s="5" t="s">
        <v>314</v>
      </c>
      <c r="G16022" s="20" t="n">
        <f aca="false">IF(OR(G16017&gt;0.001,G16021&gt;0.001),1,0)</f>
        <v>0</v>
      </c>
      <c r="H16022" s="20" t="n">
        <f aca="false">IF(OR(H16017&gt;0.001,H16021&gt;0.001),1,0)</f>
        <v>1</v>
      </c>
      <c r="I16022" s="20" t="n">
        <f aca="false">IF(OR(I16017&gt;0.001,I16021&gt;0.001),1,0)</f>
        <v>1</v>
      </c>
      <c r="J16022" s="20" t="n">
        <f aca="false">IF(OR(J16017&gt;0.001,J16021&gt;0.001),1,0)</f>
        <v>1</v>
      </c>
      <c r="K16022" s="20" t="n">
        <f aca="false">IF(OR(K16017&gt;0.001,K16021&gt;0.001),1,0)</f>
        <v>1</v>
      </c>
    </row>
    <row r="16023" customFormat="false" ht="15" hidden="false" customHeight="false" outlineLevel="0" collapsed="false">
      <c r="A16023" s="5" t="s">
        <v>315</v>
      </c>
      <c r="G16023" s="20" t="n">
        <f aca="false">IF(G16022=1,1,0)</f>
        <v>0</v>
      </c>
      <c r="H16023" s="20" t="n">
        <f aca="false">IF(AND(H16022=1,SUM($G$16022:G16022)=0),1,0)</f>
        <v>1</v>
      </c>
      <c r="I16023" s="20" t="n">
        <f aca="false">IF(AND(I16022=1,SUM($G$16022:H16022)=0),1,0)</f>
        <v>0</v>
      </c>
      <c r="J16023" s="20" t="n">
        <f aca="false">IF(AND(J16022=1,SUM($G$16022:I16022)=0),1,0)</f>
        <v>0</v>
      </c>
      <c r="K16023" s="20" t="n">
        <f aca="false">IF(AND(K16022=1,SUM($G$16022:J16022)=0),1,0)</f>
        <v>0</v>
      </c>
    </row>
    <row r="16024" customFormat="false" ht="15" hidden="false" customHeight="false" outlineLevel="0" collapsed="false">
      <c r="A16024" s="5" t="s">
        <v>316</v>
      </c>
      <c r="G16024" s="25" t="n">
        <f aca="false">(G15986-F15986)-(G16013+G15913-G16011-G16015-G16019)</f>
        <v>0</v>
      </c>
      <c r="H16024" s="25" t="n">
        <f aca="false">(H15986-G15986)-(H16013+H15913-H16011-H16015-H16019)</f>
        <v>1.82076576038526E-013</v>
      </c>
      <c r="I16024" s="25" t="n">
        <f aca="false">(I15986-H15986)-(I16013+I15913-I16011-I16015-I16019)</f>
        <v>-4.52970994047064E-014</v>
      </c>
      <c r="J16024" s="25" t="n">
        <f aca="false">(J15986-I15986)-(J16013+J15913-J16011-J16015-J16019)</f>
        <v>-4.52970994047064E-014</v>
      </c>
      <c r="K16024" s="25" t="n">
        <f aca="false">(K15986-J15986)-(K16013+K15913-K16011-K16015-K16019)</f>
        <v>1.82076576038526E-013</v>
      </c>
    </row>
    <row r="16026" customFormat="false" ht="15" hidden="false" customHeight="false" outlineLevel="0" collapsed="false">
      <c r="A16026" s="23" t="s">
        <v>318</v>
      </c>
      <c r="B16026" s="24"/>
      <c r="C16026" s="24"/>
      <c r="D16026" s="24"/>
      <c r="E16026" s="24"/>
      <c r="F16026" s="24"/>
      <c r="G16026" s="24"/>
      <c r="H16026" s="24"/>
      <c r="I16026" s="24"/>
      <c r="J16026" s="24"/>
      <c r="K16026" s="24"/>
    </row>
    <row r="16027" customFormat="false" ht="15" hidden="false" customHeight="false" outlineLevel="0" collapsed="false">
      <c r="A16027" s="5" t="s">
        <v>319</v>
      </c>
      <c r="G16027" s="25" t="n">
        <f aca="false">G15986</f>
        <v>1299.7088</v>
      </c>
      <c r="H16027" s="25" t="n">
        <f aca="false">H15986</f>
        <v>1294.5088</v>
      </c>
      <c r="I16027" s="25" t="n">
        <f aca="false">I15986</f>
        <v>1289.3088</v>
      </c>
      <c r="J16027" s="25" t="n">
        <f aca="false">J15986</f>
        <v>1284.1088</v>
      </c>
      <c r="K16027" s="25" t="n">
        <f aca="false">K15986</f>
        <v>1278.9088</v>
      </c>
    </row>
    <row r="16028" customFormat="false" ht="15" hidden="false" customHeight="false" outlineLevel="0" collapsed="false">
      <c r="A16028" s="5" t="s">
        <v>320</v>
      </c>
      <c r="G16028" s="25" t="n">
        <f aca="false">Assumptions!$O$53*G15945+Assumptions!$O$54*G15958+Assumptions!$O$55*G15971+Assumptions!$O$56*G15984</f>
        <v>999.7088</v>
      </c>
      <c r="H16028" s="25" t="n">
        <f aca="false">Assumptions!$O$53*H15945+Assumptions!$O$54*H15958+Assumptions!$O$55*H15971+Assumptions!$O$56*H15984</f>
        <v>994.5088</v>
      </c>
      <c r="I16028" s="25" t="n">
        <f aca="false">Assumptions!$O$53*I15945+Assumptions!$O$54*I15958+Assumptions!$O$55*I15971+Assumptions!$O$56*I15984</f>
        <v>989.3088</v>
      </c>
      <c r="J16028" s="25" t="n">
        <f aca="false">Assumptions!$O$53*J15945+Assumptions!$O$54*J15958+Assumptions!$O$55*J15971+Assumptions!$O$56*J15984</f>
        <v>984.1088</v>
      </c>
      <c r="K16028" s="25" t="n">
        <f aca="false">Assumptions!$O$53*K15945+Assumptions!$O$54*K15958+Assumptions!$O$55*K15971+Assumptions!$O$56*K15984</f>
        <v>978.9088</v>
      </c>
    </row>
    <row r="16029" customFormat="false" ht="15" hidden="false" customHeight="false" outlineLevel="0" collapsed="false">
      <c r="A16029" s="5" t="s">
        <v>321</v>
      </c>
      <c r="G16029" s="25" t="n">
        <f aca="false">G16027-G16020</f>
        <v>1299.7088</v>
      </c>
      <c r="H16029" s="25" t="n">
        <f aca="false">H16027-H16020</f>
        <v>1434.0662048</v>
      </c>
      <c r="I16029" s="25" t="n">
        <f aca="false">I16027-I16020</f>
        <v>1589.073609344</v>
      </c>
      <c r="J16029" s="25" t="n">
        <f aca="false">J16027-J16020</f>
        <v>1746.34923997056</v>
      </c>
      <c r="K16029" s="25" t="n">
        <f aca="false">K16027-K16020</f>
        <v>1902.79289505885</v>
      </c>
    </row>
    <row r="16030" customFormat="false" ht="15" hidden="false" customHeight="false" outlineLevel="0" collapsed="false">
      <c r="A16030" s="5" t="s">
        <v>322</v>
      </c>
      <c r="G16030" s="31" t="n">
        <f aca="false">IF(G15908&gt;0,G16027/G15908,0)</f>
        <v>70.6978241949521</v>
      </c>
      <c r="H16030" s="31" t="n">
        <f aca="false">IF(H15908&gt;0,H16027/H15908,0)</f>
        <v>80.9367465962406</v>
      </c>
      <c r="I16030" s="31" t="n">
        <f aca="false">IF(I15908&gt;0,I16027/I15908,0)</f>
        <v>82.763476695823</v>
      </c>
      <c r="J16030" s="31" t="n">
        <f aca="false">IF(J15908&gt;0,J16027/J15908,0)</f>
        <v>83.2623006318033</v>
      </c>
      <c r="K16030" s="31" t="n">
        <f aca="false">IF(K15908&gt;0,K16027/K15908,0)</f>
        <v>83.762757427964</v>
      </c>
    </row>
    <row r="16031" customFormat="false" ht="15" hidden="false" customHeight="false" outlineLevel="0" collapsed="false">
      <c r="A16031" s="5" t="s">
        <v>323</v>
      </c>
      <c r="G16031" s="31" t="n">
        <f aca="false">IF(G15908&gt;0,G16029/G15908,0)</f>
        <v>70.6978241949521</v>
      </c>
      <c r="H16031" s="31" t="n">
        <f aca="false">IF(H15908&gt;0,H16029/H15908,0)</f>
        <v>89.6623128557566</v>
      </c>
      <c r="I16031" s="31" t="n">
        <f aca="false">IF(I15908&gt;0,I16029/I15908,0)</f>
        <v>102.006017980246</v>
      </c>
      <c r="J16031" s="31" t="n">
        <f aca="false">IF(J15908&gt;0,J16029/J15908,0)</f>
        <v>113.234217713133</v>
      </c>
      <c r="K16031" s="31" t="n">
        <f aca="false">IF(K15908&gt;0,K16029/K15908,0)</f>
        <v>124.624351403687</v>
      </c>
    </row>
    <row r="16032" customFormat="false" ht="15" hidden="false" customHeight="false" outlineLevel="0" collapsed="false">
      <c r="A16032" s="5" t="s">
        <v>324</v>
      </c>
      <c r="G16032" s="31" t="n">
        <f aca="false">IF(G15912&gt;0,G15908/G15912,0)</f>
        <v>0.13127677806341</v>
      </c>
      <c r="H16032" s="31" t="n">
        <f aca="false">IF(H15912&gt;0,H15908/H15912,0)</f>
        <v>0.111190805103385</v>
      </c>
      <c r="I16032" s="31" t="n">
        <f aca="false">IF(I15912&gt;0,I15908/I15912,0)</f>
        <v>0.11024648666467</v>
      </c>
      <c r="J16032" s="31" t="n">
        <f aca="false">IF(J15912&gt;0,J15908/J15912,0)</f>
        <v>0.109660569397092</v>
      </c>
      <c r="K16032" s="31" t="n">
        <f aca="false">IF(K15912&gt;0,K15908/K15912,0)</f>
        <v>0.109080209295775</v>
      </c>
    </row>
    <row r="16033" customFormat="false" ht="15" hidden="false" customHeight="false" outlineLevel="0" collapsed="false">
      <c r="A16033" s="5" t="s">
        <v>325</v>
      </c>
      <c r="G16033" s="31" t="n">
        <f aca="false">IF(G15912&gt;0,G15911/G15912,0)</f>
        <v>-0.157532133676093</v>
      </c>
      <c r="H16033" s="31" t="n">
        <f aca="false">IF(H15912&gt;0,H15911/H15912,0)</f>
        <v>-0.133428966124062</v>
      </c>
      <c r="I16033" s="31" t="n">
        <f aca="false">IF(I15912&gt;0,I15911/I15912,0)</f>
        <v>-0.132295783997604</v>
      </c>
      <c r="J16033" s="31" t="n">
        <f aca="false">IF(J15912&gt;0,J15911/J15912,0)</f>
        <v>-0.131592683276511</v>
      </c>
      <c r="K16033" s="31" t="n">
        <f aca="false">IF(K15912&gt;0,K15911/K15912,0)</f>
        <v>-0.13089625115493</v>
      </c>
    </row>
    <row r="16034" customFormat="false" ht="15" hidden="false" customHeight="false" outlineLevel="0" collapsed="false">
      <c r="A16034" s="5" t="s">
        <v>182</v>
      </c>
      <c r="G16034" s="21" t="n">
        <f aca="false">IF(G16027&gt;0,G15921/G16027,0)</f>
        <v>-0.0728692457879796</v>
      </c>
      <c r="H16034" s="21" t="n">
        <f aca="false">IF(H16027&gt;0,H15921/H16027,0)</f>
        <v>-0.103790259903988</v>
      </c>
      <c r="I16034" s="21" t="n">
        <f aca="false">IF(I16027&gt;0,I15921/I16027,0)</f>
        <v>-0.120225197054422</v>
      </c>
      <c r="J16034" s="21" t="n">
        <f aca="false">IF(J16027&gt;0,J15921/J16027,0)</f>
        <v>-0.122478430664567</v>
      </c>
      <c r="K16034" s="21" t="n">
        <f aca="false">IF(K16027&gt;0,K15921/K16027,0)</f>
        <v>-0.122325888357555</v>
      </c>
    </row>
    <row r="16035" customFormat="false" ht="15" hidden="false" customHeight="false" outlineLevel="0" collapsed="false">
      <c r="A16035" s="5" t="s">
        <v>326</v>
      </c>
      <c r="G16035" s="31" t="n">
        <f aca="false">IF(G15912+G16011&gt;0,(G15908-G15919-G15916)/(G15912+G16011),0)</f>
        <v>-0.0759460203800606</v>
      </c>
      <c r="H16035" s="31" t="n">
        <f aca="false">IF(H15912+H16011&gt;0,(H15908-H15919-H15916)/(H15912+H16011),0)</f>
        <v>-0.0643868726775781</v>
      </c>
      <c r="I16035" s="31" t="n">
        <f aca="false">IF(I15912+I16011&gt;0,(I15908-I15919-I15916)/(I15912+I16011),0)</f>
        <v>-0.0638000393994207</v>
      </c>
      <c r="J16035" s="31" t="n">
        <f aca="false">IF(J15912+J16011&gt;0,(J15908-J15919-J15916)/(J15912+J16011),0)</f>
        <v>-0.0634503083935347</v>
      </c>
      <c r="K16035" s="31" t="n">
        <f aca="false">IF(K15912+K16011&gt;0,(K15908-K15919-K15916)/(K15912+K16011),0)</f>
        <v>-0.0631038089376677</v>
      </c>
    </row>
    <row r="16036" customFormat="false" ht="15" hidden="false" customHeight="false" outlineLevel="0" collapsed="false">
      <c r="A16036" s="5" t="s">
        <v>327</v>
      </c>
      <c r="G16036" s="25" t="n">
        <f aca="false">MAX(0,G16020)+Assumptions!$P$53*MAX(0,Assumptions!$D$53-G15945)+Assumptions!$P$54*MAX(0,Assumptions!$D$54-G15958)+Assumptions!$P$55*MAX(0,Assumptions!$D$55-G15971)+Assumptions!$P$56*MAX(0,Assumptions!$D$56-G15984)</f>
        <v>65.0912</v>
      </c>
      <c r="H16036" s="25" t="n">
        <f aca="false">MAX(0,H16020)+Assumptions!$P$53*MAX(0,Assumptions!$D$53-H15945)+Assumptions!$P$54*MAX(0,Assumptions!$D$54-H15958)+Assumptions!$P$55*MAX(0,Assumptions!$D$55-H15971)+Assumptions!$P$56*MAX(0,Assumptions!$D$56-H15984)</f>
        <v>65.0912</v>
      </c>
      <c r="I16036" s="25" t="n">
        <f aca="false">MAX(0,I16020)+Assumptions!$P$53*MAX(0,Assumptions!$D$53-I15945)+Assumptions!$P$54*MAX(0,Assumptions!$D$54-I15958)+Assumptions!$P$55*MAX(0,Assumptions!$D$55-I15971)+Assumptions!$P$56*MAX(0,Assumptions!$D$56-I15984)</f>
        <v>65.0912</v>
      </c>
      <c r="J16036" s="25" t="n">
        <f aca="false">MAX(0,J16020)+Assumptions!$P$53*MAX(0,Assumptions!$D$53-J15945)+Assumptions!$P$54*MAX(0,Assumptions!$D$54-J15958)+Assumptions!$P$55*MAX(0,Assumptions!$D$55-J15971)+Assumptions!$P$56*MAX(0,Assumptions!$D$56-J15984)</f>
        <v>65.0912</v>
      </c>
      <c r="K16036" s="25" t="n">
        <f aca="false">MAX(0,K16020)+Assumptions!$P$53*MAX(0,Assumptions!$D$53-K15945)+Assumptions!$P$54*MAX(0,Assumptions!$D$54-K15958)+Assumptions!$P$55*MAX(0,Assumptions!$D$55-K15971)+Assumptions!$P$56*MAX(0,Assumptions!$D$56-K15984)</f>
        <v>65.0912</v>
      </c>
    </row>
    <row r="16037" customFormat="false" ht="15" hidden="false" customHeight="false" outlineLevel="0" collapsed="false">
      <c r="A16037" s="5" t="s">
        <v>328</v>
      </c>
      <c r="G16037" s="21" t="n">
        <f aca="false">IF(G16027&gt;0,G16027/(G16027+MAX(0,G15908*CHOOSE($C$15891,Assumptions!$C$76,Assumptions!$C$95,Assumptions!$C$114)-G16029)),0)</f>
        <v>1</v>
      </c>
      <c r="H16037" s="21" t="n">
        <f aca="false">IF(H16027&gt;0,H16027/(H16027+MAX(0,H15908*CHOOSE($C$15891,Assumptions!$C$76,Assumptions!$C$95,Assumptions!$C$114)-H16029)),0)</f>
        <v>1</v>
      </c>
      <c r="I16037" s="21" t="n">
        <f aca="false">IF(I16027&gt;0,I16027/(I16027+MAX(0,I15908*CHOOSE($C$15891,Assumptions!$C$76,Assumptions!$C$95,Assumptions!$C$114)-I16029)),0)</f>
        <v>1</v>
      </c>
      <c r="J16037" s="21" t="n">
        <f aca="false">IF(J16027&gt;0,J16027/(J16027+MAX(0,J15908*CHOOSE($C$15891,Assumptions!$C$76,Assumptions!$C$95,Assumptions!$C$114)-J16029)),0)</f>
        <v>1</v>
      </c>
      <c r="K16037" s="21" t="n">
        <f aca="false">IF(K16027&gt;0,K16027/(K16027+MAX(0,K15908*CHOOSE($C$15891,Assumptions!$C$76,Assumptions!$C$95,Assumptions!$C$114)-K16029)),0)</f>
        <v>1</v>
      </c>
    </row>
    <row r="16038" customFormat="false" ht="15" hidden="false" customHeight="false" outlineLevel="0" collapsed="false">
      <c r="A16038" s="5" t="s">
        <v>329</v>
      </c>
      <c r="G16038" s="21" t="n">
        <f aca="false">IF(G16027&gt;0,MAX(0,G16020)/G16027,0)</f>
        <v>0</v>
      </c>
      <c r="H16038" s="21" t="n">
        <f aca="false">IF(H16027&gt;0,MAX(0,H16020)/H16027,0)</f>
        <v>0</v>
      </c>
      <c r="I16038" s="21" t="n">
        <f aca="false">IF(I16027&gt;0,MAX(0,I16020)/I16027,0)</f>
        <v>0</v>
      </c>
      <c r="J16038" s="21" t="n">
        <f aca="false">IF(J16027&gt;0,MAX(0,J16020)/J16027,0)</f>
        <v>0</v>
      </c>
      <c r="K16038" s="21" t="n">
        <f aca="false">IF(K16027&gt;0,MAX(0,K16020)/K16027,0)</f>
        <v>0</v>
      </c>
    </row>
    <row r="16039" customFormat="false" ht="15" hidden="false" customHeight="false" outlineLevel="0" collapsed="false">
      <c r="A16039" s="5" t="s">
        <v>330</v>
      </c>
      <c r="G16039" s="25" t="n">
        <f aca="false">Assumptions!$C$27*(1-CHOOSE($C$15891,Assumptions!$C$79,Assumptions!$C$98,Assumptions!$C$117))</f>
        <v>676</v>
      </c>
      <c r="H16039" s="25" t="n">
        <f aca="false">Assumptions!$C$27*(1-CHOOSE($C$15891,Assumptions!$C$79,Assumptions!$C$98,Assumptions!$C$117))</f>
        <v>676</v>
      </c>
      <c r="I16039" s="25" t="n">
        <f aca="false">Assumptions!$C$27*(1-CHOOSE($C$15891,Assumptions!$C$79,Assumptions!$C$98,Assumptions!$C$117))</f>
        <v>676</v>
      </c>
      <c r="J16039" s="25" t="n">
        <f aca="false">Assumptions!$C$27*(1-CHOOSE($C$15891,Assumptions!$C$79,Assumptions!$C$98,Assumptions!$C$117))</f>
        <v>676</v>
      </c>
      <c r="K16039" s="25" t="n">
        <f aca="false">Assumptions!$C$27*(1-CHOOSE($C$15891,Assumptions!$C$79,Assumptions!$C$98,Assumptions!$C$117))</f>
        <v>676</v>
      </c>
    </row>
    <row r="16040" customFormat="false" ht="15" hidden="false" customHeight="false" outlineLevel="0" collapsed="false">
      <c r="A16040" s="23" t="s">
        <v>331</v>
      </c>
      <c r="B16040" s="24"/>
      <c r="C16040" s="24"/>
      <c r="D16040" s="24"/>
      <c r="E16040" s="24"/>
      <c r="F16040" s="24"/>
      <c r="G16040" s="24"/>
      <c r="H16040" s="24"/>
      <c r="I16040" s="24"/>
      <c r="J16040" s="24"/>
      <c r="K16040" s="24"/>
    </row>
    <row r="16041" customFormat="false" ht="15" hidden="false" customHeight="false" outlineLevel="0" collapsed="false">
      <c r="A16041" s="23" t="s">
        <v>332</v>
      </c>
      <c r="B16041" s="24"/>
      <c r="C16041" s="24"/>
      <c r="D16041" s="24"/>
      <c r="E16041" s="24"/>
      <c r="F16041" s="24"/>
      <c r="G16041" s="24"/>
      <c r="H16041" s="24"/>
      <c r="I16041" s="24"/>
      <c r="J16041" s="24"/>
      <c r="K16041" s="24"/>
    </row>
    <row r="16042" customFormat="false" ht="15" hidden="false" customHeight="false" outlineLevel="0" collapsed="false">
      <c r="A16042" s="5" t="s">
        <v>333</v>
      </c>
      <c r="G16042" s="31" t="n">
        <f aca="false">IF(G15908&gt;0,G16029/G15908,99)</f>
        <v>70.6978241949521</v>
      </c>
      <c r="H16042" s="31" t="n">
        <f aca="false">IF(H15908&gt;0,H16029/H15908,99)</f>
        <v>89.6623128557566</v>
      </c>
      <c r="I16042" s="31" t="n">
        <f aca="false">IF(I15908&gt;0,I16029/I15908,99)</f>
        <v>102.006017980246</v>
      </c>
      <c r="J16042" s="31" t="n">
        <f aca="false">IF(J15908&gt;0,J16029/J15908,99)</f>
        <v>113.234217713133</v>
      </c>
      <c r="K16042" s="31" t="n">
        <f aca="false">IF(K15908&gt;0,K16029/K15908,99)</f>
        <v>124.624351403687</v>
      </c>
    </row>
    <row r="16043" customFormat="false" ht="15" hidden="false" customHeight="false" outlineLevel="0" collapsed="false">
      <c r="A16043" s="5" t="s">
        <v>334</v>
      </c>
      <c r="G16043" s="32" t="n">
        <f aca="false">Assumptions!$G$61</f>
        <v>8.5</v>
      </c>
      <c r="H16043" s="32" t="n">
        <f aca="false">Assumptions!$H$61</f>
        <v>8.5</v>
      </c>
      <c r="I16043" s="32" t="n">
        <f aca="false">Assumptions!$I$61</f>
        <v>8.5</v>
      </c>
      <c r="J16043" s="32" t="n">
        <f aca="false">Assumptions!$J$61</f>
        <v>8.5</v>
      </c>
      <c r="K16043" s="32" t="n">
        <f aca="false">Assumptions!$K$61</f>
        <v>8.5</v>
      </c>
    </row>
    <row r="16044" customFormat="false" ht="15" hidden="false" customHeight="false" outlineLevel="0" collapsed="false">
      <c r="A16044" s="5" t="s">
        <v>335</v>
      </c>
      <c r="G16044" s="31" t="n">
        <f aca="false">G16043-G16042</f>
        <v>-62.1978241949521</v>
      </c>
      <c r="H16044" s="31" t="n">
        <f aca="false">H16043-H16042</f>
        <v>-81.1623128557566</v>
      </c>
      <c r="I16044" s="31" t="n">
        <f aca="false">I16043-I16042</f>
        <v>-93.5060179802461</v>
      </c>
      <c r="J16044" s="31" t="n">
        <f aca="false">J16043-J16042</f>
        <v>-104.734217713133</v>
      </c>
      <c r="K16044" s="31" t="n">
        <f aca="false">K16043-K16042</f>
        <v>-116.124351403687</v>
      </c>
    </row>
    <row r="16045" customFormat="false" ht="15" hidden="false" customHeight="false" outlineLevel="0" collapsed="false">
      <c r="A16045" s="5" t="s">
        <v>336</v>
      </c>
      <c r="G16045" s="21" t="n">
        <f aca="false">IF(G16043=0,0,G16044/ABS(G16043))</f>
        <v>-7.31739108175907</v>
      </c>
      <c r="H16045" s="21" t="n">
        <f aca="false">IF(H16043=0,0,H16044/ABS(H16043))</f>
        <v>-9.5485073947949</v>
      </c>
      <c r="I16045" s="21" t="n">
        <f aca="false">IF(I16043=0,0,I16044/ABS(I16043))</f>
        <v>-11.000707997676</v>
      </c>
      <c r="J16045" s="21" t="n">
        <f aca="false">IF(J16043=0,0,J16044/ABS(J16043))</f>
        <v>-12.3216726721333</v>
      </c>
      <c r="K16045" s="21" t="n">
        <f aca="false">IF(K16043=0,0,K16044/ABS(K16043))</f>
        <v>-13.6616884004338</v>
      </c>
    </row>
    <row r="16046" customFormat="false" ht="15" hidden="false" customHeight="false" outlineLevel="0" collapsed="false">
      <c r="A16046" s="5" t="s">
        <v>337</v>
      </c>
      <c r="G16046" s="20" t="n">
        <f aca="false">IF(G16044&lt;0,1,0)</f>
        <v>1</v>
      </c>
      <c r="H16046" s="20" t="n">
        <f aca="false">IF(H16044&lt;0,1,0)</f>
        <v>1</v>
      </c>
      <c r="I16046" s="20" t="n">
        <f aca="false">IF(I16044&lt;0,1,0)</f>
        <v>1</v>
      </c>
      <c r="J16046" s="20" t="n">
        <f aca="false">IF(J16044&lt;0,1,0)</f>
        <v>1</v>
      </c>
      <c r="K16046" s="20" t="n">
        <f aca="false">IF(K16044&lt;0,1,0)</f>
        <v>1</v>
      </c>
    </row>
    <row r="16047" customFormat="false" ht="15" hidden="false" customHeight="false" outlineLevel="0" collapsed="false">
      <c r="A16047" s="5" t="s">
        <v>338</v>
      </c>
      <c r="C16047" s="20" t="n">
        <f aca="false">IFERROR(INDEX($G$15898:$K$15898,MATCH(1,$G$16046:$K$16046,0)),0)</f>
        <v>2026</v>
      </c>
    </row>
    <row r="16048" customFormat="false" ht="15" hidden="false" customHeight="false" outlineLevel="0" collapsed="false">
      <c r="A16048" s="5" t="s">
        <v>339</v>
      </c>
      <c r="C16048" s="21" t="n">
        <f aca="false">MIN($G$16045:$K$16045)</f>
        <v>-13.6616884004338</v>
      </c>
    </row>
    <row r="16049" customFormat="false" ht="15" hidden="false" customHeight="false" outlineLevel="0" collapsed="false">
      <c r="A16049" s="5" t="s">
        <v>340</v>
      </c>
      <c r="G16049" s="20" t="n">
        <f aca="false">G16046</f>
        <v>1</v>
      </c>
      <c r="H16049" s="20" t="n">
        <f aca="false">H16046</f>
        <v>1</v>
      </c>
      <c r="I16049" s="20" t="n">
        <f aca="false">I16046</f>
        <v>1</v>
      </c>
      <c r="J16049" s="20" t="n">
        <f aca="false">J16046</f>
        <v>1</v>
      </c>
      <c r="K16049" s="20" t="n">
        <f aca="false">K16046</f>
        <v>1</v>
      </c>
    </row>
    <row r="16050" customFormat="false" ht="15" hidden="false" customHeight="false" outlineLevel="0" collapsed="false">
      <c r="A16050" s="5" t="s">
        <v>341</v>
      </c>
      <c r="C16050" s="20" t="n">
        <f aca="false">SUM($G$16049:$K$16049)</f>
        <v>5</v>
      </c>
    </row>
    <row r="16051" customFormat="false" ht="15" hidden="false" customHeight="false" outlineLevel="0" collapsed="false">
      <c r="A16051" s="5" t="s">
        <v>342</v>
      </c>
      <c r="C16051" s="21" t="n">
        <f aca="false">MIN(C16048)</f>
        <v>-13.6616884004338</v>
      </c>
    </row>
    <row r="16053" customFormat="false" ht="15" hidden="false" customHeight="false" outlineLevel="0" collapsed="false">
      <c r="A16053" s="23" t="s">
        <v>444</v>
      </c>
      <c r="B16053" s="24"/>
      <c r="C16053" s="24"/>
      <c r="D16053" s="24"/>
      <c r="E16053" s="24"/>
      <c r="F16053" s="24"/>
      <c r="G16053" s="24"/>
      <c r="H16053" s="24"/>
      <c r="I16053" s="24"/>
      <c r="J16053" s="24"/>
      <c r="K16053" s="24"/>
    </row>
    <row r="16054" customFormat="false" ht="15" hidden="false" customHeight="false" outlineLevel="0" collapsed="false">
      <c r="A16054" s="5" t="s">
        <v>445</v>
      </c>
      <c r="G16054" s="20" t="n">
        <f aca="false">IF($C$16055=1,G16023,IF(G15908=MIN($G$15908:$K$15908),1,0))</f>
        <v>0</v>
      </c>
      <c r="H16054" s="20" t="n">
        <f aca="false">IF($C$16055=1,H16023,IF(AND(H15908=MIN($G$15908:$K$15908),SUM($G$16054:G16054)=0),1,0))</f>
        <v>1</v>
      </c>
      <c r="I16054" s="20" t="n">
        <f aca="false">IF($C$16055=1,I16023,IF(AND(I15908=MIN($G$15908:$K$15908),SUM($G$16054:H16054)=0),1,0))</f>
        <v>0</v>
      </c>
      <c r="J16054" s="20" t="n">
        <f aca="false">IF($C$16055=1,J16023,IF(AND(J15908=MIN($G$15908:$K$15908),SUM($G$16054:I16054)=0),1,0))</f>
        <v>0</v>
      </c>
      <c r="K16054" s="20" t="n">
        <f aca="false">IF($C$16055=1,K16023,IF(AND(K15908=MIN($G$15908:$K$15908),SUM($G$16054:J16054)=0),1,0))</f>
        <v>0</v>
      </c>
    </row>
    <row r="16055" customFormat="false" ht="15" hidden="false" customHeight="false" outlineLevel="0" collapsed="false">
      <c r="A16055" s="5" t="s">
        <v>446</v>
      </c>
      <c r="C16055" s="20" t="n">
        <f aca="false">IF(SUM($G$16023:$K$16023)&gt;0,1,0)</f>
        <v>1</v>
      </c>
    </row>
    <row r="16056" customFormat="false" ht="15" hidden="false" customHeight="false" outlineLevel="0" collapsed="false">
      <c r="A16056" s="5" t="s">
        <v>447</v>
      </c>
      <c r="C16056" s="20" t="n">
        <f aca="false">SUMPRODUCT($G$16054:$K$16054,$G$15898:$K$15898)</f>
        <v>2027</v>
      </c>
    </row>
    <row r="16057" customFormat="false" ht="15" hidden="false" customHeight="false" outlineLevel="0" collapsed="false">
      <c r="A16057" s="5" t="s">
        <v>448</v>
      </c>
      <c r="C16057" s="25" t="n">
        <f aca="false">SUMPRODUCT($G$16054:$K$16054,$G$15908:$K$15908)</f>
        <v>15.99408</v>
      </c>
    </row>
    <row r="16058" customFormat="false" ht="15" hidden="false" customHeight="false" outlineLevel="0" collapsed="false">
      <c r="A16058" s="5" t="s">
        <v>449</v>
      </c>
      <c r="C16058" s="25" t="n">
        <f aca="false">MAX(0,SUMPRODUCT($G$16054:$K$16054,$G$16020:$K$16020))</f>
        <v>0</v>
      </c>
    </row>
    <row r="16059" customFormat="false" ht="15" hidden="false" customHeight="false" outlineLevel="0" collapsed="false">
      <c r="A16059" s="5" t="s">
        <v>450</v>
      </c>
      <c r="C16059" s="25" t="n">
        <f aca="false">(CHOOSE($C$15891,Assumptions!$C$78,Assumptions!$C$97,Assumptions!$C$116)+$C$15895)*C16057</f>
        <v>63.97632</v>
      </c>
    </row>
    <row r="16060" customFormat="false" ht="15" hidden="false" customHeight="false" outlineLevel="0" collapsed="false">
      <c r="A16060" s="5" t="s">
        <v>451</v>
      </c>
      <c r="C16060" s="25" t="n">
        <f aca="false">Assumptions!$C$27*(1-CHOOSE($C$15891,Assumptions!$C$79,Assumptions!$C$98,Assumptions!$C$117))*CHOOSE($C$15891,Assumptions!$C$80,Assumptions!$C$99,Assumptions!$C$118)</f>
        <v>405.6</v>
      </c>
    </row>
    <row r="16061" customFormat="false" ht="15" hidden="false" customHeight="false" outlineLevel="0" collapsed="false">
      <c r="A16061" s="5" t="s">
        <v>452</v>
      </c>
      <c r="C16061" s="25" t="n">
        <f aca="false">MAX(C16059,C16060)+C16058</f>
        <v>405.6</v>
      </c>
    </row>
    <row r="16062" customFormat="false" ht="15" hidden="false" customHeight="false" outlineLevel="0" collapsed="false">
      <c r="A16062" s="2" t="s">
        <v>453</v>
      </c>
      <c r="C16062" s="16" t="n">
        <f aca="false">IF(ISNUMBER(Assumptions!$C$14),Assumptions!$C$14,C16061)</f>
        <v>405.6</v>
      </c>
    </row>
    <row r="16063" customFormat="false" ht="15" hidden="false" customHeight="false" outlineLevel="0" collapsed="false">
      <c r="A16063" s="5" t="s">
        <v>454</v>
      </c>
      <c r="C16063" s="25" t="n">
        <f aca="false">C16062*Assumptions!$C$15</f>
        <v>16.224</v>
      </c>
    </row>
    <row r="16064" customFormat="false" ht="15" hidden="false" customHeight="false" outlineLevel="0" collapsed="false">
      <c r="A16064" s="2" t="s">
        <v>455</v>
      </c>
      <c r="C16064" s="16" t="n">
        <f aca="false">C16062-C16063</f>
        <v>389.376</v>
      </c>
    </row>
    <row r="16065" customFormat="false" ht="15" hidden="false" customHeight="false" outlineLevel="0" collapsed="false">
      <c r="A16065" s="23" t="s">
        <v>456</v>
      </c>
      <c r="B16065" s="24"/>
      <c r="C16065" s="24"/>
      <c r="D16065" s="24"/>
      <c r="E16065" s="24"/>
      <c r="F16065" s="24"/>
      <c r="G16065" s="24"/>
      <c r="H16065" s="24"/>
      <c r="I16065" s="24"/>
      <c r="J16065" s="24"/>
      <c r="K16065" s="24"/>
    </row>
    <row r="16066" customFormat="false" ht="15" hidden="false" customHeight="false" outlineLevel="0" collapsed="false">
      <c r="A16066" s="5" t="s">
        <v>457</v>
      </c>
      <c r="C16066" s="25" t="n">
        <f aca="false">SUMPRODUCT($G$16054:$K$16054,$G$15945:$K$15945)*(1+SUMPRODUCT($G$16054:$K$16054,$G$15937:$K$15937)*Assumptions!$C$16/12)</f>
        <v>241.5743372</v>
      </c>
    </row>
    <row r="16067" customFormat="false" ht="15" hidden="false" customHeight="false" outlineLevel="0" collapsed="false">
      <c r="A16067" s="5" t="s">
        <v>458</v>
      </c>
      <c r="C16067" s="25" t="n">
        <f aca="false">SUMPRODUCT($G$16054:$K$16054,$G$15958:$K$15958)*(1+SUMPRODUCT($G$16054:$K$16054,$G$15950:$K$15950)*Assumptions!$C$16/12)</f>
        <v>526.2257</v>
      </c>
    </row>
    <row r="16068" customFormat="false" ht="15" hidden="false" customHeight="false" outlineLevel="0" collapsed="false">
      <c r="A16068" s="5" t="s">
        <v>459</v>
      </c>
      <c r="C16068" s="25" t="n">
        <f aca="false">SUMPRODUCT($G$16054:$K$16054,$G$15971:$K$15971)*(1+SUMPRODUCT($G$16054:$K$16054,$G$15963:$K$15963)*Assumptions!$C$16/12)</f>
        <v>256.875</v>
      </c>
    </row>
    <row r="16069" customFormat="false" ht="15" hidden="false" customHeight="false" outlineLevel="0" collapsed="false">
      <c r="A16069" s="5" t="s">
        <v>460</v>
      </c>
      <c r="C16069" s="25" t="n">
        <f aca="false">SUMPRODUCT($G$16054:$K$16054,$G$15984:$K$15984)*(1+SUMPRODUCT($G$16054:$K$16054,$G$15976:$K$15976)*Assumptions!$C$16/12)</f>
        <v>305.625</v>
      </c>
    </row>
    <row r="16070" customFormat="false" ht="15" hidden="false" customHeight="false" outlineLevel="0" collapsed="false">
      <c r="A16070" s="23" t="s">
        <v>461</v>
      </c>
      <c r="B16070" s="24"/>
      <c r="C16070" s="24"/>
      <c r="D16070" s="24"/>
      <c r="E16070" s="24"/>
      <c r="F16070" s="24"/>
      <c r="G16070" s="24"/>
      <c r="H16070" s="24"/>
      <c r="I16070" s="24"/>
      <c r="J16070" s="24"/>
      <c r="K16070" s="24"/>
    </row>
    <row r="16071" customFormat="false" ht="15" hidden="false" customHeight="false" outlineLevel="0" collapsed="false">
      <c r="A16071" s="5" t="s">
        <v>457</v>
      </c>
      <c r="C16071" s="26" t="n">
        <f aca="false">Assumptions!$M$53</f>
        <v>1</v>
      </c>
    </row>
    <row r="16072" customFormat="false" ht="15" hidden="false" customHeight="false" outlineLevel="0" collapsed="false">
      <c r="A16072" s="5" t="s">
        <v>458</v>
      </c>
      <c r="C16072" s="26" t="n">
        <f aca="false">Assumptions!$M$54</f>
        <v>2</v>
      </c>
    </row>
    <row r="16073" customFormat="false" ht="15" hidden="false" customHeight="false" outlineLevel="0" collapsed="false">
      <c r="A16073" s="5" t="s">
        <v>459</v>
      </c>
      <c r="C16073" s="26" t="n">
        <f aca="false">Assumptions!$M$55</f>
        <v>3</v>
      </c>
    </row>
    <row r="16074" customFormat="false" ht="15" hidden="false" customHeight="false" outlineLevel="0" collapsed="false">
      <c r="A16074" s="5" t="s">
        <v>460</v>
      </c>
      <c r="C16074" s="26" t="n">
        <f aca="false">Assumptions!$M$56</f>
        <v>4</v>
      </c>
    </row>
    <row r="16075" customFormat="false" ht="15" hidden="false" customHeight="false" outlineLevel="0" collapsed="false">
      <c r="A16075" s="23" t="s">
        <v>462</v>
      </c>
      <c r="B16075" s="24"/>
      <c r="C16075" s="24"/>
      <c r="D16075" s="24"/>
      <c r="E16075" s="24"/>
      <c r="F16075" s="24"/>
      <c r="G16075" s="24"/>
      <c r="H16075" s="24"/>
      <c r="I16075" s="24"/>
      <c r="J16075" s="24"/>
      <c r="K16075" s="24"/>
    </row>
    <row r="16076" customFormat="false" ht="15" hidden="false" customHeight="false" outlineLevel="0" collapsed="false">
      <c r="A16076" s="5" t="s">
        <v>457</v>
      </c>
      <c r="C16076" s="34" t="n">
        <f aca="false">Assumptions!$Q$53</f>
        <v>0</v>
      </c>
    </row>
    <row r="16077" customFormat="false" ht="15" hidden="false" customHeight="false" outlineLevel="0" collapsed="false">
      <c r="A16077" s="5" t="s">
        <v>458</v>
      </c>
      <c r="C16077" s="34" t="n">
        <f aca="false">Assumptions!$Q$54</f>
        <v>0</v>
      </c>
    </row>
    <row r="16078" customFormat="false" ht="15" hidden="false" customHeight="false" outlineLevel="0" collapsed="false">
      <c r="A16078" s="5" t="s">
        <v>459</v>
      </c>
      <c r="C16078" s="34" t="n">
        <f aca="false">Assumptions!$Q$55</f>
        <v>0</v>
      </c>
    </row>
    <row r="16079" customFormat="false" ht="15" hidden="false" customHeight="false" outlineLevel="0" collapsed="false">
      <c r="A16079" s="5" t="s">
        <v>460</v>
      </c>
      <c r="C16079" s="34" t="n">
        <f aca="false">Assumptions!$Q$56</f>
        <v>0</v>
      </c>
    </row>
    <row r="16080" customFormat="false" ht="15" hidden="false" customHeight="false" outlineLevel="0" collapsed="false">
      <c r="A16080" s="23" t="s">
        <v>463</v>
      </c>
      <c r="B16080" s="24"/>
      <c r="C16080" s="24"/>
      <c r="D16080" s="24"/>
      <c r="E16080" s="24"/>
      <c r="F16080" s="24"/>
      <c r="G16080" s="24"/>
      <c r="H16080" s="24"/>
      <c r="I16080" s="24"/>
      <c r="J16080" s="24"/>
      <c r="K16080" s="24"/>
    </row>
    <row r="16081" customFormat="false" ht="15" hidden="false" customHeight="false" outlineLevel="0" collapsed="false">
      <c r="A16081" s="5" t="s">
        <v>457</v>
      </c>
      <c r="C16081" s="25" t="n">
        <f aca="false">IF(C16076&gt;0,MIN(C16066,C16076*$C$16064),0)</f>
        <v>0</v>
      </c>
    </row>
    <row r="16082" customFormat="false" ht="15" hidden="false" customHeight="false" outlineLevel="0" collapsed="false">
      <c r="A16082" s="5" t="s">
        <v>458</v>
      </c>
      <c r="C16082" s="25" t="n">
        <f aca="false">IF(C16077&gt;0,MIN(C16067,C16077*$C$16064),0)</f>
        <v>0</v>
      </c>
    </row>
    <row r="16083" customFormat="false" ht="15" hidden="false" customHeight="false" outlineLevel="0" collapsed="false">
      <c r="A16083" s="5" t="s">
        <v>459</v>
      </c>
      <c r="C16083" s="25" t="n">
        <f aca="false">IF(C16078&gt;0,MIN(C16068,C16078*$C$16064),0)</f>
        <v>0</v>
      </c>
    </row>
    <row r="16084" customFormat="false" ht="15" hidden="false" customHeight="false" outlineLevel="0" collapsed="false">
      <c r="A16084" s="5" t="s">
        <v>460</v>
      </c>
      <c r="C16084" s="25" t="n">
        <f aca="false">IF(C16079&gt;0,MIN(C16069,C16079*$C$16064),0)</f>
        <v>0</v>
      </c>
    </row>
    <row r="16085" customFormat="false" ht="15" hidden="false" customHeight="false" outlineLevel="0" collapsed="false">
      <c r="A16085" s="23" t="s">
        <v>464</v>
      </c>
      <c r="B16085" s="24"/>
      <c r="C16085" s="24"/>
      <c r="D16085" s="24"/>
      <c r="E16085" s="24"/>
      <c r="F16085" s="24"/>
      <c r="G16085" s="24"/>
      <c r="H16085" s="24"/>
      <c r="I16085" s="24"/>
      <c r="J16085" s="24"/>
      <c r="K16085" s="24"/>
    </row>
    <row r="16086" customFormat="false" ht="15" hidden="false" customHeight="false" outlineLevel="0" collapsed="false">
      <c r="A16086" s="5" t="s">
        <v>457</v>
      </c>
      <c r="C16086" s="25" t="n">
        <f aca="false">IF(C16076&gt;0,C16066-C16081,0)</f>
        <v>0</v>
      </c>
      <c r="G16086" s="20" t="n">
        <f aca="false">IF(AND(G15935=1,G15932=1),1,0)</f>
        <v>0</v>
      </c>
      <c r="H16086" s="20" t="n">
        <f aca="false">IF(G16086=1,1,IF(AND(H15935=1,H15932=1),1,0))</f>
        <v>0</v>
      </c>
      <c r="I16086" s="20" t="n">
        <f aca="false">IF(H16086=1,1,IF(AND(I15935=1,I15932=1),1,0))</f>
        <v>0</v>
      </c>
      <c r="J16086" s="20" t="n">
        <f aca="false">IF(I16086=1,1,IF(AND(J15935=1,J15932=1),1,0))</f>
        <v>0</v>
      </c>
      <c r="K16086" s="20" t="n">
        <f aca="false">IF(J16086=1,1,IF(AND(K15935=1,K15932=1),1,0))</f>
        <v>0</v>
      </c>
    </row>
    <row r="16087" customFormat="false" ht="15" hidden="false" customHeight="false" outlineLevel="0" collapsed="false">
      <c r="A16087" s="5" t="s">
        <v>458</v>
      </c>
      <c r="C16087" s="25" t="n">
        <f aca="false">IF(C16077&gt;0,C16067-C16082,0)</f>
        <v>0</v>
      </c>
      <c r="G16087" s="20" t="n">
        <f aca="false">IF(AND(G15948=1,G15932=1),1,0)</f>
        <v>0</v>
      </c>
      <c r="H16087" s="20" t="n">
        <f aca="false">IF(G16087=1,1,IF(AND(H15948=1,H15932=1),1,0))</f>
        <v>0</v>
      </c>
      <c r="I16087" s="20" t="n">
        <f aca="false">IF(H16087=1,1,IF(AND(I15948=1,I15932=1),1,0))</f>
        <v>0</v>
      </c>
      <c r="J16087" s="20" t="n">
        <f aca="false">IF(I16087=1,1,IF(AND(J15948=1,J15932=1),1,0))</f>
        <v>0</v>
      </c>
      <c r="K16087" s="20" t="n">
        <f aca="false">IF(J16087=1,1,IF(AND(K15948=1,K15932=1),1,0))</f>
        <v>0</v>
      </c>
    </row>
    <row r="16088" customFormat="false" ht="15" hidden="false" customHeight="false" outlineLevel="0" collapsed="false">
      <c r="A16088" s="5" t="s">
        <v>459</v>
      </c>
      <c r="C16088" s="25" t="n">
        <f aca="false">IF(C16078&gt;0,C16068-C16083,0)</f>
        <v>0</v>
      </c>
      <c r="G16088" s="20" t="n">
        <f aca="false">IF(AND(G15961=1,G15932=1),1,0)</f>
        <v>0</v>
      </c>
      <c r="H16088" s="20" t="n">
        <f aca="false">IF(G16088=1,1,IF(AND(H15961=1,H15932=1),1,0))</f>
        <v>0</v>
      </c>
      <c r="I16088" s="20" t="n">
        <f aca="false">IF(H16088=1,1,IF(AND(I15961=1,I15932=1),1,0))</f>
        <v>0</v>
      </c>
      <c r="J16088" s="20" t="n">
        <f aca="false">IF(I16088=1,1,IF(AND(J15961=1,J15932=1),1,0))</f>
        <v>0</v>
      </c>
      <c r="K16088" s="20" t="n">
        <f aca="false">IF(J16088=1,1,IF(AND(K15961=1,K15932=1),1,0))</f>
        <v>0</v>
      </c>
    </row>
    <row r="16089" customFormat="false" ht="15" hidden="false" customHeight="false" outlineLevel="0" collapsed="false">
      <c r="A16089" s="5" t="s">
        <v>460</v>
      </c>
      <c r="C16089" s="25" t="n">
        <f aca="false">IF(C16079&gt;0,C16069-C16084,0)</f>
        <v>0</v>
      </c>
      <c r="G16089" s="20" t="n">
        <f aca="false">IF(AND(G15974=1,G15932=1),1,0)</f>
        <v>0</v>
      </c>
      <c r="H16089" s="20" t="n">
        <f aca="false">IF(G16089=1,1,IF(AND(H15974=1,H15932=1),1,0))</f>
        <v>0</v>
      </c>
      <c r="I16089" s="20" t="n">
        <f aca="false">IF(H16089=1,1,IF(AND(I15974=1,I15932=1),1,0))</f>
        <v>0</v>
      </c>
      <c r="J16089" s="20" t="n">
        <f aca="false">IF(I16089=1,1,IF(AND(J15974=1,J15932=1),1,0))</f>
        <v>0</v>
      </c>
      <c r="K16089" s="20" t="n">
        <f aca="false">IF(J16089=1,1,IF(AND(K15974=1,K15932=1),1,0))</f>
        <v>0</v>
      </c>
    </row>
    <row r="16090" customFormat="false" ht="15" hidden="false" customHeight="false" outlineLevel="0" collapsed="false">
      <c r="A16090" s="23" t="s">
        <v>465</v>
      </c>
      <c r="B16090" s="24"/>
      <c r="C16090" s="24"/>
      <c r="D16090" s="24"/>
      <c r="E16090" s="24"/>
      <c r="F16090" s="24"/>
      <c r="G16090" s="24"/>
      <c r="H16090" s="24"/>
      <c r="I16090" s="24"/>
      <c r="J16090" s="24"/>
      <c r="K16090" s="24"/>
    </row>
    <row r="16091" customFormat="false" ht="15" hidden="false" customHeight="false" outlineLevel="0" collapsed="false">
      <c r="A16091" s="5" t="s">
        <v>457</v>
      </c>
      <c r="C16091" s="25" t="n">
        <f aca="false">IF(C16076&gt;0,C16086,C16066)</f>
        <v>241.5743372</v>
      </c>
    </row>
    <row r="16092" customFormat="false" ht="15" hidden="false" customHeight="false" outlineLevel="0" collapsed="false">
      <c r="A16092" s="5" t="s">
        <v>458</v>
      </c>
      <c r="C16092" s="25" t="n">
        <f aca="false">IF(C16077&gt;0,C16087,C16067)</f>
        <v>526.2257</v>
      </c>
    </row>
    <row r="16093" customFormat="false" ht="15" hidden="false" customHeight="false" outlineLevel="0" collapsed="false">
      <c r="A16093" s="5" t="s">
        <v>459</v>
      </c>
      <c r="C16093" s="25" t="n">
        <f aca="false">IF(C16078&gt;0,C16088,C16068)</f>
        <v>256.875</v>
      </c>
    </row>
    <row r="16094" customFormat="false" ht="15" hidden="false" customHeight="false" outlineLevel="0" collapsed="false">
      <c r="A16094" s="5" t="s">
        <v>460</v>
      </c>
      <c r="C16094" s="25" t="n">
        <f aca="false">IF(C16079&gt;0,C16089,C16069)</f>
        <v>305.625</v>
      </c>
    </row>
    <row r="16095" customFormat="false" ht="15" hidden="false" customHeight="false" outlineLevel="0" collapsed="false">
      <c r="A16095" s="23" t="s">
        <v>466</v>
      </c>
      <c r="B16095" s="24"/>
      <c r="C16095" s="24"/>
      <c r="D16095" s="24"/>
      <c r="E16095" s="24"/>
      <c r="F16095" s="24"/>
      <c r="G16095" s="24"/>
      <c r="H16095" s="24"/>
      <c r="I16095" s="24"/>
      <c r="J16095" s="24"/>
      <c r="K16095" s="24"/>
    </row>
    <row r="16096" customFormat="false" ht="15" hidden="false" customHeight="false" outlineLevel="0" collapsed="false">
      <c r="A16096" s="5" t="s">
        <v>457</v>
      </c>
      <c r="C16096" s="20" t="n">
        <f aca="false">IF(C16076&gt;0,Assumptions!$C$17,C16071)</f>
        <v>1</v>
      </c>
    </row>
    <row r="16097" customFormat="false" ht="15" hidden="false" customHeight="false" outlineLevel="0" collapsed="false">
      <c r="A16097" s="5" t="s">
        <v>458</v>
      </c>
      <c r="C16097" s="20" t="n">
        <f aca="false">IF(C16077&gt;0,Assumptions!$C$17,C16072)</f>
        <v>2</v>
      </c>
    </row>
    <row r="16098" customFormat="false" ht="15" hidden="false" customHeight="false" outlineLevel="0" collapsed="false">
      <c r="A16098" s="5" t="s">
        <v>459</v>
      </c>
      <c r="C16098" s="20" t="n">
        <f aca="false">IF(C16078&gt;0,Assumptions!$C$17,C16073)</f>
        <v>3</v>
      </c>
    </row>
    <row r="16099" customFormat="false" ht="15" hidden="false" customHeight="false" outlineLevel="0" collapsed="false">
      <c r="A16099" s="5" t="s">
        <v>460</v>
      </c>
      <c r="C16099" s="20" t="n">
        <f aca="false">IF(C16079&gt;0,Assumptions!$C$17,C16074)</f>
        <v>4</v>
      </c>
    </row>
    <row r="16100" customFormat="false" ht="15" hidden="false" customHeight="false" outlineLevel="0" collapsed="false">
      <c r="A16100" s="23" t="s">
        <v>467</v>
      </c>
      <c r="B16100" s="24"/>
      <c r="C16100" s="24"/>
      <c r="D16100" s="24"/>
      <c r="E16100" s="24"/>
      <c r="F16100" s="24"/>
      <c r="G16100" s="24"/>
      <c r="H16100" s="24"/>
      <c r="I16100" s="24"/>
      <c r="J16100" s="24"/>
      <c r="K16100" s="24"/>
    </row>
    <row r="16101" customFormat="false" ht="15" hidden="false" customHeight="false" outlineLevel="0" collapsed="false">
      <c r="A16101" s="5" t="s">
        <v>457</v>
      </c>
      <c r="C16101" s="25" t="n">
        <f aca="false">SUMPRODUCT(($C$16096:$C$16099&lt;C16096)*$C$16091:$C$16094)</f>
        <v>0</v>
      </c>
    </row>
    <row r="16102" customFormat="false" ht="15" hidden="false" customHeight="false" outlineLevel="0" collapsed="false">
      <c r="A16102" s="5" t="s">
        <v>458</v>
      </c>
      <c r="C16102" s="25" t="n">
        <f aca="false">SUMPRODUCT(($C$16096:$C$16099&lt;C16097)*$C$16091:$C$16094)</f>
        <v>241.5743372</v>
      </c>
    </row>
    <row r="16103" customFormat="false" ht="15" hidden="false" customHeight="false" outlineLevel="0" collapsed="false">
      <c r="A16103" s="5" t="s">
        <v>459</v>
      </c>
      <c r="C16103" s="25" t="n">
        <f aca="false">SUMPRODUCT(($C$16096:$C$16099&lt;C16098)*$C$16091:$C$16094)</f>
        <v>767.8000372</v>
      </c>
    </row>
    <row r="16104" customFormat="false" ht="15" hidden="false" customHeight="false" outlineLevel="0" collapsed="false">
      <c r="A16104" s="5" t="s">
        <v>460</v>
      </c>
      <c r="C16104" s="25" t="n">
        <f aca="false">SUMPRODUCT(($C$16096:$C$16099&lt;C16099)*$C$16091:$C$16094)</f>
        <v>1024.6750372</v>
      </c>
    </row>
    <row r="16105" customFormat="false" ht="15" hidden="false" customHeight="false" outlineLevel="0" collapsed="false">
      <c r="A16105" s="23" t="s">
        <v>468</v>
      </c>
      <c r="B16105" s="24"/>
      <c r="C16105" s="24"/>
      <c r="D16105" s="24"/>
      <c r="E16105" s="24"/>
      <c r="F16105" s="24"/>
      <c r="G16105" s="24"/>
      <c r="H16105" s="24"/>
      <c r="I16105" s="24"/>
      <c r="J16105" s="24"/>
      <c r="K16105" s="24"/>
    </row>
    <row r="16106" customFormat="false" ht="15" hidden="false" customHeight="false" outlineLevel="0" collapsed="false">
      <c r="A16106" s="5" t="s">
        <v>457</v>
      </c>
      <c r="C16106" s="25" t="n">
        <f aca="false">SUMPRODUCT(($C$16096:$C$16099=C16096)*$C$16091:$C$16094)</f>
        <v>241.5743372</v>
      </c>
    </row>
    <row r="16107" customFormat="false" ht="15" hidden="false" customHeight="false" outlineLevel="0" collapsed="false">
      <c r="A16107" s="5" t="s">
        <v>458</v>
      </c>
      <c r="C16107" s="25" t="n">
        <f aca="false">SUMPRODUCT(($C$16096:$C$16099=C16097)*$C$16091:$C$16094)</f>
        <v>526.2257</v>
      </c>
    </row>
    <row r="16108" customFormat="false" ht="15" hidden="false" customHeight="false" outlineLevel="0" collapsed="false">
      <c r="A16108" s="5" t="s">
        <v>459</v>
      </c>
      <c r="C16108" s="25" t="n">
        <f aca="false">SUMPRODUCT(($C$16096:$C$16099=C16098)*$C$16091:$C$16094)</f>
        <v>256.875</v>
      </c>
    </row>
    <row r="16109" customFormat="false" ht="15" hidden="false" customHeight="false" outlineLevel="0" collapsed="false">
      <c r="A16109" s="5" t="s">
        <v>460</v>
      </c>
      <c r="C16109" s="25" t="n">
        <f aca="false">SUMPRODUCT(($C$16096:$C$16099=C16099)*$C$16091:$C$16094)</f>
        <v>305.625</v>
      </c>
    </row>
    <row r="16110" customFormat="false" ht="15" hidden="false" customHeight="false" outlineLevel="0" collapsed="false">
      <c r="A16110" s="23" t="s">
        <v>469</v>
      </c>
      <c r="B16110" s="24"/>
      <c r="C16110" s="24"/>
      <c r="D16110" s="24"/>
      <c r="E16110" s="24"/>
      <c r="F16110" s="24"/>
      <c r="G16110" s="24"/>
      <c r="H16110" s="24"/>
      <c r="I16110" s="24"/>
      <c r="J16110" s="24"/>
      <c r="K16110" s="24"/>
    </row>
    <row r="16111" customFormat="false" ht="15" hidden="false" customHeight="false" outlineLevel="0" collapsed="false">
      <c r="A16111" s="5" t="s">
        <v>457</v>
      </c>
      <c r="C16111" s="25" t="n">
        <f aca="false">IF(C16106=0,0,C16091/C16106*MAX(0,MIN(C16106,$C$16064-SUM($C$16081:$C$16084)-C16101)))</f>
        <v>241.5743372</v>
      </c>
    </row>
    <row r="16112" customFormat="false" ht="15" hidden="false" customHeight="false" outlineLevel="0" collapsed="false">
      <c r="A16112" s="5" t="s">
        <v>458</v>
      </c>
      <c r="C16112" s="25" t="n">
        <f aca="false">IF(C16107=0,0,C16092/C16107*MAX(0,MIN(C16107,$C$16064-SUM($C$16081:$C$16084)-C16102)))</f>
        <v>147.8016628</v>
      </c>
    </row>
    <row r="16113" customFormat="false" ht="15" hidden="false" customHeight="false" outlineLevel="0" collapsed="false">
      <c r="A16113" s="5" t="s">
        <v>459</v>
      </c>
      <c r="C16113" s="25" t="n">
        <f aca="false">IF(C16108=0,0,C16093/C16108*MAX(0,MIN(C16108,$C$16064-SUM($C$16081:$C$16084)-C16103)))</f>
        <v>0</v>
      </c>
    </row>
    <row r="16114" customFormat="false" ht="15" hidden="false" customHeight="false" outlineLevel="0" collapsed="false">
      <c r="A16114" s="5" t="s">
        <v>460</v>
      </c>
      <c r="C16114" s="25" t="n">
        <f aca="false">IF(C16109=0,0,C16094/C16109*MAX(0,MIN(C16109,$C$16064-SUM($C$16081:$C$16084)-C16104)))</f>
        <v>0</v>
      </c>
    </row>
    <row r="16115" customFormat="false" ht="15" hidden="false" customHeight="false" outlineLevel="0" collapsed="false">
      <c r="A16115" s="23" t="s">
        <v>470</v>
      </c>
      <c r="B16115" s="24"/>
      <c r="C16115" s="24"/>
      <c r="D16115" s="24"/>
      <c r="E16115" s="24"/>
      <c r="F16115" s="24"/>
      <c r="G16115" s="24"/>
      <c r="H16115" s="24"/>
      <c r="I16115" s="24"/>
      <c r="J16115" s="24"/>
      <c r="K16115" s="24"/>
    </row>
    <row r="16116" customFormat="false" ht="15" hidden="false" customHeight="false" outlineLevel="0" collapsed="false">
      <c r="A16116" s="2" t="s">
        <v>457</v>
      </c>
      <c r="C16116" s="16" t="n">
        <f aca="false">C16081+C16111</f>
        <v>241.5743372</v>
      </c>
    </row>
    <row r="16117" customFormat="false" ht="15" hidden="false" customHeight="false" outlineLevel="0" collapsed="false">
      <c r="A16117" s="2" t="s">
        <v>458</v>
      </c>
      <c r="C16117" s="16" t="n">
        <f aca="false">C16082+C16112</f>
        <v>147.8016628</v>
      </c>
    </row>
    <row r="16118" customFormat="false" ht="15" hidden="false" customHeight="false" outlineLevel="0" collapsed="false">
      <c r="A16118" s="2" t="s">
        <v>459</v>
      </c>
      <c r="C16118" s="16" t="n">
        <f aca="false">C16083+C16113</f>
        <v>0</v>
      </c>
    </row>
    <row r="16119" customFormat="false" ht="15" hidden="false" customHeight="false" outlineLevel="0" collapsed="false">
      <c r="A16119" s="2" t="s">
        <v>460</v>
      </c>
      <c r="C16119" s="16" t="n">
        <f aca="false">C16084+C16114</f>
        <v>0</v>
      </c>
    </row>
    <row r="16120" customFormat="false" ht="15" hidden="false" customHeight="false" outlineLevel="0" collapsed="false">
      <c r="A16120" s="23" t="s">
        <v>471</v>
      </c>
      <c r="B16120" s="24"/>
      <c r="C16120" s="24"/>
      <c r="D16120" s="24"/>
      <c r="E16120" s="24"/>
      <c r="F16120" s="24"/>
      <c r="G16120" s="24"/>
      <c r="H16120" s="24"/>
      <c r="I16120" s="24"/>
      <c r="J16120" s="24"/>
      <c r="K16120" s="24"/>
    </row>
    <row r="16121" customFormat="false" ht="15" hidden="false" customHeight="false" outlineLevel="0" collapsed="false">
      <c r="A16121" s="5" t="s">
        <v>457</v>
      </c>
      <c r="C16121" s="21" t="n">
        <f aca="false">IF(C16066=0,1,C16116/C16066)</f>
        <v>1</v>
      </c>
    </row>
    <row r="16122" customFormat="false" ht="15" hidden="false" customHeight="false" outlineLevel="0" collapsed="false">
      <c r="A16122" s="5" t="s">
        <v>458</v>
      </c>
      <c r="C16122" s="21" t="n">
        <f aca="false">IF(C16067=0,1,C16117/C16067)</f>
        <v>0.280871236049474</v>
      </c>
    </row>
    <row r="16123" customFormat="false" ht="15" hidden="false" customHeight="false" outlineLevel="0" collapsed="false">
      <c r="A16123" s="5" t="s">
        <v>459</v>
      </c>
      <c r="C16123" s="21" t="n">
        <f aca="false">IF(C16068=0,1,C16118/C16068)</f>
        <v>0</v>
      </c>
    </row>
    <row r="16124" customFormat="false" ht="15" hidden="false" customHeight="false" outlineLevel="0" collapsed="false">
      <c r="A16124" s="5" t="s">
        <v>460</v>
      </c>
      <c r="C16124" s="21" t="n">
        <f aca="false">IF(C16069=0,1,C16119/C16069)</f>
        <v>0</v>
      </c>
    </row>
    <row r="16125" customFormat="false" ht="15" hidden="false" customHeight="false" outlineLevel="0" collapsed="false">
      <c r="A16125" s="23" t="s">
        <v>472</v>
      </c>
      <c r="B16125" s="24"/>
      <c r="C16125" s="24"/>
      <c r="D16125" s="24"/>
      <c r="E16125" s="24"/>
      <c r="F16125" s="24"/>
      <c r="G16125" s="24"/>
      <c r="H16125" s="24"/>
      <c r="I16125" s="24"/>
      <c r="J16125" s="24"/>
      <c r="K16125" s="24"/>
    </row>
    <row r="16126" customFormat="false" ht="15" hidden="false" customHeight="false" outlineLevel="0" collapsed="false">
      <c r="A16126" s="5" t="s">
        <v>457</v>
      </c>
      <c r="C16126" s="25" t="n">
        <f aca="false">C16066-C16116</f>
        <v>0</v>
      </c>
    </row>
    <row r="16127" customFormat="false" ht="15" hidden="false" customHeight="false" outlineLevel="0" collapsed="false">
      <c r="A16127" s="5" t="s">
        <v>458</v>
      </c>
      <c r="C16127" s="25" t="n">
        <f aca="false">C16067-C16117</f>
        <v>378.4240372</v>
      </c>
    </row>
    <row r="16128" customFormat="false" ht="15" hidden="false" customHeight="false" outlineLevel="0" collapsed="false">
      <c r="A16128" s="5" t="s">
        <v>459</v>
      </c>
      <c r="C16128" s="25" t="n">
        <f aca="false">C16068-C16118</f>
        <v>256.875</v>
      </c>
    </row>
    <row r="16129" customFormat="false" ht="15" hidden="false" customHeight="false" outlineLevel="0" collapsed="false">
      <c r="A16129" s="5" t="s">
        <v>460</v>
      </c>
      <c r="C16129" s="25" t="n">
        <f aca="false">C16069-C16119</f>
        <v>305.625</v>
      </c>
    </row>
    <row r="16130" customFormat="false" ht="15" hidden="false" customHeight="false" outlineLevel="0" collapsed="false">
      <c r="A16130" s="23" t="s">
        <v>473</v>
      </c>
      <c r="B16130" s="24"/>
      <c r="C16130" s="24"/>
      <c r="D16130" s="24"/>
      <c r="E16130" s="24"/>
      <c r="F16130" s="24"/>
      <c r="G16130" s="24"/>
      <c r="H16130" s="24"/>
      <c r="I16130" s="24"/>
      <c r="J16130" s="24"/>
      <c r="K16130" s="24"/>
    </row>
    <row r="16131" customFormat="false" ht="15" hidden="false" customHeight="false" outlineLevel="0" collapsed="false">
      <c r="A16131" s="5" t="s">
        <v>457</v>
      </c>
      <c r="C16131" s="21" t="n">
        <f aca="false">IF(C16066=0,0,C16126/C16066)</f>
        <v>0</v>
      </c>
    </row>
    <row r="16132" customFormat="false" ht="15" hidden="false" customHeight="false" outlineLevel="0" collapsed="false">
      <c r="A16132" s="5" t="s">
        <v>458</v>
      </c>
      <c r="C16132" s="21" t="n">
        <f aca="false">IF(C16067=0,0,C16127/C16067)</f>
        <v>0.719128763950526</v>
      </c>
    </row>
    <row r="16133" customFormat="false" ht="15" hidden="false" customHeight="false" outlineLevel="0" collapsed="false">
      <c r="A16133" s="5" t="s">
        <v>459</v>
      </c>
      <c r="C16133" s="21" t="n">
        <f aca="false">IF(C16068=0,0,C16128/C16068)</f>
        <v>1</v>
      </c>
    </row>
    <row r="16134" customFormat="false" ht="15" hidden="false" customHeight="false" outlineLevel="0" collapsed="false">
      <c r="A16134" s="5" t="s">
        <v>460</v>
      </c>
      <c r="C16134" s="21" t="n">
        <f aca="false">IF(C16069=0,0,C16129/C16069)</f>
        <v>1</v>
      </c>
    </row>
    <row r="16135" customFormat="false" ht="15" hidden="false" customHeight="false" outlineLevel="0" collapsed="false">
      <c r="A16135" s="2" t="s">
        <v>474</v>
      </c>
      <c r="C16135" s="16" t="n">
        <f aca="false">MAX(0,$C$16064-SUM($C$16081:$C$16084)-SUM($C$16091:$C$16094))</f>
        <v>0</v>
      </c>
    </row>
    <row r="16136" customFormat="false" ht="15" hidden="false" customHeight="false" outlineLevel="0" collapsed="false">
      <c r="A16136" s="5" t="s">
        <v>475</v>
      </c>
      <c r="C16136" s="25" t="n">
        <f aca="false">SUM($C$16116:$C$16119)+C16135+C16063-C16062</f>
        <v>0</v>
      </c>
    </row>
    <row r="16138" customFormat="false" ht="15" hidden="false" customHeight="false" outlineLevel="0" collapsed="false">
      <c r="A16138" s="23" t="s">
        <v>478</v>
      </c>
      <c r="B16138" s="24"/>
      <c r="C16138" s="24"/>
      <c r="D16138" s="24"/>
      <c r="E16138" s="24"/>
      <c r="F16138" s="24"/>
      <c r="G16138" s="24"/>
      <c r="H16138" s="24"/>
      <c r="I16138" s="24"/>
      <c r="J16138" s="24"/>
      <c r="K16138" s="24"/>
    </row>
    <row r="16139" customFormat="false" ht="15" hidden="false" customHeight="false" outlineLevel="0" collapsed="false">
      <c r="A16139" s="5" t="s">
        <v>479</v>
      </c>
      <c r="C16139" s="26" t="n">
        <f aca="false">Assumptions!$C$30</f>
        <v>2</v>
      </c>
    </row>
    <row r="16140" customFormat="false" ht="15" hidden="false" customHeight="false" outlineLevel="0" collapsed="false">
      <c r="A16140" s="5" t="s">
        <v>480</v>
      </c>
      <c r="C16140" s="28" t="n">
        <f aca="false">Assumptions!$C$31</f>
        <v>100</v>
      </c>
    </row>
    <row r="16141" customFormat="false" ht="15" hidden="false" customHeight="false" outlineLevel="0" collapsed="false">
      <c r="A16141" s="5" t="s">
        <v>481</v>
      </c>
      <c r="C16141" s="39" t="n">
        <f aca="false">Assumptions!$C$32</f>
        <v>78</v>
      </c>
    </row>
    <row r="16142" customFormat="false" ht="15" hidden="false" customHeight="false" outlineLevel="0" collapsed="false">
      <c r="A16142" s="5" t="s">
        <v>482</v>
      </c>
      <c r="C16142" s="25" t="n">
        <f aca="false">C16140*C16141/100*(1+Assumptions!$C$33)</f>
        <v>78.39</v>
      </c>
    </row>
    <row r="16143" customFormat="false" ht="15" hidden="false" customHeight="false" outlineLevel="0" collapsed="false">
      <c r="A16143" s="5" t="s">
        <v>483</v>
      </c>
      <c r="C16143" s="26" t="n">
        <f aca="false">Assumptions!$C$34</f>
        <v>2</v>
      </c>
    </row>
    <row r="16144" customFormat="false" ht="15" hidden="false" customHeight="false" outlineLevel="0" collapsed="false">
      <c r="A16144" s="5" t="s">
        <v>484</v>
      </c>
      <c r="C16144" s="20" t="n">
        <f aca="false">IF(C16055=1,SUMPRODUCT($G$16023:$K$16023,$G$15899:$K$15899),0)</f>
        <v>2</v>
      </c>
    </row>
    <row r="16145" customFormat="false" ht="15" hidden="false" customHeight="false" outlineLevel="0" collapsed="false">
      <c r="A16145" s="5" t="s">
        <v>485</v>
      </c>
      <c r="C16145" s="21" t="n">
        <f aca="false">IFERROR(C16140/CHOOSE(C16139,SUMPRODUCT($G$16054:$K$16054,$G$15945:$K$15945),SUMPRODUCT($G$16054:$K$16054,$G$15958:$K$15958),SUMPRODUCT($G$16054:$K$16054,$G$15971:$K$15971),SUMPRODUCT($G$16054:$K$16054,$G$15984:$K$15984)),0)</f>
        <v>0.196232339089482</v>
      </c>
    </row>
    <row r="16146" customFormat="false" ht="15" hidden="false" customHeight="false" outlineLevel="0" collapsed="false">
      <c r="A16146" s="5" t="s">
        <v>486</v>
      </c>
      <c r="C16146" s="25" t="n">
        <f aca="false">CHOOSE(C16139,C16116,C16117,C16118,C16119)*C16145</f>
        <v>29.0034660125589</v>
      </c>
    </row>
    <row r="16147" customFormat="false" ht="15" hidden="false" customHeight="false" outlineLevel="0" collapsed="false">
      <c r="A16147" s="5" t="s">
        <v>487</v>
      </c>
      <c r="C16147" s="21" t="n">
        <f aca="false">CHOOSE(C16139,C16121,C16122,C16123,C16124)</f>
        <v>0.280871236049474</v>
      </c>
    </row>
    <row r="16148" customFormat="false" ht="15" hidden="false" customHeight="false" outlineLevel="0" collapsed="false">
      <c r="A16148" s="5" t="s">
        <v>488</v>
      </c>
      <c r="C16148" s="20" t="n">
        <f aca="false">IF(C16055=1,C16144,C16143)</f>
        <v>2</v>
      </c>
    </row>
    <row r="16149" customFormat="false" ht="15" hidden="false" customHeight="false" outlineLevel="0" collapsed="false">
      <c r="A16149" s="5" t="s">
        <v>489</v>
      </c>
      <c r="C16149" s="33" t="n">
        <f aca="false">CHOOSE($C$15891,Assumptions!$C$77,Assumptions!$C$96,Assumptions!$C$115)</f>
        <v>70</v>
      </c>
    </row>
    <row r="16150" customFormat="false" ht="15" hidden="false" customHeight="false" outlineLevel="0" collapsed="false">
      <c r="A16150" s="5" t="s">
        <v>490</v>
      </c>
      <c r="C16150" s="25" t="n">
        <f aca="false">INDEX($G$15908:$K$15908,C16143)*CHOOSE($C$15891,Assumptions!$C$76,Assumptions!$C$95,Assumptions!$C$114)+MAX(0,INDEX($G$16020:$K$16020,C16143))</f>
        <v>55.97928</v>
      </c>
    </row>
    <row r="16151" customFormat="false" ht="15" hidden="false" customHeight="false" outlineLevel="0" collapsed="false">
      <c r="A16151" s="23" t="s">
        <v>491</v>
      </c>
      <c r="B16151" s="24"/>
      <c r="C16151" s="24"/>
      <c r="D16151" s="24"/>
      <c r="E16151" s="24"/>
      <c r="F16151" s="24"/>
      <c r="G16151" s="24"/>
      <c r="H16151" s="24"/>
      <c r="I16151" s="24"/>
      <c r="J16151" s="24"/>
      <c r="K16151" s="24"/>
    </row>
    <row r="16152" customFormat="false" ht="15" hidden="false" customHeight="false" outlineLevel="0" collapsed="false">
      <c r="A16152" s="5" t="s">
        <v>457</v>
      </c>
      <c r="C16152" s="25" t="n">
        <f aca="false">INDEX($G$15945:$K$15945,C16143)</f>
        <v>234.9088</v>
      </c>
    </row>
    <row r="16153" customFormat="false" ht="15" hidden="false" customHeight="false" outlineLevel="0" collapsed="false">
      <c r="A16153" s="5" t="s">
        <v>458</v>
      </c>
      <c r="C16153" s="25" t="n">
        <f aca="false">INDEX($G$15958:$K$15958,C16143)</f>
        <v>509.6</v>
      </c>
    </row>
    <row r="16154" customFormat="false" ht="15" hidden="false" customHeight="false" outlineLevel="0" collapsed="false">
      <c r="A16154" s="5" t="s">
        <v>459</v>
      </c>
      <c r="C16154" s="25" t="n">
        <f aca="false">INDEX($G$15971:$K$15971,C16143)</f>
        <v>250</v>
      </c>
    </row>
    <row r="16155" customFormat="false" ht="15" hidden="false" customHeight="false" outlineLevel="0" collapsed="false">
      <c r="A16155" s="5" t="s">
        <v>460</v>
      </c>
      <c r="C16155" s="25" t="n">
        <f aca="false">INDEX($G$15984:$K$15984,C16143)</f>
        <v>300</v>
      </c>
    </row>
    <row r="16156" customFormat="false" ht="15" hidden="false" customHeight="false" outlineLevel="0" collapsed="false">
      <c r="A16156" s="23" t="s">
        <v>461</v>
      </c>
      <c r="B16156" s="24"/>
      <c r="C16156" s="24"/>
      <c r="D16156" s="24"/>
      <c r="E16156" s="24"/>
      <c r="F16156" s="24"/>
      <c r="G16156" s="24"/>
      <c r="H16156" s="24"/>
      <c r="I16156" s="24"/>
      <c r="J16156" s="24"/>
      <c r="K16156" s="24"/>
    </row>
    <row r="16157" customFormat="false" ht="15" hidden="false" customHeight="false" outlineLevel="0" collapsed="false">
      <c r="A16157" s="5" t="s">
        <v>457</v>
      </c>
      <c r="C16157" s="26" t="n">
        <f aca="false">Assumptions!$M$53</f>
        <v>1</v>
      </c>
    </row>
    <row r="16158" customFormat="false" ht="15" hidden="false" customHeight="false" outlineLevel="0" collapsed="false">
      <c r="A16158" s="5" t="s">
        <v>458</v>
      </c>
      <c r="C16158" s="26" t="n">
        <f aca="false">Assumptions!$M$54</f>
        <v>2</v>
      </c>
    </row>
    <row r="16159" customFormat="false" ht="15" hidden="false" customHeight="false" outlineLevel="0" collapsed="false">
      <c r="A16159" s="5" t="s">
        <v>459</v>
      </c>
      <c r="C16159" s="26" t="n">
        <f aca="false">Assumptions!$M$55</f>
        <v>3</v>
      </c>
    </row>
    <row r="16160" customFormat="false" ht="15" hidden="false" customHeight="false" outlineLevel="0" collapsed="false">
      <c r="A16160" s="5" t="s">
        <v>460</v>
      </c>
      <c r="C16160" s="26" t="n">
        <f aca="false">Assumptions!$M$56</f>
        <v>4</v>
      </c>
    </row>
    <row r="16161" customFormat="false" ht="15" hidden="false" customHeight="false" outlineLevel="0" collapsed="false">
      <c r="A16161" s="23" t="s">
        <v>462</v>
      </c>
      <c r="B16161" s="24"/>
      <c r="C16161" s="24"/>
      <c r="D16161" s="24"/>
      <c r="E16161" s="24"/>
      <c r="F16161" s="24"/>
      <c r="G16161" s="24"/>
      <c r="H16161" s="24"/>
      <c r="I16161" s="24"/>
      <c r="J16161" s="24"/>
      <c r="K16161" s="24"/>
    </row>
    <row r="16162" customFormat="false" ht="15" hidden="false" customHeight="false" outlineLevel="0" collapsed="false">
      <c r="A16162" s="5" t="s">
        <v>457</v>
      </c>
      <c r="C16162" s="34" t="n">
        <f aca="false">Assumptions!$Q$53</f>
        <v>0</v>
      </c>
    </row>
    <row r="16163" customFormat="false" ht="15" hidden="false" customHeight="false" outlineLevel="0" collapsed="false">
      <c r="A16163" s="5" t="s">
        <v>458</v>
      </c>
      <c r="C16163" s="34" t="n">
        <f aca="false">Assumptions!$Q$54</f>
        <v>0</v>
      </c>
    </row>
    <row r="16164" customFormat="false" ht="15" hidden="false" customHeight="false" outlineLevel="0" collapsed="false">
      <c r="A16164" s="5" t="s">
        <v>459</v>
      </c>
      <c r="C16164" s="34" t="n">
        <f aca="false">Assumptions!$Q$55</f>
        <v>0</v>
      </c>
    </row>
    <row r="16165" customFormat="false" ht="15" hidden="false" customHeight="false" outlineLevel="0" collapsed="false">
      <c r="A16165" s="5" t="s">
        <v>460</v>
      </c>
      <c r="C16165" s="34" t="n">
        <f aca="false">Assumptions!$Q$56</f>
        <v>0</v>
      </c>
    </row>
    <row r="16166" customFormat="false" ht="15" hidden="false" customHeight="false" outlineLevel="0" collapsed="false">
      <c r="A16166" s="23" t="s">
        <v>463</v>
      </c>
      <c r="B16166" s="24"/>
      <c r="C16166" s="24"/>
      <c r="D16166" s="24"/>
      <c r="E16166" s="24"/>
      <c r="F16166" s="24"/>
      <c r="G16166" s="24"/>
      <c r="H16166" s="24"/>
      <c r="I16166" s="24"/>
      <c r="J16166" s="24"/>
      <c r="K16166" s="24"/>
    </row>
    <row r="16167" customFormat="false" ht="15" hidden="false" customHeight="false" outlineLevel="0" collapsed="false">
      <c r="A16167" s="5" t="s">
        <v>457</v>
      </c>
      <c r="C16167" s="25" t="n">
        <f aca="false">IF(C16162&gt;0,MIN(C16152,C16162*$C$16150),0)</f>
        <v>0</v>
      </c>
    </row>
    <row r="16168" customFormat="false" ht="15" hidden="false" customHeight="false" outlineLevel="0" collapsed="false">
      <c r="A16168" s="5" t="s">
        <v>458</v>
      </c>
      <c r="C16168" s="25" t="n">
        <f aca="false">IF(C16163&gt;0,MIN(C16153,C16163*$C$16150),0)</f>
        <v>0</v>
      </c>
    </row>
    <row r="16169" customFormat="false" ht="15" hidden="false" customHeight="false" outlineLevel="0" collapsed="false">
      <c r="A16169" s="5" t="s">
        <v>459</v>
      </c>
      <c r="C16169" s="25" t="n">
        <f aca="false">IF(C16164&gt;0,MIN(C16154,C16164*$C$16150),0)</f>
        <v>0</v>
      </c>
    </row>
    <row r="16170" customFormat="false" ht="15" hidden="false" customHeight="false" outlineLevel="0" collapsed="false">
      <c r="A16170" s="5" t="s">
        <v>460</v>
      </c>
      <c r="C16170" s="25" t="n">
        <f aca="false">IF(C16165&gt;0,MIN(C16155,C16165*$C$16150),0)</f>
        <v>0</v>
      </c>
    </row>
    <row r="16171" customFormat="false" ht="15" hidden="false" customHeight="false" outlineLevel="0" collapsed="false">
      <c r="A16171" s="23" t="s">
        <v>464</v>
      </c>
      <c r="B16171" s="24"/>
      <c r="C16171" s="24"/>
      <c r="D16171" s="24"/>
      <c r="E16171" s="24"/>
      <c r="F16171" s="24"/>
      <c r="G16171" s="24"/>
      <c r="H16171" s="24"/>
      <c r="I16171" s="24"/>
      <c r="J16171" s="24"/>
      <c r="K16171" s="24"/>
    </row>
    <row r="16172" customFormat="false" ht="15" hidden="false" customHeight="false" outlineLevel="0" collapsed="false">
      <c r="A16172" s="5" t="s">
        <v>457</v>
      </c>
      <c r="C16172" s="25" t="n">
        <f aca="false">IF(C16162&gt;0,C16152-C16167,0)</f>
        <v>0</v>
      </c>
    </row>
    <row r="16173" customFormat="false" ht="15" hidden="false" customHeight="false" outlineLevel="0" collapsed="false">
      <c r="A16173" s="5" t="s">
        <v>458</v>
      </c>
      <c r="C16173" s="25" t="n">
        <f aca="false">IF(C16163&gt;0,C16153-C16168,0)</f>
        <v>0</v>
      </c>
    </row>
    <row r="16174" customFormat="false" ht="15" hidden="false" customHeight="false" outlineLevel="0" collapsed="false">
      <c r="A16174" s="5" t="s">
        <v>459</v>
      </c>
      <c r="C16174" s="25" t="n">
        <f aca="false">IF(C16164&gt;0,C16154-C16169,0)</f>
        <v>0</v>
      </c>
    </row>
    <row r="16175" customFormat="false" ht="15" hidden="false" customHeight="false" outlineLevel="0" collapsed="false">
      <c r="A16175" s="5" t="s">
        <v>460</v>
      </c>
      <c r="C16175" s="25" t="n">
        <f aca="false">IF(C16165&gt;0,C16155-C16170,0)</f>
        <v>0</v>
      </c>
    </row>
    <row r="16176" customFormat="false" ht="15" hidden="false" customHeight="false" outlineLevel="0" collapsed="false">
      <c r="A16176" s="23" t="s">
        <v>465</v>
      </c>
      <c r="B16176" s="24"/>
      <c r="C16176" s="24"/>
      <c r="D16176" s="24"/>
      <c r="E16176" s="24"/>
      <c r="F16176" s="24"/>
      <c r="G16176" s="24"/>
      <c r="H16176" s="24"/>
      <c r="I16176" s="24"/>
      <c r="J16176" s="24"/>
      <c r="K16176" s="24"/>
    </row>
    <row r="16177" customFormat="false" ht="15" hidden="false" customHeight="false" outlineLevel="0" collapsed="false">
      <c r="A16177" s="5" t="s">
        <v>457</v>
      </c>
      <c r="C16177" s="25" t="n">
        <f aca="false">IF(C16162&gt;0,C16172,C16152)</f>
        <v>234.9088</v>
      </c>
    </row>
    <row r="16178" customFormat="false" ht="15" hidden="false" customHeight="false" outlineLevel="0" collapsed="false">
      <c r="A16178" s="5" t="s">
        <v>458</v>
      </c>
      <c r="C16178" s="25" t="n">
        <f aca="false">IF(C16163&gt;0,C16173,C16153)</f>
        <v>509.6</v>
      </c>
    </row>
    <row r="16179" customFormat="false" ht="15" hidden="false" customHeight="false" outlineLevel="0" collapsed="false">
      <c r="A16179" s="5" t="s">
        <v>459</v>
      </c>
      <c r="C16179" s="25" t="n">
        <f aca="false">IF(C16164&gt;0,C16174,C16154)</f>
        <v>250</v>
      </c>
    </row>
    <row r="16180" customFormat="false" ht="15" hidden="false" customHeight="false" outlineLevel="0" collapsed="false">
      <c r="A16180" s="5" t="s">
        <v>460</v>
      </c>
      <c r="C16180" s="25" t="n">
        <f aca="false">IF(C16165&gt;0,C16175,C16155)</f>
        <v>300</v>
      </c>
    </row>
    <row r="16181" customFormat="false" ht="15" hidden="false" customHeight="false" outlineLevel="0" collapsed="false">
      <c r="A16181" s="23" t="s">
        <v>466</v>
      </c>
      <c r="B16181" s="24"/>
      <c r="C16181" s="24"/>
      <c r="D16181" s="24"/>
      <c r="E16181" s="24"/>
      <c r="F16181" s="24"/>
      <c r="G16181" s="24"/>
      <c r="H16181" s="24"/>
      <c r="I16181" s="24"/>
      <c r="J16181" s="24"/>
      <c r="K16181" s="24"/>
    </row>
    <row r="16182" customFormat="false" ht="15" hidden="false" customHeight="false" outlineLevel="0" collapsed="false">
      <c r="A16182" s="5" t="s">
        <v>457</v>
      </c>
      <c r="C16182" s="20" t="n">
        <f aca="false">IF(C16162&gt;0,Assumptions!$C$17,C16157)</f>
        <v>1</v>
      </c>
    </row>
    <row r="16183" customFormat="false" ht="15" hidden="false" customHeight="false" outlineLevel="0" collapsed="false">
      <c r="A16183" s="5" t="s">
        <v>458</v>
      </c>
      <c r="C16183" s="20" t="n">
        <f aca="false">IF(C16163&gt;0,Assumptions!$C$17,C16158)</f>
        <v>2</v>
      </c>
    </row>
    <row r="16184" customFormat="false" ht="15" hidden="false" customHeight="false" outlineLevel="0" collapsed="false">
      <c r="A16184" s="5" t="s">
        <v>459</v>
      </c>
      <c r="C16184" s="20" t="n">
        <f aca="false">IF(C16164&gt;0,Assumptions!$C$17,C16159)</f>
        <v>3</v>
      </c>
    </row>
    <row r="16185" customFormat="false" ht="15" hidden="false" customHeight="false" outlineLevel="0" collapsed="false">
      <c r="A16185" s="5" t="s">
        <v>460</v>
      </c>
      <c r="C16185" s="20" t="n">
        <f aca="false">IF(C16165&gt;0,Assumptions!$C$17,C16160)</f>
        <v>4</v>
      </c>
    </row>
    <row r="16186" customFormat="false" ht="15" hidden="false" customHeight="false" outlineLevel="0" collapsed="false">
      <c r="A16186" s="23" t="s">
        <v>467</v>
      </c>
      <c r="B16186" s="24"/>
      <c r="C16186" s="24"/>
      <c r="D16186" s="24"/>
      <c r="E16186" s="24"/>
      <c r="F16186" s="24"/>
      <c r="G16186" s="24"/>
      <c r="H16186" s="24"/>
      <c r="I16186" s="24"/>
      <c r="J16186" s="24"/>
      <c r="K16186" s="24"/>
    </row>
    <row r="16187" customFormat="false" ht="15" hidden="false" customHeight="false" outlineLevel="0" collapsed="false">
      <c r="A16187" s="5" t="s">
        <v>457</v>
      </c>
      <c r="C16187" s="25" t="n">
        <f aca="false">SUMPRODUCT(($C$16182:$C$16185&lt;C16182)*$C$16177:$C$16180)</f>
        <v>0</v>
      </c>
    </row>
    <row r="16188" customFormat="false" ht="15" hidden="false" customHeight="false" outlineLevel="0" collapsed="false">
      <c r="A16188" s="5" t="s">
        <v>458</v>
      </c>
      <c r="C16188" s="25" t="n">
        <f aca="false">SUMPRODUCT(($C$16182:$C$16185&lt;C16183)*$C$16177:$C$16180)</f>
        <v>234.9088</v>
      </c>
    </row>
    <row r="16189" customFormat="false" ht="15" hidden="false" customHeight="false" outlineLevel="0" collapsed="false">
      <c r="A16189" s="5" t="s">
        <v>459</v>
      </c>
      <c r="C16189" s="25" t="n">
        <f aca="false">SUMPRODUCT(($C$16182:$C$16185&lt;C16184)*$C$16177:$C$16180)</f>
        <v>744.5088</v>
      </c>
    </row>
    <row r="16190" customFormat="false" ht="15" hidden="false" customHeight="false" outlineLevel="0" collapsed="false">
      <c r="A16190" s="5" t="s">
        <v>460</v>
      </c>
      <c r="C16190" s="25" t="n">
        <f aca="false">SUMPRODUCT(($C$16182:$C$16185&lt;C16185)*$C$16177:$C$16180)</f>
        <v>994.5088</v>
      </c>
    </row>
    <row r="16191" customFormat="false" ht="15" hidden="false" customHeight="false" outlineLevel="0" collapsed="false">
      <c r="A16191" s="23" t="s">
        <v>468</v>
      </c>
      <c r="B16191" s="24"/>
      <c r="C16191" s="24"/>
      <c r="D16191" s="24"/>
      <c r="E16191" s="24"/>
      <c r="F16191" s="24"/>
      <c r="G16191" s="24"/>
      <c r="H16191" s="24"/>
      <c r="I16191" s="24"/>
      <c r="J16191" s="24"/>
      <c r="K16191" s="24"/>
    </row>
    <row r="16192" customFormat="false" ht="15" hidden="false" customHeight="false" outlineLevel="0" collapsed="false">
      <c r="A16192" s="5" t="s">
        <v>457</v>
      </c>
      <c r="C16192" s="25" t="n">
        <f aca="false">SUMPRODUCT(($C$16182:$C$16185=C16182)*$C$16177:$C$16180)</f>
        <v>234.9088</v>
      </c>
    </row>
    <row r="16193" customFormat="false" ht="15" hidden="false" customHeight="false" outlineLevel="0" collapsed="false">
      <c r="A16193" s="5" t="s">
        <v>458</v>
      </c>
      <c r="C16193" s="25" t="n">
        <f aca="false">SUMPRODUCT(($C$16182:$C$16185=C16183)*$C$16177:$C$16180)</f>
        <v>509.6</v>
      </c>
    </row>
    <row r="16194" customFormat="false" ht="15" hidden="false" customHeight="false" outlineLevel="0" collapsed="false">
      <c r="A16194" s="5" t="s">
        <v>459</v>
      </c>
      <c r="C16194" s="25" t="n">
        <f aca="false">SUMPRODUCT(($C$16182:$C$16185=C16184)*$C$16177:$C$16180)</f>
        <v>250</v>
      </c>
    </row>
    <row r="16195" customFormat="false" ht="15" hidden="false" customHeight="false" outlineLevel="0" collapsed="false">
      <c r="A16195" s="5" t="s">
        <v>460</v>
      </c>
      <c r="C16195" s="25" t="n">
        <f aca="false">SUMPRODUCT(($C$16182:$C$16185=C16185)*$C$16177:$C$16180)</f>
        <v>300</v>
      </c>
    </row>
    <row r="16196" customFormat="false" ht="15" hidden="false" customHeight="false" outlineLevel="0" collapsed="false">
      <c r="A16196" s="23" t="s">
        <v>469</v>
      </c>
      <c r="B16196" s="24"/>
      <c r="C16196" s="24"/>
      <c r="D16196" s="24"/>
      <c r="E16196" s="24"/>
      <c r="F16196" s="24"/>
      <c r="G16196" s="24"/>
      <c r="H16196" s="24"/>
      <c r="I16196" s="24"/>
      <c r="J16196" s="24"/>
      <c r="K16196" s="24"/>
    </row>
    <row r="16197" customFormat="false" ht="15" hidden="false" customHeight="false" outlineLevel="0" collapsed="false">
      <c r="A16197" s="5" t="s">
        <v>457</v>
      </c>
      <c r="C16197" s="25" t="n">
        <f aca="false">IF(C16192=0,0,C16177/C16192*MAX(0,MIN(C16192,$C$16150-SUM($C$16167:$C$16170)-C16187)))</f>
        <v>55.97928</v>
      </c>
    </row>
    <row r="16198" customFormat="false" ht="15" hidden="false" customHeight="false" outlineLevel="0" collapsed="false">
      <c r="A16198" s="5" t="s">
        <v>458</v>
      </c>
      <c r="C16198" s="25" t="n">
        <f aca="false">IF(C16193=0,0,C16178/C16193*MAX(0,MIN(C16193,$C$16150-SUM($C$16167:$C$16170)-C16188)))</f>
        <v>0</v>
      </c>
    </row>
    <row r="16199" customFormat="false" ht="15" hidden="false" customHeight="false" outlineLevel="0" collapsed="false">
      <c r="A16199" s="5" t="s">
        <v>459</v>
      </c>
      <c r="C16199" s="25" t="n">
        <f aca="false">IF(C16194=0,0,C16179/C16194*MAX(0,MIN(C16194,$C$16150-SUM($C$16167:$C$16170)-C16189)))</f>
        <v>0</v>
      </c>
    </row>
    <row r="16200" customFormat="false" ht="15" hidden="false" customHeight="false" outlineLevel="0" collapsed="false">
      <c r="A16200" s="5" t="s">
        <v>460</v>
      </c>
      <c r="C16200" s="25" t="n">
        <f aca="false">IF(C16195=0,0,C16180/C16195*MAX(0,MIN(C16195,$C$16150-SUM($C$16167:$C$16170)-C16190)))</f>
        <v>0</v>
      </c>
    </row>
    <row r="16201" customFormat="false" ht="15" hidden="false" customHeight="false" outlineLevel="0" collapsed="false">
      <c r="A16201" s="23" t="s">
        <v>470</v>
      </c>
      <c r="B16201" s="24"/>
      <c r="C16201" s="24"/>
      <c r="D16201" s="24"/>
      <c r="E16201" s="24"/>
      <c r="F16201" s="24"/>
      <c r="G16201" s="24"/>
      <c r="H16201" s="24"/>
      <c r="I16201" s="24"/>
      <c r="J16201" s="24"/>
      <c r="K16201" s="24"/>
    </row>
    <row r="16202" customFormat="false" ht="15" hidden="false" customHeight="false" outlineLevel="0" collapsed="false">
      <c r="A16202" s="2" t="s">
        <v>457</v>
      </c>
      <c r="C16202" s="16" t="n">
        <f aca="false">C16167+C16197</f>
        <v>55.97928</v>
      </c>
    </row>
    <row r="16203" customFormat="false" ht="15" hidden="false" customHeight="false" outlineLevel="0" collapsed="false">
      <c r="A16203" s="2" t="s">
        <v>458</v>
      </c>
      <c r="C16203" s="16" t="n">
        <f aca="false">C16168+C16198</f>
        <v>0</v>
      </c>
    </row>
    <row r="16204" customFormat="false" ht="15" hidden="false" customHeight="false" outlineLevel="0" collapsed="false">
      <c r="A16204" s="2" t="s">
        <v>459</v>
      </c>
      <c r="C16204" s="16" t="n">
        <f aca="false">C16169+C16199</f>
        <v>0</v>
      </c>
    </row>
    <row r="16205" customFormat="false" ht="15" hidden="false" customHeight="false" outlineLevel="0" collapsed="false">
      <c r="A16205" s="2" t="s">
        <v>460</v>
      </c>
      <c r="C16205" s="16" t="n">
        <f aca="false">C16170+C16200</f>
        <v>0</v>
      </c>
    </row>
    <row r="16206" customFormat="false" ht="15" hidden="false" customHeight="false" outlineLevel="0" collapsed="false">
      <c r="A16206" s="23" t="s">
        <v>471</v>
      </c>
      <c r="B16206" s="24"/>
      <c r="C16206" s="24"/>
      <c r="D16206" s="24"/>
      <c r="E16206" s="24"/>
      <c r="F16206" s="24"/>
      <c r="G16206" s="24"/>
      <c r="H16206" s="24"/>
      <c r="I16206" s="24"/>
      <c r="J16206" s="24"/>
      <c r="K16206" s="24"/>
    </row>
    <row r="16207" customFormat="false" ht="15" hidden="false" customHeight="false" outlineLevel="0" collapsed="false">
      <c r="A16207" s="5" t="s">
        <v>457</v>
      </c>
      <c r="C16207" s="21" t="n">
        <f aca="false">IF(C16152=0,1,C16202/C16152)</f>
        <v>0.238302183655955</v>
      </c>
    </row>
    <row r="16208" customFormat="false" ht="15" hidden="false" customHeight="false" outlineLevel="0" collapsed="false">
      <c r="A16208" s="5" t="s">
        <v>458</v>
      </c>
      <c r="C16208" s="21" t="n">
        <f aca="false">IF(C16153=0,1,C16203/C16153)</f>
        <v>0</v>
      </c>
    </row>
    <row r="16209" customFormat="false" ht="15" hidden="false" customHeight="false" outlineLevel="0" collapsed="false">
      <c r="A16209" s="5" t="s">
        <v>459</v>
      </c>
      <c r="C16209" s="21" t="n">
        <f aca="false">IF(C16154=0,1,C16204/C16154)</f>
        <v>0</v>
      </c>
    </row>
    <row r="16210" customFormat="false" ht="15" hidden="false" customHeight="false" outlineLevel="0" collapsed="false">
      <c r="A16210" s="5" t="s">
        <v>460</v>
      </c>
      <c r="C16210" s="21" t="n">
        <f aca="false">IF(C16155=0,1,C16205/C16155)</f>
        <v>0</v>
      </c>
    </row>
    <row r="16211" customFormat="false" ht="15" hidden="false" customHeight="false" outlineLevel="0" collapsed="false">
      <c r="A16211" s="23" t="s">
        <v>472</v>
      </c>
      <c r="B16211" s="24"/>
      <c r="C16211" s="24"/>
      <c r="D16211" s="24"/>
      <c r="E16211" s="24"/>
      <c r="F16211" s="24"/>
      <c r="G16211" s="24"/>
      <c r="H16211" s="24"/>
      <c r="I16211" s="24"/>
      <c r="J16211" s="24"/>
      <c r="K16211" s="24"/>
    </row>
    <row r="16212" customFormat="false" ht="15" hidden="false" customHeight="false" outlineLevel="0" collapsed="false">
      <c r="A16212" s="5" t="s">
        <v>457</v>
      </c>
      <c r="C16212" s="25" t="n">
        <f aca="false">C16152-C16202</f>
        <v>178.92952</v>
      </c>
    </row>
    <row r="16213" customFormat="false" ht="15" hidden="false" customHeight="false" outlineLevel="0" collapsed="false">
      <c r="A16213" s="5" t="s">
        <v>458</v>
      </c>
      <c r="C16213" s="25" t="n">
        <f aca="false">C16153-C16203</f>
        <v>509.6</v>
      </c>
    </row>
    <row r="16214" customFormat="false" ht="15" hidden="false" customHeight="false" outlineLevel="0" collapsed="false">
      <c r="A16214" s="5" t="s">
        <v>459</v>
      </c>
      <c r="C16214" s="25" t="n">
        <f aca="false">C16154-C16204</f>
        <v>250</v>
      </c>
    </row>
    <row r="16215" customFormat="false" ht="15" hidden="false" customHeight="false" outlineLevel="0" collapsed="false">
      <c r="A16215" s="5" t="s">
        <v>460</v>
      </c>
      <c r="C16215" s="25" t="n">
        <f aca="false">C16155-C16205</f>
        <v>300</v>
      </c>
    </row>
    <row r="16216" customFormat="false" ht="15" hidden="false" customHeight="false" outlineLevel="0" collapsed="false">
      <c r="A16216" s="23" t="s">
        <v>473</v>
      </c>
      <c r="B16216" s="24"/>
      <c r="C16216" s="24"/>
      <c r="D16216" s="24"/>
      <c r="E16216" s="24"/>
      <c r="F16216" s="24"/>
      <c r="G16216" s="24"/>
      <c r="H16216" s="24"/>
      <c r="I16216" s="24"/>
      <c r="J16216" s="24"/>
      <c r="K16216" s="24"/>
    </row>
    <row r="16217" customFormat="false" ht="15" hidden="false" customHeight="false" outlineLevel="0" collapsed="false">
      <c r="A16217" s="5" t="s">
        <v>457</v>
      </c>
      <c r="C16217" s="21" t="n">
        <f aca="false">IF(C16152=0,0,C16212/C16152)</f>
        <v>0.761697816344045</v>
      </c>
    </row>
    <row r="16218" customFormat="false" ht="15" hidden="false" customHeight="false" outlineLevel="0" collapsed="false">
      <c r="A16218" s="5" t="s">
        <v>458</v>
      </c>
      <c r="C16218" s="21" t="n">
        <f aca="false">IF(C16153=0,0,C16213/C16153)</f>
        <v>1</v>
      </c>
    </row>
    <row r="16219" customFormat="false" ht="15" hidden="false" customHeight="false" outlineLevel="0" collapsed="false">
      <c r="A16219" s="5" t="s">
        <v>459</v>
      </c>
      <c r="C16219" s="21" t="n">
        <f aca="false">IF(C16154=0,0,C16214/C16154)</f>
        <v>1</v>
      </c>
    </row>
    <row r="16220" customFormat="false" ht="15" hidden="false" customHeight="false" outlineLevel="0" collapsed="false">
      <c r="A16220" s="5" t="s">
        <v>460</v>
      </c>
      <c r="C16220" s="21" t="n">
        <f aca="false">IF(C16155=0,0,C16215/C16155)</f>
        <v>1</v>
      </c>
    </row>
    <row r="16221" customFormat="false" ht="15" hidden="false" customHeight="false" outlineLevel="0" collapsed="false">
      <c r="A16221" s="2" t="s">
        <v>474</v>
      </c>
      <c r="C16221" s="16" t="n">
        <f aca="false">MAX(0,$C$16150-SUM($C$16167:$C$16170)-SUM($C$16177:$C$16180))</f>
        <v>0</v>
      </c>
    </row>
    <row r="16222" customFormat="false" ht="15" hidden="false" customHeight="false" outlineLevel="0" collapsed="false">
      <c r="A16222" s="5" t="s">
        <v>492</v>
      </c>
      <c r="C16222" s="33" t="n">
        <f aca="false">MIN(C16149,100*CHOOSE(C16139,C16207,C16208,C16209,C16210))</f>
        <v>0</v>
      </c>
    </row>
    <row r="16223" customFormat="false" ht="15" hidden="false" customHeight="false" outlineLevel="0" collapsed="false">
      <c r="A16223" s="5" t="s">
        <v>493</v>
      </c>
      <c r="C16223" s="20" t="n">
        <f aca="false">IF(C16055=1,C16144+Assumptions!$C$36,C16143)</f>
        <v>3</v>
      </c>
    </row>
    <row r="16224" customFormat="false" ht="15" hidden="false" customHeight="false" outlineLevel="0" collapsed="false">
      <c r="A16224" s="23" t="s">
        <v>494</v>
      </c>
      <c r="B16224" s="24"/>
      <c r="C16224" s="24"/>
      <c r="D16224" s="24"/>
      <c r="E16224" s="24"/>
      <c r="F16224" s="24"/>
      <c r="G16224" s="24"/>
      <c r="H16224" s="24"/>
      <c r="I16224" s="24"/>
      <c r="J16224" s="24"/>
      <c r="K16224" s="24"/>
    </row>
    <row r="16225" customFormat="false" ht="15" hidden="false" customHeight="false" outlineLevel="0" collapsed="false">
      <c r="A16225" s="5" t="s">
        <v>495</v>
      </c>
      <c r="C16225" s="20" t="n">
        <f aca="false">COLUMN()-COLUMN($C$1)</f>
        <v>0</v>
      </c>
      <c r="D16225" s="20" t="n">
        <f aca="false">COLUMN()-COLUMN($C$1)</f>
        <v>1</v>
      </c>
      <c r="E16225" s="20" t="n">
        <f aca="false">COLUMN()-COLUMN($C$1)</f>
        <v>2</v>
      </c>
      <c r="F16225" s="20" t="n">
        <f aca="false">COLUMN()-COLUMN($C$1)</f>
        <v>3</v>
      </c>
      <c r="G16225" s="20" t="n">
        <f aca="false">COLUMN()-COLUMN($C$1)</f>
        <v>4</v>
      </c>
      <c r="H16225" s="20" t="n">
        <f aca="false">COLUMN()-COLUMN($C$1)</f>
        <v>5</v>
      </c>
      <c r="I16225" s="20" t="n">
        <f aca="false">COLUMN()-COLUMN($C$1)</f>
        <v>6</v>
      </c>
    </row>
    <row r="16226" customFormat="false" ht="15" hidden="false" customHeight="false" outlineLevel="0" collapsed="false">
      <c r="A16226" s="5" t="s">
        <v>496</v>
      </c>
      <c r="D16226" s="30" t="n">
        <f aca="false">CHOOSE($C$16139,G15937,G15950,G15963,G15976)</f>
        <v>0.133</v>
      </c>
      <c r="E16226" s="30" t="n">
        <f aca="false">CHOOSE($C$16139,H15937,H15950,H15963,H15976)</f>
        <v>0.1305</v>
      </c>
      <c r="F16226" s="30" t="n">
        <f aca="false">CHOOSE($C$16139,I15937,I15950,I15963,I15976)</f>
        <v>0.128</v>
      </c>
      <c r="G16226" s="30" t="n">
        <f aca="false">CHOOSE($C$16139,J15937,J15950,J15963,J15976)</f>
        <v>0.128</v>
      </c>
      <c r="H16226" s="30" t="n">
        <f aca="false">CHOOSE($C$16139,K15937,K15950,K15963,K15976)</f>
        <v>0.128</v>
      </c>
    </row>
    <row r="16227" customFormat="false" ht="15" hidden="false" customHeight="false" outlineLevel="0" collapsed="false">
      <c r="A16227" s="5" t="s">
        <v>497</v>
      </c>
      <c r="D16227" s="25" t="n">
        <f aca="false">IF(D16225&lt;=$C$16148,$C$16140*D16226,0)</f>
        <v>13.3</v>
      </c>
      <c r="E16227" s="25" t="n">
        <f aca="false">IF(E16225&lt;=$C$16148,$C$16140*E16226,0)</f>
        <v>13.05</v>
      </c>
      <c r="F16227" s="25" t="n">
        <f aca="false">IF(F16225&lt;=$C$16148,$C$16140*F16226,0)</f>
        <v>0</v>
      </c>
      <c r="G16227" s="25" t="n">
        <f aca="false">IF(G16225&lt;=$C$16148,$C$16140*G16226,0)</f>
        <v>0</v>
      </c>
      <c r="H16227" s="25" t="n">
        <f aca="false">IF(H16225&lt;=$C$16148,$C$16140*H16226,0)</f>
        <v>0</v>
      </c>
    </row>
    <row r="16228" customFormat="false" ht="15" hidden="false" customHeight="false" outlineLevel="0" collapsed="false">
      <c r="A16228" s="5" t="s">
        <v>498</v>
      </c>
      <c r="D16228" s="25" t="n">
        <f aca="false">IF(AND($C$16055=0,D16225=$C$16143),$C$16140*$C$16222/100,0)+IF(AND($C$16055=1,D16225=$C$16223),$C$16146,0)</f>
        <v>0</v>
      </c>
      <c r="E16228" s="25" t="n">
        <f aca="false">IF(AND($C$16055=0,E16225=$C$16143),$C$16140*$C$16222/100,0)+IF(AND($C$16055=1,E16225=$C$16223),$C$16146,0)</f>
        <v>0</v>
      </c>
      <c r="F16228" s="25" t="n">
        <f aca="false">IF(AND($C$16055=0,F16225=$C$16143),$C$16140*$C$16222/100,0)+IF(AND($C$16055=1,F16225=$C$16223),$C$16146,0)</f>
        <v>29.0034660125589</v>
      </c>
      <c r="G16228" s="25" t="n">
        <f aca="false">IF(AND($C$16055=0,G16225=$C$16143),$C$16140*$C$16222/100,0)+IF(AND($C$16055=1,G16225=$C$16223),$C$16146,0)</f>
        <v>0</v>
      </c>
      <c r="H16228" s="25" t="n">
        <f aca="false">IF(AND($C$16055=0,H16225=$C$16143),$C$16140*$C$16222/100,0)+IF(AND($C$16055=1,H16225=$C$16223),$C$16146,0)</f>
        <v>0</v>
      </c>
      <c r="I16228" s="25" t="n">
        <f aca="false">IF(AND($C$16055=0,I16225=$C$16143),$C$16140*$C$16222/100,0)+IF(AND($C$16055=1,I16225=$C$16223),$C$16146,0)</f>
        <v>0</v>
      </c>
    </row>
    <row r="16229" customFormat="false" ht="15" hidden="false" customHeight="false" outlineLevel="0" collapsed="false">
      <c r="A16229" s="2" t="s">
        <v>499</v>
      </c>
      <c r="C16229" s="16" t="n">
        <f aca="false">-$C$16142</f>
        <v>-78.39</v>
      </c>
      <c r="D16229" s="16" t="n">
        <f aca="false">D16227+D16228</f>
        <v>13.3</v>
      </c>
      <c r="E16229" s="16" t="n">
        <f aca="false">E16227+E16228</f>
        <v>13.05</v>
      </c>
      <c r="F16229" s="16" t="n">
        <f aca="false">F16227+F16228</f>
        <v>29.0034660125589</v>
      </c>
      <c r="G16229" s="16" t="n">
        <f aca="false">G16227+G16228</f>
        <v>0</v>
      </c>
      <c r="H16229" s="16" t="n">
        <f aca="false">H16227+H16228</f>
        <v>0</v>
      </c>
      <c r="I16229" s="16" t="n">
        <f aca="false">I16227+I16228</f>
        <v>0</v>
      </c>
    </row>
    <row r="16230" customFormat="false" ht="15" hidden="false" customHeight="false" outlineLevel="0" collapsed="false">
      <c r="A16230" s="5" t="s">
        <v>500</v>
      </c>
      <c r="C16230" s="25" t="n">
        <f aca="false">SUM($C$16227:$I$16227)</f>
        <v>26.35</v>
      </c>
    </row>
    <row r="16231" customFormat="false" ht="15" hidden="false" customHeight="false" outlineLevel="0" collapsed="false">
      <c r="A16231" s="5" t="s">
        <v>501</v>
      </c>
      <c r="C16231" s="25" t="n">
        <f aca="false">SUM($C$16228:$I$16228)</f>
        <v>29.0034660125589</v>
      </c>
    </row>
    <row r="16232" customFormat="false" ht="15" hidden="false" customHeight="false" outlineLevel="0" collapsed="false">
      <c r="A16232" s="5" t="s">
        <v>502</v>
      </c>
      <c r="C16232" s="25" t="n">
        <f aca="false">C16230+C16231</f>
        <v>55.3534660125589</v>
      </c>
    </row>
    <row r="16233" customFormat="false" ht="15" hidden="false" customHeight="false" outlineLevel="0" collapsed="false">
      <c r="A16233" s="5" t="s">
        <v>503</v>
      </c>
      <c r="C16233" s="25" t="n">
        <f aca="false">C16231-C16140*C16141/100</f>
        <v>-48.9965339874412</v>
      </c>
    </row>
    <row r="16234" customFormat="false" ht="15" hidden="false" customHeight="false" outlineLevel="0" collapsed="false">
      <c r="A16234" s="5" t="s">
        <v>504</v>
      </c>
      <c r="C16234" s="25" t="n">
        <f aca="false">C16232-C16142</f>
        <v>-23.0365339874411</v>
      </c>
    </row>
    <row r="16235" customFormat="false" ht="15" hidden="false" customHeight="false" outlineLevel="0" collapsed="false">
      <c r="A16235" s="2" t="s">
        <v>385</v>
      </c>
      <c r="C16235" s="43" t="n">
        <f aca="false">C16232/C16142</f>
        <v>0.706129174799832</v>
      </c>
    </row>
    <row r="16236" customFormat="false" ht="15" hidden="false" customHeight="false" outlineLevel="0" collapsed="false">
      <c r="A16236" s="2" t="s">
        <v>384</v>
      </c>
      <c r="C16236" s="41" t="n">
        <f aca="false">IF(C16232&lt;=0,-1,IFERROR(IRR($C$16229:$I$16229,MAX(-0.9,C16235^(1/C16223)-1)),IRR($C$16229:$I$16229,0.1)))</f>
        <v>-0.138534047289136</v>
      </c>
    </row>
    <row r="16237" customFormat="false" ht="15" hidden="false" customHeight="false" outlineLevel="0" collapsed="false">
      <c r="A16237" s="5" t="s">
        <v>505</v>
      </c>
      <c r="C16237" s="31" t="n">
        <f aca="false">MAX($G$16031:$K$16031)</f>
        <v>124.624351403687</v>
      </c>
    </row>
    <row r="16238" customFormat="false" ht="15" hidden="false" customHeight="false" outlineLevel="0" collapsed="false">
      <c r="A16238" s="5" t="s">
        <v>506</v>
      </c>
      <c r="C16238" s="31" t="n">
        <f aca="false">MIN($G$16032:$K$16032)</f>
        <v>0.109080209295775</v>
      </c>
    </row>
    <row r="16239" customFormat="false" ht="15" hidden="false" customHeight="false" outlineLevel="0" collapsed="false">
      <c r="A16239" s="5" t="s">
        <v>507</v>
      </c>
      <c r="C16239" s="25" t="n">
        <f aca="false">SUM($G$15921:$K$15921)</f>
        <v>-697.792895058854</v>
      </c>
    </row>
    <row r="16243" customFormat="false" ht="15" hidden="false" customHeight="false" outlineLevel="0" collapsed="false">
      <c r="A16243" s="9" t="s">
        <v>672</v>
      </c>
      <c r="B16243" s="10"/>
      <c r="C16243" s="10"/>
      <c r="D16243" s="10"/>
      <c r="E16243" s="10"/>
      <c r="F16243" s="10"/>
      <c r="G16243" s="10"/>
      <c r="H16243" s="10"/>
      <c r="I16243" s="10"/>
      <c r="J16243" s="10"/>
      <c r="K16243" s="10"/>
    </row>
    <row r="16244" customFormat="false" ht="15" hidden="false" customHeight="false" outlineLevel="0" collapsed="false">
      <c r="A16244" s="5" t="s">
        <v>622</v>
      </c>
      <c r="C16244" s="11" t="n">
        <v>3</v>
      </c>
    </row>
    <row r="16245" customFormat="false" ht="15" hidden="false" customHeight="false" outlineLevel="0" collapsed="false">
      <c r="A16245" s="5" t="s">
        <v>623</v>
      </c>
      <c r="C16245" s="18" t="n">
        <v>0</v>
      </c>
    </row>
    <row r="16246" customFormat="false" ht="15" hidden="false" customHeight="false" outlineLevel="0" collapsed="false">
      <c r="A16246" s="5" t="s">
        <v>624</v>
      </c>
      <c r="C16246" s="18" t="n">
        <v>0</v>
      </c>
    </row>
    <row r="16247" customFormat="false" ht="15" hidden="false" customHeight="false" outlineLevel="0" collapsed="false">
      <c r="A16247" s="5" t="s">
        <v>625</v>
      </c>
      <c r="C16247" s="29" t="n">
        <f aca="false">Sensitivities!$A$53</f>
        <v>0.01</v>
      </c>
    </row>
    <row r="16248" customFormat="false" ht="15" hidden="false" customHeight="false" outlineLevel="0" collapsed="false">
      <c r="A16248" s="5" t="s">
        <v>626</v>
      </c>
      <c r="C16248" s="15" t="n">
        <v>0</v>
      </c>
    </row>
    <row r="16250" customFormat="false" ht="15" hidden="false" customHeight="false" outlineLevel="0" collapsed="false">
      <c r="A16250" s="23" t="s">
        <v>237</v>
      </c>
      <c r="B16250" s="24"/>
      <c r="C16250" s="24"/>
      <c r="D16250" s="24"/>
      <c r="E16250" s="24"/>
      <c r="F16250" s="24"/>
      <c r="G16250" s="24"/>
      <c r="H16250" s="24"/>
      <c r="I16250" s="24"/>
      <c r="J16250" s="24"/>
      <c r="K16250" s="24"/>
    </row>
    <row r="16251" customFormat="false" ht="15" hidden="false" customHeight="false" outlineLevel="0" collapsed="false">
      <c r="A16251" s="5" t="s">
        <v>238</v>
      </c>
      <c r="F16251" s="26" t="n">
        <f aca="false">Assumptions!$C$6</f>
        <v>2025</v>
      </c>
      <c r="G16251" s="20" t="n">
        <f aca="false">F16251+1</f>
        <v>2026</v>
      </c>
      <c r="H16251" s="20" t="n">
        <f aca="false">G16251+1</f>
        <v>2027</v>
      </c>
      <c r="I16251" s="20" t="n">
        <f aca="false">H16251+1</f>
        <v>2028</v>
      </c>
      <c r="J16251" s="20" t="n">
        <f aca="false">I16251+1</f>
        <v>2029</v>
      </c>
      <c r="K16251" s="20" t="n">
        <f aca="false">J16251+1</f>
        <v>2030</v>
      </c>
    </row>
    <row r="16252" customFormat="false" ht="15" hidden="false" customHeight="false" outlineLevel="0" collapsed="false">
      <c r="A16252" s="5" t="s">
        <v>239</v>
      </c>
      <c r="G16252" s="20" t="n">
        <f aca="false">G16251-Assumptions!$C$6</f>
        <v>1</v>
      </c>
      <c r="H16252" s="20" t="n">
        <f aca="false">H16251-Assumptions!$C$6</f>
        <v>2</v>
      </c>
      <c r="I16252" s="20" t="n">
        <f aca="false">I16251-Assumptions!$C$6</f>
        <v>3</v>
      </c>
      <c r="J16252" s="20" t="n">
        <f aca="false">J16251-Assumptions!$C$6</f>
        <v>4</v>
      </c>
      <c r="K16252" s="20" t="n">
        <f aca="false">K16251-Assumptions!$C$6</f>
        <v>5</v>
      </c>
    </row>
    <row r="16253" customFormat="false" ht="15" hidden="false" customHeight="false" outlineLevel="0" collapsed="false">
      <c r="A16253" s="5" t="s">
        <v>149</v>
      </c>
      <c r="G16253" s="21" t="n">
        <f aca="false">CHOOSE($C$16244,Assumptions!$G$65,Assumptions!$G$84,Assumptions!$G$103)+$C$16245</f>
        <v>-0.234</v>
      </c>
      <c r="H16253" s="21" t="n">
        <f aca="false">CHOOSE($C$16244,Assumptions!$H$65,Assumptions!$H$84,Assumptions!$H$103)+$C$16245</f>
        <v>-0.13</v>
      </c>
      <c r="I16253" s="21" t="n">
        <f aca="false">CHOOSE($C$16244,Assumptions!$I$65,Assumptions!$I$84,Assumptions!$I$103)+$C$16245</f>
        <v>-0.026</v>
      </c>
      <c r="J16253" s="21" t="n">
        <f aca="false">CHOOSE($C$16244,Assumptions!$J$65,Assumptions!$J$84,Assumptions!$J$103)+$C$16245</f>
        <v>-0.01</v>
      </c>
      <c r="K16253" s="21" t="n">
        <f aca="false">CHOOSE($C$16244,Assumptions!$K$65,Assumptions!$K$84,Assumptions!$K$103)+$C$16245</f>
        <v>-0.01</v>
      </c>
    </row>
    <row r="16254" customFormat="false" ht="15" hidden="false" customHeight="false" outlineLevel="0" collapsed="false">
      <c r="A16254" s="5" t="s">
        <v>150</v>
      </c>
      <c r="G16254" s="21" t="n">
        <f aca="false">CHOOSE($C$16244,Assumptions!$G$66,Assumptions!$G$85,Assumptions!$G$104)</f>
        <v>0.305</v>
      </c>
      <c r="H16254" s="21" t="n">
        <f aca="false">CHOOSE($C$16244,Assumptions!$H$66,Assumptions!$H$85,Assumptions!$H$104)</f>
        <v>0.305</v>
      </c>
      <c r="I16254" s="21" t="n">
        <f aca="false">CHOOSE($C$16244,Assumptions!$I$66,Assumptions!$I$85,Assumptions!$I$104)</f>
        <v>0.305</v>
      </c>
      <c r="J16254" s="21" t="n">
        <f aca="false">CHOOSE($C$16244,Assumptions!$J$66,Assumptions!$J$85,Assumptions!$J$104)</f>
        <v>0.305</v>
      </c>
      <c r="K16254" s="21" t="n">
        <f aca="false">CHOOSE($C$16244,Assumptions!$K$66,Assumptions!$K$85,Assumptions!$K$104)</f>
        <v>0.305</v>
      </c>
    </row>
    <row r="16255" customFormat="false" ht="15" hidden="false" customHeight="false" outlineLevel="0" collapsed="false">
      <c r="A16255" s="5" t="s">
        <v>151</v>
      </c>
      <c r="G16255" s="21" t="n">
        <f aca="false">CHOOSE($C$16244,Assumptions!$G$67,Assumptions!$G$86,Assumptions!$G$105)+$C$16246</f>
        <v>0.01</v>
      </c>
      <c r="H16255" s="21" t="n">
        <f aca="false">CHOOSE($C$16244,Assumptions!$H$67,Assumptions!$H$86,Assumptions!$H$105)+$C$16246</f>
        <v>0.01</v>
      </c>
      <c r="I16255" s="21" t="n">
        <f aca="false">CHOOSE($C$16244,Assumptions!$I$67,Assumptions!$I$86,Assumptions!$I$105)+$C$16246</f>
        <v>0.01</v>
      </c>
      <c r="J16255" s="21" t="n">
        <f aca="false">CHOOSE($C$16244,Assumptions!$J$67,Assumptions!$J$86,Assumptions!$J$105)+$C$16246</f>
        <v>0.01</v>
      </c>
      <c r="K16255" s="21" t="n">
        <f aca="false">CHOOSE($C$16244,Assumptions!$K$67,Assumptions!$K$86,Assumptions!$K$105)+$C$16246</f>
        <v>0.01</v>
      </c>
    </row>
    <row r="16256" customFormat="false" ht="15" hidden="false" customHeight="false" outlineLevel="0" collapsed="false">
      <c r="A16256" s="23" t="s">
        <v>240</v>
      </c>
      <c r="B16256" s="24"/>
      <c r="C16256" s="24"/>
      <c r="D16256" s="24"/>
      <c r="E16256" s="24"/>
      <c r="F16256" s="24"/>
      <c r="G16256" s="24"/>
      <c r="H16256" s="24"/>
      <c r="I16256" s="24"/>
      <c r="J16256" s="24"/>
      <c r="K16256" s="24"/>
    </row>
    <row r="16257" customFormat="false" ht="15" hidden="false" customHeight="false" outlineLevel="0" collapsed="false">
      <c r="A16257" s="2" t="s">
        <v>207</v>
      </c>
      <c r="F16257" s="27" t="n">
        <f aca="false">'Historical Financials'!E17</f>
        <v>2400</v>
      </c>
      <c r="G16257" s="16" t="n">
        <f aca="false">F16257*(1+G16253)</f>
        <v>1838.4</v>
      </c>
      <c r="H16257" s="16" t="n">
        <f aca="false">G16257*(1+H16253)</f>
        <v>1599.408</v>
      </c>
      <c r="I16257" s="16" t="n">
        <f aca="false">H16257*(1+I16253)</f>
        <v>1557.823392</v>
      </c>
      <c r="J16257" s="16" t="n">
        <f aca="false">I16257*(1+J16253)</f>
        <v>1542.24515808</v>
      </c>
      <c r="K16257" s="16" t="n">
        <f aca="false">J16257*(1+K16253)</f>
        <v>1526.8227064992</v>
      </c>
    </row>
    <row r="16258" customFormat="false" ht="15" hidden="false" customHeight="false" outlineLevel="0" collapsed="false">
      <c r="A16258" s="5" t="s">
        <v>217</v>
      </c>
      <c r="G16258" s="25" t="n">
        <f aca="false">G16257*(1-G16254)</f>
        <v>1277.688</v>
      </c>
      <c r="H16258" s="25" t="n">
        <f aca="false">H16257*(1-H16254)</f>
        <v>1111.58856</v>
      </c>
      <c r="I16258" s="25" t="n">
        <f aca="false">I16257*(1-I16254)</f>
        <v>1082.68725744</v>
      </c>
      <c r="J16258" s="25" t="n">
        <f aca="false">J16257*(1-J16254)</f>
        <v>1071.8603848656</v>
      </c>
      <c r="K16258" s="25" t="n">
        <f aca="false">K16257*(1-K16254)</f>
        <v>1061.14178101694</v>
      </c>
    </row>
    <row r="16259" customFormat="false" ht="15" hidden="false" customHeight="false" outlineLevel="0" collapsed="false">
      <c r="A16259" s="2" t="s">
        <v>218</v>
      </c>
      <c r="G16259" s="16" t="n">
        <f aca="false">G16257-G16258</f>
        <v>560.712</v>
      </c>
      <c r="H16259" s="16" t="n">
        <f aca="false">H16257-H16258</f>
        <v>487.81944</v>
      </c>
      <c r="I16259" s="16" t="n">
        <f aca="false">I16257-I16258</f>
        <v>475.13613456</v>
      </c>
      <c r="J16259" s="16" t="n">
        <f aca="false">J16257-J16258</f>
        <v>470.3847732144</v>
      </c>
      <c r="K16259" s="16" t="n">
        <f aca="false">K16257-K16258</f>
        <v>465.680925482256</v>
      </c>
    </row>
    <row r="16260" customFormat="false" ht="15" hidden="false" customHeight="false" outlineLevel="0" collapsed="false">
      <c r="A16260" s="5" t="s">
        <v>241</v>
      </c>
      <c r="G16260" s="25" t="n">
        <f aca="false">G16259-G16261</f>
        <v>542.328</v>
      </c>
      <c r="H16260" s="25" t="n">
        <f aca="false">H16259-H16261</f>
        <v>471.82536</v>
      </c>
      <c r="I16260" s="25" t="n">
        <f aca="false">I16259-I16261</f>
        <v>459.55790064</v>
      </c>
      <c r="J16260" s="25" t="n">
        <f aca="false">J16259-J16261</f>
        <v>454.9623216336</v>
      </c>
      <c r="K16260" s="25" t="n">
        <f aca="false">K16259-K16261</f>
        <v>450.412698417264</v>
      </c>
    </row>
    <row r="16261" customFormat="false" ht="15" hidden="false" customHeight="false" outlineLevel="0" collapsed="false">
      <c r="A16261" s="2" t="s">
        <v>242</v>
      </c>
      <c r="G16261" s="16" t="n">
        <f aca="false">G16257*G16255</f>
        <v>18.384</v>
      </c>
      <c r="H16261" s="16" t="n">
        <f aca="false">H16257*H16255</f>
        <v>15.99408</v>
      </c>
      <c r="I16261" s="16" t="n">
        <f aca="false">I16257*I16255</f>
        <v>15.57823392</v>
      </c>
      <c r="J16261" s="16" t="n">
        <f aca="false">J16257*J16255</f>
        <v>15.4224515808</v>
      </c>
      <c r="K16261" s="16" t="n">
        <f aca="false">K16257*K16255</f>
        <v>15.268227064992</v>
      </c>
    </row>
    <row r="16262" customFormat="false" ht="15" hidden="false" customHeight="false" outlineLevel="0" collapsed="false">
      <c r="A16262" s="5" t="s">
        <v>243</v>
      </c>
      <c r="G16262" s="25" t="n">
        <f aca="false">G16257*'Historical Financials'!E22/'Historical Financials'!E17</f>
        <v>40.4448</v>
      </c>
      <c r="H16262" s="25" t="n">
        <f aca="false">H16257*'Historical Financials'!E22/'Historical Financials'!E17</f>
        <v>35.186976</v>
      </c>
      <c r="I16262" s="25" t="n">
        <f aca="false">I16257*'Historical Financials'!E22/'Historical Financials'!E17</f>
        <v>34.272114624</v>
      </c>
      <c r="J16262" s="25" t="n">
        <f aca="false">J16257*'Historical Financials'!E22/'Historical Financials'!E17</f>
        <v>33.92939347776</v>
      </c>
      <c r="K16262" s="25" t="n">
        <f aca="false">K16257*'Historical Financials'!E22/'Historical Financials'!E17</f>
        <v>33.5900995429824</v>
      </c>
    </row>
    <row r="16263" customFormat="false" ht="15" hidden="false" customHeight="false" outlineLevel="0" collapsed="false">
      <c r="A16263" s="5" t="s">
        <v>244</v>
      </c>
      <c r="G16263" s="25" t="n">
        <f aca="false">G16257*'Historical Financials'!E23/'Historical Financials'!E17</f>
        <v>0</v>
      </c>
      <c r="H16263" s="25" t="n">
        <f aca="false">H16257*'Historical Financials'!E23/'Historical Financials'!E17</f>
        <v>0</v>
      </c>
      <c r="I16263" s="25" t="n">
        <f aca="false">I16257*'Historical Financials'!E23/'Historical Financials'!E17</f>
        <v>0</v>
      </c>
      <c r="J16263" s="25" t="n">
        <f aca="false">J16257*'Historical Financials'!E23/'Historical Financials'!E17</f>
        <v>0</v>
      </c>
      <c r="K16263" s="25" t="n">
        <f aca="false">K16257*'Historical Financials'!E23/'Historical Financials'!E17</f>
        <v>0</v>
      </c>
    </row>
    <row r="16264" customFormat="false" ht="15" hidden="false" customHeight="false" outlineLevel="0" collapsed="false">
      <c r="A16264" s="2" t="s">
        <v>245</v>
      </c>
      <c r="G16264" s="16" t="n">
        <f aca="false">G16261-G16262-G16263</f>
        <v>-22.0608</v>
      </c>
      <c r="H16264" s="16" t="n">
        <f aca="false">H16261-H16262-H16263</f>
        <v>-19.192896</v>
      </c>
      <c r="I16264" s="16" t="n">
        <f aca="false">I16261-I16262-I16263</f>
        <v>-18.693880704</v>
      </c>
      <c r="J16264" s="16" t="n">
        <f aca="false">J16261-J16262-J16263</f>
        <v>-18.50694189696</v>
      </c>
      <c r="K16264" s="16" t="n">
        <f aca="false">K16261-K16262-K16263</f>
        <v>-18.3218724779904</v>
      </c>
    </row>
    <row r="16265" customFormat="false" ht="15" hidden="false" customHeight="false" outlineLevel="0" collapsed="false">
      <c r="A16265" s="5" t="s">
        <v>246</v>
      </c>
      <c r="G16265" s="25" t="n">
        <f aca="false">G16291+G16304+G16317+G16330</f>
        <v>147.04</v>
      </c>
      <c r="H16265" s="25" t="n">
        <f aca="false">H16291+H16304+H16317+H16330</f>
        <v>152.2051368</v>
      </c>
      <c r="I16265" s="25" t="n">
        <f aca="false">I16291+I16304+I16317+I16330</f>
        <v>149.5957648</v>
      </c>
      <c r="J16265" s="25" t="n">
        <f aca="false">J16291+J16304+J16317+J16330</f>
        <v>148.8781648</v>
      </c>
      <c r="K16265" s="25" t="n">
        <f aca="false">K16291+K16304+K16317+K16330</f>
        <v>148.1605648</v>
      </c>
    </row>
    <row r="16266" customFormat="false" ht="15" hidden="false" customHeight="false" outlineLevel="0" collapsed="false">
      <c r="A16266" s="5" t="s">
        <v>247</v>
      </c>
      <c r="G16266" s="25" t="n">
        <f aca="false">G16292+G16305+G16318+G16331</f>
        <v>0</v>
      </c>
      <c r="H16266" s="25" t="n">
        <f aca="false">H16292+H16305+H16318+H16331</f>
        <v>0</v>
      </c>
      <c r="I16266" s="25" t="n">
        <f aca="false">I16292+I16305+I16318+I16331</f>
        <v>0</v>
      </c>
      <c r="J16266" s="25" t="n">
        <f aca="false">J16292+J16305+J16318+J16331</f>
        <v>0</v>
      </c>
      <c r="K16266" s="25" t="n">
        <f aca="false">K16292+K16305+K16318+K16331</f>
        <v>0</v>
      </c>
    </row>
    <row r="16267" customFormat="false" ht="15" hidden="false" customHeight="false" outlineLevel="0" collapsed="false">
      <c r="A16267" s="5" t="s">
        <v>212</v>
      </c>
      <c r="G16267" s="25" t="n">
        <f aca="false">G16265+G16266</f>
        <v>147.04</v>
      </c>
      <c r="H16267" s="25" t="n">
        <f aca="false">H16265+H16266</f>
        <v>152.2051368</v>
      </c>
      <c r="I16267" s="25" t="n">
        <f aca="false">I16265+I16266</f>
        <v>149.5957648</v>
      </c>
      <c r="J16267" s="25" t="n">
        <f aca="false">J16265+J16266</f>
        <v>148.8781648</v>
      </c>
      <c r="K16267" s="25" t="n">
        <f aca="false">K16265+K16266</f>
        <v>148.1605648</v>
      </c>
    </row>
    <row r="16268" customFormat="false" ht="15" hidden="false" customHeight="false" outlineLevel="0" collapsed="false">
      <c r="A16268" s="2" t="s">
        <v>223</v>
      </c>
      <c r="G16268" s="16" t="n">
        <f aca="false">G16264-G16267</f>
        <v>-169.1008</v>
      </c>
      <c r="H16268" s="16" t="n">
        <f aca="false">H16264-H16267</f>
        <v>-171.3980328</v>
      </c>
      <c r="I16268" s="16" t="n">
        <f aca="false">I16264-I16267</f>
        <v>-168.289645504</v>
      </c>
      <c r="J16268" s="16" t="n">
        <f aca="false">J16264-J16267</f>
        <v>-167.38510669696</v>
      </c>
      <c r="K16268" s="16" t="n">
        <f aca="false">K16264-K16267</f>
        <v>-166.48243727799</v>
      </c>
    </row>
    <row r="16269" customFormat="false" ht="15" hidden="false" customHeight="false" outlineLevel="0" collapsed="false">
      <c r="A16269" s="5" t="s">
        <v>213</v>
      </c>
      <c r="G16269" s="25" t="n">
        <f aca="false">MAX(0,G16268)*Assumptions!$C$9</f>
        <v>0</v>
      </c>
      <c r="H16269" s="25" t="n">
        <f aca="false">MAX(0,H16268)*Assumptions!$C$9</f>
        <v>0</v>
      </c>
      <c r="I16269" s="25" t="n">
        <f aca="false">MAX(0,I16268)*Assumptions!$C$9</f>
        <v>0</v>
      </c>
      <c r="J16269" s="25" t="n">
        <f aca="false">MAX(0,J16268)*Assumptions!$C$9</f>
        <v>0</v>
      </c>
      <c r="K16269" s="25" t="n">
        <f aca="false">MAX(0,K16268)*Assumptions!$C$9</f>
        <v>0</v>
      </c>
    </row>
    <row r="16270" customFormat="false" ht="15" hidden="false" customHeight="false" outlineLevel="0" collapsed="false">
      <c r="A16270" s="2" t="s">
        <v>248</v>
      </c>
      <c r="G16270" s="16" t="n">
        <f aca="false">G16268-G16269</f>
        <v>-169.1008</v>
      </c>
      <c r="H16270" s="16" t="n">
        <f aca="false">H16268-H16269</f>
        <v>-171.3980328</v>
      </c>
      <c r="I16270" s="16" t="n">
        <f aca="false">I16268-I16269</f>
        <v>-168.289645504</v>
      </c>
      <c r="J16270" s="16" t="n">
        <f aca="false">J16268-J16269</f>
        <v>-167.38510669696</v>
      </c>
      <c r="K16270" s="16" t="n">
        <f aca="false">K16268-K16269</f>
        <v>-166.48243727799</v>
      </c>
    </row>
    <row r="16271" customFormat="false" ht="15" hidden="false" customHeight="false" outlineLevel="0" collapsed="false">
      <c r="A16271" s="23" t="s">
        <v>249</v>
      </c>
      <c r="B16271" s="24"/>
      <c r="C16271" s="24"/>
      <c r="D16271" s="24"/>
      <c r="E16271" s="24"/>
      <c r="F16271" s="24"/>
      <c r="G16271" s="24"/>
      <c r="H16271" s="24"/>
      <c r="I16271" s="24"/>
      <c r="J16271" s="24"/>
      <c r="K16271" s="24"/>
    </row>
    <row r="16272" customFormat="false" ht="15" hidden="false" customHeight="false" outlineLevel="0" collapsed="false">
      <c r="A16272" s="5" t="s">
        <v>153</v>
      </c>
      <c r="G16272" s="25" t="n">
        <f aca="false">G16257*CHOOSE($C$16244,Assumptions!$C$69,Assumptions!$C$88,Assumptions!$C$107)</f>
        <v>29.4144</v>
      </c>
      <c r="H16272" s="25" t="n">
        <f aca="false">H16257*CHOOSE($C$16244,Assumptions!$C$69,Assumptions!$C$88,Assumptions!$C$107)</f>
        <v>25.590528</v>
      </c>
      <c r="I16272" s="25" t="n">
        <f aca="false">I16257*CHOOSE($C$16244,Assumptions!$C$69,Assumptions!$C$88,Assumptions!$C$107)</f>
        <v>24.925174272</v>
      </c>
      <c r="J16272" s="25" t="n">
        <f aca="false">J16257*CHOOSE($C$16244,Assumptions!$C$69,Assumptions!$C$88,Assumptions!$C$107)</f>
        <v>24.67592252928</v>
      </c>
      <c r="K16272" s="25" t="n">
        <f aca="false">K16257*CHOOSE($C$16244,Assumptions!$C$69,Assumptions!$C$88,Assumptions!$C$107)</f>
        <v>24.4291633039872</v>
      </c>
    </row>
    <row r="16273" customFormat="false" ht="15" hidden="false" customHeight="false" outlineLevel="0" collapsed="false">
      <c r="A16273" s="5" t="s">
        <v>250</v>
      </c>
      <c r="G16273" s="25" t="n">
        <f aca="false">CHOOSE($C$16244,Assumptions!$C$70,Assumptions!$C$89,Assumptions!$C$108)*(G16257-F16257)+CHOOSE($C$16244,Assumptions!$C$71,Assumptions!$C$90,Assumptions!$C$109)*G16257</f>
        <v>-56.3616</v>
      </c>
      <c r="H16273" s="25" t="n">
        <f aca="false">CHOOSE($C$16244,Assumptions!$C$70,Assumptions!$C$89,Assumptions!$C$108)*(H16257-G16257)+CHOOSE($C$16244,Assumptions!$C$71,Assumptions!$C$90,Assumptions!$C$109)*H16257</f>
        <v>-19.082592</v>
      </c>
      <c r="I16273" s="25" t="n">
        <f aca="false">CHOOSE($C$16244,Assumptions!$C$70,Assumptions!$C$89,Assumptions!$C$108)*(I16257-H16257)+CHOOSE($C$16244,Assumptions!$C$71,Assumptions!$C$90,Assumptions!$C$109)*I16257</f>
        <v>4.35678739199999</v>
      </c>
      <c r="J16273" s="25" t="n">
        <f aca="false">CHOOSE($C$16244,Assumptions!$C$70,Assumptions!$C$89,Assumptions!$C$108)*(J16257-I16257)+CHOOSE($C$16244,Assumptions!$C$71,Assumptions!$C$90,Assumptions!$C$109)*J16257</f>
        <v>7.38408287808</v>
      </c>
      <c r="K16273" s="25" t="n">
        <f aca="false">CHOOSE($C$16244,Assumptions!$C$70,Assumptions!$C$89,Assumptions!$C$108)*(K16257-J16257)+CHOOSE($C$16244,Assumptions!$C$71,Assumptions!$C$90,Assumptions!$C$109)*K16257</f>
        <v>7.3102420492992</v>
      </c>
    </row>
    <row r="16274" customFormat="false" ht="15" hidden="false" customHeight="false" outlineLevel="0" collapsed="false">
      <c r="A16274" s="2" t="s">
        <v>251</v>
      </c>
      <c r="G16274" s="16" t="n">
        <f aca="false">G16270+G16262+G16263+G16266-G16272-G16273</f>
        <v>-101.7088</v>
      </c>
      <c r="H16274" s="16" t="n">
        <f aca="false">H16270+H16262+H16263+H16266-H16272-H16273</f>
        <v>-142.7189928</v>
      </c>
      <c r="I16274" s="16" t="n">
        <f aca="false">I16270+I16262+I16263+I16266-I16272-I16273</f>
        <v>-163.299492544</v>
      </c>
      <c r="J16274" s="16" t="n">
        <f aca="false">J16270+J16262+J16263+J16266-J16272-J16273</f>
        <v>-165.51571862656</v>
      </c>
      <c r="K16274" s="16" t="n">
        <f aca="false">K16270+K16262+K16263+K16266-K16272-K16273</f>
        <v>-164.631743088294</v>
      </c>
    </row>
    <row r="16276" customFormat="false" ht="15" hidden="false" customHeight="false" outlineLevel="0" collapsed="false">
      <c r="A16276" s="23" t="s">
        <v>253</v>
      </c>
      <c r="B16276" s="24"/>
      <c r="C16276" s="24"/>
      <c r="D16276" s="24"/>
      <c r="E16276" s="24"/>
      <c r="F16276" s="24"/>
      <c r="G16276" s="24"/>
      <c r="H16276" s="24"/>
      <c r="I16276" s="24"/>
      <c r="J16276" s="24"/>
      <c r="K16276" s="24"/>
    </row>
    <row r="16277" customFormat="false" ht="15" hidden="false" customHeight="false" outlineLevel="0" collapsed="false">
      <c r="A16277" s="5" t="s">
        <v>254</v>
      </c>
      <c r="G16277" s="29" t="n">
        <f aca="false">Assumptions!$G$49</f>
        <v>0.0425</v>
      </c>
      <c r="H16277" s="29" t="n">
        <f aca="false">Assumptions!$H$49</f>
        <v>0.04</v>
      </c>
      <c r="I16277" s="29" t="n">
        <f aca="false">Assumptions!$I$49</f>
        <v>0.0375</v>
      </c>
      <c r="J16277" s="29" t="n">
        <f aca="false">Assumptions!$J$49</f>
        <v>0.0375</v>
      </c>
      <c r="K16277" s="29" t="n">
        <f aca="false">Assumptions!$K$49</f>
        <v>0.0375</v>
      </c>
    </row>
    <row r="16278" customFormat="false" ht="15" hidden="false" customHeight="false" outlineLevel="0" collapsed="false">
      <c r="A16278" s="5" t="s">
        <v>255</v>
      </c>
      <c r="C16278" s="30" t="n">
        <f aca="false">CHOOSE($C$16244,Assumptions!$C$72,Assumptions!$C$91,Assumptions!$C$110)+$C$16247</f>
        <v>0.04</v>
      </c>
    </row>
    <row r="16279" customFormat="false" ht="15" hidden="false" customHeight="false" outlineLevel="0" collapsed="false">
      <c r="A16279" s="5" t="s">
        <v>256</v>
      </c>
      <c r="C16279" s="30" t="n">
        <f aca="false">CHOOSE($C$16244,Assumptions!$C$73,Assumptions!$C$92,Assumptions!$C$111)</f>
        <v>0.16</v>
      </c>
    </row>
    <row r="16280" customFormat="false" ht="15" hidden="false" customHeight="false" outlineLevel="0" collapsed="false">
      <c r="A16280" s="5" t="s">
        <v>257</v>
      </c>
      <c r="C16280" s="31" t="n">
        <f aca="false">CHOOSE($C$16244,Assumptions!$C$74,Assumptions!$C$93,Assumptions!$C$112)</f>
        <v>5</v>
      </c>
    </row>
    <row r="16281" customFormat="false" ht="15" hidden="false" customHeight="false" outlineLevel="0" collapsed="false">
      <c r="A16281" s="5" t="s">
        <v>258</v>
      </c>
      <c r="C16281" s="31" t="n">
        <f aca="false">CHOOSE($C$16244,Assumptions!$C$75,Assumptions!$C$94,Assumptions!$C$113)</f>
        <v>2</v>
      </c>
    </row>
    <row r="16282" customFormat="false" ht="15" hidden="false" customHeight="false" outlineLevel="0" collapsed="false">
      <c r="A16282" s="5" t="s">
        <v>259</v>
      </c>
      <c r="G16282" s="25" t="n">
        <f aca="false">G16287+G16300+G16313+G16326</f>
        <v>1250</v>
      </c>
      <c r="H16282" s="25" t="n">
        <f aca="false">H16287+H16300+H16313+H16326</f>
        <v>1306.7088</v>
      </c>
      <c r="I16282" s="25" t="n">
        <f aca="false">I16287+I16300+I16313+I16326</f>
        <v>1301.5088</v>
      </c>
      <c r="J16282" s="25" t="n">
        <f aca="false">J16287+J16300+J16313+J16326</f>
        <v>1296.3088</v>
      </c>
      <c r="K16282" s="25" t="n">
        <f aca="false">K16287+K16300+K16313+K16326</f>
        <v>1291.1088</v>
      </c>
    </row>
    <row r="16283" customFormat="false" ht="15" hidden="false" customHeight="false" outlineLevel="0" collapsed="false">
      <c r="A16283" s="5" t="s">
        <v>260</v>
      </c>
      <c r="G16283" s="25" t="n">
        <f aca="false">F16373</f>
        <v>45</v>
      </c>
      <c r="H16283" s="25" t="n">
        <f aca="false">G16373</f>
        <v>0</v>
      </c>
      <c r="I16283" s="25" t="n">
        <f aca="false">H16373</f>
        <v>-147.9189928</v>
      </c>
      <c r="J16283" s="25" t="n">
        <f aca="false">I16373</f>
        <v>-316.418485344</v>
      </c>
      <c r="K16283" s="25" t="n">
        <f aca="false">J16373</f>
        <v>-487.13420397056</v>
      </c>
    </row>
    <row r="16284" customFormat="false" ht="15" hidden="false" customHeight="false" outlineLevel="0" collapsed="false">
      <c r="A16284" s="5" t="s">
        <v>261</v>
      </c>
      <c r="G16284" s="25" t="n">
        <f aca="false">G16287*IF(G16288=1,$C$16279,IF(Assumptions!$I$53=1,MAX(G16277,Assumptions!$G$53)+Assumptions!$F$53+$C$16278,Assumptions!$E$53))+G16300*IF(G16301=1,$C$16279,IF(Assumptions!$I$54=1,MAX(G16277,Assumptions!$G$54)+Assumptions!$F$54+$C$16278,Assumptions!$E$54))+G16313*IF(G16314=1,$C$16279,IF(Assumptions!$I$55=1,MAX(G16277,Assumptions!$G$55)+Assumptions!$F$55+$C$16278,Assumptions!$E$55))+G16326*IF(G16327=1,$C$16279,IF(Assumptions!$I$56=1,MAX(G16277,Assumptions!$G$56)+Assumptions!$F$56+$C$16278,Assumptions!$E$56))</f>
        <v>147.04</v>
      </c>
      <c r="H16284" s="25" t="n">
        <f aca="false">H16287*IF(OR(H16288=1,G16439=1),$C$16279,IF(Assumptions!$I$53=1,MAX(H16277,Assumptions!$G$53)+Assumptions!$F$53+$C$16278,Assumptions!$E$53))+H16300*IF(OR(H16301=1,G16440=1),$C$16279,IF(Assumptions!$I$54=1,MAX(H16277,Assumptions!$G$54)+Assumptions!$F$54+$C$16278,Assumptions!$E$54))+H16313*IF(OR(H16314=1,G16441=1),$C$16279,IF(Assumptions!$I$55=1,MAX(H16277,Assumptions!$G$55)+Assumptions!$F$55+$C$16278,Assumptions!$E$55))+H16326*IF(OR(H16327=1,G16442=1),$C$16279,IF(Assumptions!$I$56=1,MAX(H16277,Assumptions!$G$56)+Assumptions!$F$56+$C$16278,Assumptions!$E$56))</f>
        <v>186.534808</v>
      </c>
      <c r="I16284" s="25" t="n">
        <f aca="false">I16287*IF(OR(I16288=1,H16439=1),$C$16279,IF(Assumptions!$I$53=1,MAX(I16277,Assumptions!$G$53)+Assumptions!$F$53+$C$16278,Assumptions!$E$53))+I16300*IF(OR(I16301=1,H16440=1),$C$16279,IF(Assumptions!$I$54=1,MAX(I16277,Assumptions!$G$54)+Assumptions!$F$54+$C$16278,Assumptions!$E$54))+I16313*IF(OR(I16314=1,H16441=1),$C$16279,IF(Assumptions!$I$55=1,MAX(I16277,Assumptions!$G$55)+Assumptions!$F$55+$C$16278,Assumptions!$E$55))+I16326*IF(OR(I16327=1,H16442=1),$C$16279,IF(Assumptions!$I$56=1,MAX(I16277,Assumptions!$G$56)+Assumptions!$F$56+$C$16278,Assumptions!$E$56))</f>
        <v>160.8069648</v>
      </c>
      <c r="J16284" s="25" t="n">
        <f aca="false">J16287*IF(OR(J16288=1,I16439=1),$C$16279,IF(Assumptions!$I$53=1,MAX(J16277,Assumptions!$G$53)+Assumptions!$F$53+$C$16278,Assumptions!$E$53))+J16300*IF(OR(J16301=1,I16440=1),$C$16279,IF(Assumptions!$I$54=1,MAX(J16277,Assumptions!$G$54)+Assumptions!$F$54+$C$16278,Assumptions!$E$54))+J16313*IF(OR(J16314=1,I16441=1),$C$16279,IF(Assumptions!$I$55=1,MAX(J16277,Assumptions!$G$55)+Assumptions!$F$55+$C$16278,Assumptions!$E$55))+J16326*IF(OR(J16327=1,I16442=1),$C$16279,IF(Assumptions!$I$56=1,MAX(J16277,Assumptions!$G$56)+Assumptions!$F$56+$C$16278,Assumptions!$E$56))</f>
        <v>161.3781648</v>
      </c>
      <c r="K16284" s="25" t="n">
        <f aca="false">K16287*IF(OR(K16288=1,J16439=1),$C$16279,IF(Assumptions!$I$53=1,MAX(K16277,Assumptions!$G$53)+Assumptions!$F$53+$C$16278,Assumptions!$E$53))+K16300*IF(OR(K16301=1,J16440=1),$C$16279,IF(Assumptions!$I$54=1,MAX(K16277,Assumptions!$G$54)+Assumptions!$F$54+$C$16278,Assumptions!$E$54))+K16313*IF(OR(K16314=1,J16441=1),$C$16279,IF(Assumptions!$I$55=1,MAX(K16277,Assumptions!$G$55)+Assumptions!$F$55+$C$16278,Assumptions!$E$55))+K16326*IF(OR(K16327=1,J16442=1),$C$16279,IF(Assumptions!$I$56=1,MAX(K16277,Assumptions!$G$56)+Assumptions!$F$56+$C$16278,Assumptions!$E$56))</f>
        <v>148.1605648</v>
      </c>
    </row>
    <row r="16285" customFormat="false" ht="15" hidden="false" customHeight="false" outlineLevel="0" collapsed="false">
      <c r="A16285" s="5" t="s">
        <v>262</v>
      </c>
      <c r="G16285" s="20" t="n">
        <f aca="false">IF(G16261&lt;=0,0,IF(AND((G16282-G16283)/G16261&lt;=$C$16280,G16261/G16284&gt;=$C$16281),1,0))</f>
        <v>0</v>
      </c>
      <c r="H16285" s="20" t="n">
        <f aca="false">IF(H16261&lt;=0,0,IF(AND((H16282-H16283)/H16261&lt;=$C$16280,H16261/H16284&gt;=$C$16281),1,0))</f>
        <v>0</v>
      </c>
      <c r="I16285" s="20" t="n">
        <f aca="false">IF(I16261&lt;=0,0,IF(AND((I16282-I16283)/I16261&lt;=$C$16280,I16261/I16284&gt;=$C$16281),1,0))</f>
        <v>0</v>
      </c>
      <c r="J16285" s="20" t="n">
        <f aca="false">IF(J16261&lt;=0,0,IF(AND((J16282-J16283)/J16261&lt;=$C$16280,J16261/J16284&gt;=$C$16281),1,0))</f>
        <v>0</v>
      </c>
      <c r="K16285" s="20" t="n">
        <f aca="false">IF(K16261&lt;=0,0,IF(AND((K16282-K16283)/K16261&lt;=$C$16280,K16261/K16284&gt;=$C$16281),1,0))</f>
        <v>0</v>
      </c>
    </row>
    <row r="16286" customFormat="false" ht="15" hidden="false" customHeight="false" outlineLevel="0" collapsed="false">
      <c r="A16286" s="23" t="s">
        <v>263</v>
      </c>
      <c r="B16286" s="24"/>
      <c r="C16286" s="24"/>
      <c r="D16286" s="24"/>
      <c r="E16286" s="24"/>
      <c r="F16286" s="24"/>
      <c r="G16286" s="24"/>
      <c r="H16286" s="24"/>
      <c r="I16286" s="24"/>
      <c r="J16286" s="24"/>
      <c r="K16286" s="24"/>
    </row>
    <row r="16287" customFormat="false" ht="15" hidden="false" customHeight="false" outlineLevel="0" collapsed="false">
      <c r="A16287" s="5" t="s">
        <v>264</v>
      </c>
      <c r="G16287" s="25" t="n">
        <f aca="false">F16298</f>
        <v>180</v>
      </c>
      <c r="H16287" s="25" t="n">
        <f aca="false">G16298</f>
        <v>241.9088</v>
      </c>
      <c r="I16287" s="25" t="n">
        <f aca="false">H16298</f>
        <v>241.9088</v>
      </c>
      <c r="J16287" s="25" t="n">
        <f aca="false">I16298</f>
        <v>241.9088</v>
      </c>
      <c r="K16287" s="25" t="n">
        <f aca="false">J16298</f>
        <v>241.9088</v>
      </c>
    </row>
    <row r="16288" customFormat="false" ht="15" hidden="false" customHeight="false" outlineLevel="0" collapsed="false">
      <c r="A16288" s="5" t="s">
        <v>265</v>
      </c>
      <c r="G16288" s="20" t="n">
        <f aca="false">IF(G16251=Assumptions!$K$53,1,0)</f>
        <v>0</v>
      </c>
      <c r="H16288" s="20" t="n">
        <f aca="false">IF(H16251=Assumptions!$K$53,1,0)</f>
        <v>1</v>
      </c>
      <c r="I16288" s="20" t="n">
        <f aca="false">IF(I16251=Assumptions!$K$53,1,0)</f>
        <v>0</v>
      </c>
      <c r="J16288" s="20" t="n">
        <f aca="false">IF(J16251=Assumptions!$K$53,1,0)</f>
        <v>0</v>
      </c>
      <c r="K16288" s="20" t="n">
        <f aca="false">IF(K16251=Assumptions!$K$53,1,0)</f>
        <v>0</v>
      </c>
    </row>
    <row r="16290" customFormat="false" ht="15" hidden="false" customHeight="false" outlineLevel="0" collapsed="false">
      <c r="A16290" s="5" t="s">
        <v>266</v>
      </c>
      <c r="G16290" s="30" t="n">
        <f aca="false">IF(Assumptions!$I$53=1,MAX(G16277,Assumptions!$G$53)+Assumptions!$F$53+$C$16278,Assumptions!$E$53)</f>
        <v>0.126</v>
      </c>
      <c r="H16290" s="30" t="n">
        <f aca="false">IF(G16439=1,$C$16279,IF(Assumptions!$I$53=1,MAX(H16277,Assumptions!$G$53)+Assumptions!$F$53+$C$16278,Assumptions!$E$53))</f>
        <v>0.1235</v>
      </c>
      <c r="I16290" s="30" t="n">
        <f aca="false">IF(H16439=1,$C$16279,IF(Assumptions!$I$53=1,MAX(I16277,Assumptions!$G$53)+Assumptions!$F$53+$C$16278,Assumptions!$E$53))</f>
        <v>0.121</v>
      </c>
      <c r="J16290" s="30" t="n">
        <f aca="false">IF(I16439=1,$C$16279,IF(Assumptions!$I$53=1,MAX(J16277,Assumptions!$G$53)+Assumptions!$F$53+$C$16278,Assumptions!$E$53))</f>
        <v>0.121</v>
      </c>
      <c r="K16290" s="30" t="n">
        <f aca="false">IF(J16439=1,$C$16279,IF(Assumptions!$I$53=1,MAX(K16277,Assumptions!$G$53)+Assumptions!$F$53+$C$16278,Assumptions!$E$53))</f>
        <v>0.121</v>
      </c>
    </row>
    <row r="16291" customFormat="false" ht="15" hidden="false" customHeight="false" outlineLevel="0" collapsed="false">
      <c r="A16291" s="5" t="s">
        <v>267</v>
      </c>
      <c r="G16291" s="25" t="n">
        <f aca="false">G16287*G16290</f>
        <v>22.68</v>
      </c>
      <c r="H16291" s="25" t="n">
        <f aca="false">H16287*H16290</f>
        <v>29.8757368</v>
      </c>
      <c r="I16291" s="25" t="n">
        <f aca="false">I16287*I16290</f>
        <v>29.2709648</v>
      </c>
      <c r="J16291" s="25" t="n">
        <f aca="false">J16287*J16290</f>
        <v>29.2709648</v>
      </c>
      <c r="K16291" s="25" t="n">
        <f aca="false">K16287*K16290</f>
        <v>29.2709648</v>
      </c>
    </row>
    <row r="16292" customFormat="false" ht="15" hidden="false" customHeight="false" outlineLevel="0" collapsed="false">
      <c r="A16292" s="5" t="s">
        <v>268</v>
      </c>
      <c r="G16292" s="25" t="n">
        <f aca="false">G16287*Assumptions!$H$53</f>
        <v>0</v>
      </c>
      <c r="H16292" s="25" t="n">
        <f aca="false">H16287*Assumptions!$H$53</f>
        <v>0</v>
      </c>
      <c r="I16292" s="25" t="n">
        <f aca="false">I16287*Assumptions!$H$53</f>
        <v>0</v>
      </c>
      <c r="J16292" s="25" t="n">
        <f aca="false">J16287*Assumptions!$H$53</f>
        <v>0</v>
      </c>
      <c r="K16292" s="25" t="n">
        <f aca="false">K16287*Assumptions!$H$53</f>
        <v>0</v>
      </c>
    </row>
    <row r="16293" customFormat="false" ht="15" hidden="false" customHeight="false" outlineLevel="0" collapsed="false">
      <c r="A16293" s="5" t="s">
        <v>269</v>
      </c>
      <c r="G16293" s="25" t="n">
        <f aca="false">MIN(G16287,Assumptions!$L$53*Assumptions!$C$53)</f>
        <v>0</v>
      </c>
      <c r="H16293" s="25" t="n">
        <f aca="false">MIN(H16287,Assumptions!$L$53*Assumptions!$C$53)</f>
        <v>0</v>
      </c>
      <c r="I16293" s="25" t="n">
        <f aca="false">MIN(I16287,Assumptions!$L$53*Assumptions!$C$53)</f>
        <v>0</v>
      </c>
      <c r="J16293" s="25" t="n">
        <f aca="false">MIN(J16287,Assumptions!$L$53*Assumptions!$C$53)</f>
        <v>0</v>
      </c>
      <c r="K16293" s="25" t="n">
        <f aca="false">MIN(K16287,Assumptions!$L$53*Assumptions!$C$53)</f>
        <v>0</v>
      </c>
    </row>
    <row r="16294" customFormat="false" ht="15" hidden="false" customHeight="false" outlineLevel="0" collapsed="false">
      <c r="A16294" s="5" t="s">
        <v>270</v>
      </c>
      <c r="G16294" s="25" t="n">
        <f aca="false">IF(AND(Assumptions!$P$53=1,G16251&lt;Assumptions!$K$53),MIN(MAX(0,-G16365),MAX(0,Assumptions!$D$53-G16287)),0)</f>
        <v>61.9088</v>
      </c>
      <c r="H16294" s="25" t="n">
        <f aca="false">IF(AND(Assumptions!$P$53=1,OR(H16251&lt;Assumptions!$K$53,G16439=1)),MIN(MAX(0,-H16365),MAX(0,Assumptions!$D$53-H16287)),0)</f>
        <v>0</v>
      </c>
      <c r="I16294" s="25" t="n">
        <f aca="false">IF(AND(Assumptions!$P$53=1,OR(I16251&lt;Assumptions!$K$53,H16439=1)),MIN(MAX(0,-I16365),MAX(0,Assumptions!$D$53-I16287)),0)</f>
        <v>0</v>
      </c>
      <c r="J16294" s="25" t="n">
        <f aca="false">IF(AND(Assumptions!$P$53=1,OR(J16251&lt;Assumptions!$K$53,I16439=1)),MIN(MAX(0,-J16365),MAX(0,Assumptions!$D$53-J16287)),0)</f>
        <v>0</v>
      </c>
      <c r="K16294" s="25" t="n">
        <f aca="false">IF(AND(Assumptions!$P$53=1,OR(K16251&lt;Assumptions!$K$53,J16439=1)),MIN(MAX(0,-K16365),MAX(0,Assumptions!$D$53-K16287)),0)</f>
        <v>0</v>
      </c>
    </row>
    <row r="16295" customFormat="false" ht="15" hidden="false" customHeight="false" outlineLevel="0" collapsed="false">
      <c r="A16295" s="5" t="s">
        <v>271</v>
      </c>
      <c r="G16295" s="25" t="n">
        <f aca="false">G16288*MIN(G16287-G16293+G16292,MAX(0,G16367-Assumptions!$C$12*G16285))</f>
        <v>0</v>
      </c>
      <c r="H16295" s="25" t="n">
        <f aca="false">H16288*MIN(H16287-H16293+H16292,MAX(0,H16367-Assumptions!$C$12*H16285))</f>
        <v>0</v>
      </c>
      <c r="I16295" s="25" t="n">
        <f aca="false">I16288*MIN(I16287-I16293+I16292,MAX(0,I16367-Assumptions!$C$12*I16285))</f>
        <v>0</v>
      </c>
      <c r="J16295" s="25" t="n">
        <f aca="false">J16288*MIN(J16287-J16293+J16292,MAX(0,J16367-Assumptions!$C$12*J16285))</f>
        <v>0</v>
      </c>
      <c r="K16295" s="25" t="n">
        <f aca="false">K16288*MIN(K16287-K16293+K16292,MAX(0,K16367-Assumptions!$C$12*K16285))</f>
        <v>0</v>
      </c>
    </row>
    <row r="16296" customFormat="false" ht="15" hidden="false" customHeight="false" outlineLevel="0" collapsed="false">
      <c r="A16296" s="5" t="s">
        <v>272</v>
      </c>
      <c r="G16296" s="25" t="n">
        <f aca="false">Assumptions!$N$53*MIN(G16287+G16294+G16292-G16293-G16295,MAX(0,G16371))</f>
        <v>0</v>
      </c>
      <c r="H16296" s="25" t="n">
        <f aca="false">Assumptions!$N$53*MIN(H16287+H16294+H16292-H16293-H16295,MAX(0,H16371))</f>
        <v>0</v>
      </c>
      <c r="I16296" s="25" t="n">
        <f aca="false">Assumptions!$N$53*MIN(I16287+I16294+I16292-I16293-I16295,MAX(0,I16371))</f>
        <v>0</v>
      </c>
      <c r="J16296" s="25" t="n">
        <f aca="false">Assumptions!$N$53*MIN(J16287+J16294+J16292-J16293-J16295,MAX(0,J16371))</f>
        <v>0</v>
      </c>
      <c r="K16296" s="25" t="n">
        <f aca="false">Assumptions!$N$53*MIN(K16287+K16294+K16292-K16293-K16295,MAX(0,K16371))</f>
        <v>0</v>
      </c>
    </row>
    <row r="16297" customFormat="false" ht="15" hidden="false" customHeight="false" outlineLevel="0" collapsed="false">
      <c r="A16297" s="5" t="s">
        <v>273</v>
      </c>
      <c r="G16297" s="25" t="n">
        <f aca="false">G16288*(1-G16285)*(G16287-G16293+G16292-G16295)</f>
        <v>0</v>
      </c>
      <c r="H16297" s="25" t="n">
        <f aca="false">H16288*(1-H16285)*(H16287-H16293+H16292-H16295)</f>
        <v>241.9088</v>
      </c>
      <c r="I16297" s="25" t="n">
        <f aca="false">I16288*(1-I16285)*(I16287-I16293+I16292-I16295)</f>
        <v>0</v>
      </c>
      <c r="J16297" s="25" t="n">
        <f aca="false">J16288*(1-J16285)*(J16287-J16293+J16292-J16295)</f>
        <v>0</v>
      </c>
      <c r="K16297" s="25" t="n">
        <f aca="false">K16288*(1-K16285)*(K16287-K16293+K16292-K16295)</f>
        <v>0</v>
      </c>
    </row>
    <row r="16298" customFormat="false" ht="15" hidden="false" customHeight="false" outlineLevel="0" collapsed="false">
      <c r="A16298" s="2" t="s">
        <v>274</v>
      </c>
      <c r="F16298" s="27" t="n">
        <f aca="false">Assumptions!$C$53</f>
        <v>180</v>
      </c>
      <c r="G16298" s="16" t="n">
        <f aca="false">G16287+G16294+G16292-G16293-G16295-G16296</f>
        <v>241.9088</v>
      </c>
      <c r="H16298" s="16" t="n">
        <f aca="false">H16287+H16294+H16292-H16293-H16295-H16296</f>
        <v>241.9088</v>
      </c>
      <c r="I16298" s="16" t="n">
        <f aca="false">I16287+I16294+I16292-I16293-I16295-I16296</f>
        <v>241.9088</v>
      </c>
      <c r="J16298" s="16" t="n">
        <f aca="false">J16287+J16294+J16292-J16293-J16295-J16296</f>
        <v>241.9088</v>
      </c>
      <c r="K16298" s="16" t="n">
        <f aca="false">K16287+K16294+K16292-K16293-K16295-K16296</f>
        <v>241.9088</v>
      </c>
    </row>
    <row r="16299" customFormat="false" ht="15" hidden="false" customHeight="false" outlineLevel="0" collapsed="false">
      <c r="A16299" s="23" t="s">
        <v>275</v>
      </c>
      <c r="B16299" s="24"/>
      <c r="C16299" s="24"/>
      <c r="D16299" s="24"/>
      <c r="E16299" s="24"/>
      <c r="F16299" s="24"/>
      <c r="G16299" s="24"/>
      <c r="H16299" s="24"/>
      <c r="I16299" s="24"/>
      <c r="J16299" s="24"/>
      <c r="K16299" s="24"/>
    </row>
    <row r="16300" customFormat="false" ht="15" hidden="false" customHeight="false" outlineLevel="0" collapsed="false">
      <c r="A16300" s="5" t="s">
        <v>264</v>
      </c>
      <c r="G16300" s="25" t="n">
        <f aca="false">F16311</f>
        <v>520</v>
      </c>
      <c r="H16300" s="25" t="n">
        <f aca="false">G16311</f>
        <v>514.8</v>
      </c>
      <c r="I16300" s="25" t="n">
        <f aca="false">H16311</f>
        <v>509.6</v>
      </c>
      <c r="J16300" s="25" t="n">
        <f aca="false">I16311</f>
        <v>504.4</v>
      </c>
      <c r="K16300" s="25" t="n">
        <f aca="false">J16311</f>
        <v>499.2</v>
      </c>
    </row>
    <row r="16301" customFormat="false" ht="15" hidden="false" customHeight="false" outlineLevel="0" collapsed="false">
      <c r="A16301" s="5" t="s">
        <v>265</v>
      </c>
      <c r="G16301" s="20" t="n">
        <f aca="false">IF(G16251=Assumptions!$K$54,1,0)</f>
        <v>0</v>
      </c>
      <c r="H16301" s="20" t="n">
        <f aca="false">IF(H16251=Assumptions!$K$54,1,0)</f>
        <v>0</v>
      </c>
      <c r="I16301" s="20" t="n">
        <f aca="false">IF(I16251=Assumptions!$K$54,1,0)</f>
        <v>1</v>
      </c>
      <c r="J16301" s="20" t="n">
        <f aca="false">IF(J16251=Assumptions!$K$54,1,0)</f>
        <v>0</v>
      </c>
      <c r="K16301" s="20" t="n">
        <f aca="false">IF(K16251=Assumptions!$K$54,1,0)</f>
        <v>0</v>
      </c>
    </row>
    <row r="16303" customFormat="false" ht="15" hidden="false" customHeight="false" outlineLevel="0" collapsed="false">
      <c r="A16303" s="5" t="s">
        <v>266</v>
      </c>
      <c r="G16303" s="30" t="n">
        <f aca="false">IF(Assumptions!$I$54=1,MAX(G16277,Assumptions!$G$54)+Assumptions!$F$54+$C$16278,Assumptions!$E$54)</f>
        <v>0.143</v>
      </c>
      <c r="H16303" s="30" t="n">
        <f aca="false">IF(G16440=1,$C$16279,IF(Assumptions!$I$54=1,MAX(H16277,Assumptions!$G$54)+Assumptions!$F$54+$C$16278,Assumptions!$E$54))</f>
        <v>0.1405</v>
      </c>
      <c r="I16303" s="30" t="n">
        <f aca="false">IF(H16440=1,$C$16279,IF(Assumptions!$I$54=1,MAX(I16277,Assumptions!$G$54)+Assumptions!$F$54+$C$16278,Assumptions!$E$54))</f>
        <v>0.138</v>
      </c>
      <c r="J16303" s="30" t="n">
        <f aca="false">IF(I16440=1,$C$16279,IF(Assumptions!$I$54=1,MAX(J16277,Assumptions!$G$54)+Assumptions!$F$54+$C$16278,Assumptions!$E$54))</f>
        <v>0.138</v>
      </c>
      <c r="K16303" s="30" t="n">
        <f aca="false">IF(J16440=1,$C$16279,IF(Assumptions!$I$54=1,MAX(K16277,Assumptions!$G$54)+Assumptions!$F$54+$C$16278,Assumptions!$E$54))</f>
        <v>0.138</v>
      </c>
    </row>
    <row r="16304" customFormat="false" ht="15" hidden="false" customHeight="false" outlineLevel="0" collapsed="false">
      <c r="A16304" s="5" t="s">
        <v>267</v>
      </c>
      <c r="G16304" s="25" t="n">
        <f aca="false">G16300*G16303</f>
        <v>74.36</v>
      </c>
      <c r="H16304" s="25" t="n">
        <f aca="false">H16300*H16303</f>
        <v>72.3294</v>
      </c>
      <c r="I16304" s="25" t="n">
        <f aca="false">I16300*I16303</f>
        <v>70.3248</v>
      </c>
      <c r="J16304" s="25" t="n">
        <f aca="false">J16300*J16303</f>
        <v>69.6072</v>
      </c>
      <c r="K16304" s="25" t="n">
        <f aca="false">K16300*K16303</f>
        <v>68.8896</v>
      </c>
    </row>
    <row r="16305" customFormat="false" ht="15" hidden="false" customHeight="false" outlineLevel="0" collapsed="false">
      <c r="A16305" s="5" t="s">
        <v>268</v>
      </c>
      <c r="G16305" s="25" t="n">
        <f aca="false">G16300*Assumptions!$H$54</f>
        <v>0</v>
      </c>
      <c r="H16305" s="25" t="n">
        <f aca="false">H16300*Assumptions!$H$54</f>
        <v>0</v>
      </c>
      <c r="I16305" s="25" t="n">
        <f aca="false">I16300*Assumptions!$H$54</f>
        <v>0</v>
      </c>
      <c r="J16305" s="25" t="n">
        <f aca="false">J16300*Assumptions!$H$54</f>
        <v>0</v>
      </c>
      <c r="K16305" s="25" t="n">
        <f aca="false">K16300*Assumptions!$H$54</f>
        <v>0</v>
      </c>
    </row>
    <row r="16306" customFormat="false" ht="15" hidden="false" customHeight="false" outlineLevel="0" collapsed="false">
      <c r="A16306" s="5" t="s">
        <v>269</v>
      </c>
      <c r="G16306" s="25" t="n">
        <f aca="false">MIN(G16300,Assumptions!$L$54*Assumptions!$C$54)</f>
        <v>5.2</v>
      </c>
      <c r="H16306" s="25" t="n">
        <f aca="false">MIN(H16300,Assumptions!$L$54*Assumptions!$C$54)</f>
        <v>5.2</v>
      </c>
      <c r="I16306" s="25" t="n">
        <f aca="false">MIN(I16300,Assumptions!$L$54*Assumptions!$C$54)</f>
        <v>5.2</v>
      </c>
      <c r="J16306" s="25" t="n">
        <f aca="false">MIN(J16300,Assumptions!$L$54*Assumptions!$C$54)</f>
        <v>5.2</v>
      </c>
      <c r="K16306" s="25" t="n">
        <f aca="false">MIN(K16300,Assumptions!$L$54*Assumptions!$C$54)</f>
        <v>5.2</v>
      </c>
    </row>
    <row r="16307" customFormat="false" ht="15" hidden="false" customHeight="false" outlineLevel="0" collapsed="false">
      <c r="A16307" s="5" t="s">
        <v>270</v>
      </c>
      <c r="G16307" s="25" t="n">
        <f aca="false">IF(AND(Assumptions!$P$54=1,G16251&lt;Assumptions!$K$54),MIN(MAX(0,-G16365),MAX(0,Assumptions!$D$54-G16300)),0)</f>
        <v>0</v>
      </c>
      <c r="H16307" s="25" t="n">
        <f aca="false">IF(AND(Assumptions!$P$54=1,OR(H16251&lt;Assumptions!$K$54,G16440=1)),MIN(MAX(0,-H16365),MAX(0,Assumptions!$D$54-H16300)),0)</f>
        <v>0</v>
      </c>
      <c r="I16307" s="25" t="n">
        <f aca="false">IF(AND(Assumptions!$P$54=1,OR(I16251&lt;Assumptions!$K$54,H16440=1)),MIN(MAX(0,-I16365),MAX(0,Assumptions!$D$54-I16300)),0)</f>
        <v>0</v>
      </c>
      <c r="J16307" s="25" t="n">
        <f aca="false">IF(AND(Assumptions!$P$54=1,OR(J16251&lt;Assumptions!$K$54,I16440=1)),MIN(MAX(0,-J16365),MAX(0,Assumptions!$D$54-J16300)),0)</f>
        <v>0</v>
      </c>
      <c r="K16307" s="25" t="n">
        <f aca="false">IF(AND(Assumptions!$P$54=1,OR(K16251&lt;Assumptions!$K$54,J16440=1)),MIN(MAX(0,-K16365),MAX(0,Assumptions!$D$54-K16300)),0)</f>
        <v>0</v>
      </c>
    </row>
    <row r="16308" customFormat="false" ht="15" hidden="false" customHeight="false" outlineLevel="0" collapsed="false">
      <c r="A16308" s="5" t="s">
        <v>271</v>
      </c>
      <c r="G16308" s="25" t="n">
        <f aca="false">G16301*MIN(G16300-G16306+G16305,MAX(0,G16367-Assumptions!$C$12*G16285-G16295))</f>
        <v>0</v>
      </c>
      <c r="H16308" s="25" t="n">
        <f aca="false">H16301*MIN(H16300-H16306+H16305,MAX(0,H16367-Assumptions!$C$12*H16285-H16295))</f>
        <v>0</v>
      </c>
      <c r="I16308" s="25" t="n">
        <f aca="false">I16301*MIN(I16300-I16306+I16305,MAX(0,I16367-Assumptions!$C$12*I16285-I16295))</f>
        <v>0</v>
      </c>
      <c r="J16308" s="25" t="n">
        <f aca="false">J16301*MIN(J16300-J16306+J16305,MAX(0,J16367-Assumptions!$C$12*J16285-J16295))</f>
        <v>0</v>
      </c>
      <c r="K16308" s="25" t="n">
        <f aca="false">K16301*MIN(K16300-K16306+K16305,MAX(0,K16367-Assumptions!$C$12*K16285-K16295))</f>
        <v>0</v>
      </c>
    </row>
    <row r="16309" customFormat="false" ht="15" hidden="false" customHeight="false" outlineLevel="0" collapsed="false">
      <c r="A16309" s="5" t="s">
        <v>272</v>
      </c>
      <c r="G16309" s="25" t="n">
        <f aca="false">Assumptions!$N$54*MIN(G16300+G16307+G16305-G16306-G16308,MAX(0,G16371-G16296))</f>
        <v>0</v>
      </c>
      <c r="H16309" s="25" t="n">
        <f aca="false">Assumptions!$N$54*MIN(H16300+H16307+H16305-H16306-H16308,MAX(0,H16371-H16296))</f>
        <v>0</v>
      </c>
      <c r="I16309" s="25" t="n">
        <f aca="false">Assumptions!$N$54*MIN(I16300+I16307+I16305-I16306-I16308,MAX(0,I16371-I16296))</f>
        <v>0</v>
      </c>
      <c r="J16309" s="25" t="n">
        <f aca="false">Assumptions!$N$54*MIN(J16300+J16307+J16305-J16306-J16308,MAX(0,J16371-J16296))</f>
        <v>0</v>
      </c>
      <c r="K16309" s="25" t="n">
        <f aca="false">Assumptions!$N$54*MIN(K16300+K16307+K16305-K16306-K16308,MAX(0,K16371-K16296))</f>
        <v>0</v>
      </c>
    </row>
    <row r="16310" customFormat="false" ht="15" hidden="false" customHeight="false" outlineLevel="0" collapsed="false">
      <c r="A16310" s="5" t="s">
        <v>273</v>
      </c>
      <c r="G16310" s="25" t="n">
        <f aca="false">G16301*(1-G16285)*(G16300-G16306+G16305-G16308)</f>
        <v>0</v>
      </c>
      <c r="H16310" s="25" t="n">
        <f aca="false">H16301*(1-H16285)*(H16300-H16306+H16305-H16308)</f>
        <v>0</v>
      </c>
      <c r="I16310" s="25" t="n">
        <f aca="false">I16301*(1-I16285)*(I16300-I16306+I16305-I16308)</f>
        <v>504.4</v>
      </c>
      <c r="J16310" s="25" t="n">
        <f aca="false">J16301*(1-J16285)*(J16300-J16306+J16305-J16308)</f>
        <v>0</v>
      </c>
      <c r="K16310" s="25" t="n">
        <f aca="false">K16301*(1-K16285)*(K16300-K16306+K16305-K16308)</f>
        <v>0</v>
      </c>
    </row>
    <row r="16311" customFormat="false" ht="15" hidden="false" customHeight="false" outlineLevel="0" collapsed="false">
      <c r="A16311" s="2" t="s">
        <v>274</v>
      </c>
      <c r="F16311" s="27" t="n">
        <f aca="false">Assumptions!$C$54</f>
        <v>520</v>
      </c>
      <c r="G16311" s="16" t="n">
        <f aca="false">G16300+G16307+G16305-G16306-G16308-G16309</f>
        <v>514.8</v>
      </c>
      <c r="H16311" s="16" t="n">
        <f aca="false">H16300+H16307+H16305-H16306-H16308-H16309</f>
        <v>509.6</v>
      </c>
      <c r="I16311" s="16" t="n">
        <f aca="false">I16300+I16307+I16305-I16306-I16308-I16309</f>
        <v>504.4</v>
      </c>
      <c r="J16311" s="16" t="n">
        <f aca="false">J16300+J16307+J16305-J16306-J16308-J16309</f>
        <v>499.2</v>
      </c>
      <c r="K16311" s="16" t="n">
        <f aca="false">K16300+K16307+K16305-K16306-K16308-K16309</f>
        <v>494</v>
      </c>
    </row>
    <row r="16312" customFormat="false" ht="15" hidden="false" customHeight="false" outlineLevel="0" collapsed="false">
      <c r="A16312" s="23" t="s">
        <v>276</v>
      </c>
      <c r="B16312" s="24"/>
      <c r="C16312" s="24"/>
      <c r="D16312" s="24"/>
      <c r="E16312" s="24"/>
      <c r="F16312" s="24"/>
      <c r="G16312" s="24"/>
      <c r="H16312" s="24"/>
      <c r="I16312" s="24"/>
      <c r="J16312" s="24"/>
      <c r="K16312" s="24"/>
    </row>
    <row r="16313" customFormat="false" ht="15" hidden="false" customHeight="false" outlineLevel="0" collapsed="false">
      <c r="A16313" s="5" t="s">
        <v>264</v>
      </c>
      <c r="G16313" s="25" t="n">
        <f aca="false">F16324</f>
        <v>250</v>
      </c>
      <c r="H16313" s="25" t="n">
        <f aca="false">G16324</f>
        <v>250</v>
      </c>
      <c r="I16313" s="25" t="n">
        <f aca="false">H16324</f>
        <v>250</v>
      </c>
      <c r="J16313" s="25" t="n">
        <f aca="false">I16324</f>
        <v>250</v>
      </c>
      <c r="K16313" s="25" t="n">
        <f aca="false">J16324</f>
        <v>250</v>
      </c>
    </row>
    <row r="16314" customFormat="false" ht="15" hidden="false" customHeight="false" outlineLevel="0" collapsed="false">
      <c r="A16314" s="5" t="s">
        <v>265</v>
      </c>
      <c r="G16314" s="20" t="n">
        <f aca="false">IF(G16251=Assumptions!$K$55,1,0)</f>
        <v>0</v>
      </c>
      <c r="H16314" s="20" t="n">
        <f aca="false">IF(H16251=Assumptions!$K$55,1,0)</f>
        <v>0</v>
      </c>
      <c r="I16314" s="20" t="n">
        <f aca="false">IF(I16251=Assumptions!$K$55,1,0)</f>
        <v>0</v>
      </c>
      <c r="J16314" s="20" t="n">
        <f aca="false">IF(J16251=Assumptions!$K$55,1,0)</f>
        <v>1</v>
      </c>
      <c r="K16314" s="20" t="n">
        <f aca="false">IF(K16251=Assumptions!$K$55,1,0)</f>
        <v>0</v>
      </c>
    </row>
    <row r="16316" customFormat="false" ht="15" hidden="false" customHeight="false" outlineLevel="0" collapsed="false">
      <c r="A16316" s="5" t="s">
        <v>266</v>
      </c>
      <c r="G16316" s="30" t="n">
        <f aca="false">IF(Assumptions!$I$55=1,MAX(G16277,Assumptions!$G$55)+Assumptions!$F$55+$C$16278,Assumptions!$E$55)</f>
        <v>0.11</v>
      </c>
      <c r="H16316" s="30" t="n">
        <f aca="false">IF(G16441=1,$C$16279,IF(Assumptions!$I$55=1,MAX(H16277,Assumptions!$G$55)+Assumptions!$F$55+$C$16278,Assumptions!$E$55))</f>
        <v>0.11</v>
      </c>
      <c r="I16316" s="30" t="n">
        <f aca="false">IF(H16441=1,$C$16279,IF(Assumptions!$I$55=1,MAX(I16277,Assumptions!$G$55)+Assumptions!$F$55+$C$16278,Assumptions!$E$55))</f>
        <v>0.11</v>
      </c>
      <c r="J16316" s="30" t="n">
        <f aca="false">IF(I16441=1,$C$16279,IF(Assumptions!$I$55=1,MAX(J16277,Assumptions!$G$55)+Assumptions!$F$55+$C$16278,Assumptions!$E$55))</f>
        <v>0.11</v>
      </c>
      <c r="K16316" s="30" t="n">
        <f aca="false">IF(J16441=1,$C$16279,IF(Assumptions!$I$55=1,MAX(K16277,Assumptions!$G$55)+Assumptions!$F$55+$C$16278,Assumptions!$E$55))</f>
        <v>0.11</v>
      </c>
    </row>
    <row r="16317" customFormat="false" ht="15" hidden="false" customHeight="false" outlineLevel="0" collapsed="false">
      <c r="A16317" s="5" t="s">
        <v>267</v>
      </c>
      <c r="G16317" s="25" t="n">
        <f aca="false">G16313*G16316</f>
        <v>27.5</v>
      </c>
      <c r="H16317" s="25" t="n">
        <f aca="false">H16313*H16316</f>
        <v>27.5</v>
      </c>
      <c r="I16317" s="25" t="n">
        <f aca="false">I16313*I16316</f>
        <v>27.5</v>
      </c>
      <c r="J16317" s="25" t="n">
        <f aca="false">J16313*J16316</f>
        <v>27.5</v>
      </c>
      <c r="K16317" s="25" t="n">
        <f aca="false">K16313*K16316</f>
        <v>27.5</v>
      </c>
    </row>
    <row r="16318" customFormat="false" ht="15" hidden="false" customHeight="false" outlineLevel="0" collapsed="false">
      <c r="A16318" s="5" t="s">
        <v>268</v>
      </c>
      <c r="G16318" s="25" t="n">
        <f aca="false">G16313*Assumptions!$H$55</f>
        <v>0</v>
      </c>
      <c r="H16318" s="25" t="n">
        <f aca="false">H16313*Assumptions!$H$55</f>
        <v>0</v>
      </c>
      <c r="I16318" s="25" t="n">
        <f aca="false">I16313*Assumptions!$H$55</f>
        <v>0</v>
      </c>
      <c r="J16318" s="25" t="n">
        <f aca="false">J16313*Assumptions!$H$55</f>
        <v>0</v>
      </c>
      <c r="K16318" s="25" t="n">
        <f aca="false">K16313*Assumptions!$H$55</f>
        <v>0</v>
      </c>
    </row>
    <row r="16319" customFormat="false" ht="15" hidden="false" customHeight="false" outlineLevel="0" collapsed="false">
      <c r="A16319" s="5" t="s">
        <v>269</v>
      </c>
      <c r="G16319" s="25" t="n">
        <f aca="false">MIN(G16313,Assumptions!$L$55*Assumptions!$C$55)</f>
        <v>0</v>
      </c>
      <c r="H16319" s="25" t="n">
        <f aca="false">MIN(H16313,Assumptions!$L$55*Assumptions!$C$55)</f>
        <v>0</v>
      </c>
      <c r="I16319" s="25" t="n">
        <f aca="false">MIN(I16313,Assumptions!$L$55*Assumptions!$C$55)</f>
        <v>0</v>
      </c>
      <c r="J16319" s="25" t="n">
        <f aca="false">MIN(J16313,Assumptions!$L$55*Assumptions!$C$55)</f>
        <v>0</v>
      </c>
      <c r="K16319" s="25" t="n">
        <f aca="false">MIN(K16313,Assumptions!$L$55*Assumptions!$C$55)</f>
        <v>0</v>
      </c>
    </row>
    <row r="16320" customFormat="false" ht="15" hidden="false" customHeight="false" outlineLevel="0" collapsed="false">
      <c r="A16320" s="5" t="s">
        <v>270</v>
      </c>
      <c r="G16320" s="25" t="n">
        <f aca="false">IF(AND(Assumptions!$P$55=1,G16251&lt;Assumptions!$K$55),MIN(MAX(0,-G16365),MAX(0,Assumptions!$D$55-G16313)),0)</f>
        <v>0</v>
      </c>
      <c r="H16320" s="25" t="n">
        <f aca="false">IF(AND(Assumptions!$P$55=1,OR(H16251&lt;Assumptions!$K$55,G16441=1)),MIN(MAX(0,-H16365),MAX(0,Assumptions!$D$55-H16313)),0)</f>
        <v>0</v>
      </c>
      <c r="I16320" s="25" t="n">
        <f aca="false">IF(AND(Assumptions!$P$55=1,OR(I16251&lt;Assumptions!$K$55,H16441=1)),MIN(MAX(0,-I16365),MAX(0,Assumptions!$D$55-I16313)),0)</f>
        <v>0</v>
      </c>
      <c r="J16320" s="25" t="n">
        <f aca="false">IF(AND(Assumptions!$P$55=1,OR(J16251&lt;Assumptions!$K$55,I16441=1)),MIN(MAX(0,-J16365),MAX(0,Assumptions!$D$55-J16313)),0)</f>
        <v>0</v>
      </c>
      <c r="K16320" s="25" t="n">
        <f aca="false">IF(AND(Assumptions!$P$55=1,OR(K16251&lt;Assumptions!$K$55,J16441=1)),MIN(MAX(0,-K16365),MAX(0,Assumptions!$D$55-K16313)),0)</f>
        <v>0</v>
      </c>
    </row>
    <row r="16321" customFormat="false" ht="15" hidden="false" customHeight="false" outlineLevel="0" collapsed="false">
      <c r="A16321" s="5" t="s">
        <v>271</v>
      </c>
      <c r="G16321" s="25" t="n">
        <f aca="false">G16314*MIN(G16313-G16319+G16318,MAX(0,G16367-Assumptions!$C$12*G16285-G16295-G16308))</f>
        <v>0</v>
      </c>
      <c r="H16321" s="25" t="n">
        <f aca="false">H16314*MIN(H16313-H16319+H16318,MAX(0,H16367-Assumptions!$C$12*H16285-H16295-H16308))</f>
        <v>0</v>
      </c>
      <c r="I16321" s="25" t="n">
        <f aca="false">I16314*MIN(I16313-I16319+I16318,MAX(0,I16367-Assumptions!$C$12*I16285-I16295-I16308))</f>
        <v>0</v>
      </c>
      <c r="J16321" s="25" t="n">
        <f aca="false">J16314*MIN(J16313-J16319+J16318,MAX(0,J16367-Assumptions!$C$12*J16285-J16295-J16308))</f>
        <v>0</v>
      </c>
      <c r="K16321" s="25" t="n">
        <f aca="false">K16314*MIN(K16313-K16319+K16318,MAX(0,K16367-Assumptions!$C$12*K16285-K16295-K16308))</f>
        <v>0</v>
      </c>
    </row>
    <row r="16322" customFormat="false" ht="15" hidden="false" customHeight="false" outlineLevel="0" collapsed="false">
      <c r="A16322" s="5" t="s">
        <v>272</v>
      </c>
      <c r="G16322" s="25" t="n">
        <f aca="false">Assumptions!$N$55*MIN(G16313+G16320+G16318-G16319-G16321,MAX(0,G16371-G16296-G16309))</f>
        <v>0</v>
      </c>
      <c r="H16322" s="25" t="n">
        <f aca="false">Assumptions!$N$55*MIN(H16313+H16320+H16318-H16319-H16321,MAX(0,H16371-H16296-H16309))</f>
        <v>0</v>
      </c>
      <c r="I16322" s="25" t="n">
        <f aca="false">Assumptions!$N$55*MIN(I16313+I16320+I16318-I16319-I16321,MAX(0,I16371-I16296-I16309))</f>
        <v>0</v>
      </c>
      <c r="J16322" s="25" t="n">
        <f aca="false">Assumptions!$N$55*MIN(J16313+J16320+J16318-J16319-J16321,MAX(0,J16371-J16296-J16309))</f>
        <v>0</v>
      </c>
      <c r="K16322" s="25" t="n">
        <f aca="false">Assumptions!$N$55*MIN(K16313+K16320+K16318-K16319-K16321,MAX(0,K16371-K16296-K16309))</f>
        <v>0</v>
      </c>
    </row>
    <row r="16323" customFormat="false" ht="15" hidden="false" customHeight="false" outlineLevel="0" collapsed="false">
      <c r="A16323" s="5" t="s">
        <v>273</v>
      </c>
      <c r="G16323" s="25" t="n">
        <f aca="false">G16314*(1-G16285)*(G16313-G16319+G16318-G16321)</f>
        <v>0</v>
      </c>
      <c r="H16323" s="25" t="n">
        <f aca="false">H16314*(1-H16285)*(H16313-H16319+H16318-H16321)</f>
        <v>0</v>
      </c>
      <c r="I16323" s="25" t="n">
        <f aca="false">I16314*(1-I16285)*(I16313-I16319+I16318-I16321)</f>
        <v>0</v>
      </c>
      <c r="J16323" s="25" t="n">
        <f aca="false">J16314*(1-J16285)*(J16313-J16319+J16318-J16321)</f>
        <v>250</v>
      </c>
      <c r="K16323" s="25" t="n">
        <f aca="false">K16314*(1-K16285)*(K16313-K16319+K16318-K16321)</f>
        <v>0</v>
      </c>
    </row>
    <row r="16324" customFormat="false" ht="15" hidden="false" customHeight="false" outlineLevel="0" collapsed="false">
      <c r="A16324" s="2" t="s">
        <v>274</v>
      </c>
      <c r="F16324" s="27" t="n">
        <f aca="false">Assumptions!$C$55</f>
        <v>250</v>
      </c>
      <c r="G16324" s="16" t="n">
        <f aca="false">G16313+G16320+G16318-G16319-G16321-G16322</f>
        <v>250</v>
      </c>
      <c r="H16324" s="16" t="n">
        <f aca="false">H16313+H16320+H16318-H16319-H16321-H16322</f>
        <v>250</v>
      </c>
      <c r="I16324" s="16" t="n">
        <f aca="false">I16313+I16320+I16318-I16319-I16321-I16322</f>
        <v>250</v>
      </c>
      <c r="J16324" s="16" t="n">
        <f aca="false">J16313+J16320+J16318-J16319-J16321-J16322</f>
        <v>250</v>
      </c>
      <c r="K16324" s="16" t="n">
        <f aca="false">K16313+K16320+K16318-K16319-K16321-K16322</f>
        <v>250</v>
      </c>
    </row>
    <row r="16325" customFormat="false" ht="15" hidden="false" customHeight="false" outlineLevel="0" collapsed="false">
      <c r="A16325" s="23" t="s">
        <v>277</v>
      </c>
      <c r="B16325" s="24"/>
      <c r="C16325" s="24"/>
      <c r="D16325" s="24"/>
      <c r="E16325" s="24"/>
      <c r="F16325" s="24"/>
      <c r="G16325" s="24"/>
      <c r="H16325" s="24"/>
      <c r="I16325" s="24"/>
      <c r="J16325" s="24"/>
      <c r="K16325" s="24"/>
    </row>
    <row r="16326" customFormat="false" ht="15" hidden="false" customHeight="false" outlineLevel="0" collapsed="false">
      <c r="A16326" s="5" t="s">
        <v>264</v>
      </c>
      <c r="G16326" s="25" t="n">
        <f aca="false">F16337</f>
        <v>300</v>
      </c>
      <c r="H16326" s="25" t="n">
        <f aca="false">G16337</f>
        <v>300</v>
      </c>
      <c r="I16326" s="25" t="n">
        <f aca="false">H16337</f>
        <v>300</v>
      </c>
      <c r="J16326" s="25" t="n">
        <f aca="false">I16337</f>
        <v>300</v>
      </c>
      <c r="K16326" s="25" t="n">
        <f aca="false">J16337</f>
        <v>300</v>
      </c>
    </row>
    <row r="16327" customFormat="false" ht="15" hidden="false" customHeight="false" outlineLevel="0" collapsed="false">
      <c r="A16327" s="5" t="s">
        <v>265</v>
      </c>
      <c r="G16327" s="20" t="n">
        <f aca="false">IF(G16251=Assumptions!$K$56,1,0)</f>
        <v>0</v>
      </c>
      <c r="H16327" s="20" t="n">
        <f aca="false">IF(H16251=Assumptions!$K$56,1,0)</f>
        <v>1</v>
      </c>
      <c r="I16327" s="20" t="n">
        <f aca="false">IF(I16251=Assumptions!$K$56,1,0)</f>
        <v>0</v>
      </c>
      <c r="J16327" s="20" t="n">
        <f aca="false">IF(J16251=Assumptions!$K$56,1,0)</f>
        <v>0</v>
      </c>
      <c r="K16327" s="20" t="n">
        <f aca="false">IF(K16251=Assumptions!$K$56,1,0)</f>
        <v>0</v>
      </c>
    </row>
    <row r="16329" customFormat="false" ht="15" hidden="false" customHeight="false" outlineLevel="0" collapsed="false">
      <c r="A16329" s="5" t="s">
        <v>266</v>
      </c>
      <c r="G16329" s="30" t="n">
        <f aca="false">IF(Assumptions!$I$56=1,MAX(G16277,Assumptions!$G$56)+Assumptions!$F$56+$C$16278,Assumptions!$E$56)</f>
        <v>0.075</v>
      </c>
      <c r="H16329" s="30" t="n">
        <f aca="false">IF(G16442=1,$C$16279,IF(Assumptions!$I$56=1,MAX(H16277,Assumptions!$G$56)+Assumptions!$F$56+$C$16278,Assumptions!$E$56))</f>
        <v>0.075</v>
      </c>
      <c r="I16329" s="30" t="n">
        <f aca="false">IF(H16442=1,$C$16279,IF(Assumptions!$I$56=1,MAX(I16277,Assumptions!$G$56)+Assumptions!$F$56+$C$16278,Assumptions!$E$56))</f>
        <v>0.075</v>
      </c>
      <c r="J16329" s="30" t="n">
        <f aca="false">IF(I16442=1,$C$16279,IF(Assumptions!$I$56=1,MAX(J16277,Assumptions!$G$56)+Assumptions!$F$56+$C$16278,Assumptions!$E$56))</f>
        <v>0.075</v>
      </c>
      <c r="K16329" s="30" t="n">
        <f aca="false">IF(J16442=1,$C$16279,IF(Assumptions!$I$56=1,MAX(K16277,Assumptions!$G$56)+Assumptions!$F$56+$C$16278,Assumptions!$E$56))</f>
        <v>0.075</v>
      </c>
    </row>
    <row r="16330" customFormat="false" ht="15" hidden="false" customHeight="false" outlineLevel="0" collapsed="false">
      <c r="A16330" s="5" t="s">
        <v>267</v>
      </c>
      <c r="G16330" s="25" t="n">
        <f aca="false">G16326*G16329</f>
        <v>22.5</v>
      </c>
      <c r="H16330" s="25" t="n">
        <f aca="false">H16326*H16329</f>
        <v>22.5</v>
      </c>
      <c r="I16330" s="25" t="n">
        <f aca="false">I16326*I16329</f>
        <v>22.5</v>
      </c>
      <c r="J16330" s="25" t="n">
        <f aca="false">J16326*J16329</f>
        <v>22.5</v>
      </c>
      <c r="K16330" s="25" t="n">
        <f aca="false">K16326*K16329</f>
        <v>22.5</v>
      </c>
    </row>
    <row r="16331" customFormat="false" ht="15" hidden="false" customHeight="false" outlineLevel="0" collapsed="false">
      <c r="A16331" s="5" t="s">
        <v>268</v>
      </c>
      <c r="G16331" s="25" t="n">
        <f aca="false">G16326*Assumptions!$H$56</f>
        <v>0</v>
      </c>
      <c r="H16331" s="25" t="n">
        <f aca="false">H16326*Assumptions!$H$56</f>
        <v>0</v>
      </c>
      <c r="I16331" s="25" t="n">
        <f aca="false">I16326*Assumptions!$H$56</f>
        <v>0</v>
      </c>
      <c r="J16331" s="25" t="n">
        <f aca="false">J16326*Assumptions!$H$56</f>
        <v>0</v>
      </c>
      <c r="K16331" s="25" t="n">
        <f aca="false">K16326*Assumptions!$H$56</f>
        <v>0</v>
      </c>
    </row>
    <row r="16332" customFormat="false" ht="15" hidden="false" customHeight="false" outlineLevel="0" collapsed="false">
      <c r="A16332" s="5" t="s">
        <v>269</v>
      </c>
      <c r="G16332" s="25" t="n">
        <f aca="false">MIN(G16326,Assumptions!$L$56*Assumptions!$C$56)</f>
        <v>0</v>
      </c>
      <c r="H16332" s="25" t="n">
        <f aca="false">MIN(H16326,Assumptions!$L$56*Assumptions!$C$56)</f>
        <v>0</v>
      </c>
      <c r="I16332" s="25" t="n">
        <f aca="false">MIN(I16326,Assumptions!$L$56*Assumptions!$C$56)</f>
        <v>0</v>
      </c>
      <c r="J16332" s="25" t="n">
        <f aca="false">MIN(J16326,Assumptions!$L$56*Assumptions!$C$56)</f>
        <v>0</v>
      </c>
      <c r="K16332" s="25" t="n">
        <f aca="false">MIN(K16326,Assumptions!$L$56*Assumptions!$C$56)</f>
        <v>0</v>
      </c>
    </row>
    <row r="16333" customFormat="false" ht="15" hidden="false" customHeight="false" outlineLevel="0" collapsed="false">
      <c r="A16333" s="5" t="s">
        <v>270</v>
      </c>
      <c r="G16333" s="25" t="n">
        <f aca="false">IF(AND(Assumptions!$P$56=1,G16251&lt;Assumptions!$K$56),MIN(MAX(0,-G16365),MAX(0,Assumptions!$D$56-G16326)),0)</f>
        <v>0</v>
      </c>
      <c r="H16333" s="25" t="n">
        <f aca="false">IF(AND(Assumptions!$P$56=1,OR(H16251&lt;Assumptions!$K$56,G16442=1)),MIN(MAX(0,-H16365),MAX(0,Assumptions!$D$56-H16326)),0)</f>
        <v>0</v>
      </c>
      <c r="I16333" s="25" t="n">
        <f aca="false">IF(AND(Assumptions!$P$56=1,OR(I16251&lt;Assumptions!$K$56,H16442=1)),MIN(MAX(0,-I16365),MAX(0,Assumptions!$D$56-I16326)),0)</f>
        <v>0</v>
      </c>
      <c r="J16333" s="25" t="n">
        <f aca="false">IF(AND(Assumptions!$P$56=1,OR(J16251&lt;Assumptions!$K$56,I16442=1)),MIN(MAX(0,-J16365),MAX(0,Assumptions!$D$56-J16326)),0)</f>
        <v>0</v>
      </c>
      <c r="K16333" s="25" t="n">
        <f aca="false">IF(AND(Assumptions!$P$56=1,OR(K16251&lt;Assumptions!$K$56,J16442=1)),MIN(MAX(0,-K16365),MAX(0,Assumptions!$D$56-K16326)),0)</f>
        <v>0</v>
      </c>
    </row>
    <row r="16334" customFormat="false" ht="15" hidden="false" customHeight="false" outlineLevel="0" collapsed="false">
      <c r="A16334" s="5" t="s">
        <v>271</v>
      </c>
      <c r="G16334" s="25" t="n">
        <f aca="false">G16327*MIN(G16326-G16332+G16331,MAX(0,G16367-Assumptions!$C$12*G16285-G16295-G16308-G16321))</f>
        <v>0</v>
      </c>
      <c r="H16334" s="25" t="n">
        <f aca="false">H16327*MIN(H16326-H16332+H16331,MAX(0,H16367-Assumptions!$C$12*H16285-H16295-H16308-H16321))</f>
        <v>0</v>
      </c>
      <c r="I16334" s="25" t="n">
        <f aca="false">I16327*MIN(I16326-I16332+I16331,MAX(0,I16367-Assumptions!$C$12*I16285-I16295-I16308-I16321))</f>
        <v>0</v>
      </c>
      <c r="J16334" s="25" t="n">
        <f aca="false">J16327*MIN(J16326-J16332+J16331,MAX(0,J16367-Assumptions!$C$12*J16285-J16295-J16308-J16321))</f>
        <v>0</v>
      </c>
      <c r="K16334" s="25" t="n">
        <f aca="false">K16327*MIN(K16326-K16332+K16331,MAX(0,K16367-Assumptions!$C$12*K16285-K16295-K16308-K16321))</f>
        <v>0</v>
      </c>
    </row>
    <row r="16335" customFormat="false" ht="15" hidden="false" customHeight="false" outlineLevel="0" collapsed="false">
      <c r="A16335" s="5" t="s">
        <v>272</v>
      </c>
      <c r="G16335" s="25" t="n">
        <f aca="false">Assumptions!$N$56*MIN(G16326+G16333+G16331-G16332-G16334,MAX(0,G16371-G16296-G16309-G16322))</f>
        <v>0</v>
      </c>
      <c r="H16335" s="25" t="n">
        <f aca="false">Assumptions!$N$56*MIN(H16326+H16333+H16331-H16332-H16334,MAX(0,H16371-H16296-H16309-H16322))</f>
        <v>0</v>
      </c>
      <c r="I16335" s="25" t="n">
        <f aca="false">Assumptions!$N$56*MIN(I16326+I16333+I16331-I16332-I16334,MAX(0,I16371-I16296-I16309-I16322))</f>
        <v>0</v>
      </c>
      <c r="J16335" s="25" t="n">
        <f aca="false">Assumptions!$N$56*MIN(J16326+J16333+J16331-J16332-J16334,MAX(0,J16371-J16296-J16309-J16322))</f>
        <v>0</v>
      </c>
      <c r="K16335" s="25" t="n">
        <f aca="false">Assumptions!$N$56*MIN(K16326+K16333+K16331-K16332-K16334,MAX(0,K16371-K16296-K16309-K16322))</f>
        <v>0</v>
      </c>
    </row>
    <row r="16336" customFormat="false" ht="15" hidden="false" customHeight="false" outlineLevel="0" collapsed="false">
      <c r="A16336" s="5" t="s">
        <v>273</v>
      </c>
      <c r="G16336" s="25" t="n">
        <f aca="false">G16327*(1-G16285)*(G16326-G16332+G16331-G16334)</f>
        <v>0</v>
      </c>
      <c r="H16336" s="25" t="n">
        <f aca="false">H16327*(1-H16285)*(H16326-H16332+H16331-H16334)</f>
        <v>300</v>
      </c>
      <c r="I16336" s="25" t="n">
        <f aca="false">I16327*(1-I16285)*(I16326-I16332+I16331-I16334)</f>
        <v>0</v>
      </c>
      <c r="J16336" s="25" t="n">
        <f aca="false">J16327*(1-J16285)*(J16326-J16332+J16331-J16334)</f>
        <v>0</v>
      </c>
      <c r="K16336" s="25" t="n">
        <f aca="false">K16327*(1-K16285)*(K16326-K16332+K16331-K16334)</f>
        <v>0</v>
      </c>
    </row>
    <row r="16337" customFormat="false" ht="15" hidden="false" customHeight="false" outlineLevel="0" collapsed="false">
      <c r="A16337" s="2" t="s">
        <v>274</v>
      </c>
      <c r="F16337" s="27" t="n">
        <f aca="false">Assumptions!$C$56</f>
        <v>300</v>
      </c>
      <c r="G16337" s="16" t="n">
        <f aca="false">G16326+G16333+G16331-G16332-G16334-G16335</f>
        <v>300</v>
      </c>
      <c r="H16337" s="16" t="n">
        <f aca="false">H16326+H16333+H16331-H16332-H16334-H16335</f>
        <v>300</v>
      </c>
      <c r="I16337" s="16" t="n">
        <f aca="false">I16326+I16333+I16331-I16332-I16334-I16335</f>
        <v>300</v>
      </c>
      <c r="J16337" s="16" t="n">
        <f aca="false">J16326+J16333+J16331-J16332-J16334-J16335</f>
        <v>300</v>
      </c>
      <c r="K16337" s="16" t="n">
        <f aca="false">K16326+K16333+K16331-K16332-K16334-K16335</f>
        <v>300</v>
      </c>
    </row>
    <row r="16338" customFormat="false" ht="15" hidden="false" customHeight="false" outlineLevel="0" collapsed="false">
      <c r="A16338" s="23" t="s">
        <v>278</v>
      </c>
      <c r="B16338" s="24"/>
      <c r="C16338" s="24"/>
      <c r="D16338" s="24"/>
      <c r="E16338" s="24"/>
      <c r="F16338" s="24"/>
      <c r="G16338" s="24"/>
      <c r="H16338" s="24"/>
      <c r="I16338" s="24"/>
      <c r="J16338" s="24"/>
      <c r="K16338" s="24"/>
    </row>
    <row r="16339" customFormat="false" ht="15" hidden="false" customHeight="false" outlineLevel="0" collapsed="false">
      <c r="A16339" s="2" t="s">
        <v>279</v>
      </c>
      <c r="F16339" s="16" t="n">
        <f aca="false">F16298+F16311+F16324+F16337</f>
        <v>1250</v>
      </c>
      <c r="G16339" s="16" t="n">
        <f aca="false">G16298+G16311+G16324+G16337</f>
        <v>1306.7088</v>
      </c>
      <c r="H16339" s="16" t="n">
        <f aca="false">H16298+H16311+H16324+H16337</f>
        <v>1301.5088</v>
      </c>
      <c r="I16339" s="16" t="n">
        <f aca="false">I16298+I16311+I16324+I16337</f>
        <v>1296.3088</v>
      </c>
      <c r="J16339" s="16" t="n">
        <f aca="false">J16298+J16311+J16324+J16337</f>
        <v>1291.1088</v>
      </c>
      <c r="K16339" s="16" t="n">
        <f aca="false">K16298+K16311+K16324+K16337</f>
        <v>1285.9088</v>
      </c>
    </row>
    <row r="16340" customFormat="false" ht="15" hidden="false" customHeight="false" outlineLevel="0" collapsed="false">
      <c r="A16340" s="5" t="s">
        <v>280</v>
      </c>
      <c r="G16340" s="25" t="n">
        <f aca="false">G16288*Assumptions!$C$53+G16301*Assumptions!$C$54+G16314*Assumptions!$C$55+G16327*Assumptions!$C$56</f>
        <v>0</v>
      </c>
      <c r="H16340" s="25" t="n">
        <f aca="false">H16288*Assumptions!$C$53+H16301*Assumptions!$C$54+H16314*Assumptions!$C$55+H16327*Assumptions!$C$56</f>
        <v>480</v>
      </c>
      <c r="I16340" s="25" t="n">
        <f aca="false">I16288*Assumptions!$C$53+I16301*Assumptions!$C$54+I16314*Assumptions!$C$55+I16327*Assumptions!$C$56</f>
        <v>520</v>
      </c>
      <c r="J16340" s="25" t="n">
        <f aca="false">J16288*Assumptions!$C$53+J16301*Assumptions!$C$54+J16314*Assumptions!$C$55+J16327*Assumptions!$C$56</f>
        <v>250</v>
      </c>
      <c r="K16340" s="25" t="n">
        <f aca="false">K16288*Assumptions!$C$53+K16301*Assumptions!$C$54+K16314*Assumptions!$C$55+K16327*Assumptions!$C$56</f>
        <v>0</v>
      </c>
    </row>
    <row r="16341" customFormat="false" ht="15" hidden="false" customHeight="false" outlineLevel="0" collapsed="false">
      <c r="A16341" s="23" t="s">
        <v>281</v>
      </c>
      <c r="B16341" s="24"/>
      <c r="C16341" s="24"/>
      <c r="D16341" s="24"/>
      <c r="E16341" s="24"/>
      <c r="F16341" s="24"/>
      <c r="G16341" s="24"/>
      <c r="H16341" s="24"/>
      <c r="I16341" s="24"/>
      <c r="J16341" s="24"/>
      <c r="K16341" s="24"/>
    </row>
    <row r="16342" customFormat="false" ht="15" hidden="false" customHeight="false" outlineLevel="0" collapsed="false">
      <c r="A16342" s="5" t="s">
        <v>282</v>
      </c>
      <c r="C16342" s="25" t="n">
        <f aca="false">SUMPRODUCT($G$16288:$K$16288,$G$16287:$K$16287-$G$16293:$K$16293+$G$16292:$K$16292)</f>
        <v>241.9088</v>
      </c>
    </row>
    <row r="16343" customFormat="false" ht="15" hidden="false" customHeight="false" outlineLevel="0" collapsed="false">
      <c r="A16343" s="5" t="s">
        <v>283</v>
      </c>
      <c r="C16343" s="25" t="n">
        <f aca="false">SUMPRODUCT($G$16288:$K$16288,$G$16295:$K$16295)</f>
        <v>0</v>
      </c>
    </row>
    <row r="16344" customFormat="false" ht="15" hidden="false" customHeight="false" outlineLevel="0" collapsed="false">
      <c r="A16344" s="5" t="s">
        <v>284</v>
      </c>
      <c r="C16344" s="5" t="str">
        <f aca="false">IF(SUM($G$16288:$K$16288)=0,"n/a (beyond horizon)",IF(SUMPRODUCT($G$16288:$K$16288,$G$16285:$K$16285)&gt;0,"REFINANCING PASS","REFINANCING FAILURE"))</f>
        <v>REFINANCING FAILURE</v>
      </c>
    </row>
    <row r="16345" customFormat="false" ht="15" hidden="false" customHeight="false" outlineLevel="0" collapsed="false">
      <c r="A16345" s="5" t="s">
        <v>285</v>
      </c>
      <c r="C16345" s="5" t="str">
        <f aca="false">IF(SUM($G$16288:$K$16288)=0,"n/a",IF(C16343&gt;=C16342-0.001,"Repaid from cash",IF(SUMPRODUCT($G$16288:$K$16288,$G$16285:$K$16285)&gt;0,IF(C16343&gt;0,"Partly repaid; remainder refinanced","Refinanced"),IF(SUM($G$16297:$K$16297)&gt;0.001,IF(C16343&gt;0,"Partial repayment; PAYMENT DEFAULT","PAYMENT DEFAULT"),"Repaid from cash"))))</f>
        <v>PAYMENT DEFAULT</v>
      </c>
    </row>
    <row r="16346" customFormat="false" ht="15" hidden="false" customHeight="false" outlineLevel="0" collapsed="false">
      <c r="A16346" s="5" t="s">
        <v>286</v>
      </c>
      <c r="C16346" s="25" t="n">
        <f aca="false">SUMPRODUCT($G$16301:$K$16301,$G$16300:$K$16300-$G$16306:$K$16306+$G$16305:$K$16305)</f>
        <v>504.4</v>
      </c>
    </row>
    <row r="16347" customFormat="false" ht="15" hidden="false" customHeight="false" outlineLevel="0" collapsed="false">
      <c r="A16347" s="5" t="s">
        <v>287</v>
      </c>
      <c r="C16347" s="25" t="n">
        <f aca="false">SUMPRODUCT($G$16301:$K$16301,$G$16308:$K$16308)</f>
        <v>0</v>
      </c>
    </row>
    <row r="16348" customFormat="false" ht="15" hidden="false" customHeight="false" outlineLevel="0" collapsed="false">
      <c r="A16348" s="5" t="s">
        <v>288</v>
      </c>
      <c r="C16348" s="5" t="str">
        <f aca="false">IF(SUM($G$16301:$K$16301)=0,"n/a (beyond horizon)",IF(SUMPRODUCT($G$16301:$K$16301,$G$16285:$K$16285)&gt;0,"REFINANCING PASS","REFINANCING FAILURE"))</f>
        <v>REFINANCING FAILURE</v>
      </c>
    </row>
    <row r="16349" customFormat="false" ht="15" hidden="false" customHeight="false" outlineLevel="0" collapsed="false">
      <c r="A16349" s="5" t="s">
        <v>289</v>
      </c>
      <c r="C16349" s="5" t="str">
        <f aca="false">IF(SUM($G$16301:$K$16301)=0,"n/a",IF(C16347&gt;=C16346-0.001,"Repaid from cash",IF(SUMPRODUCT($G$16301:$K$16301,$G$16285:$K$16285)&gt;0,IF(C16347&gt;0,"Partly repaid; remainder refinanced","Refinanced"),IF(SUM($G$16310:$K$16310)&gt;0.001,IF(C16347&gt;0,"Partial repayment; PAYMENT DEFAULT","PAYMENT DEFAULT"),"Repaid from cash"))))</f>
        <v>PAYMENT DEFAULT</v>
      </c>
    </row>
    <row r="16350" customFormat="false" ht="15" hidden="false" customHeight="false" outlineLevel="0" collapsed="false">
      <c r="A16350" s="5" t="s">
        <v>290</v>
      </c>
      <c r="C16350" s="25" t="n">
        <f aca="false">SUMPRODUCT($G$16314:$K$16314,$G$16313:$K$16313-$G$16319:$K$16319+$G$16318:$K$16318)</f>
        <v>250</v>
      </c>
    </row>
    <row r="16351" customFormat="false" ht="15" hidden="false" customHeight="false" outlineLevel="0" collapsed="false">
      <c r="A16351" s="5" t="s">
        <v>291</v>
      </c>
      <c r="C16351" s="25" t="n">
        <f aca="false">SUMPRODUCT($G$16314:$K$16314,$G$16321:$K$16321)</f>
        <v>0</v>
      </c>
    </row>
    <row r="16352" customFormat="false" ht="15" hidden="false" customHeight="false" outlineLevel="0" collapsed="false">
      <c r="A16352" s="5" t="s">
        <v>292</v>
      </c>
      <c r="C16352" s="5" t="str">
        <f aca="false">IF(SUM($G$16314:$K$16314)=0,"n/a (beyond horizon)",IF(SUMPRODUCT($G$16314:$K$16314,$G$16285:$K$16285)&gt;0,"REFINANCING PASS","REFINANCING FAILURE"))</f>
        <v>REFINANCING FAILURE</v>
      </c>
    </row>
    <row r="16353" customFormat="false" ht="15" hidden="false" customHeight="false" outlineLevel="0" collapsed="false">
      <c r="A16353" s="5" t="s">
        <v>293</v>
      </c>
      <c r="C16353" s="5" t="str">
        <f aca="false">IF(SUM($G$16314:$K$16314)=0,"n/a",IF(C16351&gt;=C16350-0.001,"Repaid from cash",IF(SUMPRODUCT($G$16314:$K$16314,$G$16285:$K$16285)&gt;0,IF(C16351&gt;0,"Partly repaid; remainder refinanced","Refinanced"),IF(SUM($G$16323:$K$16323)&gt;0.001,IF(C16351&gt;0,"Partial repayment; PAYMENT DEFAULT","PAYMENT DEFAULT"),"Repaid from cash"))))</f>
        <v>PAYMENT DEFAULT</v>
      </c>
    </row>
    <row r="16354" customFormat="false" ht="15" hidden="false" customHeight="false" outlineLevel="0" collapsed="false">
      <c r="A16354" s="5" t="s">
        <v>294</v>
      </c>
      <c r="C16354" s="25" t="n">
        <f aca="false">SUMPRODUCT($G$16327:$K$16327,$G$16326:$K$16326-$G$16332:$K$16332+$G$16331:$K$16331)</f>
        <v>300</v>
      </c>
    </row>
    <row r="16355" customFormat="false" ht="15" hidden="false" customHeight="false" outlineLevel="0" collapsed="false">
      <c r="A16355" s="5" t="s">
        <v>295</v>
      </c>
      <c r="C16355" s="25" t="n">
        <f aca="false">SUMPRODUCT($G$16327:$K$16327,$G$16334:$K$16334)</f>
        <v>0</v>
      </c>
    </row>
    <row r="16356" customFormat="false" ht="15" hidden="false" customHeight="false" outlineLevel="0" collapsed="false">
      <c r="A16356" s="5" t="s">
        <v>296</v>
      </c>
      <c r="C16356" s="5" t="str">
        <f aca="false">IF(SUM($G$16327:$K$16327)=0,"n/a (beyond horizon)",IF(SUMPRODUCT($G$16327:$K$16327,$G$16285:$K$16285)&gt;0,"REFINANCING PASS","REFINANCING FAILURE"))</f>
        <v>REFINANCING FAILURE</v>
      </c>
    </row>
    <row r="16357" customFormat="false" ht="15" hidden="false" customHeight="false" outlineLevel="0" collapsed="false">
      <c r="A16357" s="5" t="s">
        <v>297</v>
      </c>
      <c r="C16357" s="5" t="str">
        <f aca="false">IF(SUM($G$16327:$K$16327)=0,"n/a",IF(C16355&gt;=C16354-0.001,"Repaid from cash",IF(SUMPRODUCT($G$16327:$K$16327,$G$16285:$K$16285)&gt;0,IF(C16355&gt;0,"Partly repaid; remainder refinanced","Refinanced"),IF(SUM($G$16336:$K$16336)&gt;0.001,IF(C16355&gt;0,"Partial repayment; PAYMENT DEFAULT","PAYMENT DEFAULT"),"Repaid from cash"))))</f>
        <v>PAYMENT DEFAULT</v>
      </c>
    </row>
    <row r="16358" customFormat="false" ht="15" hidden="false" customHeight="false" outlineLevel="0" collapsed="false">
      <c r="A16358" s="5" t="s">
        <v>298</v>
      </c>
      <c r="C16358" s="20" t="n">
        <f aca="false">IF(C16344="REFINANCING FAILURE",1,0)+IF(C16348="REFINANCING FAILURE",1,0)+IF(C16352="REFINANCING FAILURE",1,0)+IF(C16356="REFINANCING FAILURE",1,0)</f>
        <v>4</v>
      </c>
    </row>
    <row r="16360" customFormat="false" ht="15" hidden="false" customHeight="false" outlineLevel="0" collapsed="false">
      <c r="A16360" s="23" t="s">
        <v>300</v>
      </c>
      <c r="B16360" s="24"/>
      <c r="C16360" s="24"/>
      <c r="D16360" s="24"/>
      <c r="E16360" s="24"/>
      <c r="F16360" s="24"/>
      <c r="G16360" s="24"/>
      <c r="H16360" s="24"/>
      <c r="I16360" s="24"/>
      <c r="J16360" s="24"/>
      <c r="K16360" s="24"/>
    </row>
    <row r="16361" customFormat="false" ht="15" hidden="false" customHeight="false" outlineLevel="0" collapsed="false">
      <c r="A16361" s="5" t="s">
        <v>260</v>
      </c>
      <c r="G16361" s="25" t="n">
        <f aca="false">F16373</f>
        <v>45</v>
      </c>
      <c r="H16361" s="25" t="n">
        <f aca="false">G16373</f>
        <v>0</v>
      </c>
      <c r="I16361" s="25" t="n">
        <f aca="false">H16373</f>
        <v>-147.9189928</v>
      </c>
      <c r="J16361" s="25" t="n">
        <f aca="false">I16373</f>
        <v>-316.418485344</v>
      </c>
      <c r="K16361" s="25" t="n">
        <f aca="false">J16373</f>
        <v>-487.13420397056</v>
      </c>
    </row>
    <row r="16362" customFormat="false" ht="15" hidden="false" customHeight="false" outlineLevel="0" collapsed="false">
      <c r="A16362" s="5" t="s">
        <v>301</v>
      </c>
      <c r="G16362" s="25" t="n">
        <f aca="false">G16274</f>
        <v>-101.7088</v>
      </c>
      <c r="H16362" s="25" t="n">
        <f aca="false">H16274</f>
        <v>-142.7189928</v>
      </c>
      <c r="I16362" s="25" t="n">
        <f aca="false">I16274</f>
        <v>-163.299492544</v>
      </c>
      <c r="J16362" s="25" t="n">
        <f aca="false">J16274</f>
        <v>-165.51571862656</v>
      </c>
      <c r="K16362" s="25" t="n">
        <f aca="false">K16274</f>
        <v>-164.631743088294</v>
      </c>
    </row>
    <row r="16363" customFormat="false" ht="15" hidden="false" customHeight="false" outlineLevel="0" collapsed="false">
      <c r="A16363" s="5" t="s">
        <v>302</v>
      </c>
      <c r="G16363" s="25" t="n">
        <f aca="false">CHOOSE($C$16244,Assumptions!$G$68,Assumptions!$G$87,Assumptions!$G$106)</f>
        <v>0</v>
      </c>
      <c r="H16363" s="25" t="n">
        <f aca="false">CHOOSE($C$16244,Assumptions!$H$68,Assumptions!$H$87,Assumptions!$H$106)</f>
        <v>0</v>
      </c>
      <c r="I16363" s="25" t="n">
        <f aca="false">CHOOSE($C$16244,Assumptions!$I$68,Assumptions!$I$87,Assumptions!$I$106)</f>
        <v>0</v>
      </c>
      <c r="J16363" s="25" t="n">
        <f aca="false">CHOOSE($C$16244,Assumptions!$J$68,Assumptions!$J$87,Assumptions!$J$106)</f>
        <v>0</v>
      </c>
      <c r="K16363" s="25" t="n">
        <f aca="false">CHOOSE($C$16244,Assumptions!$K$68,Assumptions!$K$87,Assumptions!$K$106)</f>
        <v>0</v>
      </c>
    </row>
    <row r="16364" customFormat="false" ht="15" hidden="false" customHeight="false" outlineLevel="0" collapsed="false">
      <c r="A16364" s="5" t="s">
        <v>303</v>
      </c>
      <c r="G16364" s="25" t="n">
        <f aca="false">G16293+G16306+G16319+G16332</f>
        <v>5.2</v>
      </c>
      <c r="H16364" s="25" t="n">
        <f aca="false">H16293+H16306+H16319+H16332</f>
        <v>5.2</v>
      </c>
      <c r="I16364" s="25" t="n">
        <f aca="false">I16293+I16306+I16319+I16332</f>
        <v>5.2</v>
      </c>
      <c r="J16364" s="25" t="n">
        <f aca="false">J16293+J16306+J16319+J16332</f>
        <v>5.2</v>
      </c>
      <c r="K16364" s="25" t="n">
        <f aca="false">K16293+K16306+K16319+K16332</f>
        <v>5.2</v>
      </c>
    </row>
    <row r="16365" customFormat="false" ht="15" hidden="false" customHeight="false" outlineLevel="0" collapsed="false">
      <c r="A16365" s="2" t="s">
        <v>304</v>
      </c>
      <c r="G16365" s="16" t="n">
        <f aca="false">G16361+G16362+G16363-G16364</f>
        <v>-61.9088</v>
      </c>
      <c r="H16365" s="16" t="n">
        <f aca="false">H16361+H16362+H16363-H16364</f>
        <v>-147.9189928</v>
      </c>
      <c r="I16365" s="16" t="n">
        <f aca="false">I16361+I16362+I16363-I16364</f>
        <v>-316.418485344</v>
      </c>
      <c r="J16365" s="16" t="n">
        <f aca="false">J16361+J16362+J16363-J16364</f>
        <v>-487.13420397056</v>
      </c>
      <c r="K16365" s="16" t="n">
        <f aca="false">K16361+K16362+K16363-K16364</f>
        <v>-656.965947058855</v>
      </c>
    </row>
    <row r="16366" customFormat="false" ht="15" hidden="false" customHeight="false" outlineLevel="0" collapsed="false">
      <c r="A16366" s="5" t="s">
        <v>305</v>
      </c>
      <c r="G16366" s="25" t="n">
        <f aca="false">G16294+G16307+G16320+G16333</f>
        <v>61.9088</v>
      </c>
      <c r="H16366" s="25" t="n">
        <f aca="false">H16294+H16307+H16320+H16333</f>
        <v>0</v>
      </c>
      <c r="I16366" s="25" t="n">
        <f aca="false">I16294+I16307+I16320+I16333</f>
        <v>0</v>
      </c>
      <c r="J16366" s="25" t="n">
        <f aca="false">J16294+J16307+J16320+J16333</f>
        <v>0</v>
      </c>
      <c r="K16366" s="25" t="n">
        <f aca="false">K16294+K16307+K16320+K16333</f>
        <v>0</v>
      </c>
    </row>
    <row r="16367" customFormat="false" ht="15" hidden="false" customHeight="false" outlineLevel="0" collapsed="false">
      <c r="A16367" s="2" t="s">
        <v>306</v>
      </c>
      <c r="G16367" s="16" t="n">
        <f aca="false">G16365+G16366</f>
        <v>0</v>
      </c>
      <c r="H16367" s="16" t="n">
        <f aca="false">H16365+H16366</f>
        <v>-147.9189928</v>
      </c>
      <c r="I16367" s="16" t="n">
        <f aca="false">I16365+I16366</f>
        <v>-316.418485344</v>
      </c>
      <c r="J16367" s="16" t="n">
        <f aca="false">J16365+J16366</f>
        <v>-487.13420397056</v>
      </c>
      <c r="K16367" s="16" t="n">
        <f aca="false">K16365+K16366</f>
        <v>-656.965947058855</v>
      </c>
    </row>
    <row r="16368" customFormat="false" ht="15" hidden="false" customHeight="false" outlineLevel="0" collapsed="false">
      <c r="A16368" s="5" t="s">
        <v>307</v>
      </c>
      <c r="G16368" s="25" t="n">
        <f aca="false">G16295+G16308+G16321+G16334</f>
        <v>0</v>
      </c>
      <c r="H16368" s="25" t="n">
        <f aca="false">H16295+H16308+H16321+H16334</f>
        <v>0</v>
      </c>
      <c r="I16368" s="25" t="n">
        <f aca="false">I16295+I16308+I16321+I16334</f>
        <v>0</v>
      </c>
      <c r="J16368" s="25" t="n">
        <f aca="false">J16295+J16308+J16321+J16334</f>
        <v>0</v>
      </c>
      <c r="K16368" s="25" t="n">
        <f aca="false">K16295+K16308+K16321+K16334</f>
        <v>0</v>
      </c>
    </row>
    <row r="16369" customFormat="false" ht="15" hidden="false" customHeight="false" outlineLevel="0" collapsed="false">
      <c r="A16369" s="2" t="s">
        <v>308</v>
      </c>
      <c r="G16369" s="16" t="n">
        <f aca="false">G16367-G16368</f>
        <v>0</v>
      </c>
      <c r="H16369" s="16" t="n">
        <f aca="false">H16367-H16368</f>
        <v>-147.9189928</v>
      </c>
      <c r="I16369" s="16" t="n">
        <f aca="false">I16367-I16368</f>
        <v>-316.418485344</v>
      </c>
      <c r="J16369" s="16" t="n">
        <f aca="false">J16367-J16368</f>
        <v>-487.13420397056</v>
      </c>
      <c r="K16369" s="16" t="n">
        <f aca="false">K16367-K16368</f>
        <v>-656.965947058855</v>
      </c>
    </row>
    <row r="16370" customFormat="false" ht="15" hidden="false" customHeight="false" outlineLevel="0" collapsed="false">
      <c r="A16370" s="5" t="s">
        <v>309</v>
      </c>
      <c r="G16370" s="25" t="n">
        <f aca="false">MAX(0,-G16369)</f>
        <v>-0</v>
      </c>
      <c r="H16370" s="25" t="n">
        <f aca="false">MAX(0,-H16369)</f>
        <v>147.9189928</v>
      </c>
      <c r="I16370" s="25" t="n">
        <f aca="false">MAX(0,-I16369)</f>
        <v>316.418485344</v>
      </c>
      <c r="J16370" s="25" t="n">
        <f aca="false">MAX(0,-J16369)</f>
        <v>487.13420397056</v>
      </c>
      <c r="K16370" s="25" t="n">
        <f aca="false">MAX(0,-K16369)</f>
        <v>656.965947058855</v>
      </c>
    </row>
    <row r="16371" customFormat="false" ht="15" hidden="false" customHeight="false" outlineLevel="0" collapsed="false">
      <c r="A16371" s="5" t="s">
        <v>310</v>
      </c>
      <c r="G16371" s="25" t="n">
        <f aca="false">MAX(0,G16369-Assumptions!$C$12)*Assumptions!$C$13</f>
        <v>0</v>
      </c>
      <c r="H16371" s="25" t="n">
        <f aca="false">MAX(0,H16369-Assumptions!$C$12)*Assumptions!$C$13</f>
        <v>0</v>
      </c>
      <c r="I16371" s="25" t="n">
        <f aca="false">MAX(0,I16369-Assumptions!$C$12)*Assumptions!$C$13</f>
        <v>0</v>
      </c>
      <c r="J16371" s="25" t="n">
        <f aca="false">MAX(0,J16369-Assumptions!$C$12)*Assumptions!$C$13</f>
        <v>0</v>
      </c>
      <c r="K16371" s="25" t="n">
        <f aca="false">MAX(0,K16369-Assumptions!$C$12)*Assumptions!$C$13</f>
        <v>0</v>
      </c>
    </row>
    <row r="16372" customFormat="false" ht="15" hidden="false" customHeight="false" outlineLevel="0" collapsed="false">
      <c r="A16372" s="5" t="s">
        <v>311</v>
      </c>
      <c r="G16372" s="25" t="n">
        <f aca="false">G16296+G16309+G16322+G16335</f>
        <v>0</v>
      </c>
      <c r="H16372" s="25" t="n">
        <f aca="false">H16296+H16309+H16322+H16335</f>
        <v>0</v>
      </c>
      <c r="I16372" s="25" t="n">
        <f aca="false">I16296+I16309+I16322+I16335</f>
        <v>0</v>
      </c>
      <c r="J16372" s="25" t="n">
        <f aca="false">J16296+J16309+J16322+J16335</f>
        <v>0</v>
      </c>
      <c r="K16372" s="25" t="n">
        <f aca="false">K16296+K16309+K16322+K16335</f>
        <v>0</v>
      </c>
    </row>
    <row r="16373" customFormat="false" ht="15" hidden="false" customHeight="false" outlineLevel="0" collapsed="false">
      <c r="A16373" s="2" t="s">
        <v>312</v>
      </c>
      <c r="F16373" s="27" t="n">
        <f aca="false">Assumptions!$C$11</f>
        <v>45</v>
      </c>
      <c r="G16373" s="16" t="n">
        <f aca="false">G16369-G16372</f>
        <v>0</v>
      </c>
      <c r="H16373" s="16" t="n">
        <f aca="false">H16369-H16372</f>
        <v>-147.9189928</v>
      </c>
      <c r="I16373" s="16" t="n">
        <f aca="false">I16369-I16372</f>
        <v>-316.418485344</v>
      </c>
      <c r="J16373" s="16" t="n">
        <f aca="false">J16369-J16372</f>
        <v>-487.13420397056</v>
      </c>
      <c r="K16373" s="16" t="n">
        <f aca="false">K16369-K16372</f>
        <v>-656.965947058855</v>
      </c>
    </row>
    <row r="16374" customFormat="false" ht="15" hidden="false" customHeight="false" outlineLevel="0" collapsed="false">
      <c r="A16374" s="5" t="s">
        <v>313</v>
      </c>
      <c r="G16374" s="25" t="n">
        <f aca="false">G16297+G16310+G16323+G16336</f>
        <v>0</v>
      </c>
      <c r="H16374" s="25" t="n">
        <f aca="false">H16297+H16310+H16323+H16336</f>
        <v>541.9088</v>
      </c>
      <c r="I16374" s="25" t="n">
        <f aca="false">I16297+I16310+I16323+I16336</f>
        <v>504.4</v>
      </c>
      <c r="J16374" s="25" t="n">
        <f aca="false">J16297+J16310+J16323+J16336</f>
        <v>250</v>
      </c>
      <c r="K16374" s="25" t="n">
        <f aca="false">K16297+K16310+K16323+K16336</f>
        <v>0</v>
      </c>
    </row>
    <row r="16375" customFormat="false" ht="15" hidden="false" customHeight="false" outlineLevel="0" collapsed="false">
      <c r="A16375" s="5" t="s">
        <v>314</v>
      </c>
      <c r="G16375" s="20" t="n">
        <f aca="false">IF(OR(G16370&gt;0.001,G16374&gt;0.001),1,0)</f>
        <v>0</v>
      </c>
      <c r="H16375" s="20" t="n">
        <f aca="false">IF(OR(H16370&gt;0.001,H16374&gt;0.001),1,0)</f>
        <v>1</v>
      </c>
      <c r="I16375" s="20" t="n">
        <f aca="false">IF(OR(I16370&gt;0.001,I16374&gt;0.001),1,0)</f>
        <v>1</v>
      </c>
      <c r="J16375" s="20" t="n">
        <f aca="false">IF(OR(J16370&gt;0.001,J16374&gt;0.001),1,0)</f>
        <v>1</v>
      </c>
      <c r="K16375" s="20" t="n">
        <f aca="false">IF(OR(K16370&gt;0.001,K16374&gt;0.001),1,0)</f>
        <v>1</v>
      </c>
    </row>
    <row r="16376" customFormat="false" ht="15" hidden="false" customHeight="false" outlineLevel="0" collapsed="false">
      <c r="A16376" s="5" t="s">
        <v>315</v>
      </c>
      <c r="G16376" s="20" t="n">
        <f aca="false">IF(G16375=1,1,0)</f>
        <v>0</v>
      </c>
      <c r="H16376" s="20" t="n">
        <f aca="false">IF(AND(H16375=1,SUM($G$16375:G16375)=0),1,0)</f>
        <v>1</v>
      </c>
      <c r="I16376" s="20" t="n">
        <f aca="false">IF(AND(I16375=1,SUM($G$16375:H16375)=0),1,0)</f>
        <v>0</v>
      </c>
      <c r="J16376" s="20" t="n">
        <f aca="false">IF(AND(J16375=1,SUM($G$16375:I16375)=0),1,0)</f>
        <v>0</v>
      </c>
      <c r="K16376" s="20" t="n">
        <f aca="false">IF(AND(K16375=1,SUM($G$16375:J16375)=0),1,0)</f>
        <v>0</v>
      </c>
    </row>
    <row r="16377" customFormat="false" ht="15" hidden="false" customHeight="false" outlineLevel="0" collapsed="false">
      <c r="A16377" s="5" t="s">
        <v>316</v>
      </c>
      <c r="G16377" s="25" t="n">
        <f aca="false">(G16339-F16339)-(G16366+G16266-G16364-G16368-G16372)</f>
        <v>0</v>
      </c>
      <c r="H16377" s="25" t="n">
        <f aca="false">(H16339-G16339)-(H16366+H16266-H16364-H16368-H16372)</f>
        <v>1.82076576038526E-013</v>
      </c>
      <c r="I16377" s="25" t="n">
        <f aca="false">(I16339-H16339)-(I16366+I16266-I16364-I16368-I16372)</f>
        <v>-4.52970994047064E-014</v>
      </c>
      <c r="J16377" s="25" t="n">
        <f aca="false">(J16339-I16339)-(J16366+J16266-J16364-J16368-J16372)</f>
        <v>-4.52970994047064E-014</v>
      </c>
      <c r="K16377" s="25" t="n">
        <f aca="false">(K16339-J16339)-(K16366+K16266-K16364-K16368-K16372)</f>
        <v>1.82076576038526E-013</v>
      </c>
    </row>
    <row r="16379" customFormat="false" ht="15" hidden="false" customHeight="false" outlineLevel="0" collapsed="false">
      <c r="A16379" s="23" t="s">
        <v>318</v>
      </c>
      <c r="B16379" s="24"/>
      <c r="C16379" s="24"/>
      <c r="D16379" s="24"/>
      <c r="E16379" s="24"/>
      <c r="F16379" s="24"/>
      <c r="G16379" s="24"/>
      <c r="H16379" s="24"/>
      <c r="I16379" s="24"/>
      <c r="J16379" s="24"/>
      <c r="K16379" s="24"/>
    </row>
    <row r="16380" customFormat="false" ht="15" hidden="false" customHeight="false" outlineLevel="0" collapsed="false">
      <c r="A16380" s="5" t="s">
        <v>319</v>
      </c>
      <c r="G16380" s="25" t="n">
        <f aca="false">G16339</f>
        <v>1306.7088</v>
      </c>
      <c r="H16380" s="25" t="n">
        <f aca="false">H16339</f>
        <v>1301.5088</v>
      </c>
      <c r="I16380" s="25" t="n">
        <f aca="false">I16339</f>
        <v>1296.3088</v>
      </c>
      <c r="J16380" s="25" t="n">
        <f aca="false">J16339</f>
        <v>1291.1088</v>
      </c>
      <c r="K16380" s="25" t="n">
        <f aca="false">K16339</f>
        <v>1285.9088</v>
      </c>
    </row>
    <row r="16381" customFormat="false" ht="15" hidden="false" customHeight="false" outlineLevel="0" collapsed="false">
      <c r="A16381" s="5" t="s">
        <v>320</v>
      </c>
      <c r="G16381" s="25" t="n">
        <f aca="false">Assumptions!$O$53*G16298+Assumptions!$O$54*G16311+Assumptions!$O$55*G16324+Assumptions!$O$56*G16337</f>
        <v>1006.7088</v>
      </c>
      <c r="H16381" s="25" t="n">
        <f aca="false">Assumptions!$O$53*H16298+Assumptions!$O$54*H16311+Assumptions!$O$55*H16324+Assumptions!$O$56*H16337</f>
        <v>1001.5088</v>
      </c>
      <c r="I16381" s="25" t="n">
        <f aca="false">Assumptions!$O$53*I16298+Assumptions!$O$54*I16311+Assumptions!$O$55*I16324+Assumptions!$O$56*I16337</f>
        <v>996.3088</v>
      </c>
      <c r="J16381" s="25" t="n">
        <f aca="false">Assumptions!$O$53*J16298+Assumptions!$O$54*J16311+Assumptions!$O$55*J16324+Assumptions!$O$56*J16337</f>
        <v>991.1088</v>
      </c>
      <c r="K16381" s="25" t="n">
        <f aca="false">Assumptions!$O$53*K16298+Assumptions!$O$54*K16311+Assumptions!$O$55*K16324+Assumptions!$O$56*K16337</f>
        <v>985.9088</v>
      </c>
    </row>
    <row r="16382" customFormat="false" ht="15" hidden="false" customHeight="false" outlineLevel="0" collapsed="false">
      <c r="A16382" s="5" t="s">
        <v>321</v>
      </c>
      <c r="G16382" s="25" t="n">
        <f aca="false">G16380-G16373</f>
        <v>1306.7088</v>
      </c>
      <c r="H16382" s="25" t="n">
        <f aca="false">H16380-H16373</f>
        <v>1449.4277928</v>
      </c>
      <c r="I16382" s="25" t="n">
        <f aca="false">I16380-I16373</f>
        <v>1612.727285344</v>
      </c>
      <c r="J16382" s="25" t="n">
        <f aca="false">J16380-J16373</f>
        <v>1778.24300397056</v>
      </c>
      <c r="K16382" s="25" t="n">
        <f aca="false">K16380-K16373</f>
        <v>1942.87474705885</v>
      </c>
    </row>
    <row r="16383" customFormat="false" ht="15" hidden="false" customHeight="false" outlineLevel="0" collapsed="false">
      <c r="A16383" s="5" t="s">
        <v>322</v>
      </c>
      <c r="G16383" s="31" t="n">
        <f aca="false">IF(G16261&gt;0,G16380/G16261,0)</f>
        <v>71.078590078329</v>
      </c>
      <c r="H16383" s="31" t="n">
        <f aca="false">IF(H16261&gt;0,H16380/H16261,0)</f>
        <v>81.3744085311565</v>
      </c>
      <c r="I16383" s="31" t="n">
        <f aca="false">IF(I16261&gt;0,I16380/I16261,0)</f>
        <v>83.2128215982008</v>
      </c>
      <c r="J16383" s="31" t="n">
        <f aca="false">IF(J16261&gt;0,J16380/J16261,0)</f>
        <v>83.7161843715788</v>
      </c>
      <c r="K16383" s="31" t="n">
        <f aca="false">IF(K16261&gt;0,K16380/K16261,0)</f>
        <v>84.2212258519797</v>
      </c>
    </row>
    <row r="16384" customFormat="false" ht="15" hidden="false" customHeight="false" outlineLevel="0" collapsed="false">
      <c r="A16384" s="5" t="s">
        <v>323</v>
      </c>
      <c r="G16384" s="31" t="n">
        <f aca="false">IF(G16261&gt;0,G16382/G16261,0)</f>
        <v>71.078590078329</v>
      </c>
      <c r="H16384" s="31" t="n">
        <f aca="false">IF(H16261&gt;0,H16382/H16261,0)</f>
        <v>90.6227674739654</v>
      </c>
      <c r="I16384" s="31" t="n">
        <f aca="false">IF(I16261&gt;0,I16382/I16261,0)</f>
        <v>103.52439779926</v>
      </c>
      <c r="J16384" s="31" t="n">
        <f aca="false">IF(J16261&gt;0,J16382/J16261,0)</f>
        <v>115.302226410253</v>
      </c>
      <c r="K16384" s="31" t="n">
        <f aca="false">IF(K16261&gt;0,K16382/K16261,0)</f>
        <v>127.249531906269</v>
      </c>
    </row>
    <row r="16385" customFormat="false" ht="15" hidden="false" customHeight="false" outlineLevel="0" collapsed="false">
      <c r="A16385" s="5" t="s">
        <v>324</v>
      </c>
      <c r="G16385" s="31" t="n">
        <f aca="false">IF(G16265&gt;0,G16261/G16265,0)</f>
        <v>0.125027203482046</v>
      </c>
      <c r="H16385" s="31" t="n">
        <f aca="false">IF(H16265&gt;0,H16261/H16265,0)</f>
        <v>0.105082392987935</v>
      </c>
      <c r="I16385" s="31" t="n">
        <f aca="false">IF(I16265&gt;0,I16261/I16265,0)</f>
        <v>0.104135527772642</v>
      </c>
      <c r="J16385" s="31" t="n">
        <f aca="false">IF(J16265&gt;0,J16261/J16265,0)</f>
        <v>0.103591091423771</v>
      </c>
      <c r="K16385" s="31" t="n">
        <f aca="false">IF(K16265&gt;0,K16261/K16265,0)</f>
        <v>0.103051895661996</v>
      </c>
    </row>
    <row r="16386" customFormat="false" ht="15" hidden="false" customHeight="false" outlineLevel="0" collapsed="false">
      <c r="A16386" s="5" t="s">
        <v>325</v>
      </c>
      <c r="G16386" s="31" t="n">
        <f aca="false">IF(G16265&gt;0,G16264/G16265,0)</f>
        <v>-0.150032644178455</v>
      </c>
      <c r="H16386" s="31" t="n">
        <f aca="false">IF(H16265&gt;0,H16264/H16265,0)</f>
        <v>-0.126098871585522</v>
      </c>
      <c r="I16386" s="31" t="n">
        <f aca="false">IF(I16265&gt;0,I16264/I16265,0)</f>
        <v>-0.12496263332717</v>
      </c>
      <c r="J16386" s="31" t="n">
        <f aca="false">IF(J16265&gt;0,J16264/J16265,0)</f>
        <v>-0.124309309708525</v>
      </c>
      <c r="K16386" s="31" t="n">
        <f aca="false">IF(K16265&gt;0,K16264/K16265,0)</f>
        <v>-0.123662274794395</v>
      </c>
    </row>
    <row r="16387" customFormat="false" ht="15" hidden="false" customHeight="false" outlineLevel="0" collapsed="false">
      <c r="A16387" s="5" t="s">
        <v>182</v>
      </c>
      <c r="G16387" s="21" t="n">
        <f aca="false">IF(G16380&gt;0,G16274/G16380,0)</f>
        <v>-0.0778358575376549</v>
      </c>
      <c r="H16387" s="21" t="n">
        <f aca="false">IF(H16380&gt;0,H16274/H16380,0)</f>
        <v>-0.109656571511464</v>
      </c>
      <c r="I16387" s="21" t="n">
        <f aca="false">IF(I16380&gt;0,I16274/I16380,0)</f>
        <v>-0.125972679151758</v>
      </c>
      <c r="J16387" s="21" t="n">
        <f aca="false">IF(J16380&gt;0,J16274/J16380,0)</f>
        <v>-0.128196569202038</v>
      </c>
      <c r="K16387" s="21" t="n">
        <f aca="false">IF(K16380&gt;0,K16274/K16380,0)</f>
        <v>-0.128027542146297</v>
      </c>
    </row>
    <row r="16388" customFormat="false" ht="15" hidden="false" customHeight="false" outlineLevel="0" collapsed="false">
      <c r="A16388" s="5" t="s">
        <v>326</v>
      </c>
      <c r="G16388" s="31" t="n">
        <f aca="false">IF(G16265+G16364&gt;0,(G16261-G16272-G16269)/(G16265+G16364),0)</f>
        <v>-0.0724540199684708</v>
      </c>
      <c r="H16388" s="31" t="n">
        <f aca="false">IF(H16265+H16364&gt;0,(H16261-H16272-H16269)/(H16265+H16364),0)</f>
        <v>-0.0609665490916812</v>
      </c>
      <c r="I16388" s="31" t="n">
        <f aca="false">IF(I16265+I16364&gt;0,(I16261-I16272-I16269)/(I16265+I16364),0)</f>
        <v>-0.060382403640542</v>
      </c>
      <c r="J16388" s="31" t="n">
        <f aca="false">IF(J16265+J16364&gt;0,(J16261-J16272-J16269)/(J16265+J16364),0)</f>
        <v>-0.0600569909467146</v>
      </c>
      <c r="K16388" s="31" t="n">
        <f aca="false">IF(K16265+K16364&gt;0,(K16261-K16272-K16269)/(K16265+K16364),0)</f>
        <v>-0.0597346276791698</v>
      </c>
    </row>
    <row r="16389" customFormat="false" ht="15" hidden="false" customHeight="false" outlineLevel="0" collapsed="false">
      <c r="A16389" s="5" t="s">
        <v>327</v>
      </c>
      <c r="G16389" s="25" t="n">
        <f aca="false">MAX(0,G16373)+Assumptions!$P$53*MAX(0,Assumptions!$D$53-G16298)+Assumptions!$P$54*MAX(0,Assumptions!$D$54-G16311)+Assumptions!$P$55*MAX(0,Assumptions!$D$55-G16324)+Assumptions!$P$56*MAX(0,Assumptions!$D$56-G16337)</f>
        <v>58.0912</v>
      </c>
      <c r="H16389" s="25" t="n">
        <f aca="false">MAX(0,H16373)+Assumptions!$P$53*MAX(0,Assumptions!$D$53-H16298)+Assumptions!$P$54*MAX(0,Assumptions!$D$54-H16311)+Assumptions!$P$55*MAX(0,Assumptions!$D$55-H16324)+Assumptions!$P$56*MAX(0,Assumptions!$D$56-H16337)</f>
        <v>58.0912</v>
      </c>
      <c r="I16389" s="25" t="n">
        <f aca="false">MAX(0,I16373)+Assumptions!$P$53*MAX(0,Assumptions!$D$53-I16298)+Assumptions!$P$54*MAX(0,Assumptions!$D$54-I16311)+Assumptions!$P$55*MAX(0,Assumptions!$D$55-I16324)+Assumptions!$P$56*MAX(0,Assumptions!$D$56-I16337)</f>
        <v>58.0912</v>
      </c>
      <c r="J16389" s="25" t="n">
        <f aca="false">MAX(0,J16373)+Assumptions!$P$53*MAX(0,Assumptions!$D$53-J16298)+Assumptions!$P$54*MAX(0,Assumptions!$D$54-J16311)+Assumptions!$P$55*MAX(0,Assumptions!$D$55-J16324)+Assumptions!$P$56*MAX(0,Assumptions!$D$56-J16337)</f>
        <v>58.0912</v>
      </c>
      <c r="K16389" s="25" t="n">
        <f aca="false">MAX(0,K16373)+Assumptions!$P$53*MAX(0,Assumptions!$D$53-K16298)+Assumptions!$P$54*MAX(0,Assumptions!$D$54-K16311)+Assumptions!$P$55*MAX(0,Assumptions!$D$55-K16324)+Assumptions!$P$56*MAX(0,Assumptions!$D$56-K16337)</f>
        <v>58.0912</v>
      </c>
    </row>
    <row r="16390" customFormat="false" ht="15" hidden="false" customHeight="false" outlineLevel="0" collapsed="false">
      <c r="A16390" s="5" t="s">
        <v>328</v>
      </c>
      <c r="G16390" s="21" t="n">
        <f aca="false">IF(G16380&gt;0,G16380/(G16380+MAX(0,G16261*CHOOSE($C$16244,Assumptions!$C$76,Assumptions!$C$95,Assumptions!$C$114)-G16382)),0)</f>
        <v>1</v>
      </c>
      <c r="H16390" s="21" t="n">
        <f aca="false">IF(H16380&gt;0,H16380/(H16380+MAX(0,H16261*CHOOSE($C$16244,Assumptions!$C$76,Assumptions!$C$95,Assumptions!$C$114)-H16382)),0)</f>
        <v>1</v>
      </c>
      <c r="I16390" s="21" t="n">
        <f aca="false">IF(I16380&gt;0,I16380/(I16380+MAX(0,I16261*CHOOSE($C$16244,Assumptions!$C$76,Assumptions!$C$95,Assumptions!$C$114)-I16382)),0)</f>
        <v>1</v>
      </c>
      <c r="J16390" s="21" t="n">
        <f aca="false">IF(J16380&gt;0,J16380/(J16380+MAX(0,J16261*CHOOSE($C$16244,Assumptions!$C$76,Assumptions!$C$95,Assumptions!$C$114)-J16382)),0)</f>
        <v>1</v>
      </c>
      <c r="K16390" s="21" t="n">
        <f aca="false">IF(K16380&gt;0,K16380/(K16380+MAX(0,K16261*CHOOSE($C$16244,Assumptions!$C$76,Assumptions!$C$95,Assumptions!$C$114)-K16382)),0)</f>
        <v>1</v>
      </c>
    </row>
    <row r="16391" customFormat="false" ht="15" hidden="false" customHeight="false" outlineLevel="0" collapsed="false">
      <c r="A16391" s="5" t="s">
        <v>329</v>
      </c>
      <c r="G16391" s="21" t="n">
        <f aca="false">IF(G16380&gt;0,MAX(0,G16373)/G16380,0)</f>
        <v>0</v>
      </c>
      <c r="H16391" s="21" t="n">
        <f aca="false">IF(H16380&gt;0,MAX(0,H16373)/H16380,0)</f>
        <v>0</v>
      </c>
      <c r="I16391" s="21" t="n">
        <f aca="false">IF(I16380&gt;0,MAX(0,I16373)/I16380,0)</f>
        <v>0</v>
      </c>
      <c r="J16391" s="21" t="n">
        <f aca="false">IF(J16380&gt;0,MAX(0,J16373)/J16380,0)</f>
        <v>0</v>
      </c>
      <c r="K16391" s="21" t="n">
        <f aca="false">IF(K16380&gt;0,MAX(0,K16373)/K16380,0)</f>
        <v>0</v>
      </c>
    </row>
    <row r="16392" customFormat="false" ht="15" hidden="false" customHeight="false" outlineLevel="0" collapsed="false">
      <c r="A16392" s="5" t="s">
        <v>330</v>
      </c>
      <c r="G16392" s="25" t="n">
        <f aca="false">Assumptions!$C$27*(1-CHOOSE($C$16244,Assumptions!$C$79,Assumptions!$C$98,Assumptions!$C$117))</f>
        <v>676</v>
      </c>
      <c r="H16392" s="25" t="n">
        <f aca="false">Assumptions!$C$27*(1-CHOOSE($C$16244,Assumptions!$C$79,Assumptions!$C$98,Assumptions!$C$117))</f>
        <v>676</v>
      </c>
      <c r="I16392" s="25" t="n">
        <f aca="false">Assumptions!$C$27*(1-CHOOSE($C$16244,Assumptions!$C$79,Assumptions!$C$98,Assumptions!$C$117))</f>
        <v>676</v>
      </c>
      <c r="J16392" s="25" t="n">
        <f aca="false">Assumptions!$C$27*(1-CHOOSE($C$16244,Assumptions!$C$79,Assumptions!$C$98,Assumptions!$C$117))</f>
        <v>676</v>
      </c>
      <c r="K16392" s="25" t="n">
        <f aca="false">Assumptions!$C$27*(1-CHOOSE($C$16244,Assumptions!$C$79,Assumptions!$C$98,Assumptions!$C$117))</f>
        <v>676</v>
      </c>
    </row>
    <row r="16393" customFormat="false" ht="15" hidden="false" customHeight="false" outlineLevel="0" collapsed="false">
      <c r="A16393" s="23" t="s">
        <v>331</v>
      </c>
      <c r="B16393" s="24"/>
      <c r="C16393" s="24"/>
      <c r="D16393" s="24"/>
      <c r="E16393" s="24"/>
      <c r="F16393" s="24"/>
      <c r="G16393" s="24"/>
      <c r="H16393" s="24"/>
      <c r="I16393" s="24"/>
      <c r="J16393" s="24"/>
      <c r="K16393" s="24"/>
    </row>
    <row r="16394" customFormat="false" ht="15" hidden="false" customHeight="false" outlineLevel="0" collapsed="false">
      <c r="A16394" s="23" t="s">
        <v>332</v>
      </c>
      <c r="B16394" s="24"/>
      <c r="C16394" s="24"/>
      <c r="D16394" s="24"/>
      <c r="E16394" s="24"/>
      <c r="F16394" s="24"/>
      <c r="G16394" s="24"/>
      <c r="H16394" s="24"/>
      <c r="I16394" s="24"/>
      <c r="J16394" s="24"/>
      <c r="K16394" s="24"/>
    </row>
    <row r="16395" customFormat="false" ht="15" hidden="false" customHeight="false" outlineLevel="0" collapsed="false">
      <c r="A16395" s="5" t="s">
        <v>333</v>
      </c>
      <c r="G16395" s="31" t="n">
        <f aca="false">IF(G16261&gt;0,G16382/G16261,99)</f>
        <v>71.078590078329</v>
      </c>
      <c r="H16395" s="31" t="n">
        <f aca="false">IF(H16261&gt;0,H16382/H16261,99)</f>
        <v>90.6227674739654</v>
      </c>
      <c r="I16395" s="31" t="n">
        <f aca="false">IF(I16261&gt;0,I16382/I16261,99)</f>
        <v>103.52439779926</v>
      </c>
      <c r="J16395" s="31" t="n">
        <f aca="false">IF(J16261&gt;0,J16382/J16261,99)</f>
        <v>115.302226410253</v>
      </c>
      <c r="K16395" s="31" t="n">
        <f aca="false">IF(K16261&gt;0,K16382/K16261,99)</f>
        <v>127.249531906269</v>
      </c>
    </row>
    <row r="16396" customFormat="false" ht="15" hidden="false" customHeight="false" outlineLevel="0" collapsed="false">
      <c r="A16396" s="5" t="s">
        <v>334</v>
      </c>
      <c r="G16396" s="32" t="n">
        <f aca="false">Assumptions!$G$61</f>
        <v>8.5</v>
      </c>
      <c r="H16396" s="32" t="n">
        <f aca="false">Assumptions!$H$61</f>
        <v>8.5</v>
      </c>
      <c r="I16396" s="32" t="n">
        <f aca="false">Assumptions!$I$61</f>
        <v>8.5</v>
      </c>
      <c r="J16396" s="32" t="n">
        <f aca="false">Assumptions!$J$61</f>
        <v>8.5</v>
      </c>
      <c r="K16396" s="32" t="n">
        <f aca="false">Assumptions!$K$61</f>
        <v>8.5</v>
      </c>
    </row>
    <row r="16397" customFormat="false" ht="15" hidden="false" customHeight="false" outlineLevel="0" collapsed="false">
      <c r="A16397" s="5" t="s">
        <v>335</v>
      </c>
      <c r="G16397" s="31" t="n">
        <f aca="false">G16396-G16395</f>
        <v>-62.578590078329</v>
      </c>
      <c r="H16397" s="31" t="n">
        <f aca="false">H16396-H16395</f>
        <v>-82.1227674739654</v>
      </c>
      <c r="I16397" s="31" t="n">
        <f aca="false">I16396-I16395</f>
        <v>-95.0243977992597</v>
      </c>
      <c r="J16397" s="31" t="n">
        <f aca="false">J16396-J16395</f>
        <v>-106.802226410253</v>
      </c>
      <c r="K16397" s="31" t="n">
        <f aca="false">K16396-K16395</f>
        <v>-118.749531906269</v>
      </c>
    </row>
    <row r="16398" customFormat="false" ht="15" hidden="false" customHeight="false" outlineLevel="0" collapsed="false">
      <c r="A16398" s="5" t="s">
        <v>336</v>
      </c>
      <c r="G16398" s="21" t="n">
        <f aca="false">IF(G16396=0,0,G16397/ABS(G16396))</f>
        <v>-7.3621870680387</v>
      </c>
      <c r="H16398" s="21" t="n">
        <f aca="false">IF(H16396=0,0,H16397/ABS(H16396))</f>
        <v>-9.66150205576063</v>
      </c>
      <c r="I16398" s="21" t="n">
        <f aca="false">IF(I16396=0,0,I16397/ABS(I16396))</f>
        <v>-11.17934091756</v>
      </c>
      <c r="J16398" s="21" t="n">
        <f aca="false">IF(J16396=0,0,J16397/ABS(J16396))</f>
        <v>-12.5649678129709</v>
      </c>
      <c r="K16398" s="21" t="n">
        <f aca="false">IF(K16396=0,0,K16397/ABS(K16396))</f>
        <v>-13.9705331654434</v>
      </c>
    </row>
    <row r="16399" customFormat="false" ht="15" hidden="false" customHeight="false" outlineLevel="0" collapsed="false">
      <c r="A16399" s="5" t="s">
        <v>337</v>
      </c>
      <c r="G16399" s="20" t="n">
        <f aca="false">IF(G16397&lt;0,1,0)</f>
        <v>1</v>
      </c>
      <c r="H16399" s="20" t="n">
        <f aca="false">IF(H16397&lt;0,1,0)</f>
        <v>1</v>
      </c>
      <c r="I16399" s="20" t="n">
        <f aca="false">IF(I16397&lt;0,1,0)</f>
        <v>1</v>
      </c>
      <c r="J16399" s="20" t="n">
        <f aca="false">IF(J16397&lt;0,1,0)</f>
        <v>1</v>
      </c>
      <c r="K16399" s="20" t="n">
        <f aca="false">IF(K16397&lt;0,1,0)</f>
        <v>1</v>
      </c>
    </row>
    <row r="16400" customFormat="false" ht="15" hidden="false" customHeight="false" outlineLevel="0" collapsed="false">
      <c r="A16400" s="5" t="s">
        <v>338</v>
      </c>
      <c r="C16400" s="20" t="n">
        <f aca="false">IFERROR(INDEX($G$16251:$K$16251,MATCH(1,$G$16399:$K$16399,0)),0)</f>
        <v>2026</v>
      </c>
    </row>
    <row r="16401" customFormat="false" ht="15" hidden="false" customHeight="false" outlineLevel="0" collapsed="false">
      <c r="A16401" s="5" t="s">
        <v>339</v>
      </c>
      <c r="C16401" s="21" t="n">
        <f aca="false">MIN($G$16398:$K$16398)</f>
        <v>-13.9705331654434</v>
      </c>
    </row>
    <row r="16402" customFormat="false" ht="15" hidden="false" customHeight="false" outlineLevel="0" collapsed="false">
      <c r="A16402" s="5" t="s">
        <v>340</v>
      </c>
      <c r="G16402" s="20" t="n">
        <f aca="false">G16399</f>
        <v>1</v>
      </c>
      <c r="H16402" s="20" t="n">
        <f aca="false">H16399</f>
        <v>1</v>
      </c>
      <c r="I16402" s="20" t="n">
        <f aca="false">I16399</f>
        <v>1</v>
      </c>
      <c r="J16402" s="20" t="n">
        <f aca="false">J16399</f>
        <v>1</v>
      </c>
      <c r="K16402" s="20" t="n">
        <f aca="false">K16399</f>
        <v>1</v>
      </c>
    </row>
    <row r="16403" customFormat="false" ht="15" hidden="false" customHeight="false" outlineLevel="0" collapsed="false">
      <c r="A16403" s="5" t="s">
        <v>341</v>
      </c>
      <c r="C16403" s="20" t="n">
        <f aca="false">SUM($G$16402:$K$16402)</f>
        <v>5</v>
      </c>
    </row>
    <row r="16404" customFormat="false" ht="15" hidden="false" customHeight="false" outlineLevel="0" collapsed="false">
      <c r="A16404" s="5" t="s">
        <v>342</v>
      </c>
      <c r="C16404" s="21" t="n">
        <f aca="false">MIN(C16401)</f>
        <v>-13.9705331654434</v>
      </c>
    </row>
    <row r="16406" customFormat="false" ht="15" hidden="false" customHeight="false" outlineLevel="0" collapsed="false">
      <c r="A16406" s="23" t="s">
        <v>444</v>
      </c>
      <c r="B16406" s="24"/>
      <c r="C16406" s="24"/>
      <c r="D16406" s="24"/>
      <c r="E16406" s="24"/>
      <c r="F16406" s="24"/>
      <c r="G16406" s="24"/>
      <c r="H16406" s="24"/>
      <c r="I16406" s="24"/>
      <c r="J16406" s="24"/>
      <c r="K16406" s="24"/>
    </row>
    <row r="16407" customFormat="false" ht="15" hidden="false" customHeight="false" outlineLevel="0" collapsed="false">
      <c r="A16407" s="5" t="s">
        <v>445</v>
      </c>
      <c r="G16407" s="20" t="n">
        <f aca="false">IF($C$16408=1,G16376,IF(G16261=MIN($G$16261:$K$16261),1,0))</f>
        <v>0</v>
      </c>
      <c r="H16407" s="20" t="n">
        <f aca="false">IF($C$16408=1,H16376,IF(AND(H16261=MIN($G$16261:$K$16261),SUM($G$16407:G16407)=0),1,0))</f>
        <v>1</v>
      </c>
      <c r="I16407" s="20" t="n">
        <f aca="false">IF($C$16408=1,I16376,IF(AND(I16261=MIN($G$16261:$K$16261),SUM($G$16407:H16407)=0),1,0))</f>
        <v>0</v>
      </c>
      <c r="J16407" s="20" t="n">
        <f aca="false">IF($C$16408=1,J16376,IF(AND(J16261=MIN($G$16261:$K$16261),SUM($G$16407:I16407)=0),1,0))</f>
        <v>0</v>
      </c>
      <c r="K16407" s="20" t="n">
        <f aca="false">IF($C$16408=1,K16376,IF(AND(K16261=MIN($G$16261:$K$16261),SUM($G$16407:J16407)=0),1,0))</f>
        <v>0</v>
      </c>
    </row>
    <row r="16408" customFormat="false" ht="15" hidden="false" customHeight="false" outlineLevel="0" collapsed="false">
      <c r="A16408" s="5" t="s">
        <v>446</v>
      </c>
      <c r="C16408" s="20" t="n">
        <f aca="false">IF(SUM($G$16376:$K$16376)&gt;0,1,0)</f>
        <v>1</v>
      </c>
    </row>
    <row r="16409" customFormat="false" ht="15" hidden="false" customHeight="false" outlineLevel="0" collapsed="false">
      <c r="A16409" s="5" t="s">
        <v>447</v>
      </c>
      <c r="C16409" s="20" t="n">
        <f aca="false">SUMPRODUCT($G$16407:$K$16407,$G$16251:$K$16251)</f>
        <v>2027</v>
      </c>
    </row>
    <row r="16410" customFormat="false" ht="15" hidden="false" customHeight="false" outlineLevel="0" collapsed="false">
      <c r="A16410" s="5" t="s">
        <v>448</v>
      </c>
      <c r="C16410" s="25" t="n">
        <f aca="false">SUMPRODUCT($G$16407:$K$16407,$G$16261:$K$16261)</f>
        <v>15.99408</v>
      </c>
    </row>
    <row r="16411" customFormat="false" ht="15" hidden="false" customHeight="false" outlineLevel="0" collapsed="false">
      <c r="A16411" s="5" t="s">
        <v>449</v>
      </c>
      <c r="C16411" s="25" t="n">
        <f aca="false">MAX(0,SUMPRODUCT($G$16407:$K$16407,$G$16373:$K$16373))</f>
        <v>0</v>
      </c>
    </row>
    <row r="16412" customFormat="false" ht="15" hidden="false" customHeight="false" outlineLevel="0" collapsed="false">
      <c r="A16412" s="5" t="s">
        <v>450</v>
      </c>
      <c r="C16412" s="25" t="n">
        <f aca="false">(CHOOSE($C$16244,Assumptions!$C$78,Assumptions!$C$97,Assumptions!$C$116)+$C$16248)*C16410</f>
        <v>63.97632</v>
      </c>
    </row>
    <row r="16413" customFormat="false" ht="15" hidden="false" customHeight="false" outlineLevel="0" collapsed="false">
      <c r="A16413" s="5" t="s">
        <v>451</v>
      </c>
      <c r="C16413" s="25" t="n">
        <f aca="false">Assumptions!$C$27*(1-CHOOSE($C$16244,Assumptions!$C$79,Assumptions!$C$98,Assumptions!$C$117))*CHOOSE($C$16244,Assumptions!$C$80,Assumptions!$C$99,Assumptions!$C$118)</f>
        <v>405.6</v>
      </c>
    </row>
    <row r="16414" customFormat="false" ht="15" hidden="false" customHeight="false" outlineLevel="0" collapsed="false">
      <c r="A16414" s="5" t="s">
        <v>452</v>
      </c>
      <c r="C16414" s="25" t="n">
        <f aca="false">MAX(C16412,C16413)+C16411</f>
        <v>405.6</v>
      </c>
    </row>
    <row r="16415" customFormat="false" ht="15" hidden="false" customHeight="false" outlineLevel="0" collapsed="false">
      <c r="A16415" s="2" t="s">
        <v>453</v>
      </c>
      <c r="C16415" s="16" t="n">
        <f aca="false">IF(ISNUMBER(Assumptions!$C$14),Assumptions!$C$14,C16414)</f>
        <v>405.6</v>
      </c>
    </row>
    <row r="16416" customFormat="false" ht="15" hidden="false" customHeight="false" outlineLevel="0" collapsed="false">
      <c r="A16416" s="5" t="s">
        <v>454</v>
      </c>
      <c r="C16416" s="25" t="n">
        <f aca="false">C16415*Assumptions!$C$15</f>
        <v>16.224</v>
      </c>
    </row>
    <row r="16417" customFormat="false" ht="15" hidden="false" customHeight="false" outlineLevel="0" collapsed="false">
      <c r="A16417" s="2" t="s">
        <v>455</v>
      </c>
      <c r="C16417" s="16" t="n">
        <f aca="false">C16415-C16416</f>
        <v>389.376</v>
      </c>
    </row>
    <row r="16418" customFormat="false" ht="15" hidden="false" customHeight="false" outlineLevel="0" collapsed="false">
      <c r="A16418" s="23" t="s">
        <v>456</v>
      </c>
      <c r="B16418" s="24"/>
      <c r="C16418" s="24"/>
      <c r="D16418" s="24"/>
      <c r="E16418" s="24"/>
      <c r="F16418" s="24"/>
      <c r="G16418" s="24"/>
      <c r="H16418" s="24"/>
      <c r="I16418" s="24"/>
      <c r="J16418" s="24"/>
      <c r="K16418" s="24"/>
    </row>
    <row r="16419" customFormat="false" ht="15" hidden="false" customHeight="false" outlineLevel="0" collapsed="false">
      <c r="A16419" s="5" t="s">
        <v>457</v>
      </c>
      <c r="C16419" s="25" t="n">
        <f aca="false">SUMPRODUCT($G$16407:$K$16407,$G$16298:$K$16298)*(1+SUMPRODUCT($G$16407:$K$16407,$G$16290:$K$16290)*Assumptions!$C$16/12)</f>
        <v>249.3777342</v>
      </c>
    </row>
    <row r="16420" customFormat="false" ht="15" hidden="false" customHeight="false" outlineLevel="0" collapsed="false">
      <c r="A16420" s="5" t="s">
        <v>458</v>
      </c>
      <c r="C16420" s="25" t="n">
        <f aca="false">SUMPRODUCT($G$16407:$K$16407,$G$16311:$K$16311)*(1+SUMPRODUCT($G$16407:$K$16407,$G$16303:$K$16303)*Assumptions!$C$16/12)</f>
        <v>527.4997</v>
      </c>
    </row>
    <row r="16421" customFormat="false" ht="15" hidden="false" customHeight="false" outlineLevel="0" collapsed="false">
      <c r="A16421" s="5" t="s">
        <v>459</v>
      </c>
      <c r="C16421" s="25" t="n">
        <f aca="false">SUMPRODUCT($G$16407:$K$16407,$G$16324:$K$16324)*(1+SUMPRODUCT($G$16407:$K$16407,$G$16316:$K$16316)*Assumptions!$C$16/12)</f>
        <v>256.875</v>
      </c>
    </row>
    <row r="16422" customFormat="false" ht="15" hidden="false" customHeight="false" outlineLevel="0" collapsed="false">
      <c r="A16422" s="5" t="s">
        <v>460</v>
      </c>
      <c r="C16422" s="25" t="n">
        <f aca="false">SUMPRODUCT($G$16407:$K$16407,$G$16337:$K$16337)*(1+SUMPRODUCT($G$16407:$K$16407,$G$16329:$K$16329)*Assumptions!$C$16/12)</f>
        <v>305.625</v>
      </c>
    </row>
    <row r="16423" customFormat="false" ht="15" hidden="false" customHeight="false" outlineLevel="0" collapsed="false">
      <c r="A16423" s="23" t="s">
        <v>461</v>
      </c>
      <c r="B16423" s="24"/>
      <c r="C16423" s="24"/>
      <c r="D16423" s="24"/>
      <c r="E16423" s="24"/>
      <c r="F16423" s="24"/>
      <c r="G16423" s="24"/>
      <c r="H16423" s="24"/>
      <c r="I16423" s="24"/>
      <c r="J16423" s="24"/>
      <c r="K16423" s="24"/>
    </row>
    <row r="16424" customFormat="false" ht="15" hidden="false" customHeight="false" outlineLevel="0" collapsed="false">
      <c r="A16424" s="5" t="s">
        <v>457</v>
      </c>
      <c r="C16424" s="26" t="n">
        <f aca="false">Assumptions!$M$53</f>
        <v>1</v>
      </c>
    </row>
    <row r="16425" customFormat="false" ht="15" hidden="false" customHeight="false" outlineLevel="0" collapsed="false">
      <c r="A16425" s="5" t="s">
        <v>458</v>
      </c>
      <c r="C16425" s="26" t="n">
        <f aca="false">Assumptions!$M$54</f>
        <v>2</v>
      </c>
    </row>
    <row r="16426" customFormat="false" ht="15" hidden="false" customHeight="false" outlineLevel="0" collapsed="false">
      <c r="A16426" s="5" t="s">
        <v>459</v>
      </c>
      <c r="C16426" s="26" t="n">
        <f aca="false">Assumptions!$M$55</f>
        <v>3</v>
      </c>
    </row>
    <row r="16427" customFormat="false" ht="15" hidden="false" customHeight="false" outlineLevel="0" collapsed="false">
      <c r="A16427" s="5" t="s">
        <v>460</v>
      </c>
      <c r="C16427" s="26" t="n">
        <f aca="false">Assumptions!$M$56</f>
        <v>4</v>
      </c>
    </row>
    <row r="16428" customFormat="false" ht="15" hidden="false" customHeight="false" outlineLevel="0" collapsed="false">
      <c r="A16428" s="23" t="s">
        <v>462</v>
      </c>
      <c r="B16428" s="24"/>
      <c r="C16428" s="24"/>
      <c r="D16428" s="24"/>
      <c r="E16428" s="24"/>
      <c r="F16428" s="24"/>
      <c r="G16428" s="24"/>
      <c r="H16428" s="24"/>
      <c r="I16428" s="24"/>
      <c r="J16428" s="24"/>
      <c r="K16428" s="24"/>
    </row>
    <row r="16429" customFormat="false" ht="15" hidden="false" customHeight="false" outlineLevel="0" collapsed="false">
      <c r="A16429" s="5" t="s">
        <v>457</v>
      </c>
      <c r="C16429" s="34" t="n">
        <f aca="false">Assumptions!$Q$53</f>
        <v>0</v>
      </c>
    </row>
    <row r="16430" customFormat="false" ht="15" hidden="false" customHeight="false" outlineLevel="0" collapsed="false">
      <c r="A16430" s="5" t="s">
        <v>458</v>
      </c>
      <c r="C16430" s="34" t="n">
        <f aca="false">Assumptions!$Q$54</f>
        <v>0</v>
      </c>
    </row>
    <row r="16431" customFormat="false" ht="15" hidden="false" customHeight="false" outlineLevel="0" collapsed="false">
      <c r="A16431" s="5" t="s">
        <v>459</v>
      </c>
      <c r="C16431" s="34" t="n">
        <f aca="false">Assumptions!$Q$55</f>
        <v>0</v>
      </c>
    </row>
    <row r="16432" customFormat="false" ht="15" hidden="false" customHeight="false" outlineLevel="0" collapsed="false">
      <c r="A16432" s="5" t="s">
        <v>460</v>
      </c>
      <c r="C16432" s="34" t="n">
        <f aca="false">Assumptions!$Q$56</f>
        <v>0</v>
      </c>
    </row>
    <row r="16433" customFormat="false" ht="15" hidden="false" customHeight="false" outlineLevel="0" collapsed="false">
      <c r="A16433" s="23" t="s">
        <v>463</v>
      </c>
      <c r="B16433" s="24"/>
      <c r="C16433" s="24"/>
      <c r="D16433" s="24"/>
      <c r="E16433" s="24"/>
      <c r="F16433" s="24"/>
      <c r="G16433" s="24"/>
      <c r="H16433" s="24"/>
      <c r="I16433" s="24"/>
      <c r="J16433" s="24"/>
      <c r="K16433" s="24"/>
    </row>
    <row r="16434" customFormat="false" ht="15" hidden="false" customHeight="false" outlineLevel="0" collapsed="false">
      <c r="A16434" s="5" t="s">
        <v>457</v>
      </c>
      <c r="C16434" s="25" t="n">
        <f aca="false">IF(C16429&gt;0,MIN(C16419,C16429*$C$16417),0)</f>
        <v>0</v>
      </c>
    </row>
    <row r="16435" customFormat="false" ht="15" hidden="false" customHeight="false" outlineLevel="0" collapsed="false">
      <c r="A16435" s="5" t="s">
        <v>458</v>
      </c>
      <c r="C16435" s="25" t="n">
        <f aca="false">IF(C16430&gt;0,MIN(C16420,C16430*$C$16417),0)</f>
        <v>0</v>
      </c>
    </row>
    <row r="16436" customFormat="false" ht="15" hidden="false" customHeight="false" outlineLevel="0" collapsed="false">
      <c r="A16436" s="5" t="s">
        <v>459</v>
      </c>
      <c r="C16436" s="25" t="n">
        <f aca="false">IF(C16431&gt;0,MIN(C16421,C16431*$C$16417),0)</f>
        <v>0</v>
      </c>
    </row>
    <row r="16437" customFormat="false" ht="15" hidden="false" customHeight="false" outlineLevel="0" collapsed="false">
      <c r="A16437" s="5" t="s">
        <v>460</v>
      </c>
      <c r="C16437" s="25" t="n">
        <f aca="false">IF(C16432&gt;0,MIN(C16422,C16432*$C$16417),0)</f>
        <v>0</v>
      </c>
    </row>
    <row r="16438" customFormat="false" ht="15" hidden="false" customHeight="false" outlineLevel="0" collapsed="false">
      <c r="A16438" s="23" t="s">
        <v>464</v>
      </c>
      <c r="B16438" s="24"/>
      <c r="C16438" s="24"/>
      <c r="D16438" s="24"/>
      <c r="E16438" s="24"/>
      <c r="F16438" s="24"/>
      <c r="G16438" s="24"/>
      <c r="H16438" s="24"/>
      <c r="I16438" s="24"/>
      <c r="J16438" s="24"/>
      <c r="K16438" s="24"/>
    </row>
    <row r="16439" customFormat="false" ht="15" hidden="false" customHeight="false" outlineLevel="0" collapsed="false">
      <c r="A16439" s="5" t="s">
        <v>457</v>
      </c>
      <c r="C16439" s="25" t="n">
        <f aca="false">IF(C16429&gt;0,C16419-C16434,0)</f>
        <v>0</v>
      </c>
      <c r="G16439" s="20" t="n">
        <f aca="false">IF(AND(G16288=1,G16285=1),1,0)</f>
        <v>0</v>
      </c>
      <c r="H16439" s="20" t="n">
        <f aca="false">IF(G16439=1,1,IF(AND(H16288=1,H16285=1),1,0))</f>
        <v>0</v>
      </c>
      <c r="I16439" s="20" t="n">
        <f aca="false">IF(H16439=1,1,IF(AND(I16288=1,I16285=1),1,0))</f>
        <v>0</v>
      </c>
      <c r="J16439" s="20" t="n">
        <f aca="false">IF(I16439=1,1,IF(AND(J16288=1,J16285=1),1,0))</f>
        <v>0</v>
      </c>
      <c r="K16439" s="20" t="n">
        <f aca="false">IF(J16439=1,1,IF(AND(K16288=1,K16285=1),1,0))</f>
        <v>0</v>
      </c>
    </row>
    <row r="16440" customFormat="false" ht="15" hidden="false" customHeight="false" outlineLevel="0" collapsed="false">
      <c r="A16440" s="5" t="s">
        <v>458</v>
      </c>
      <c r="C16440" s="25" t="n">
        <f aca="false">IF(C16430&gt;0,C16420-C16435,0)</f>
        <v>0</v>
      </c>
      <c r="G16440" s="20" t="n">
        <f aca="false">IF(AND(G16301=1,G16285=1),1,0)</f>
        <v>0</v>
      </c>
      <c r="H16440" s="20" t="n">
        <f aca="false">IF(G16440=1,1,IF(AND(H16301=1,H16285=1),1,0))</f>
        <v>0</v>
      </c>
      <c r="I16440" s="20" t="n">
        <f aca="false">IF(H16440=1,1,IF(AND(I16301=1,I16285=1),1,0))</f>
        <v>0</v>
      </c>
      <c r="J16440" s="20" t="n">
        <f aca="false">IF(I16440=1,1,IF(AND(J16301=1,J16285=1),1,0))</f>
        <v>0</v>
      </c>
      <c r="K16440" s="20" t="n">
        <f aca="false">IF(J16440=1,1,IF(AND(K16301=1,K16285=1),1,0))</f>
        <v>0</v>
      </c>
    </row>
    <row r="16441" customFormat="false" ht="15" hidden="false" customHeight="false" outlineLevel="0" collapsed="false">
      <c r="A16441" s="5" t="s">
        <v>459</v>
      </c>
      <c r="C16441" s="25" t="n">
        <f aca="false">IF(C16431&gt;0,C16421-C16436,0)</f>
        <v>0</v>
      </c>
      <c r="G16441" s="20" t="n">
        <f aca="false">IF(AND(G16314=1,G16285=1),1,0)</f>
        <v>0</v>
      </c>
      <c r="H16441" s="20" t="n">
        <f aca="false">IF(G16441=1,1,IF(AND(H16314=1,H16285=1),1,0))</f>
        <v>0</v>
      </c>
      <c r="I16441" s="20" t="n">
        <f aca="false">IF(H16441=1,1,IF(AND(I16314=1,I16285=1),1,0))</f>
        <v>0</v>
      </c>
      <c r="J16441" s="20" t="n">
        <f aca="false">IF(I16441=1,1,IF(AND(J16314=1,J16285=1),1,0))</f>
        <v>0</v>
      </c>
      <c r="K16441" s="20" t="n">
        <f aca="false">IF(J16441=1,1,IF(AND(K16314=1,K16285=1),1,0))</f>
        <v>0</v>
      </c>
    </row>
    <row r="16442" customFormat="false" ht="15" hidden="false" customHeight="false" outlineLevel="0" collapsed="false">
      <c r="A16442" s="5" t="s">
        <v>460</v>
      </c>
      <c r="C16442" s="25" t="n">
        <f aca="false">IF(C16432&gt;0,C16422-C16437,0)</f>
        <v>0</v>
      </c>
      <c r="G16442" s="20" t="n">
        <f aca="false">IF(AND(G16327=1,G16285=1),1,0)</f>
        <v>0</v>
      </c>
      <c r="H16442" s="20" t="n">
        <f aca="false">IF(G16442=1,1,IF(AND(H16327=1,H16285=1),1,0))</f>
        <v>0</v>
      </c>
      <c r="I16442" s="20" t="n">
        <f aca="false">IF(H16442=1,1,IF(AND(I16327=1,I16285=1),1,0))</f>
        <v>0</v>
      </c>
      <c r="J16442" s="20" t="n">
        <f aca="false">IF(I16442=1,1,IF(AND(J16327=1,J16285=1),1,0))</f>
        <v>0</v>
      </c>
      <c r="K16442" s="20" t="n">
        <f aca="false">IF(J16442=1,1,IF(AND(K16327=1,K16285=1),1,0))</f>
        <v>0</v>
      </c>
    </row>
    <row r="16443" customFormat="false" ht="15" hidden="false" customHeight="false" outlineLevel="0" collapsed="false">
      <c r="A16443" s="23" t="s">
        <v>465</v>
      </c>
      <c r="B16443" s="24"/>
      <c r="C16443" s="24"/>
      <c r="D16443" s="24"/>
      <c r="E16443" s="24"/>
      <c r="F16443" s="24"/>
      <c r="G16443" s="24"/>
      <c r="H16443" s="24"/>
      <c r="I16443" s="24"/>
      <c r="J16443" s="24"/>
      <c r="K16443" s="24"/>
    </row>
    <row r="16444" customFormat="false" ht="15" hidden="false" customHeight="false" outlineLevel="0" collapsed="false">
      <c r="A16444" s="5" t="s">
        <v>457</v>
      </c>
      <c r="C16444" s="25" t="n">
        <f aca="false">IF(C16429&gt;0,C16439,C16419)</f>
        <v>249.3777342</v>
      </c>
    </row>
    <row r="16445" customFormat="false" ht="15" hidden="false" customHeight="false" outlineLevel="0" collapsed="false">
      <c r="A16445" s="5" t="s">
        <v>458</v>
      </c>
      <c r="C16445" s="25" t="n">
        <f aca="false">IF(C16430&gt;0,C16440,C16420)</f>
        <v>527.4997</v>
      </c>
    </row>
    <row r="16446" customFormat="false" ht="15" hidden="false" customHeight="false" outlineLevel="0" collapsed="false">
      <c r="A16446" s="5" t="s">
        <v>459</v>
      </c>
      <c r="C16446" s="25" t="n">
        <f aca="false">IF(C16431&gt;0,C16441,C16421)</f>
        <v>256.875</v>
      </c>
    </row>
    <row r="16447" customFormat="false" ht="15" hidden="false" customHeight="false" outlineLevel="0" collapsed="false">
      <c r="A16447" s="5" t="s">
        <v>460</v>
      </c>
      <c r="C16447" s="25" t="n">
        <f aca="false">IF(C16432&gt;0,C16442,C16422)</f>
        <v>305.625</v>
      </c>
    </row>
    <row r="16448" customFormat="false" ht="15" hidden="false" customHeight="false" outlineLevel="0" collapsed="false">
      <c r="A16448" s="23" t="s">
        <v>466</v>
      </c>
      <c r="B16448" s="24"/>
      <c r="C16448" s="24"/>
      <c r="D16448" s="24"/>
      <c r="E16448" s="24"/>
      <c r="F16448" s="24"/>
      <c r="G16448" s="24"/>
      <c r="H16448" s="24"/>
      <c r="I16448" s="24"/>
      <c r="J16448" s="24"/>
      <c r="K16448" s="24"/>
    </row>
    <row r="16449" customFormat="false" ht="15" hidden="false" customHeight="false" outlineLevel="0" collapsed="false">
      <c r="A16449" s="5" t="s">
        <v>457</v>
      </c>
      <c r="C16449" s="20" t="n">
        <f aca="false">IF(C16429&gt;0,Assumptions!$C$17,C16424)</f>
        <v>1</v>
      </c>
    </row>
    <row r="16450" customFormat="false" ht="15" hidden="false" customHeight="false" outlineLevel="0" collapsed="false">
      <c r="A16450" s="5" t="s">
        <v>458</v>
      </c>
      <c r="C16450" s="20" t="n">
        <f aca="false">IF(C16430&gt;0,Assumptions!$C$17,C16425)</f>
        <v>2</v>
      </c>
    </row>
    <row r="16451" customFormat="false" ht="15" hidden="false" customHeight="false" outlineLevel="0" collapsed="false">
      <c r="A16451" s="5" t="s">
        <v>459</v>
      </c>
      <c r="C16451" s="20" t="n">
        <f aca="false">IF(C16431&gt;0,Assumptions!$C$17,C16426)</f>
        <v>3</v>
      </c>
    </row>
    <row r="16452" customFormat="false" ht="15" hidden="false" customHeight="false" outlineLevel="0" collapsed="false">
      <c r="A16452" s="5" t="s">
        <v>460</v>
      </c>
      <c r="C16452" s="20" t="n">
        <f aca="false">IF(C16432&gt;0,Assumptions!$C$17,C16427)</f>
        <v>4</v>
      </c>
    </row>
    <row r="16453" customFormat="false" ht="15" hidden="false" customHeight="false" outlineLevel="0" collapsed="false">
      <c r="A16453" s="23" t="s">
        <v>467</v>
      </c>
      <c r="B16453" s="24"/>
      <c r="C16453" s="24"/>
      <c r="D16453" s="24"/>
      <c r="E16453" s="24"/>
      <c r="F16453" s="24"/>
      <c r="G16453" s="24"/>
      <c r="H16453" s="24"/>
      <c r="I16453" s="24"/>
      <c r="J16453" s="24"/>
      <c r="K16453" s="24"/>
    </row>
    <row r="16454" customFormat="false" ht="15" hidden="false" customHeight="false" outlineLevel="0" collapsed="false">
      <c r="A16454" s="5" t="s">
        <v>457</v>
      </c>
      <c r="C16454" s="25" t="n">
        <f aca="false">SUMPRODUCT(($C$16449:$C$16452&lt;C16449)*$C$16444:$C$16447)</f>
        <v>0</v>
      </c>
    </row>
    <row r="16455" customFormat="false" ht="15" hidden="false" customHeight="false" outlineLevel="0" collapsed="false">
      <c r="A16455" s="5" t="s">
        <v>458</v>
      </c>
      <c r="C16455" s="25" t="n">
        <f aca="false">SUMPRODUCT(($C$16449:$C$16452&lt;C16450)*$C$16444:$C$16447)</f>
        <v>249.3777342</v>
      </c>
    </row>
    <row r="16456" customFormat="false" ht="15" hidden="false" customHeight="false" outlineLevel="0" collapsed="false">
      <c r="A16456" s="5" t="s">
        <v>459</v>
      </c>
      <c r="C16456" s="25" t="n">
        <f aca="false">SUMPRODUCT(($C$16449:$C$16452&lt;C16451)*$C$16444:$C$16447)</f>
        <v>776.8774342</v>
      </c>
    </row>
    <row r="16457" customFormat="false" ht="15" hidden="false" customHeight="false" outlineLevel="0" collapsed="false">
      <c r="A16457" s="5" t="s">
        <v>460</v>
      </c>
      <c r="C16457" s="25" t="n">
        <f aca="false">SUMPRODUCT(($C$16449:$C$16452&lt;C16452)*$C$16444:$C$16447)</f>
        <v>1033.7524342</v>
      </c>
    </row>
    <row r="16458" customFormat="false" ht="15" hidden="false" customHeight="false" outlineLevel="0" collapsed="false">
      <c r="A16458" s="23" t="s">
        <v>468</v>
      </c>
      <c r="B16458" s="24"/>
      <c r="C16458" s="24"/>
      <c r="D16458" s="24"/>
      <c r="E16458" s="24"/>
      <c r="F16458" s="24"/>
      <c r="G16458" s="24"/>
      <c r="H16458" s="24"/>
      <c r="I16458" s="24"/>
      <c r="J16458" s="24"/>
      <c r="K16458" s="24"/>
    </row>
    <row r="16459" customFormat="false" ht="15" hidden="false" customHeight="false" outlineLevel="0" collapsed="false">
      <c r="A16459" s="5" t="s">
        <v>457</v>
      </c>
      <c r="C16459" s="25" t="n">
        <f aca="false">SUMPRODUCT(($C$16449:$C$16452=C16449)*$C$16444:$C$16447)</f>
        <v>249.3777342</v>
      </c>
    </row>
    <row r="16460" customFormat="false" ht="15" hidden="false" customHeight="false" outlineLevel="0" collapsed="false">
      <c r="A16460" s="5" t="s">
        <v>458</v>
      </c>
      <c r="C16460" s="25" t="n">
        <f aca="false">SUMPRODUCT(($C$16449:$C$16452=C16450)*$C$16444:$C$16447)</f>
        <v>527.4997</v>
      </c>
    </row>
    <row r="16461" customFormat="false" ht="15" hidden="false" customHeight="false" outlineLevel="0" collapsed="false">
      <c r="A16461" s="5" t="s">
        <v>459</v>
      </c>
      <c r="C16461" s="25" t="n">
        <f aca="false">SUMPRODUCT(($C$16449:$C$16452=C16451)*$C$16444:$C$16447)</f>
        <v>256.875</v>
      </c>
    </row>
    <row r="16462" customFormat="false" ht="15" hidden="false" customHeight="false" outlineLevel="0" collapsed="false">
      <c r="A16462" s="5" t="s">
        <v>460</v>
      </c>
      <c r="C16462" s="25" t="n">
        <f aca="false">SUMPRODUCT(($C$16449:$C$16452=C16452)*$C$16444:$C$16447)</f>
        <v>305.625</v>
      </c>
    </row>
    <row r="16463" customFormat="false" ht="15" hidden="false" customHeight="false" outlineLevel="0" collapsed="false">
      <c r="A16463" s="23" t="s">
        <v>469</v>
      </c>
      <c r="B16463" s="24"/>
      <c r="C16463" s="24"/>
      <c r="D16463" s="24"/>
      <c r="E16463" s="24"/>
      <c r="F16463" s="24"/>
      <c r="G16463" s="24"/>
      <c r="H16463" s="24"/>
      <c r="I16463" s="24"/>
      <c r="J16463" s="24"/>
      <c r="K16463" s="24"/>
    </row>
    <row r="16464" customFormat="false" ht="15" hidden="false" customHeight="false" outlineLevel="0" collapsed="false">
      <c r="A16464" s="5" t="s">
        <v>457</v>
      </c>
      <c r="C16464" s="25" t="n">
        <f aca="false">IF(C16459=0,0,C16444/C16459*MAX(0,MIN(C16459,$C$16417-SUM($C$16434:$C$16437)-C16454)))</f>
        <v>249.3777342</v>
      </c>
    </row>
    <row r="16465" customFormat="false" ht="15" hidden="false" customHeight="false" outlineLevel="0" collapsed="false">
      <c r="A16465" s="5" t="s">
        <v>458</v>
      </c>
      <c r="C16465" s="25" t="n">
        <f aca="false">IF(C16460=0,0,C16445/C16460*MAX(0,MIN(C16460,$C$16417-SUM($C$16434:$C$16437)-C16455)))</f>
        <v>139.9982658</v>
      </c>
    </row>
    <row r="16466" customFormat="false" ht="15" hidden="false" customHeight="false" outlineLevel="0" collapsed="false">
      <c r="A16466" s="5" t="s">
        <v>459</v>
      </c>
      <c r="C16466" s="25" t="n">
        <f aca="false">IF(C16461=0,0,C16446/C16461*MAX(0,MIN(C16461,$C$16417-SUM($C$16434:$C$16437)-C16456)))</f>
        <v>0</v>
      </c>
    </row>
    <row r="16467" customFormat="false" ht="15" hidden="false" customHeight="false" outlineLevel="0" collapsed="false">
      <c r="A16467" s="5" t="s">
        <v>460</v>
      </c>
      <c r="C16467" s="25" t="n">
        <f aca="false">IF(C16462=0,0,C16447/C16462*MAX(0,MIN(C16462,$C$16417-SUM($C$16434:$C$16437)-C16457)))</f>
        <v>0</v>
      </c>
    </row>
    <row r="16468" customFormat="false" ht="15" hidden="false" customHeight="false" outlineLevel="0" collapsed="false">
      <c r="A16468" s="23" t="s">
        <v>470</v>
      </c>
      <c r="B16468" s="24"/>
      <c r="C16468" s="24"/>
      <c r="D16468" s="24"/>
      <c r="E16468" s="24"/>
      <c r="F16468" s="24"/>
      <c r="G16468" s="24"/>
      <c r="H16468" s="24"/>
      <c r="I16468" s="24"/>
      <c r="J16468" s="24"/>
      <c r="K16468" s="24"/>
    </row>
    <row r="16469" customFormat="false" ht="15" hidden="false" customHeight="false" outlineLevel="0" collapsed="false">
      <c r="A16469" s="2" t="s">
        <v>457</v>
      </c>
      <c r="C16469" s="16" t="n">
        <f aca="false">C16434+C16464</f>
        <v>249.3777342</v>
      </c>
    </row>
    <row r="16470" customFormat="false" ht="15" hidden="false" customHeight="false" outlineLevel="0" collapsed="false">
      <c r="A16470" s="2" t="s">
        <v>458</v>
      </c>
      <c r="C16470" s="16" t="n">
        <f aca="false">C16435+C16465</f>
        <v>139.9982658</v>
      </c>
    </row>
    <row r="16471" customFormat="false" ht="15" hidden="false" customHeight="false" outlineLevel="0" collapsed="false">
      <c r="A16471" s="2" t="s">
        <v>459</v>
      </c>
      <c r="C16471" s="16" t="n">
        <f aca="false">C16436+C16466</f>
        <v>0</v>
      </c>
    </row>
    <row r="16472" customFormat="false" ht="15" hidden="false" customHeight="false" outlineLevel="0" collapsed="false">
      <c r="A16472" s="2" t="s">
        <v>460</v>
      </c>
      <c r="C16472" s="16" t="n">
        <f aca="false">C16437+C16467</f>
        <v>0</v>
      </c>
    </row>
    <row r="16473" customFormat="false" ht="15" hidden="false" customHeight="false" outlineLevel="0" collapsed="false">
      <c r="A16473" s="23" t="s">
        <v>471</v>
      </c>
      <c r="B16473" s="24"/>
      <c r="C16473" s="24"/>
      <c r="D16473" s="24"/>
      <c r="E16473" s="24"/>
      <c r="F16473" s="24"/>
      <c r="G16473" s="24"/>
      <c r="H16473" s="24"/>
      <c r="I16473" s="24"/>
      <c r="J16473" s="24"/>
      <c r="K16473" s="24"/>
    </row>
    <row r="16474" customFormat="false" ht="15" hidden="false" customHeight="false" outlineLevel="0" collapsed="false">
      <c r="A16474" s="5" t="s">
        <v>457</v>
      </c>
      <c r="C16474" s="21" t="n">
        <f aca="false">IF(C16419=0,1,C16469/C16419)</f>
        <v>1</v>
      </c>
    </row>
    <row r="16475" customFormat="false" ht="15" hidden="false" customHeight="false" outlineLevel="0" collapsed="false">
      <c r="A16475" s="5" t="s">
        <v>458</v>
      </c>
      <c r="C16475" s="21" t="n">
        <f aca="false">IF(C16420=0,1,C16470/C16420)</f>
        <v>0.265399706957179</v>
      </c>
    </row>
    <row r="16476" customFormat="false" ht="15" hidden="false" customHeight="false" outlineLevel="0" collapsed="false">
      <c r="A16476" s="5" t="s">
        <v>459</v>
      </c>
      <c r="C16476" s="21" t="n">
        <f aca="false">IF(C16421=0,1,C16471/C16421)</f>
        <v>0</v>
      </c>
    </row>
    <row r="16477" customFormat="false" ht="15" hidden="false" customHeight="false" outlineLevel="0" collapsed="false">
      <c r="A16477" s="5" t="s">
        <v>460</v>
      </c>
      <c r="C16477" s="21" t="n">
        <f aca="false">IF(C16422=0,1,C16472/C16422)</f>
        <v>0</v>
      </c>
    </row>
    <row r="16478" customFormat="false" ht="15" hidden="false" customHeight="false" outlineLevel="0" collapsed="false">
      <c r="A16478" s="23" t="s">
        <v>472</v>
      </c>
      <c r="B16478" s="24"/>
      <c r="C16478" s="24"/>
      <c r="D16478" s="24"/>
      <c r="E16478" s="24"/>
      <c r="F16478" s="24"/>
      <c r="G16478" s="24"/>
      <c r="H16478" s="24"/>
      <c r="I16478" s="24"/>
      <c r="J16478" s="24"/>
      <c r="K16478" s="24"/>
    </row>
    <row r="16479" customFormat="false" ht="15" hidden="false" customHeight="false" outlineLevel="0" collapsed="false">
      <c r="A16479" s="5" t="s">
        <v>457</v>
      </c>
      <c r="C16479" s="25" t="n">
        <f aca="false">C16419-C16469</f>
        <v>0</v>
      </c>
    </row>
    <row r="16480" customFormat="false" ht="15" hidden="false" customHeight="false" outlineLevel="0" collapsed="false">
      <c r="A16480" s="5" t="s">
        <v>458</v>
      </c>
      <c r="C16480" s="25" t="n">
        <f aca="false">C16420-C16470</f>
        <v>387.5014342</v>
      </c>
    </row>
    <row r="16481" customFormat="false" ht="15" hidden="false" customHeight="false" outlineLevel="0" collapsed="false">
      <c r="A16481" s="5" t="s">
        <v>459</v>
      </c>
      <c r="C16481" s="25" t="n">
        <f aca="false">C16421-C16471</f>
        <v>256.875</v>
      </c>
    </row>
    <row r="16482" customFormat="false" ht="15" hidden="false" customHeight="false" outlineLevel="0" collapsed="false">
      <c r="A16482" s="5" t="s">
        <v>460</v>
      </c>
      <c r="C16482" s="25" t="n">
        <f aca="false">C16422-C16472</f>
        <v>305.625</v>
      </c>
    </row>
    <row r="16483" customFormat="false" ht="15" hidden="false" customHeight="false" outlineLevel="0" collapsed="false">
      <c r="A16483" s="23" t="s">
        <v>473</v>
      </c>
      <c r="B16483" s="24"/>
      <c r="C16483" s="24"/>
      <c r="D16483" s="24"/>
      <c r="E16483" s="24"/>
      <c r="F16483" s="24"/>
      <c r="G16483" s="24"/>
      <c r="H16483" s="24"/>
      <c r="I16483" s="24"/>
      <c r="J16483" s="24"/>
      <c r="K16483" s="24"/>
    </row>
    <row r="16484" customFormat="false" ht="15" hidden="false" customHeight="false" outlineLevel="0" collapsed="false">
      <c r="A16484" s="5" t="s">
        <v>457</v>
      </c>
      <c r="C16484" s="21" t="n">
        <f aca="false">IF(C16419=0,0,C16479/C16419)</f>
        <v>0</v>
      </c>
    </row>
    <row r="16485" customFormat="false" ht="15" hidden="false" customHeight="false" outlineLevel="0" collapsed="false">
      <c r="A16485" s="5" t="s">
        <v>458</v>
      </c>
      <c r="C16485" s="21" t="n">
        <f aca="false">IF(C16420=0,0,C16480/C16420)</f>
        <v>0.734600293042821</v>
      </c>
    </row>
    <row r="16486" customFormat="false" ht="15" hidden="false" customHeight="false" outlineLevel="0" collapsed="false">
      <c r="A16486" s="5" t="s">
        <v>459</v>
      </c>
      <c r="C16486" s="21" t="n">
        <f aca="false">IF(C16421=0,0,C16481/C16421)</f>
        <v>1</v>
      </c>
    </row>
    <row r="16487" customFormat="false" ht="15" hidden="false" customHeight="false" outlineLevel="0" collapsed="false">
      <c r="A16487" s="5" t="s">
        <v>460</v>
      </c>
      <c r="C16487" s="21" t="n">
        <f aca="false">IF(C16422=0,0,C16482/C16422)</f>
        <v>1</v>
      </c>
    </row>
    <row r="16488" customFormat="false" ht="15" hidden="false" customHeight="false" outlineLevel="0" collapsed="false">
      <c r="A16488" s="2" t="s">
        <v>474</v>
      </c>
      <c r="C16488" s="16" t="n">
        <f aca="false">MAX(0,$C$16417-SUM($C$16434:$C$16437)-SUM($C$16444:$C$16447))</f>
        <v>0</v>
      </c>
    </row>
    <row r="16489" customFormat="false" ht="15" hidden="false" customHeight="false" outlineLevel="0" collapsed="false">
      <c r="A16489" s="5" t="s">
        <v>475</v>
      </c>
      <c r="C16489" s="25" t="n">
        <f aca="false">SUM($C$16469:$C$16472)+C16488+C16416-C16415</f>
        <v>0</v>
      </c>
    </row>
    <row r="16491" customFormat="false" ht="15" hidden="false" customHeight="false" outlineLevel="0" collapsed="false">
      <c r="A16491" s="23" t="s">
        <v>478</v>
      </c>
      <c r="B16491" s="24"/>
      <c r="C16491" s="24"/>
      <c r="D16491" s="24"/>
      <c r="E16491" s="24"/>
      <c r="F16491" s="24"/>
      <c r="G16491" s="24"/>
      <c r="H16491" s="24"/>
      <c r="I16491" s="24"/>
      <c r="J16491" s="24"/>
      <c r="K16491" s="24"/>
    </row>
    <row r="16492" customFormat="false" ht="15" hidden="false" customHeight="false" outlineLevel="0" collapsed="false">
      <c r="A16492" s="5" t="s">
        <v>479</v>
      </c>
      <c r="C16492" s="26" t="n">
        <f aca="false">Assumptions!$C$30</f>
        <v>2</v>
      </c>
    </row>
    <row r="16493" customFormat="false" ht="15" hidden="false" customHeight="false" outlineLevel="0" collapsed="false">
      <c r="A16493" s="5" t="s">
        <v>480</v>
      </c>
      <c r="C16493" s="28" t="n">
        <f aca="false">Assumptions!$C$31</f>
        <v>100</v>
      </c>
    </row>
    <row r="16494" customFormat="false" ht="15" hidden="false" customHeight="false" outlineLevel="0" collapsed="false">
      <c r="A16494" s="5" t="s">
        <v>481</v>
      </c>
      <c r="C16494" s="39" t="n">
        <f aca="false">Assumptions!$C$32</f>
        <v>78</v>
      </c>
    </row>
    <row r="16495" customFormat="false" ht="15" hidden="false" customHeight="false" outlineLevel="0" collapsed="false">
      <c r="A16495" s="5" t="s">
        <v>482</v>
      </c>
      <c r="C16495" s="25" t="n">
        <f aca="false">C16493*C16494/100*(1+Assumptions!$C$33)</f>
        <v>78.39</v>
      </c>
    </row>
    <row r="16496" customFormat="false" ht="15" hidden="false" customHeight="false" outlineLevel="0" collapsed="false">
      <c r="A16496" s="5" t="s">
        <v>483</v>
      </c>
      <c r="C16496" s="26" t="n">
        <f aca="false">Assumptions!$C$34</f>
        <v>2</v>
      </c>
    </row>
    <row r="16497" customFormat="false" ht="15" hidden="false" customHeight="false" outlineLevel="0" collapsed="false">
      <c r="A16497" s="5" t="s">
        <v>484</v>
      </c>
      <c r="C16497" s="20" t="n">
        <f aca="false">IF(C16408=1,SUMPRODUCT($G$16376:$K$16376,$G$16252:$K$16252),0)</f>
        <v>2</v>
      </c>
    </row>
    <row r="16498" customFormat="false" ht="15" hidden="false" customHeight="false" outlineLevel="0" collapsed="false">
      <c r="A16498" s="5" t="s">
        <v>485</v>
      </c>
      <c r="C16498" s="21" t="n">
        <f aca="false">IFERROR(C16493/CHOOSE(C16492,SUMPRODUCT($G$16407:$K$16407,$G$16298:$K$16298),SUMPRODUCT($G$16407:$K$16407,$G$16311:$K$16311),SUMPRODUCT($G$16407:$K$16407,$G$16324:$K$16324),SUMPRODUCT($G$16407:$K$16407,$G$16337:$K$16337)),0)</f>
        <v>0.196232339089482</v>
      </c>
    </row>
    <row r="16499" customFormat="false" ht="15" hidden="false" customHeight="false" outlineLevel="0" collapsed="false">
      <c r="A16499" s="5" t="s">
        <v>486</v>
      </c>
      <c r="C16499" s="25" t="n">
        <f aca="false">CHOOSE(C16492,C16469,C16470,C16471,C16472)*C16498</f>
        <v>27.472187166405</v>
      </c>
    </row>
    <row r="16500" customFormat="false" ht="15" hidden="false" customHeight="false" outlineLevel="0" collapsed="false">
      <c r="A16500" s="5" t="s">
        <v>487</v>
      </c>
      <c r="C16500" s="21" t="n">
        <f aca="false">CHOOSE(C16492,C16474,C16475,C16476,C16477)</f>
        <v>0.265399706957179</v>
      </c>
    </row>
    <row r="16501" customFormat="false" ht="15" hidden="false" customHeight="false" outlineLevel="0" collapsed="false">
      <c r="A16501" s="5" t="s">
        <v>488</v>
      </c>
      <c r="C16501" s="20" t="n">
        <f aca="false">IF(C16408=1,C16497,C16496)</f>
        <v>2</v>
      </c>
    </row>
    <row r="16502" customFormat="false" ht="15" hidden="false" customHeight="false" outlineLevel="0" collapsed="false">
      <c r="A16502" s="5" t="s">
        <v>489</v>
      </c>
      <c r="C16502" s="33" t="n">
        <f aca="false">CHOOSE($C$16244,Assumptions!$C$77,Assumptions!$C$96,Assumptions!$C$115)</f>
        <v>70</v>
      </c>
    </row>
    <row r="16503" customFormat="false" ht="15" hidden="false" customHeight="false" outlineLevel="0" collapsed="false">
      <c r="A16503" s="5" t="s">
        <v>490</v>
      </c>
      <c r="C16503" s="25" t="n">
        <f aca="false">INDEX($G$16261:$K$16261,C16496)*CHOOSE($C$16244,Assumptions!$C$76,Assumptions!$C$95,Assumptions!$C$114)+MAX(0,INDEX($G$16373:$K$16373,C16496))</f>
        <v>55.97928</v>
      </c>
    </row>
    <row r="16504" customFormat="false" ht="15" hidden="false" customHeight="false" outlineLevel="0" collapsed="false">
      <c r="A16504" s="23" t="s">
        <v>491</v>
      </c>
      <c r="B16504" s="24"/>
      <c r="C16504" s="24"/>
      <c r="D16504" s="24"/>
      <c r="E16504" s="24"/>
      <c r="F16504" s="24"/>
      <c r="G16504" s="24"/>
      <c r="H16504" s="24"/>
      <c r="I16504" s="24"/>
      <c r="J16504" s="24"/>
      <c r="K16504" s="24"/>
    </row>
    <row r="16505" customFormat="false" ht="15" hidden="false" customHeight="false" outlineLevel="0" collapsed="false">
      <c r="A16505" s="5" t="s">
        <v>457</v>
      </c>
      <c r="C16505" s="25" t="n">
        <f aca="false">INDEX($G$16298:$K$16298,C16496)</f>
        <v>241.9088</v>
      </c>
    </row>
    <row r="16506" customFormat="false" ht="15" hidden="false" customHeight="false" outlineLevel="0" collapsed="false">
      <c r="A16506" s="5" t="s">
        <v>458</v>
      </c>
      <c r="C16506" s="25" t="n">
        <f aca="false">INDEX($G$16311:$K$16311,C16496)</f>
        <v>509.6</v>
      </c>
    </row>
    <row r="16507" customFormat="false" ht="15" hidden="false" customHeight="false" outlineLevel="0" collapsed="false">
      <c r="A16507" s="5" t="s">
        <v>459</v>
      </c>
      <c r="C16507" s="25" t="n">
        <f aca="false">INDEX($G$16324:$K$16324,C16496)</f>
        <v>250</v>
      </c>
    </row>
    <row r="16508" customFormat="false" ht="15" hidden="false" customHeight="false" outlineLevel="0" collapsed="false">
      <c r="A16508" s="5" t="s">
        <v>460</v>
      </c>
      <c r="C16508" s="25" t="n">
        <f aca="false">INDEX($G$16337:$K$16337,C16496)</f>
        <v>300</v>
      </c>
    </row>
    <row r="16509" customFormat="false" ht="15" hidden="false" customHeight="false" outlineLevel="0" collapsed="false">
      <c r="A16509" s="23" t="s">
        <v>461</v>
      </c>
      <c r="B16509" s="24"/>
      <c r="C16509" s="24"/>
      <c r="D16509" s="24"/>
      <c r="E16509" s="24"/>
      <c r="F16509" s="24"/>
      <c r="G16509" s="24"/>
      <c r="H16509" s="24"/>
      <c r="I16509" s="24"/>
      <c r="J16509" s="24"/>
      <c r="K16509" s="24"/>
    </row>
    <row r="16510" customFormat="false" ht="15" hidden="false" customHeight="false" outlineLevel="0" collapsed="false">
      <c r="A16510" s="5" t="s">
        <v>457</v>
      </c>
      <c r="C16510" s="26" t="n">
        <f aca="false">Assumptions!$M$53</f>
        <v>1</v>
      </c>
    </row>
    <row r="16511" customFormat="false" ht="15" hidden="false" customHeight="false" outlineLevel="0" collapsed="false">
      <c r="A16511" s="5" t="s">
        <v>458</v>
      </c>
      <c r="C16511" s="26" t="n">
        <f aca="false">Assumptions!$M$54</f>
        <v>2</v>
      </c>
    </row>
    <row r="16512" customFormat="false" ht="15" hidden="false" customHeight="false" outlineLevel="0" collapsed="false">
      <c r="A16512" s="5" t="s">
        <v>459</v>
      </c>
      <c r="C16512" s="26" t="n">
        <f aca="false">Assumptions!$M$55</f>
        <v>3</v>
      </c>
    </row>
    <row r="16513" customFormat="false" ht="15" hidden="false" customHeight="false" outlineLevel="0" collapsed="false">
      <c r="A16513" s="5" t="s">
        <v>460</v>
      </c>
      <c r="C16513" s="26" t="n">
        <f aca="false">Assumptions!$M$56</f>
        <v>4</v>
      </c>
    </row>
    <row r="16514" customFormat="false" ht="15" hidden="false" customHeight="false" outlineLevel="0" collapsed="false">
      <c r="A16514" s="23" t="s">
        <v>462</v>
      </c>
      <c r="B16514" s="24"/>
      <c r="C16514" s="24"/>
      <c r="D16514" s="24"/>
      <c r="E16514" s="24"/>
      <c r="F16514" s="24"/>
      <c r="G16514" s="24"/>
      <c r="H16514" s="24"/>
      <c r="I16514" s="24"/>
      <c r="J16514" s="24"/>
      <c r="K16514" s="24"/>
    </row>
    <row r="16515" customFormat="false" ht="15" hidden="false" customHeight="false" outlineLevel="0" collapsed="false">
      <c r="A16515" s="5" t="s">
        <v>457</v>
      </c>
      <c r="C16515" s="34" t="n">
        <f aca="false">Assumptions!$Q$53</f>
        <v>0</v>
      </c>
    </row>
    <row r="16516" customFormat="false" ht="15" hidden="false" customHeight="false" outlineLevel="0" collapsed="false">
      <c r="A16516" s="5" t="s">
        <v>458</v>
      </c>
      <c r="C16516" s="34" t="n">
        <f aca="false">Assumptions!$Q$54</f>
        <v>0</v>
      </c>
    </row>
    <row r="16517" customFormat="false" ht="15" hidden="false" customHeight="false" outlineLevel="0" collapsed="false">
      <c r="A16517" s="5" t="s">
        <v>459</v>
      </c>
      <c r="C16517" s="34" t="n">
        <f aca="false">Assumptions!$Q$55</f>
        <v>0</v>
      </c>
    </row>
    <row r="16518" customFormat="false" ht="15" hidden="false" customHeight="false" outlineLevel="0" collapsed="false">
      <c r="A16518" s="5" t="s">
        <v>460</v>
      </c>
      <c r="C16518" s="34" t="n">
        <f aca="false">Assumptions!$Q$56</f>
        <v>0</v>
      </c>
    </row>
    <row r="16519" customFormat="false" ht="15" hidden="false" customHeight="false" outlineLevel="0" collapsed="false">
      <c r="A16519" s="23" t="s">
        <v>463</v>
      </c>
      <c r="B16519" s="24"/>
      <c r="C16519" s="24"/>
      <c r="D16519" s="24"/>
      <c r="E16519" s="24"/>
      <c r="F16519" s="24"/>
      <c r="G16519" s="24"/>
      <c r="H16519" s="24"/>
      <c r="I16519" s="24"/>
      <c r="J16519" s="24"/>
      <c r="K16519" s="24"/>
    </row>
    <row r="16520" customFormat="false" ht="15" hidden="false" customHeight="false" outlineLevel="0" collapsed="false">
      <c r="A16520" s="5" t="s">
        <v>457</v>
      </c>
      <c r="C16520" s="25" t="n">
        <f aca="false">IF(C16515&gt;0,MIN(C16505,C16515*$C$16503),0)</f>
        <v>0</v>
      </c>
    </row>
    <row r="16521" customFormat="false" ht="15" hidden="false" customHeight="false" outlineLevel="0" collapsed="false">
      <c r="A16521" s="5" t="s">
        <v>458</v>
      </c>
      <c r="C16521" s="25" t="n">
        <f aca="false">IF(C16516&gt;0,MIN(C16506,C16516*$C$16503),0)</f>
        <v>0</v>
      </c>
    </row>
    <row r="16522" customFormat="false" ht="15" hidden="false" customHeight="false" outlineLevel="0" collapsed="false">
      <c r="A16522" s="5" t="s">
        <v>459</v>
      </c>
      <c r="C16522" s="25" t="n">
        <f aca="false">IF(C16517&gt;0,MIN(C16507,C16517*$C$16503),0)</f>
        <v>0</v>
      </c>
    </row>
    <row r="16523" customFormat="false" ht="15" hidden="false" customHeight="false" outlineLevel="0" collapsed="false">
      <c r="A16523" s="5" t="s">
        <v>460</v>
      </c>
      <c r="C16523" s="25" t="n">
        <f aca="false">IF(C16518&gt;0,MIN(C16508,C16518*$C$16503),0)</f>
        <v>0</v>
      </c>
    </row>
    <row r="16524" customFormat="false" ht="15" hidden="false" customHeight="false" outlineLevel="0" collapsed="false">
      <c r="A16524" s="23" t="s">
        <v>464</v>
      </c>
      <c r="B16524" s="24"/>
      <c r="C16524" s="24"/>
      <c r="D16524" s="24"/>
      <c r="E16524" s="24"/>
      <c r="F16524" s="24"/>
      <c r="G16524" s="24"/>
      <c r="H16524" s="24"/>
      <c r="I16524" s="24"/>
      <c r="J16524" s="24"/>
      <c r="K16524" s="24"/>
    </row>
    <row r="16525" customFormat="false" ht="15" hidden="false" customHeight="false" outlineLevel="0" collapsed="false">
      <c r="A16525" s="5" t="s">
        <v>457</v>
      </c>
      <c r="C16525" s="25" t="n">
        <f aca="false">IF(C16515&gt;0,C16505-C16520,0)</f>
        <v>0</v>
      </c>
    </row>
    <row r="16526" customFormat="false" ht="15" hidden="false" customHeight="false" outlineLevel="0" collapsed="false">
      <c r="A16526" s="5" t="s">
        <v>458</v>
      </c>
      <c r="C16526" s="25" t="n">
        <f aca="false">IF(C16516&gt;0,C16506-C16521,0)</f>
        <v>0</v>
      </c>
    </row>
    <row r="16527" customFormat="false" ht="15" hidden="false" customHeight="false" outlineLevel="0" collapsed="false">
      <c r="A16527" s="5" t="s">
        <v>459</v>
      </c>
      <c r="C16527" s="25" t="n">
        <f aca="false">IF(C16517&gt;0,C16507-C16522,0)</f>
        <v>0</v>
      </c>
    </row>
    <row r="16528" customFormat="false" ht="15" hidden="false" customHeight="false" outlineLevel="0" collapsed="false">
      <c r="A16528" s="5" t="s">
        <v>460</v>
      </c>
      <c r="C16528" s="25" t="n">
        <f aca="false">IF(C16518&gt;0,C16508-C16523,0)</f>
        <v>0</v>
      </c>
    </row>
    <row r="16529" customFormat="false" ht="15" hidden="false" customHeight="false" outlineLevel="0" collapsed="false">
      <c r="A16529" s="23" t="s">
        <v>465</v>
      </c>
      <c r="B16529" s="24"/>
      <c r="C16529" s="24"/>
      <c r="D16529" s="24"/>
      <c r="E16529" s="24"/>
      <c r="F16529" s="24"/>
      <c r="G16529" s="24"/>
      <c r="H16529" s="24"/>
      <c r="I16529" s="24"/>
      <c r="J16529" s="24"/>
      <c r="K16529" s="24"/>
    </row>
    <row r="16530" customFormat="false" ht="15" hidden="false" customHeight="false" outlineLevel="0" collapsed="false">
      <c r="A16530" s="5" t="s">
        <v>457</v>
      </c>
      <c r="C16530" s="25" t="n">
        <f aca="false">IF(C16515&gt;0,C16525,C16505)</f>
        <v>241.9088</v>
      </c>
    </row>
    <row r="16531" customFormat="false" ht="15" hidden="false" customHeight="false" outlineLevel="0" collapsed="false">
      <c r="A16531" s="5" t="s">
        <v>458</v>
      </c>
      <c r="C16531" s="25" t="n">
        <f aca="false">IF(C16516&gt;0,C16526,C16506)</f>
        <v>509.6</v>
      </c>
    </row>
    <row r="16532" customFormat="false" ht="15" hidden="false" customHeight="false" outlineLevel="0" collapsed="false">
      <c r="A16532" s="5" t="s">
        <v>459</v>
      </c>
      <c r="C16532" s="25" t="n">
        <f aca="false">IF(C16517&gt;0,C16527,C16507)</f>
        <v>250</v>
      </c>
    </row>
    <row r="16533" customFormat="false" ht="15" hidden="false" customHeight="false" outlineLevel="0" collapsed="false">
      <c r="A16533" s="5" t="s">
        <v>460</v>
      </c>
      <c r="C16533" s="25" t="n">
        <f aca="false">IF(C16518&gt;0,C16528,C16508)</f>
        <v>300</v>
      </c>
    </row>
    <row r="16534" customFormat="false" ht="15" hidden="false" customHeight="false" outlineLevel="0" collapsed="false">
      <c r="A16534" s="23" t="s">
        <v>466</v>
      </c>
      <c r="B16534" s="24"/>
      <c r="C16534" s="24"/>
      <c r="D16534" s="24"/>
      <c r="E16534" s="24"/>
      <c r="F16534" s="24"/>
      <c r="G16534" s="24"/>
      <c r="H16534" s="24"/>
      <c r="I16534" s="24"/>
      <c r="J16534" s="24"/>
      <c r="K16534" s="24"/>
    </row>
    <row r="16535" customFormat="false" ht="15" hidden="false" customHeight="false" outlineLevel="0" collapsed="false">
      <c r="A16535" s="5" t="s">
        <v>457</v>
      </c>
      <c r="C16535" s="20" t="n">
        <f aca="false">IF(C16515&gt;0,Assumptions!$C$17,C16510)</f>
        <v>1</v>
      </c>
    </row>
    <row r="16536" customFormat="false" ht="15" hidden="false" customHeight="false" outlineLevel="0" collapsed="false">
      <c r="A16536" s="5" t="s">
        <v>458</v>
      </c>
      <c r="C16536" s="20" t="n">
        <f aca="false">IF(C16516&gt;0,Assumptions!$C$17,C16511)</f>
        <v>2</v>
      </c>
    </row>
    <row r="16537" customFormat="false" ht="15" hidden="false" customHeight="false" outlineLevel="0" collapsed="false">
      <c r="A16537" s="5" t="s">
        <v>459</v>
      </c>
      <c r="C16537" s="20" t="n">
        <f aca="false">IF(C16517&gt;0,Assumptions!$C$17,C16512)</f>
        <v>3</v>
      </c>
    </row>
    <row r="16538" customFormat="false" ht="15" hidden="false" customHeight="false" outlineLevel="0" collapsed="false">
      <c r="A16538" s="5" t="s">
        <v>460</v>
      </c>
      <c r="C16538" s="20" t="n">
        <f aca="false">IF(C16518&gt;0,Assumptions!$C$17,C16513)</f>
        <v>4</v>
      </c>
    </row>
    <row r="16539" customFormat="false" ht="15" hidden="false" customHeight="false" outlineLevel="0" collapsed="false">
      <c r="A16539" s="23" t="s">
        <v>467</v>
      </c>
      <c r="B16539" s="24"/>
      <c r="C16539" s="24"/>
      <c r="D16539" s="24"/>
      <c r="E16539" s="24"/>
      <c r="F16539" s="24"/>
      <c r="G16539" s="24"/>
      <c r="H16539" s="24"/>
      <c r="I16539" s="24"/>
      <c r="J16539" s="24"/>
      <c r="K16539" s="24"/>
    </row>
    <row r="16540" customFormat="false" ht="15" hidden="false" customHeight="false" outlineLevel="0" collapsed="false">
      <c r="A16540" s="5" t="s">
        <v>457</v>
      </c>
      <c r="C16540" s="25" t="n">
        <f aca="false">SUMPRODUCT(($C$16535:$C$16538&lt;C16535)*$C$16530:$C$16533)</f>
        <v>0</v>
      </c>
    </row>
    <row r="16541" customFormat="false" ht="15" hidden="false" customHeight="false" outlineLevel="0" collapsed="false">
      <c r="A16541" s="5" t="s">
        <v>458</v>
      </c>
      <c r="C16541" s="25" t="n">
        <f aca="false">SUMPRODUCT(($C$16535:$C$16538&lt;C16536)*$C$16530:$C$16533)</f>
        <v>241.9088</v>
      </c>
    </row>
    <row r="16542" customFormat="false" ht="15" hidden="false" customHeight="false" outlineLevel="0" collapsed="false">
      <c r="A16542" s="5" t="s">
        <v>459</v>
      </c>
      <c r="C16542" s="25" t="n">
        <f aca="false">SUMPRODUCT(($C$16535:$C$16538&lt;C16537)*$C$16530:$C$16533)</f>
        <v>751.5088</v>
      </c>
    </row>
    <row r="16543" customFormat="false" ht="15" hidden="false" customHeight="false" outlineLevel="0" collapsed="false">
      <c r="A16543" s="5" t="s">
        <v>460</v>
      </c>
      <c r="C16543" s="25" t="n">
        <f aca="false">SUMPRODUCT(($C$16535:$C$16538&lt;C16538)*$C$16530:$C$16533)</f>
        <v>1001.5088</v>
      </c>
    </row>
    <row r="16544" customFormat="false" ht="15" hidden="false" customHeight="false" outlineLevel="0" collapsed="false">
      <c r="A16544" s="23" t="s">
        <v>468</v>
      </c>
      <c r="B16544" s="24"/>
      <c r="C16544" s="24"/>
      <c r="D16544" s="24"/>
      <c r="E16544" s="24"/>
      <c r="F16544" s="24"/>
      <c r="G16544" s="24"/>
      <c r="H16544" s="24"/>
      <c r="I16544" s="24"/>
      <c r="J16544" s="24"/>
      <c r="K16544" s="24"/>
    </row>
    <row r="16545" customFormat="false" ht="15" hidden="false" customHeight="false" outlineLevel="0" collapsed="false">
      <c r="A16545" s="5" t="s">
        <v>457</v>
      </c>
      <c r="C16545" s="25" t="n">
        <f aca="false">SUMPRODUCT(($C$16535:$C$16538=C16535)*$C$16530:$C$16533)</f>
        <v>241.9088</v>
      </c>
    </row>
    <row r="16546" customFormat="false" ht="15" hidden="false" customHeight="false" outlineLevel="0" collapsed="false">
      <c r="A16546" s="5" t="s">
        <v>458</v>
      </c>
      <c r="C16546" s="25" t="n">
        <f aca="false">SUMPRODUCT(($C$16535:$C$16538=C16536)*$C$16530:$C$16533)</f>
        <v>509.6</v>
      </c>
    </row>
    <row r="16547" customFormat="false" ht="15" hidden="false" customHeight="false" outlineLevel="0" collapsed="false">
      <c r="A16547" s="5" t="s">
        <v>459</v>
      </c>
      <c r="C16547" s="25" t="n">
        <f aca="false">SUMPRODUCT(($C$16535:$C$16538=C16537)*$C$16530:$C$16533)</f>
        <v>250</v>
      </c>
    </row>
    <row r="16548" customFormat="false" ht="15" hidden="false" customHeight="false" outlineLevel="0" collapsed="false">
      <c r="A16548" s="5" t="s">
        <v>460</v>
      </c>
      <c r="C16548" s="25" t="n">
        <f aca="false">SUMPRODUCT(($C$16535:$C$16538=C16538)*$C$16530:$C$16533)</f>
        <v>300</v>
      </c>
    </row>
    <row r="16549" customFormat="false" ht="15" hidden="false" customHeight="false" outlineLevel="0" collapsed="false">
      <c r="A16549" s="23" t="s">
        <v>469</v>
      </c>
      <c r="B16549" s="24"/>
      <c r="C16549" s="24"/>
      <c r="D16549" s="24"/>
      <c r="E16549" s="24"/>
      <c r="F16549" s="24"/>
      <c r="G16549" s="24"/>
      <c r="H16549" s="24"/>
      <c r="I16549" s="24"/>
      <c r="J16549" s="24"/>
      <c r="K16549" s="24"/>
    </row>
    <row r="16550" customFormat="false" ht="15" hidden="false" customHeight="false" outlineLevel="0" collapsed="false">
      <c r="A16550" s="5" t="s">
        <v>457</v>
      </c>
      <c r="C16550" s="25" t="n">
        <f aca="false">IF(C16545=0,0,C16530/C16545*MAX(0,MIN(C16545,$C$16503-SUM($C$16520:$C$16523)-C16540)))</f>
        <v>55.97928</v>
      </c>
    </row>
    <row r="16551" customFormat="false" ht="15" hidden="false" customHeight="false" outlineLevel="0" collapsed="false">
      <c r="A16551" s="5" t="s">
        <v>458</v>
      </c>
      <c r="C16551" s="25" t="n">
        <f aca="false">IF(C16546=0,0,C16531/C16546*MAX(0,MIN(C16546,$C$16503-SUM($C$16520:$C$16523)-C16541)))</f>
        <v>0</v>
      </c>
    </row>
    <row r="16552" customFormat="false" ht="15" hidden="false" customHeight="false" outlineLevel="0" collapsed="false">
      <c r="A16552" s="5" t="s">
        <v>459</v>
      </c>
      <c r="C16552" s="25" t="n">
        <f aca="false">IF(C16547=0,0,C16532/C16547*MAX(0,MIN(C16547,$C$16503-SUM($C$16520:$C$16523)-C16542)))</f>
        <v>0</v>
      </c>
    </row>
    <row r="16553" customFormat="false" ht="15" hidden="false" customHeight="false" outlineLevel="0" collapsed="false">
      <c r="A16553" s="5" t="s">
        <v>460</v>
      </c>
      <c r="C16553" s="25" t="n">
        <f aca="false">IF(C16548=0,0,C16533/C16548*MAX(0,MIN(C16548,$C$16503-SUM($C$16520:$C$16523)-C16543)))</f>
        <v>0</v>
      </c>
    </row>
    <row r="16554" customFormat="false" ht="15" hidden="false" customHeight="false" outlineLevel="0" collapsed="false">
      <c r="A16554" s="23" t="s">
        <v>470</v>
      </c>
      <c r="B16554" s="24"/>
      <c r="C16554" s="24"/>
      <c r="D16554" s="24"/>
      <c r="E16554" s="24"/>
      <c r="F16554" s="24"/>
      <c r="G16554" s="24"/>
      <c r="H16554" s="24"/>
      <c r="I16554" s="24"/>
      <c r="J16554" s="24"/>
      <c r="K16554" s="24"/>
    </row>
    <row r="16555" customFormat="false" ht="15" hidden="false" customHeight="false" outlineLevel="0" collapsed="false">
      <c r="A16555" s="2" t="s">
        <v>457</v>
      </c>
      <c r="C16555" s="16" t="n">
        <f aca="false">C16520+C16550</f>
        <v>55.97928</v>
      </c>
    </row>
    <row r="16556" customFormat="false" ht="15" hidden="false" customHeight="false" outlineLevel="0" collapsed="false">
      <c r="A16556" s="2" t="s">
        <v>458</v>
      </c>
      <c r="C16556" s="16" t="n">
        <f aca="false">C16521+C16551</f>
        <v>0</v>
      </c>
    </row>
    <row r="16557" customFormat="false" ht="15" hidden="false" customHeight="false" outlineLevel="0" collapsed="false">
      <c r="A16557" s="2" t="s">
        <v>459</v>
      </c>
      <c r="C16557" s="16" t="n">
        <f aca="false">C16522+C16552</f>
        <v>0</v>
      </c>
    </row>
    <row r="16558" customFormat="false" ht="15" hidden="false" customHeight="false" outlineLevel="0" collapsed="false">
      <c r="A16558" s="2" t="s">
        <v>460</v>
      </c>
      <c r="C16558" s="16" t="n">
        <f aca="false">C16523+C16553</f>
        <v>0</v>
      </c>
    </row>
    <row r="16559" customFormat="false" ht="15" hidden="false" customHeight="false" outlineLevel="0" collapsed="false">
      <c r="A16559" s="23" t="s">
        <v>471</v>
      </c>
      <c r="B16559" s="24"/>
      <c r="C16559" s="24"/>
      <c r="D16559" s="24"/>
      <c r="E16559" s="24"/>
      <c r="F16559" s="24"/>
      <c r="G16559" s="24"/>
      <c r="H16559" s="24"/>
      <c r="I16559" s="24"/>
      <c r="J16559" s="24"/>
      <c r="K16559" s="24"/>
    </row>
    <row r="16560" customFormat="false" ht="15" hidden="false" customHeight="false" outlineLevel="0" collapsed="false">
      <c r="A16560" s="5" t="s">
        <v>457</v>
      </c>
      <c r="C16560" s="21" t="n">
        <f aca="false">IF(C16505=0,1,C16555/C16505)</f>
        <v>0.23140654659938</v>
      </c>
    </row>
    <row r="16561" customFormat="false" ht="15" hidden="false" customHeight="false" outlineLevel="0" collapsed="false">
      <c r="A16561" s="5" t="s">
        <v>458</v>
      </c>
      <c r="C16561" s="21" t="n">
        <f aca="false">IF(C16506=0,1,C16556/C16506)</f>
        <v>0</v>
      </c>
    </row>
    <row r="16562" customFormat="false" ht="15" hidden="false" customHeight="false" outlineLevel="0" collapsed="false">
      <c r="A16562" s="5" t="s">
        <v>459</v>
      </c>
      <c r="C16562" s="21" t="n">
        <f aca="false">IF(C16507=0,1,C16557/C16507)</f>
        <v>0</v>
      </c>
    </row>
    <row r="16563" customFormat="false" ht="15" hidden="false" customHeight="false" outlineLevel="0" collapsed="false">
      <c r="A16563" s="5" t="s">
        <v>460</v>
      </c>
      <c r="C16563" s="21" t="n">
        <f aca="false">IF(C16508=0,1,C16558/C16508)</f>
        <v>0</v>
      </c>
    </row>
    <row r="16564" customFormat="false" ht="15" hidden="false" customHeight="false" outlineLevel="0" collapsed="false">
      <c r="A16564" s="23" t="s">
        <v>472</v>
      </c>
      <c r="B16564" s="24"/>
      <c r="C16564" s="24"/>
      <c r="D16564" s="24"/>
      <c r="E16564" s="24"/>
      <c r="F16564" s="24"/>
      <c r="G16564" s="24"/>
      <c r="H16564" s="24"/>
      <c r="I16564" s="24"/>
      <c r="J16564" s="24"/>
      <c r="K16564" s="24"/>
    </row>
    <row r="16565" customFormat="false" ht="15" hidden="false" customHeight="false" outlineLevel="0" collapsed="false">
      <c r="A16565" s="5" t="s">
        <v>457</v>
      </c>
      <c r="C16565" s="25" t="n">
        <f aca="false">C16505-C16555</f>
        <v>185.92952</v>
      </c>
    </row>
    <row r="16566" customFormat="false" ht="15" hidden="false" customHeight="false" outlineLevel="0" collapsed="false">
      <c r="A16566" s="5" t="s">
        <v>458</v>
      </c>
      <c r="C16566" s="25" t="n">
        <f aca="false">C16506-C16556</f>
        <v>509.6</v>
      </c>
    </row>
    <row r="16567" customFormat="false" ht="15" hidden="false" customHeight="false" outlineLevel="0" collapsed="false">
      <c r="A16567" s="5" t="s">
        <v>459</v>
      </c>
      <c r="C16567" s="25" t="n">
        <f aca="false">C16507-C16557</f>
        <v>250</v>
      </c>
    </row>
    <row r="16568" customFormat="false" ht="15" hidden="false" customHeight="false" outlineLevel="0" collapsed="false">
      <c r="A16568" s="5" t="s">
        <v>460</v>
      </c>
      <c r="C16568" s="25" t="n">
        <f aca="false">C16508-C16558</f>
        <v>300</v>
      </c>
    </row>
    <row r="16569" customFormat="false" ht="15" hidden="false" customHeight="false" outlineLevel="0" collapsed="false">
      <c r="A16569" s="23" t="s">
        <v>473</v>
      </c>
      <c r="B16569" s="24"/>
      <c r="C16569" s="24"/>
      <c r="D16569" s="24"/>
      <c r="E16569" s="24"/>
      <c r="F16569" s="24"/>
      <c r="G16569" s="24"/>
      <c r="H16569" s="24"/>
      <c r="I16569" s="24"/>
      <c r="J16569" s="24"/>
      <c r="K16569" s="24"/>
    </row>
    <row r="16570" customFormat="false" ht="15" hidden="false" customHeight="false" outlineLevel="0" collapsed="false">
      <c r="A16570" s="5" t="s">
        <v>457</v>
      </c>
      <c r="C16570" s="21" t="n">
        <f aca="false">IF(C16505=0,0,C16565/C16505)</f>
        <v>0.76859345340062</v>
      </c>
    </row>
    <row r="16571" customFormat="false" ht="15" hidden="false" customHeight="false" outlineLevel="0" collapsed="false">
      <c r="A16571" s="5" t="s">
        <v>458</v>
      </c>
      <c r="C16571" s="21" t="n">
        <f aca="false">IF(C16506=0,0,C16566/C16506)</f>
        <v>1</v>
      </c>
    </row>
    <row r="16572" customFormat="false" ht="15" hidden="false" customHeight="false" outlineLevel="0" collapsed="false">
      <c r="A16572" s="5" t="s">
        <v>459</v>
      </c>
      <c r="C16572" s="21" t="n">
        <f aca="false">IF(C16507=0,0,C16567/C16507)</f>
        <v>1</v>
      </c>
    </row>
    <row r="16573" customFormat="false" ht="15" hidden="false" customHeight="false" outlineLevel="0" collapsed="false">
      <c r="A16573" s="5" t="s">
        <v>460</v>
      </c>
      <c r="C16573" s="21" t="n">
        <f aca="false">IF(C16508=0,0,C16568/C16508)</f>
        <v>1</v>
      </c>
    </row>
    <row r="16574" customFormat="false" ht="15" hidden="false" customHeight="false" outlineLevel="0" collapsed="false">
      <c r="A16574" s="2" t="s">
        <v>474</v>
      </c>
      <c r="C16574" s="16" t="n">
        <f aca="false">MAX(0,$C$16503-SUM($C$16520:$C$16523)-SUM($C$16530:$C$16533))</f>
        <v>0</v>
      </c>
    </row>
    <row r="16575" customFormat="false" ht="15" hidden="false" customHeight="false" outlineLevel="0" collapsed="false">
      <c r="A16575" s="5" t="s">
        <v>492</v>
      </c>
      <c r="C16575" s="33" t="n">
        <f aca="false">MIN(C16502,100*CHOOSE(C16492,C16560,C16561,C16562,C16563))</f>
        <v>0</v>
      </c>
    </row>
    <row r="16576" customFormat="false" ht="15" hidden="false" customHeight="false" outlineLevel="0" collapsed="false">
      <c r="A16576" s="5" t="s">
        <v>493</v>
      </c>
      <c r="C16576" s="20" t="n">
        <f aca="false">IF(C16408=1,C16497+Assumptions!$C$36,C16496)</f>
        <v>3</v>
      </c>
    </row>
    <row r="16577" customFormat="false" ht="15" hidden="false" customHeight="false" outlineLevel="0" collapsed="false">
      <c r="A16577" s="23" t="s">
        <v>494</v>
      </c>
      <c r="B16577" s="24"/>
      <c r="C16577" s="24"/>
      <c r="D16577" s="24"/>
      <c r="E16577" s="24"/>
      <c r="F16577" s="24"/>
      <c r="G16577" s="24"/>
      <c r="H16577" s="24"/>
      <c r="I16577" s="24"/>
      <c r="J16577" s="24"/>
      <c r="K16577" s="24"/>
    </row>
    <row r="16578" customFormat="false" ht="15" hidden="false" customHeight="false" outlineLevel="0" collapsed="false">
      <c r="A16578" s="5" t="s">
        <v>495</v>
      </c>
      <c r="C16578" s="20" t="n">
        <f aca="false">COLUMN()-COLUMN($C$1)</f>
        <v>0</v>
      </c>
      <c r="D16578" s="20" t="n">
        <f aca="false">COLUMN()-COLUMN($C$1)</f>
        <v>1</v>
      </c>
      <c r="E16578" s="20" t="n">
        <f aca="false">COLUMN()-COLUMN($C$1)</f>
        <v>2</v>
      </c>
      <c r="F16578" s="20" t="n">
        <f aca="false">COLUMN()-COLUMN($C$1)</f>
        <v>3</v>
      </c>
      <c r="G16578" s="20" t="n">
        <f aca="false">COLUMN()-COLUMN($C$1)</f>
        <v>4</v>
      </c>
      <c r="H16578" s="20" t="n">
        <f aca="false">COLUMN()-COLUMN($C$1)</f>
        <v>5</v>
      </c>
      <c r="I16578" s="20" t="n">
        <f aca="false">COLUMN()-COLUMN($C$1)</f>
        <v>6</v>
      </c>
    </row>
    <row r="16579" customFormat="false" ht="15" hidden="false" customHeight="false" outlineLevel="0" collapsed="false">
      <c r="A16579" s="5" t="s">
        <v>496</v>
      </c>
      <c r="D16579" s="30" t="n">
        <f aca="false">CHOOSE($C$16492,G16290,G16303,G16316,G16329)</f>
        <v>0.143</v>
      </c>
      <c r="E16579" s="30" t="n">
        <f aca="false">CHOOSE($C$16492,H16290,H16303,H16316,H16329)</f>
        <v>0.1405</v>
      </c>
      <c r="F16579" s="30" t="n">
        <f aca="false">CHOOSE($C$16492,I16290,I16303,I16316,I16329)</f>
        <v>0.138</v>
      </c>
      <c r="G16579" s="30" t="n">
        <f aca="false">CHOOSE($C$16492,J16290,J16303,J16316,J16329)</f>
        <v>0.138</v>
      </c>
      <c r="H16579" s="30" t="n">
        <f aca="false">CHOOSE($C$16492,K16290,K16303,K16316,K16329)</f>
        <v>0.138</v>
      </c>
    </row>
    <row r="16580" customFormat="false" ht="15" hidden="false" customHeight="false" outlineLevel="0" collapsed="false">
      <c r="A16580" s="5" t="s">
        <v>497</v>
      </c>
      <c r="D16580" s="25" t="n">
        <f aca="false">IF(D16578&lt;=$C$16501,$C$16493*D16579,0)</f>
        <v>14.3</v>
      </c>
      <c r="E16580" s="25" t="n">
        <f aca="false">IF(E16578&lt;=$C$16501,$C$16493*E16579,0)</f>
        <v>14.05</v>
      </c>
      <c r="F16580" s="25" t="n">
        <f aca="false">IF(F16578&lt;=$C$16501,$C$16493*F16579,0)</f>
        <v>0</v>
      </c>
      <c r="G16580" s="25" t="n">
        <f aca="false">IF(G16578&lt;=$C$16501,$C$16493*G16579,0)</f>
        <v>0</v>
      </c>
      <c r="H16580" s="25" t="n">
        <f aca="false">IF(H16578&lt;=$C$16501,$C$16493*H16579,0)</f>
        <v>0</v>
      </c>
    </row>
    <row r="16581" customFormat="false" ht="15" hidden="false" customHeight="false" outlineLevel="0" collapsed="false">
      <c r="A16581" s="5" t="s">
        <v>498</v>
      </c>
      <c r="D16581" s="25" t="n">
        <f aca="false">IF(AND($C$16408=0,D16578=$C$16496),$C$16493*$C$16575/100,0)+IF(AND($C$16408=1,D16578=$C$16576),$C$16499,0)</f>
        <v>0</v>
      </c>
      <c r="E16581" s="25" t="n">
        <f aca="false">IF(AND($C$16408=0,E16578=$C$16496),$C$16493*$C$16575/100,0)+IF(AND($C$16408=1,E16578=$C$16576),$C$16499,0)</f>
        <v>0</v>
      </c>
      <c r="F16581" s="25" t="n">
        <f aca="false">IF(AND($C$16408=0,F16578=$C$16496),$C$16493*$C$16575/100,0)+IF(AND($C$16408=1,F16578=$C$16576),$C$16499,0)</f>
        <v>27.472187166405</v>
      </c>
      <c r="G16581" s="25" t="n">
        <f aca="false">IF(AND($C$16408=0,G16578=$C$16496),$C$16493*$C$16575/100,0)+IF(AND($C$16408=1,G16578=$C$16576),$C$16499,0)</f>
        <v>0</v>
      </c>
      <c r="H16581" s="25" t="n">
        <f aca="false">IF(AND($C$16408=0,H16578=$C$16496),$C$16493*$C$16575/100,0)+IF(AND($C$16408=1,H16578=$C$16576),$C$16499,0)</f>
        <v>0</v>
      </c>
      <c r="I16581" s="25" t="n">
        <f aca="false">IF(AND($C$16408=0,I16578=$C$16496),$C$16493*$C$16575/100,0)+IF(AND($C$16408=1,I16578=$C$16576),$C$16499,0)</f>
        <v>0</v>
      </c>
    </row>
    <row r="16582" customFormat="false" ht="15" hidden="false" customHeight="false" outlineLevel="0" collapsed="false">
      <c r="A16582" s="2" t="s">
        <v>499</v>
      </c>
      <c r="C16582" s="16" t="n">
        <f aca="false">-$C$16495</f>
        <v>-78.39</v>
      </c>
      <c r="D16582" s="16" t="n">
        <f aca="false">D16580+D16581</f>
        <v>14.3</v>
      </c>
      <c r="E16582" s="16" t="n">
        <f aca="false">E16580+E16581</f>
        <v>14.05</v>
      </c>
      <c r="F16582" s="16" t="n">
        <f aca="false">F16580+F16581</f>
        <v>27.472187166405</v>
      </c>
      <c r="G16582" s="16" t="n">
        <f aca="false">G16580+G16581</f>
        <v>0</v>
      </c>
      <c r="H16582" s="16" t="n">
        <f aca="false">H16580+H16581</f>
        <v>0</v>
      </c>
      <c r="I16582" s="16" t="n">
        <f aca="false">I16580+I16581</f>
        <v>0</v>
      </c>
    </row>
    <row r="16583" customFormat="false" ht="15" hidden="false" customHeight="false" outlineLevel="0" collapsed="false">
      <c r="A16583" s="5" t="s">
        <v>500</v>
      </c>
      <c r="C16583" s="25" t="n">
        <f aca="false">SUM($C$16580:$I$16580)</f>
        <v>28.35</v>
      </c>
    </row>
    <row r="16584" customFormat="false" ht="15" hidden="false" customHeight="false" outlineLevel="0" collapsed="false">
      <c r="A16584" s="5" t="s">
        <v>501</v>
      </c>
      <c r="C16584" s="25" t="n">
        <f aca="false">SUM($C$16581:$I$16581)</f>
        <v>27.472187166405</v>
      </c>
    </row>
    <row r="16585" customFormat="false" ht="15" hidden="false" customHeight="false" outlineLevel="0" collapsed="false">
      <c r="A16585" s="5" t="s">
        <v>502</v>
      </c>
      <c r="C16585" s="25" t="n">
        <f aca="false">C16583+C16584</f>
        <v>55.822187166405</v>
      </c>
    </row>
    <row r="16586" customFormat="false" ht="15" hidden="false" customHeight="false" outlineLevel="0" collapsed="false">
      <c r="A16586" s="5" t="s">
        <v>503</v>
      </c>
      <c r="C16586" s="25" t="n">
        <f aca="false">C16584-C16493*C16494/100</f>
        <v>-50.527812833595</v>
      </c>
    </row>
    <row r="16587" customFormat="false" ht="15" hidden="false" customHeight="false" outlineLevel="0" collapsed="false">
      <c r="A16587" s="5" t="s">
        <v>504</v>
      </c>
      <c r="C16587" s="25" t="n">
        <f aca="false">C16585-C16495</f>
        <v>-22.567812833595</v>
      </c>
    </row>
    <row r="16588" customFormat="false" ht="15" hidden="false" customHeight="false" outlineLevel="0" collapsed="false">
      <c r="A16588" s="2" t="s">
        <v>385</v>
      </c>
      <c r="C16588" s="43" t="n">
        <f aca="false">C16585/C16495</f>
        <v>0.712108523617873</v>
      </c>
    </row>
    <row r="16589" customFormat="false" ht="15" hidden="false" customHeight="false" outlineLevel="0" collapsed="false">
      <c r="A16589" s="2" t="s">
        <v>384</v>
      </c>
      <c r="C16589" s="41" t="n">
        <f aca="false">IF(C16585&lt;=0,-1,IFERROR(IRR($C$16582:$I$16582,MAX(-0.9,C16588^(1/C16576)-1)),IRR($C$16582:$I$16582,0.1)))</f>
        <v>-0.138002106392238</v>
      </c>
    </row>
    <row r="16590" customFormat="false" ht="15" hidden="false" customHeight="false" outlineLevel="0" collapsed="false">
      <c r="A16590" s="5" t="s">
        <v>505</v>
      </c>
      <c r="C16590" s="31" t="n">
        <f aca="false">MAX($G$16384:$K$16384)</f>
        <v>127.249531906269</v>
      </c>
    </row>
    <row r="16591" customFormat="false" ht="15" hidden="false" customHeight="false" outlineLevel="0" collapsed="false">
      <c r="A16591" s="5" t="s">
        <v>506</v>
      </c>
      <c r="C16591" s="31" t="n">
        <f aca="false">MIN($G$16385:$K$16385)</f>
        <v>0.103051895661996</v>
      </c>
    </row>
    <row r="16592" customFormat="false" ht="15" hidden="false" customHeight="false" outlineLevel="0" collapsed="false">
      <c r="A16592" s="5" t="s">
        <v>507</v>
      </c>
      <c r="C16592" s="25" t="n">
        <f aca="false">SUM($G$16274:$K$16274)</f>
        <v>-737.874747058854</v>
      </c>
    </row>
    <row r="16596" customFormat="false" ht="15" hidden="false" customHeight="false" outlineLevel="0" collapsed="false">
      <c r="A16596" s="9" t="s">
        <v>673</v>
      </c>
      <c r="B16596" s="10"/>
      <c r="C16596" s="10"/>
      <c r="D16596" s="10"/>
      <c r="E16596" s="10"/>
      <c r="F16596" s="10"/>
      <c r="G16596" s="10"/>
      <c r="H16596" s="10"/>
      <c r="I16596" s="10"/>
      <c r="J16596" s="10"/>
      <c r="K16596" s="10"/>
    </row>
    <row r="16597" customFormat="false" ht="15" hidden="false" customHeight="false" outlineLevel="0" collapsed="false">
      <c r="A16597" s="5" t="s">
        <v>622</v>
      </c>
      <c r="C16597" s="11" t="n">
        <v>3</v>
      </c>
    </row>
    <row r="16598" customFormat="false" ht="15" hidden="false" customHeight="false" outlineLevel="0" collapsed="false">
      <c r="A16598" s="5" t="s">
        <v>623</v>
      </c>
      <c r="C16598" s="18" t="n">
        <v>0</v>
      </c>
    </row>
    <row r="16599" customFormat="false" ht="15" hidden="false" customHeight="false" outlineLevel="0" collapsed="false">
      <c r="A16599" s="5" t="s">
        <v>624</v>
      </c>
      <c r="C16599" s="18" t="n">
        <v>0</v>
      </c>
    </row>
    <row r="16600" customFormat="false" ht="15" hidden="false" customHeight="false" outlineLevel="0" collapsed="false">
      <c r="A16600" s="5" t="s">
        <v>625</v>
      </c>
      <c r="C16600" s="29" t="n">
        <f aca="false">Sensitivities!$A$54</f>
        <v>0.02</v>
      </c>
    </row>
    <row r="16601" customFormat="false" ht="15" hidden="false" customHeight="false" outlineLevel="0" collapsed="false">
      <c r="A16601" s="5" t="s">
        <v>626</v>
      </c>
      <c r="C16601" s="15" t="n">
        <v>0</v>
      </c>
    </row>
    <row r="16603" customFormat="false" ht="15" hidden="false" customHeight="false" outlineLevel="0" collapsed="false">
      <c r="A16603" s="23" t="s">
        <v>237</v>
      </c>
      <c r="B16603" s="24"/>
      <c r="C16603" s="24"/>
      <c r="D16603" s="24"/>
      <c r="E16603" s="24"/>
      <c r="F16603" s="24"/>
      <c r="G16603" s="24"/>
      <c r="H16603" s="24"/>
      <c r="I16603" s="24"/>
      <c r="J16603" s="24"/>
      <c r="K16603" s="24"/>
    </row>
    <row r="16604" customFormat="false" ht="15" hidden="false" customHeight="false" outlineLevel="0" collapsed="false">
      <c r="A16604" s="5" t="s">
        <v>238</v>
      </c>
      <c r="F16604" s="26" t="n">
        <f aca="false">Assumptions!$C$6</f>
        <v>2025</v>
      </c>
      <c r="G16604" s="20" t="n">
        <f aca="false">F16604+1</f>
        <v>2026</v>
      </c>
      <c r="H16604" s="20" t="n">
        <f aca="false">G16604+1</f>
        <v>2027</v>
      </c>
      <c r="I16604" s="20" t="n">
        <f aca="false">H16604+1</f>
        <v>2028</v>
      </c>
      <c r="J16604" s="20" t="n">
        <f aca="false">I16604+1</f>
        <v>2029</v>
      </c>
      <c r="K16604" s="20" t="n">
        <f aca="false">J16604+1</f>
        <v>2030</v>
      </c>
    </row>
    <row r="16605" customFormat="false" ht="15" hidden="false" customHeight="false" outlineLevel="0" collapsed="false">
      <c r="A16605" s="5" t="s">
        <v>239</v>
      </c>
      <c r="G16605" s="20" t="n">
        <f aca="false">G16604-Assumptions!$C$6</f>
        <v>1</v>
      </c>
      <c r="H16605" s="20" t="n">
        <f aca="false">H16604-Assumptions!$C$6</f>
        <v>2</v>
      </c>
      <c r="I16605" s="20" t="n">
        <f aca="false">I16604-Assumptions!$C$6</f>
        <v>3</v>
      </c>
      <c r="J16605" s="20" t="n">
        <f aca="false">J16604-Assumptions!$C$6</f>
        <v>4</v>
      </c>
      <c r="K16605" s="20" t="n">
        <f aca="false">K16604-Assumptions!$C$6</f>
        <v>5</v>
      </c>
    </row>
    <row r="16606" customFormat="false" ht="15" hidden="false" customHeight="false" outlineLevel="0" collapsed="false">
      <c r="A16606" s="5" t="s">
        <v>149</v>
      </c>
      <c r="G16606" s="21" t="n">
        <f aca="false">CHOOSE($C$16597,Assumptions!$G$65,Assumptions!$G$84,Assumptions!$G$103)+$C$16598</f>
        <v>-0.234</v>
      </c>
      <c r="H16606" s="21" t="n">
        <f aca="false">CHOOSE($C$16597,Assumptions!$H$65,Assumptions!$H$84,Assumptions!$H$103)+$C$16598</f>
        <v>-0.13</v>
      </c>
      <c r="I16606" s="21" t="n">
        <f aca="false">CHOOSE($C$16597,Assumptions!$I$65,Assumptions!$I$84,Assumptions!$I$103)+$C$16598</f>
        <v>-0.026</v>
      </c>
      <c r="J16606" s="21" t="n">
        <f aca="false">CHOOSE($C$16597,Assumptions!$J$65,Assumptions!$J$84,Assumptions!$J$103)+$C$16598</f>
        <v>-0.01</v>
      </c>
      <c r="K16606" s="21" t="n">
        <f aca="false">CHOOSE($C$16597,Assumptions!$K$65,Assumptions!$K$84,Assumptions!$K$103)+$C$16598</f>
        <v>-0.01</v>
      </c>
    </row>
    <row r="16607" customFormat="false" ht="15" hidden="false" customHeight="false" outlineLevel="0" collapsed="false">
      <c r="A16607" s="5" t="s">
        <v>150</v>
      </c>
      <c r="G16607" s="21" t="n">
        <f aca="false">CHOOSE($C$16597,Assumptions!$G$66,Assumptions!$G$85,Assumptions!$G$104)</f>
        <v>0.305</v>
      </c>
      <c r="H16607" s="21" t="n">
        <f aca="false">CHOOSE($C$16597,Assumptions!$H$66,Assumptions!$H$85,Assumptions!$H$104)</f>
        <v>0.305</v>
      </c>
      <c r="I16607" s="21" t="n">
        <f aca="false">CHOOSE($C$16597,Assumptions!$I$66,Assumptions!$I$85,Assumptions!$I$104)</f>
        <v>0.305</v>
      </c>
      <c r="J16607" s="21" t="n">
        <f aca="false">CHOOSE($C$16597,Assumptions!$J$66,Assumptions!$J$85,Assumptions!$J$104)</f>
        <v>0.305</v>
      </c>
      <c r="K16607" s="21" t="n">
        <f aca="false">CHOOSE($C$16597,Assumptions!$K$66,Assumptions!$K$85,Assumptions!$K$104)</f>
        <v>0.305</v>
      </c>
    </row>
    <row r="16608" customFormat="false" ht="15" hidden="false" customHeight="false" outlineLevel="0" collapsed="false">
      <c r="A16608" s="5" t="s">
        <v>151</v>
      </c>
      <c r="G16608" s="21" t="n">
        <f aca="false">CHOOSE($C$16597,Assumptions!$G$67,Assumptions!$G$86,Assumptions!$G$105)+$C$16599</f>
        <v>0.01</v>
      </c>
      <c r="H16608" s="21" t="n">
        <f aca="false">CHOOSE($C$16597,Assumptions!$H$67,Assumptions!$H$86,Assumptions!$H$105)+$C$16599</f>
        <v>0.01</v>
      </c>
      <c r="I16608" s="21" t="n">
        <f aca="false">CHOOSE($C$16597,Assumptions!$I$67,Assumptions!$I$86,Assumptions!$I$105)+$C$16599</f>
        <v>0.01</v>
      </c>
      <c r="J16608" s="21" t="n">
        <f aca="false">CHOOSE($C$16597,Assumptions!$J$67,Assumptions!$J$86,Assumptions!$J$105)+$C$16599</f>
        <v>0.01</v>
      </c>
      <c r="K16608" s="21" t="n">
        <f aca="false">CHOOSE($C$16597,Assumptions!$K$67,Assumptions!$K$86,Assumptions!$K$105)+$C$16599</f>
        <v>0.01</v>
      </c>
    </row>
    <row r="16609" customFormat="false" ht="15" hidden="false" customHeight="false" outlineLevel="0" collapsed="false">
      <c r="A16609" s="23" t="s">
        <v>240</v>
      </c>
      <c r="B16609" s="24"/>
      <c r="C16609" s="24"/>
      <c r="D16609" s="24"/>
      <c r="E16609" s="24"/>
      <c r="F16609" s="24"/>
      <c r="G16609" s="24"/>
      <c r="H16609" s="24"/>
      <c r="I16609" s="24"/>
      <c r="J16609" s="24"/>
      <c r="K16609" s="24"/>
    </row>
    <row r="16610" customFormat="false" ht="15" hidden="false" customHeight="false" outlineLevel="0" collapsed="false">
      <c r="A16610" s="2" t="s">
        <v>207</v>
      </c>
      <c r="F16610" s="27" t="n">
        <f aca="false">'Historical Financials'!E17</f>
        <v>2400</v>
      </c>
      <c r="G16610" s="16" t="n">
        <f aca="false">F16610*(1+G16606)</f>
        <v>1838.4</v>
      </c>
      <c r="H16610" s="16" t="n">
        <f aca="false">G16610*(1+H16606)</f>
        <v>1599.408</v>
      </c>
      <c r="I16610" s="16" t="n">
        <f aca="false">H16610*(1+I16606)</f>
        <v>1557.823392</v>
      </c>
      <c r="J16610" s="16" t="n">
        <f aca="false">I16610*(1+J16606)</f>
        <v>1542.24515808</v>
      </c>
      <c r="K16610" s="16" t="n">
        <f aca="false">J16610*(1+K16606)</f>
        <v>1526.8227064992</v>
      </c>
    </row>
    <row r="16611" customFormat="false" ht="15" hidden="false" customHeight="false" outlineLevel="0" collapsed="false">
      <c r="A16611" s="5" t="s">
        <v>217</v>
      </c>
      <c r="G16611" s="25" t="n">
        <f aca="false">G16610*(1-G16607)</f>
        <v>1277.688</v>
      </c>
      <c r="H16611" s="25" t="n">
        <f aca="false">H16610*(1-H16607)</f>
        <v>1111.58856</v>
      </c>
      <c r="I16611" s="25" t="n">
        <f aca="false">I16610*(1-I16607)</f>
        <v>1082.68725744</v>
      </c>
      <c r="J16611" s="25" t="n">
        <f aca="false">J16610*(1-J16607)</f>
        <v>1071.8603848656</v>
      </c>
      <c r="K16611" s="25" t="n">
        <f aca="false">K16610*(1-K16607)</f>
        <v>1061.14178101694</v>
      </c>
    </row>
    <row r="16612" customFormat="false" ht="15" hidden="false" customHeight="false" outlineLevel="0" collapsed="false">
      <c r="A16612" s="2" t="s">
        <v>218</v>
      </c>
      <c r="G16612" s="16" t="n">
        <f aca="false">G16610-G16611</f>
        <v>560.712</v>
      </c>
      <c r="H16612" s="16" t="n">
        <f aca="false">H16610-H16611</f>
        <v>487.81944</v>
      </c>
      <c r="I16612" s="16" t="n">
        <f aca="false">I16610-I16611</f>
        <v>475.13613456</v>
      </c>
      <c r="J16612" s="16" t="n">
        <f aca="false">J16610-J16611</f>
        <v>470.3847732144</v>
      </c>
      <c r="K16612" s="16" t="n">
        <f aca="false">K16610-K16611</f>
        <v>465.680925482256</v>
      </c>
    </row>
    <row r="16613" customFormat="false" ht="15" hidden="false" customHeight="false" outlineLevel="0" collapsed="false">
      <c r="A16613" s="5" t="s">
        <v>241</v>
      </c>
      <c r="G16613" s="25" t="n">
        <f aca="false">G16612-G16614</f>
        <v>542.328</v>
      </c>
      <c r="H16613" s="25" t="n">
        <f aca="false">H16612-H16614</f>
        <v>471.82536</v>
      </c>
      <c r="I16613" s="25" t="n">
        <f aca="false">I16612-I16614</f>
        <v>459.55790064</v>
      </c>
      <c r="J16613" s="25" t="n">
        <f aca="false">J16612-J16614</f>
        <v>454.9623216336</v>
      </c>
      <c r="K16613" s="25" t="n">
        <f aca="false">K16612-K16614</f>
        <v>450.412698417264</v>
      </c>
    </row>
    <row r="16614" customFormat="false" ht="15" hidden="false" customHeight="false" outlineLevel="0" collapsed="false">
      <c r="A16614" s="2" t="s">
        <v>242</v>
      </c>
      <c r="G16614" s="16" t="n">
        <f aca="false">G16610*G16608</f>
        <v>18.384</v>
      </c>
      <c r="H16614" s="16" t="n">
        <f aca="false">H16610*H16608</f>
        <v>15.99408</v>
      </c>
      <c r="I16614" s="16" t="n">
        <f aca="false">I16610*I16608</f>
        <v>15.57823392</v>
      </c>
      <c r="J16614" s="16" t="n">
        <f aca="false">J16610*J16608</f>
        <v>15.4224515808</v>
      </c>
      <c r="K16614" s="16" t="n">
        <f aca="false">K16610*K16608</f>
        <v>15.268227064992</v>
      </c>
    </row>
    <row r="16615" customFormat="false" ht="15" hidden="false" customHeight="false" outlineLevel="0" collapsed="false">
      <c r="A16615" s="5" t="s">
        <v>243</v>
      </c>
      <c r="G16615" s="25" t="n">
        <f aca="false">G16610*'Historical Financials'!E22/'Historical Financials'!E17</f>
        <v>40.4448</v>
      </c>
      <c r="H16615" s="25" t="n">
        <f aca="false">H16610*'Historical Financials'!E22/'Historical Financials'!E17</f>
        <v>35.186976</v>
      </c>
      <c r="I16615" s="25" t="n">
        <f aca="false">I16610*'Historical Financials'!E22/'Historical Financials'!E17</f>
        <v>34.272114624</v>
      </c>
      <c r="J16615" s="25" t="n">
        <f aca="false">J16610*'Historical Financials'!E22/'Historical Financials'!E17</f>
        <v>33.92939347776</v>
      </c>
      <c r="K16615" s="25" t="n">
        <f aca="false">K16610*'Historical Financials'!E22/'Historical Financials'!E17</f>
        <v>33.5900995429824</v>
      </c>
    </row>
    <row r="16616" customFormat="false" ht="15" hidden="false" customHeight="false" outlineLevel="0" collapsed="false">
      <c r="A16616" s="5" t="s">
        <v>244</v>
      </c>
      <c r="G16616" s="25" t="n">
        <f aca="false">G16610*'Historical Financials'!E23/'Historical Financials'!E17</f>
        <v>0</v>
      </c>
      <c r="H16616" s="25" t="n">
        <f aca="false">H16610*'Historical Financials'!E23/'Historical Financials'!E17</f>
        <v>0</v>
      </c>
      <c r="I16616" s="25" t="n">
        <f aca="false">I16610*'Historical Financials'!E23/'Historical Financials'!E17</f>
        <v>0</v>
      </c>
      <c r="J16616" s="25" t="n">
        <f aca="false">J16610*'Historical Financials'!E23/'Historical Financials'!E17</f>
        <v>0</v>
      </c>
      <c r="K16616" s="25" t="n">
        <f aca="false">K16610*'Historical Financials'!E23/'Historical Financials'!E17</f>
        <v>0</v>
      </c>
    </row>
    <row r="16617" customFormat="false" ht="15" hidden="false" customHeight="false" outlineLevel="0" collapsed="false">
      <c r="A16617" s="2" t="s">
        <v>245</v>
      </c>
      <c r="G16617" s="16" t="n">
        <f aca="false">G16614-G16615-G16616</f>
        <v>-22.0608</v>
      </c>
      <c r="H16617" s="16" t="n">
        <f aca="false">H16614-H16615-H16616</f>
        <v>-19.192896</v>
      </c>
      <c r="I16617" s="16" t="n">
        <f aca="false">I16614-I16615-I16616</f>
        <v>-18.693880704</v>
      </c>
      <c r="J16617" s="16" t="n">
        <f aca="false">J16614-J16615-J16616</f>
        <v>-18.50694189696</v>
      </c>
      <c r="K16617" s="16" t="n">
        <f aca="false">K16614-K16615-K16616</f>
        <v>-18.3218724779904</v>
      </c>
    </row>
    <row r="16618" customFormat="false" ht="15" hidden="false" customHeight="false" outlineLevel="0" collapsed="false">
      <c r="A16618" s="5" t="s">
        <v>246</v>
      </c>
      <c r="G16618" s="25" t="n">
        <f aca="false">G16644+G16657+G16670+G16683</f>
        <v>154.04</v>
      </c>
      <c r="H16618" s="25" t="n">
        <f aca="false">H16644+H16657+H16670+H16683</f>
        <v>160.7067248</v>
      </c>
      <c r="I16618" s="25" t="n">
        <f aca="false">I16644+I16657+I16670+I16683</f>
        <v>158.0278528</v>
      </c>
      <c r="J16618" s="25" t="n">
        <f aca="false">J16644+J16657+J16670+J16683</f>
        <v>157.2582528</v>
      </c>
      <c r="K16618" s="25" t="n">
        <f aca="false">K16644+K16657+K16670+K16683</f>
        <v>156.4886528</v>
      </c>
    </row>
    <row r="16619" customFormat="false" ht="15" hidden="false" customHeight="false" outlineLevel="0" collapsed="false">
      <c r="A16619" s="5" t="s">
        <v>247</v>
      </c>
      <c r="G16619" s="25" t="n">
        <f aca="false">G16645+G16658+G16671+G16684</f>
        <v>0</v>
      </c>
      <c r="H16619" s="25" t="n">
        <f aca="false">H16645+H16658+H16671+H16684</f>
        <v>0</v>
      </c>
      <c r="I16619" s="25" t="n">
        <f aca="false">I16645+I16658+I16671+I16684</f>
        <v>0</v>
      </c>
      <c r="J16619" s="25" t="n">
        <f aca="false">J16645+J16658+J16671+J16684</f>
        <v>0</v>
      </c>
      <c r="K16619" s="25" t="n">
        <f aca="false">K16645+K16658+K16671+K16684</f>
        <v>0</v>
      </c>
    </row>
    <row r="16620" customFormat="false" ht="15" hidden="false" customHeight="false" outlineLevel="0" collapsed="false">
      <c r="A16620" s="5" t="s">
        <v>212</v>
      </c>
      <c r="G16620" s="25" t="n">
        <f aca="false">G16618+G16619</f>
        <v>154.04</v>
      </c>
      <c r="H16620" s="25" t="n">
        <f aca="false">H16618+H16619</f>
        <v>160.7067248</v>
      </c>
      <c r="I16620" s="25" t="n">
        <f aca="false">I16618+I16619</f>
        <v>158.0278528</v>
      </c>
      <c r="J16620" s="25" t="n">
        <f aca="false">J16618+J16619</f>
        <v>157.2582528</v>
      </c>
      <c r="K16620" s="25" t="n">
        <f aca="false">K16618+K16619</f>
        <v>156.4886528</v>
      </c>
    </row>
    <row r="16621" customFormat="false" ht="15" hidden="false" customHeight="false" outlineLevel="0" collapsed="false">
      <c r="A16621" s="2" t="s">
        <v>223</v>
      </c>
      <c r="G16621" s="16" t="n">
        <f aca="false">G16617-G16620</f>
        <v>-176.1008</v>
      </c>
      <c r="H16621" s="16" t="n">
        <f aca="false">H16617-H16620</f>
        <v>-179.8996208</v>
      </c>
      <c r="I16621" s="16" t="n">
        <f aca="false">I16617-I16620</f>
        <v>-176.721733504</v>
      </c>
      <c r="J16621" s="16" t="n">
        <f aca="false">J16617-J16620</f>
        <v>-175.76519469696</v>
      </c>
      <c r="K16621" s="16" t="n">
        <f aca="false">K16617-K16620</f>
        <v>-174.81052527799</v>
      </c>
    </row>
    <row r="16622" customFormat="false" ht="15" hidden="false" customHeight="false" outlineLevel="0" collapsed="false">
      <c r="A16622" s="5" t="s">
        <v>213</v>
      </c>
      <c r="G16622" s="25" t="n">
        <f aca="false">MAX(0,G16621)*Assumptions!$C$9</f>
        <v>0</v>
      </c>
      <c r="H16622" s="25" t="n">
        <f aca="false">MAX(0,H16621)*Assumptions!$C$9</f>
        <v>0</v>
      </c>
      <c r="I16622" s="25" t="n">
        <f aca="false">MAX(0,I16621)*Assumptions!$C$9</f>
        <v>0</v>
      </c>
      <c r="J16622" s="25" t="n">
        <f aca="false">MAX(0,J16621)*Assumptions!$C$9</f>
        <v>0</v>
      </c>
      <c r="K16622" s="25" t="n">
        <f aca="false">MAX(0,K16621)*Assumptions!$C$9</f>
        <v>0</v>
      </c>
    </row>
    <row r="16623" customFormat="false" ht="15" hidden="false" customHeight="false" outlineLevel="0" collapsed="false">
      <c r="A16623" s="2" t="s">
        <v>248</v>
      </c>
      <c r="G16623" s="16" t="n">
        <f aca="false">G16621-G16622</f>
        <v>-176.1008</v>
      </c>
      <c r="H16623" s="16" t="n">
        <f aca="false">H16621-H16622</f>
        <v>-179.8996208</v>
      </c>
      <c r="I16623" s="16" t="n">
        <f aca="false">I16621-I16622</f>
        <v>-176.721733504</v>
      </c>
      <c r="J16623" s="16" t="n">
        <f aca="false">J16621-J16622</f>
        <v>-175.76519469696</v>
      </c>
      <c r="K16623" s="16" t="n">
        <f aca="false">K16621-K16622</f>
        <v>-174.81052527799</v>
      </c>
    </row>
    <row r="16624" customFormat="false" ht="15" hidden="false" customHeight="false" outlineLevel="0" collapsed="false">
      <c r="A16624" s="23" t="s">
        <v>249</v>
      </c>
      <c r="B16624" s="24"/>
      <c r="C16624" s="24"/>
      <c r="D16624" s="24"/>
      <c r="E16624" s="24"/>
      <c r="F16624" s="24"/>
      <c r="G16624" s="24"/>
      <c r="H16624" s="24"/>
      <c r="I16624" s="24"/>
      <c r="J16624" s="24"/>
      <c r="K16624" s="24"/>
    </row>
    <row r="16625" customFormat="false" ht="15" hidden="false" customHeight="false" outlineLevel="0" collapsed="false">
      <c r="A16625" s="5" t="s">
        <v>153</v>
      </c>
      <c r="G16625" s="25" t="n">
        <f aca="false">G16610*CHOOSE($C$16597,Assumptions!$C$69,Assumptions!$C$88,Assumptions!$C$107)</f>
        <v>29.4144</v>
      </c>
      <c r="H16625" s="25" t="n">
        <f aca="false">H16610*CHOOSE($C$16597,Assumptions!$C$69,Assumptions!$C$88,Assumptions!$C$107)</f>
        <v>25.590528</v>
      </c>
      <c r="I16625" s="25" t="n">
        <f aca="false">I16610*CHOOSE($C$16597,Assumptions!$C$69,Assumptions!$C$88,Assumptions!$C$107)</f>
        <v>24.925174272</v>
      </c>
      <c r="J16625" s="25" t="n">
        <f aca="false">J16610*CHOOSE($C$16597,Assumptions!$C$69,Assumptions!$C$88,Assumptions!$C$107)</f>
        <v>24.67592252928</v>
      </c>
      <c r="K16625" s="25" t="n">
        <f aca="false">K16610*CHOOSE($C$16597,Assumptions!$C$69,Assumptions!$C$88,Assumptions!$C$107)</f>
        <v>24.4291633039872</v>
      </c>
    </row>
    <row r="16626" customFormat="false" ht="15" hidden="false" customHeight="false" outlineLevel="0" collapsed="false">
      <c r="A16626" s="5" t="s">
        <v>250</v>
      </c>
      <c r="G16626" s="25" t="n">
        <f aca="false">CHOOSE($C$16597,Assumptions!$C$70,Assumptions!$C$89,Assumptions!$C$108)*(G16610-F16610)+CHOOSE($C$16597,Assumptions!$C$71,Assumptions!$C$90,Assumptions!$C$109)*G16610</f>
        <v>-56.3616</v>
      </c>
      <c r="H16626" s="25" t="n">
        <f aca="false">CHOOSE($C$16597,Assumptions!$C$70,Assumptions!$C$89,Assumptions!$C$108)*(H16610-G16610)+CHOOSE($C$16597,Assumptions!$C$71,Assumptions!$C$90,Assumptions!$C$109)*H16610</f>
        <v>-19.082592</v>
      </c>
      <c r="I16626" s="25" t="n">
        <f aca="false">CHOOSE($C$16597,Assumptions!$C$70,Assumptions!$C$89,Assumptions!$C$108)*(I16610-H16610)+CHOOSE($C$16597,Assumptions!$C$71,Assumptions!$C$90,Assumptions!$C$109)*I16610</f>
        <v>4.35678739199999</v>
      </c>
      <c r="J16626" s="25" t="n">
        <f aca="false">CHOOSE($C$16597,Assumptions!$C$70,Assumptions!$C$89,Assumptions!$C$108)*(J16610-I16610)+CHOOSE($C$16597,Assumptions!$C$71,Assumptions!$C$90,Assumptions!$C$109)*J16610</f>
        <v>7.38408287808</v>
      </c>
      <c r="K16626" s="25" t="n">
        <f aca="false">CHOOSE($C$16597,Assumptions!$C$70,Assumptions!$C$89,Assumptions!$C$108)*(K16610-J16610)+CHOOSE($C$16597,Assumptions!$C$71,Assumptions!$C$90,Assumptions!$C$109)*K16610</f>
        <v>7.3102420492992</v>
      </c>
    </row>
    <row r="16627" customFormat="false" ht="15" hidden="false" customHeight="false" outlineLevel="0" collapsed="false">
      <c r="A16627" s="2" t="s">
        <v>251</v>
      </c>
      <c r="G16627" s="16" t="n">
        <f aca="false">G16623+G16615+G16616+G16619-G16625-G16626</f>
        <v>-108.7088</v>
      </c>
      <c r="H16627" s="16" t="n">
        <f aca="false">H16623+H16615+H16616+H16619-H16625-H16626</f>
        <v>-151.2205808</v>
      </c>
      <c r="I16627" s="16" t="n">
        <f aca="false">I16623+I16615+I16616+I16619-I16625-I16626</f>
        <v>-171.731580544</v>
      </c>
      <c r="J16627" s="16" t="n">
        <f aca="false">J16623+J16615+J16616+J16619-J16625-J16626</f>
        <v>-173.89580662656</v>
      </c>
      <c r="K16627" s="16" t="n">
        <f aca="false">K16623+K16615+K16616+K16619-K16625-K16626</f>
        <v>-172.959831088294</v>
      </c>
    </row>
    <row r="16629" customFormat="false" ht="15" hidden="false" customHeight="false" outlineLevel="0" collapsed="false">
      <c r="A16629" s="23" t="s">
        <v>253</v>
      </c>
      <c r="B16629" s="24"/>
      <c r="C16629" s="24"/>
      <c r="D16629" s="24"/>
      <c r="E16629" s="24"/>
      <c r="F16629" s="24"/>
      <c r="G16629" s="24"/>
      <c r="H16629" s="24"/>
      <c r="I16629" s="24"/>
      <c r="J16629" s="24"/>
      <c r="K16629" s="24"/>
    </row>
    <row r="16630" customFormat="false" ht="15" hidden="false" customHeight="false" outlineLevel="0" collapsed="false">
      <c r="A16630" s="5" t="s">
        <v>254</v>
      </c>
      <c r="G16630" s="29" t="n">
        <f aca="false">Assumptions!$G$49</f>
        <v>0.0425</v>
      </c>
      <c r="H16630" s="29" t="n">
        <f aca="false">Assumptions!$H$49</f>
        <v>0.04</v>
      </c>
      <c r="I16630" s="29" t="n">
        <f aca="false">Assumptions!$I$49</f>
        <v>0.0375</v>
      </c>
      <c r="J16630" s="29" t="n">
        <f aca="false">Assumptions!$J$49</f>
        <v>0.0375</v>
      </c>
      <c r="K16630" s="29" t="n">
        <f aca="false">Assumptions!$K$49</f>
        <v>0.0375</v>
      </c>
    </row>
    <row r="16631" customFormat="false" ht="15" hidden="false" customHeight="false" outlineLevel="0" collapsed="false">
      <c r="A16631" s="5" t="s">
        <v>255</v>
      </c>
      <c r="C16631" s="30" t="n">
        <f aca="false">CHOOSE($C$16597,Assumptions!$C$72,Assumptions!$C$91,Assumptions!$C$110)+$C$16600</f>
        <v>0.05</v>
      </c>
    </row>
    <row r="16632" customFormat="false" ht="15" hidden="false" customHeight="false" outlineLevel="0" collapsed="false">
      <c r="A16632" s="5" t="s">
        <v>256</v>
      </c>
      <c r="C16632" s="30" t="n">
        <f aca="false">CHOOSE($C$16597,Assumptions!$C$73,Assumptions!$C$92,Assumptions!$C$111)</f>
        <v>0.16</v>
      </c>
    </row>
    <row r="16633" customFormat="false" ht="15" hidden="false" customHeight="false" outlineLevel="0" collapsed="false">
      <c r="A16633" s="5" t="s">
        <v>257</v>
      </c>
      <c r="C16633" s="31" t="n">
        <f aca="false">CHOOSE($C$16597,Assumptions!$C$74,Assumptions!$C$93,Assumptions!$C$112)</f>
        <v>5</v>
      </c>
    </row>
    <row r="16634" customFormat="false" ht="15" hidden="false" customHeight="false" outlineLevel="0" collapsed="false">
      <c r="A16634" s="5" t="s">
        <v>258</v>
      </c>
      <c r="C16634" s="31" t="n">
        <f aca="false">CHOOSE($C$16597,Assumptions!$C$75,Assumptions!$C$94,Assumptions!$C$113)</f>
        <v>2</v>
      </c>
    </row>
    <row r="16635" customFormat="false" ht="15" hidden="false" customHeight="false" outlineLevel="0" collapsed="false">
      <c r="A16635" s="5" t="s">
        <v>259</v>
      </c>
      <c r="G16635" s="25" t="n">
        <f aca="false">G16640+G16653+G16666+G16679</f>
        <v>1250</v>
      </c>
      <c r="H16635" s="25" t="n">
        <f aca="false">H16640+H16653+H16666+H16679</f>
        <v>1313.7088</v>
      </c>
      <c r="I16635" s="25" t="n">
        <f aca="false">I16640+I16653+I16666+I16679</f>
        <v>1308.5088</v>
      </c>
      <c r="J16635" s="25" t="n">
        <f aca="false">J16640+J16653+J16666+J16679</f>
        <v>1303.3088</v>
      </c>
      <c r="K16635" s="25" t="n">
        <f aca="false">K16640+K16653+K16666+K16679</f>
        <v>1298.1088</v>
      </c>
    </row>
    <row r="16636" customFormat="false" ht="15" hidden="false" customHeight="false" outlineLevel="0" collapsed="false">
      <c r="A16636" s="5" t="s">
        <v>260</v>
      </c>
      <c r="G16636" s="25" t="n">
        <f aca="false">F16726</f>
        <v>45</v>
      </c>
      <c r="H16636" s="25" t="n">
        <f aca="false">G16726</f>
        <v>0</v>
      </c>
      <c r="I16636" s="25" t="n">
        <f aca="false">H16726</f>
        <v>-156.4205808</v>
      </c>
      <c r="J16636" s="25" t="n">
        <f aca="false">I16726</f>
        <v>-333.352161344</v>
      </c>
      <c r="K16636" s="25" t="n">
        <f aca="false">J16726</f>
        <v>-512.44796797056</v>
      </c>
    </row>
    <row r="16637" customFormat="false" ht="15" hidden="false" customHeight="false" outlineLevel="0" collapsed="false">
      <c r="A16637" s="5" t="s">
        <v>261</v>
      </c>
      <c r="G16637" s="25" t="n">
        <f aca="false">G16640*IF(G16641=1,$C$16632,IF(Assumptions!$I$53=1,MAX(G16630,Assumptions!$G$53)+Assumptions!$F$53+$C$16631,Assumptions!$E$53))+G16653*IF(G16654=1,$C$16632,IF(Assumptions!$I$54=1,MAX(G16630,Assumptions!$G$54)+Assumptions!$F$54+$C$16631,Assumptions!$E$54))+G16666*IF(G16667=1,$C$16632,IF(Assumptions!$I$55=1,MAX(G16630,Assumptions!$G$55)+Assumptions!$F$55+$C$16631,Assumptions!$E$55))+G16679*IF(G16680=1,$C$16632,IF(Assumptions!$I$56=1,MAX(G16630,Assumptions!$G$56)+Assumptions!$F$56+$C$16631,Assumptions!$E$56))</f>
        <v>154.04</v>
      </c>
      <c r="H16637" s="25" t="n">
        <f aca="false">H16640*IF(OR(H16641=1,G16792=1),$C$16632,IF(Assumptions!$I$53=1,MAX(H16630,Assumptions!$G$53)+Assumptions!$F$53+$C$16631,Assumptions!$E$53))+H16653*IF(OR(H16654=1,G16793=1),$C$16632,IF(Assumptions!$I$54=1,MAX(H16630,Assumptions!$G$54)+Assumptions!$F$54+$C$16631,Assumptions!$E$54))+H16666*IF(OR(H16667=1,G16794=1),$C$16632,IF(Assumptions!$I$55=1,MAX(H16630,Assumptions!$G$55)+Assumptions!$F$55+$C$16631,Assumptions!$E$55))+H16679*IF(OR(H16680=1,G16795=1),$C$16632,IF(Assumptions!$I$56=1,MAX(H16630,Assumptions!$G$56)+Assumptions!$F$56+$C$16631,Assumptions!$E$56))</f>
        <v>192.802808</v>
      </c>
      <c r="I16637" s="25" t="n">
        <f aca="false">I16640*IF(OR(I16641=1,H16792=1),$C$16632,IF(Assumptions!$I$53=1,MAX(I16630,Assumptions!$G$53)+Assumptions!$F$53+$C$16631,Assumptions!$E$53))+I16653*IF(OR(I16654=1,H16793=1),$C$16632,IF(Assumptions!$I$54=1,MAX(I16630,Assumptions!$G$54)+Assumptions!$F$54+$C$16631,Assumptions!$E$54))+I16666*IF(OR(I16667=1,H16794=1),$C$16632,IF(Assumptions!$I$55=1,MAX(I16630,Assumptions!$G$55)+Assumptions!$F$55+$C$16631,Assumptions!$E$55))+I16679*IF(OR(I16680=1,H16795=1),$C$16632,IF(Assumptions!$I$56=1,MAX(I16630,Assumptions!$G$56)+Assumptions!$F$56+$C$16631,Assumptions!$E$56))</f>
        <v>164.1430528</v>
      </c>
      <c r="J16637" s="25" t="n">
        <f aca="false">J16640*IF(OR(J16641=1,I16792=1),$C$16632,IF(Assumptions!$I$53=1,MAX(J16630,Assumptions!$G$53)+Assumptions!$F$53+$C$16631,Assumptions!$E$53))+J16653*IF(OR(J16654=1,I16793=1),$C$16632,IF(Assumptions!$I$54=1,MAX(J16630,Assumptions!$G$54)+Assumptions!$F$54+$C$16631,Assumptions!$E$54))+J16666*IF(OR(J16667=1,I16794=1),$C$16632,IF(Assumptions!$I$55=1,MAX(J16630,Assumptions!$G$55)+Assumptions!$F$55+$C$16631,Assumptions!$E$55))+J16679*IF(OR(J16680=1,I16795=1),$C$16632,IF(Assumptions!$I$56=1,MAX(J16630,Assumptions!$G$56)+Assumptions!$F$56+$C$16631,Assumptions!$E$56))</f>
        <v>169.7582528</v>
      </c>
      <c r="K16637" s="25" t="n">
        <f aca="false">K16640*IF(OR(K16641=1,J16792=1),$C$16632,IF(Assumptions!$I$53=1,MAX(K16630,Assumptions!$G$53)+Assumptions!$F$53+$C$16631,Assumptions!$E$53))+K16653*IF(OR(K16654=1,J16793=1),$C$16632,IF(Assumptions!$I$54=1,MAX(K16630,Assumptions!$G$54)+Assumptions!$F$54+$C$16631,Assumptions!$E$54))+K16666*IF(OR(K16667=1,J16794=1),$C$16632,IF(Assumptions!$I$55=1,MAX(K16630,Assumptions!$G$55)+Assumptions!$F$55+$C$16631,Assumptions!$E$55))+K16679*IF(OR(K16680=1,J16795=1),$C$16632,IF(Assumptions!$I$56=1,MAX(K16630,Assumptions!$G$56)+Assumptions!$F$56+$C$16631,Assumptions!$E$56))</f>
        <v>156.4886528</v>
      </c>
    </row>
    <row r="16638" customFormat="false" ht="15" hidden="false" customHeight="false" outlineLevel="0" collapsed="false">
      <c r="A16638" s="5" t="s">
        <v>262</v>
      </c>
      <c r="G16638" s="20" t="n">
        <f aca="false">IF(G16614&lt;=0,0,IF(AND((G16635-G16636)/G16614&lt;=$C$16633,G16614/G16637&gt;=$C$16634),1,0))</f>
        <v>0</v>
      </c>
      <c r="H16638" s="20" t="n">
        <f aca="false">IF(H16614&lt;=0,0,IF(AND((H16635-H16636)/H16614&lt;=$C$16633,H16614/H16637&gt;=$C$16634),1,0))</f>
        <v>0</v>
      </c>
      <c r="I16638" s="20" t="n">
        <f aca="false">IF(I16614&lt;=0,0,IF(AND((I16635-I16636)/I16614&lt;=$C$16633,I16614/I16637&gt;=$C$16634),1,0))</f>
        <v>0</v>
      </c>
      <c r="J16638" s="20" t="n">
        <f aca="false">IF(J16614&lt;=0,0,IF(AND((J16635-J16636)/J16614&lt;=$C$16633,J16614/J16637&gt;=$C$16634),1,0))</f>
        <v>0</v>
      </c>
      <c r="K16638" s="20" t="n">
        <f aca="false">IF(K16614&lt;=0,0,IF(AND((K16635-K16636)/K16614&lt;=$C$16633,K16614/K16637&gt;=$C$16634),1,0))</f>
        <v>0</v>
      </c>
    </row>
    <row r="16639" customFormat="false" ht="15" hidden="false" customHeight="false" outlineLevel="0" collapsed="false">
      <c r="A16639" s="23" t="s">
        <v>263</v>
      </c>
      <c r="B16639" s="24"/>
      <c r="C16639" s="24"/>
      <c r="D16639" s="24"/>
      <c r="E16639" s="24"/>
      <c r="F16639" s="24"/>
      <c r="G16639" s="24"/>
      <c r="H16639" s="24"/>
      <c r="I16639" s="24"/>
      <c r="J16639" s="24"/>
      <c r="K16639" s="24"/>
    </row>
    <row r="16640" customFormat="false" ht="15" hidden="false" customHeight="false" outlineLevel="0" collapsed="false">
      <c r="A16640" s="5" t="s">
        <v>264</v>
      </c>
      <c r="G16640" s="25" t="n">
        <f aca="false">F16651</f>
        <v>180</v>
      </c>
      <c r="H16640" s="25" t="n">
        <f aca="false">G16651</f>
        <v>248.9088</v>
      </c>
      <c r="I16640" s="25" t="n">
        <f aca="false">H16651</f>
        <v>248.9088</v>
      </c>
      <c r="J16640" s="25" t="n">
        <f aca="false">I16651</f>
        <v>248.9088</v>
      </c>
      <c r="K16640" s="25" t="n">
        <f aca="false">J16651</f>
        <v>248.9088</v>
      </c>
    </row>
    <row r="16641" customFormat="false" ht="15" hidden="false" customHeight="false" outlineLevel="0" collapsed="false">
      <c r="A16641" s="5" t="s">
        <v>265</v>
      </c>
      <c r="G16641" s="20" t="n">
        <f aca="false">IF(G16604=Assumptions!$K$53,1,0)</f>
        <v>0</v>
      </c>
      <c r="H16641" s="20" t="n">
        <f aca="false">IF(H16604=Assumptions!$K$53,1,0)</f>
        <v>1</v>
      </c>
      <c r="I16641" s="20" t="n">
        <f aca="false">IF(I16604=Assumptions!$K$53,1,0)</f>
        <v>0</v>
      </c>
      <c r="J16641" s="20" t="n">
        <f aca="false">IF(J16604=Assumptions!$K$53,1,0)</f>
        <v>0</v>
      </c>
      <c r="K16641" s="20" t="n">
        <f aca="false">IF(K16604=Assumptions!$K$53,1,0)</f>
        <v>0</v>
      </c>
    </row>
    <row r="16643" customFormat="false" ht="15" hidden="false" customHeight="false" outlineLevel="0" collapsed="false">
      <c r="A16643" s="5" t="s">
        <v>266</v>
      </c>
      <c r="G16643" s="30" t="n">
        <f aca="false">IF(Assumptions!$I$53=1,MAX(G16630,Assumptions!$G$53)+Assumptions!$F$53+$C$16631,Assumptions!$E$53)</f>
        <v>0.136</v>
      </c>
      <c r="H16643" s="30" t="n">
        <f aca="false">IF(G16792=1,$C$16632,IF(Assumptions!$I$53=1,MAX(H16630,Assumptions!$G$53)+Assumptions!$F$53+$C$16631,Assumptions!$E$53))</f>
        <v>0.1335</v>
      </c>
      <c r="I16643" s="30" t="n">
        <f aca="false">IF(H16792=1,$C$16632,IF(Assumptions!$I$53=1,MAX(I16630,Assumptions!$G$53)+Assumptions!$F$53+$C$16631,Assumptions!$E$53))</f>
        <v>0.131</v>
      </c>
      <c r="J16643" s="30" t="n">
        <f aca="false">IF(I16792=1,$C$16632,IF(Assumptions!$I$53=1,MAX(J16630,Assumptions!$G$53)+Assumptions!$F$53+$C$16631,Assumptions!$E$53))</f>
        <v>0.131</v>
      </c>
      <c r="K16643" s="30" t="n">
        <f aca="false">IF(J16792=1,$C$16632,IF(Assumptions!$I$53=1,MAX(K16630,Assumptions!$G$53)+Assumptions!$F$53+$C$16631,Assumptions!$E$53))</f>
        <v>0.131</v>
      </c>
    </row>
    <row r="16644" customFormat="false" ht="15" hidden="false" customHeight="false" outlineLevel="0" collapsed="false">
      <c r="A16644" s="5" t="s">
        <v>267</v>
      </c>
      <c r="G16644" s="25" t="n">
        <f aca="false">G16640*G16643</f>
        <v>24.48</v>
      </c>
      <c r="H16644" s="25" t="n">
        <f aca="false">H16640*H16643</f>
        <v>33.2293248</v>
      </c>
      <c r="I16644" s="25" t="n">
        <f aca="false">I16640*I16643</f>
        <v>32.6070528</v>
      </c>
      <c r="J16644" s="25" t="n">
        <f aca="false">J16640*J16643</f>
        <v>32.6070528</v>
      </c>
      <c r="K16644" s="25" t="n">
        <f aca="false">K16640*K16643</f>
        <v>32.6070528</v>
      </c>
    </row>
    <row r="16645" customFormat="false" ht="15" hidden="false" customHeight="false" outlineLevel="0" collapsed="false">
      <c r="A16645" s="5" t="s">
        <v>268</v>
      </c>
      <c r="G16645" s="25" t="n">
        <f aca="false">G16640*Assumptions!$H$53</f>
        <v>0</v>
      </c>
      <c r="H16645" s="25" t="n">
        <f aca="false">H16640*Assumptions!$H$53</f>
        <v>0</v>
      </c>
      <c r="I16645" s="25" t="n">
        <f aca="false">I16640*Assumptions!$H$53</f>
        <v>0</v>
      </c>
      <c r="J16645" s="25" t="n">
        <f aca="false">J16640*Assumptions!$H$53</f>
        <v>0</v>
      </c>
      <c r="K16645" s="25" t="n">
        <f aca="false">K16640*Assumptions!$H$53</f>
        <v>0</v>
      </c>
    </row>
    <row r="16646" customFormat="false" ht="15" hidden="false" customHeight="false" outlineLevel="0" collapsed="false">
      <c r="A16646" s="5" t="s">
        <v>269</v>
      </c>
      <c r="G16646" s="25" t="n">
        <f aca="false">MIN(G16640,Assumptions!$L$53*Assumptions!$C$53)</f>
        <v>0</v>
      </c>
      <c r="H16646" s="25" t="n">
        <f aca="false">MIN(H16640,Assumptions!$L$53*Assumptions!$C$53)</f>
        <v>0</v>
      </c>
      <c r="I16646" s="25" t="n">
        <f aca="false">MIN(I16640,Assumptions!$L$53*Assumptions!$C$53)</f>
        <v>0</v>
      </c>
      <c r="J16646" s="25" t="n">
        <f aca="false">MIN(J16640,Assumptions!$L$53*Assumptions!$C$53)</f>
        <v>0</v>
      </c>
      <c r="K16646" s="25" t="n">
        <f aca="false">MIN(K16640,Assumptions!$L$53*Assumptions!$C$53)</f>
        <v>0</v>
      </c>
    </row>
    <row r="16647" customFormat="false" ht="15" hidden="false" customHeight="false" outlineLevel="0" collapsed="false">
      <c r="A16647" s="5" t="s">
        <v>270</v>
      </c>
      <c r="G16647" s="25" t="n">
        <f aca="false">IF(AND(Assumptions!$P$53=1,G16604&lt;Assumptions!$K$53),MIN(MAX(0,-G16718),MAX(0,Assumptions!$D$53-G16640)),0)</f>
        <v>68.9088</v>
      </c>
      <c r="H16647" s="25" t="n">
        <f aca="false">IF(AND(Assumptions!$P$53=1,OR(H16604&lt;Assumptions!$K$53,G16792=1)),MIN(MAX(0,-H16718),MAX(0,Assumptions!$D$53-H16640)),0)</f>
        <v>0</v>
      </c>
      <c r="I16647" s="25" t="n">
        <f aca="false">IF(AND(Assumptions!$P$53=1,OR(I16604&lt;Assumptions!$K$53,H16792=1)),MIN(MAX(0,-I16718),MAX(0,Assumptions!$D$53-I16640)),0)</f>
        <v>0</v>
      </c>
      <c r="J16647" s="25" t="n">
        <f aca="false">IF(AND(Assumptions!$P$53=1,OR(J16604&lt;Assumptions!$K$53,I16792=1)),MIN(MAX(0,-J16718),MAX(0,Assumptions!$D$53-J16640)),0)</f>
        <v>0</v>
      </c>
      <c r="K16647" s="25" t="n">
        <f aca="false">IF(AND(Assumptions!$P$53=1,OR(K16604&lt;Assumptions!$K$53,J16792=1)),MIN(MAX(0,-K16718),MAX(0,Assumptions!$D$53-K16640)),0)</f>
        <v>0</v>
      </c>
    </row>
    <row r="16648" customFormat="false" ht="15" hidden="false" customHeight="false" outlineLevel="0" collapsed="false">
      <c r="A16648" s="5" t="s">
        <v>271</v>
      </c>
      <c r="G16648" s="25" t="n">
        <f aca="false">G16641*MIN(G16640-G16646+G16645,MAX(0,G16720-Assumptions!$C$12*G16638))</f>
        <v>0</v>
      </c>
      <c r="H16648" s="25" t="n">
        <f aca="false">H16641*MIN(H16640-H16646+H16645,MAX(0,H16720-Assumptions!$C$12*H16638))</f>
        <v>0</v>
      </c>
      <c r="I16648" s="25" t="n">
        <f aca="false">I16641*MIN(I16640-I16646+I16645,MAX(0,I16720-Assumptions!$C$12*I16638))</f>
        <v>0</v>
      </c>
      <c r="J16648" s="25" t="n">
        <f aca="false">J16641*MIN(J16640-J16646+J16645,MAX(0,J16720-Assumptions!$C$12*J16638))</f>
        <v>0</v>
      </c>
      <c r="K16648" s="25" t="n">
        <f aca="false">K16641*MIN(K16640-K16646+K16645,MAX(0,K16720-Assumptions!$C$12*K16638))</f>
        <v>0</v>
      </c>
    </row>
    <row r="16649" customFormat="false" ht="15" hidden="false" customHeight="false" outlineLevel="0" collapsed="false">
      <c r="A16649" s="5" t="s">
        <v>272</v>
      </c>
      <c r="G16649" s="25" t="n">
        <f aca="false">Assumptions!$N$53*MIN(G16640+G16647+G16645-G16646-G16648,MAX(0,G16724))</f>
        <v>0</v>
      </c>
      <c r="H16649" s="25" t="n">
        <f aca="false">Assumptions!$N$53*MIN(H16640+H16647+H16645-H16646-H16648,MAX(0,H16724))</f>
        <v>0</v>
      </c>
      <c r="I16649" s="25" t="n">
        <f aca="false">Assumptions!$N$53*MIN(I16640+I16647+I16645-I16646-I16648,MAX(0,I16724))</f>
        <v>0</v>
      </c>
      <c r="J16649" s="25" t="n">
        <f aca="false">Assumptions!$N$53*MIN(J16640+J16647+J16645-J16646-J16648,MAX(0,J16724))</f>
        <v>0</v>
      </c>
      <c r="K16649" s="25" t="n">
        <f aca="false">Assumptions!$N$53*MIN(K16640+K16647+K16645-K16646-K16648,MAX(0,K16724))</f>
        <v>0</v>
      </c>
    </row>
    <row r="16650" customFormat="false" ht="15" hidden="false" customHeight="false" outlineLevel="0" collapsed="false">
      <c r="A16650" s="5" t="s">
        <v>273</v>
      </c>
      <c r="G16650" s="25" t="n">
        <f aca="false">G16641*(1-G16638)*(G16640-G16646+G16645-G16648)</f>
        <v>0</v>
      </c>
      <c r="H16650" s="25" t="n">
        <f aca="false">H16641*(1-H16638)*(H16640-H16646+H16645-H16648)</f>
        <v>248.9088</v>
      </c>
      <c r="I16650" s="25" t="n">
        <f aca="false">I16641*(1-I16638)*(I16640-I16646+I16645-I16648)</f>
        <v>0</v>
      </c>
      <c r="J16650" s="25" t="n">
        <f aca="false">J16641*(1-J16638)*(J16640-J16646+J16645-J16648)</f>
        <v>0</v>
      </c>
      <c r="K16650" s="25" t="n">
        <f aca="false">K16641*(1-K16638)*(K16640-K16646+K16645-K16648)</f>
        <v>0</v>
      </c>
    </row>
    <row r="16651" customFormat="false" ht="15" hidden="false" customHeight="false" outlineLevel="0" collapsed="false">
      <c r="A16651" s="2" t="s">
        <v>274</v>
      </c>
      <c r="F16651" s="27" t="n">
        <f aca="false">Assumptions!$C$53</f>
        <v>180</v>
      </c>
      <c r="G16651" s="16" t="n">
        <f aca="false">G16640+G16647+G16645-G16646-G16648-G16649</f>
        <v>248.9088</v>
      </c>
      <c r="H16651" s="16" t="n">
        <f aca="false">H16640+H16647+H16645-H16646-H16648-H16649</f>
        <v>248.9088</v>
      </c>
      <c r="I16651" s="16" t="n">
        <f aca="false">I16640+I16647+I16645-I16646-I16648-I16649</f>
        <v>248.9088</v>
      </c>
      <c r="J16651" s="16" t="n">
        <f aca="false">J16640+J16647+J16645-J16646-J16648-J16649</f>
        <v>248.9088</v>
      </c>
      <c r="K16651" s="16" t="n">
        <f aca="false">K16640+K16647+K16645-K16646-K16648-K16649</f>
        <v>248.9088</v>
      </c>
    </row>
    <row r="16652" customFormat="false" ht="15" hidden="false" customHeight="false" outlineLevel="0" collapsed="false">
      <c r="A16652" s="23" t="s">
        <v>275</v>
      </c>
      <c r="B16652" s="24"/>
      <c r="C16652" s="24"/>
      <c r="D16652" s="24"/>
      <c r="E16652" s="24"/>
      <c r="F16652" s="24"/>
      <c r="G16652" s="24"/>
      <c r="H16652" s="24"/>
      <c r="I16652" s="24"/>
      <c r="J16652" s="24"/>
      <c r="K16652" s="24"/>
    </row>
    <row r="16653" customFormat="false" ht="15" hidden="false" customHeight="false" outlineLevel="0" collapsed="false">
      <c r="A16653" s="5" t="s">
        <v>264</v>
      </c>
      <c r="G16653" s="25" t="n">
        <f aca="false">F16664</f>
        <v>520</v>
      </c>
      <c r="H16653" s="25" t="n">
        <f aca="false">G16664</f>
        <v>514.8</v>
      </c>
      <c r="I16653" s="25" t="n">
        <f aca="false">H16664</f>
        <v>509.6</v>
      </c>
      <c r="J16653" s="25" t="n">
        <f aca="false">I16664</f>
        <v>504.4</v>
      </c>
      <c r="K16653" s="25" t="n">
        <f aca="false">J16664</f>
        <v>499.2</v>
      </c>
    </row>
    <row r="16654" customFormat="false" ht="15" hidden="false" customHeight="false" outlineLevel="0" collapsed="false">
      <c r="A16654" s="5" t="s">
        <v>265</v>
      </c>
      <c r="G16654" s="20" t="n">
        <f aca="false">IF(G16604=Assumptions!$K$54,1,0)</f>
        <v>0</v>
      </c>
      <c r="H16654" s="20" t="n">
        <f aca="false">IF(H16604=Assumptions!$K$54,1,0)</f>
        <v>0</v>
      </c>
      <c r="I16654" s="20" t="n">
        <f aca="false">IF(I16604=Assumptions!$K$54,1,0)</f>
        <v>1</v>
      </c>
      <c r="J16654" s="20" t="n">
        <f aca="false">IF(J16604=Assumptions!$K$54,1,0)</f>
        <v>0</v>
      </c>
      <c r="K16654" s="20" t="n">
        <f aca="false">IF(K16604=Assumptions!$K$54,1,0)</f>
        <v>0</v>
      </c>
    </row>
    <row r="16656" customFormat="false" ht="15" hidden="false" customHeight="false" outlineLevel="0" collapsed="false">
      <c r="A16656" s="5" t="s">
        <v>266</v>
      </c>
      <c r="G16656" s="30" t="n">
        <f aca="false">IF(Assumptions!$I$54=1,MAX(G16630,Assumptions!$G$54)+Assumptions!$F$54+$C$16631,Assumptions!$E$54)</f>
        <v>0.153</v>
      </c>
      <c r="H16656" s="30" t="n">
        <f aca="false">IF(G16793=1,$C$16632,IF(Assumptions!$I$54=1,MAX(H16630,Assumptions!$G$54)+Assumptions!$F$54+$C$16631,Assumptions!$E$54))</f>
        <v>0.1505</v>
      </c>
      <c r="I16656" s="30" t="n">
        <f aca="false">IF(H16793=1,$C$16632,IF(Assumptions!$I$54=1,MAX(I16630,Assumptions!$G$54)+Assumptions!$F$54+$C$16631,Assumptions!$E$54))</f>
        <v>0.148</v>
      </c>
      <c r="J16656" s="30" t="n">
        <f aca="false">IF(I16793=1,$C$16632,IF(Assumptions!$I$54=1,MAX(J16630,Assumptions!$G$54)+Assumptions!$F$54+$C$16631,Assumptions!$E$54))</f>
        <v>0.148</v>
      </c>
      <c r="K16656" s="30" t="n">
        <f aca="false">IF(J16793=1,$C$16632,IF(Assumptions!$I$54=1,MAX(K16630,Assumptions!$G$54)+Assumptions!$F$54+$C$16631,Assumptions!$E$54))</f>
        <v>0.148</v>
      </c>
    </row>
    <row r="16657" customFormat="false" ht="15" hidden="false" customHeight="false" outlineLevel="0" collapsed="false">
      <c r="A16657" s="5" t="s">
        <v>267</v>
      </c>
      <c r="G16657" s="25" t="n">
        <f aca="false">G16653*G16656</f>
        <v>79.56</v>
      </c>
      <c r="H16657" s="25" t="n">
        <f aca="false">H16653*H16656</f>
        <v>77.4774</v>
      </c>
      <c r="I16657" s="25" t="n">
        <f aca="false">I16653*I16656</f>
        <v>75.4208</v>
      </c>
      <c r="J16657" s="25" t="n">
        <f aca="false">J16653*J16656</f>
        <v>74.6512</v>
      </c>
      <c r="K16657" s="25" t="n">
        <f aca="false">K16653*K16656</f>
        <v>73.8816</v>
      </c>
    </row>
    <row r="16658" customFormat="false" ht="15" hidden="false" customHeight="false" outlineLevel="0" collapsed="false">
      <c r="A16658" s="5" t="s">
        <v>268</v>
      </c>
      <c r="G16658" s="25" t="n">
        <f aca="false">G16653*Assumptions!$H$54</f>
        <v>0</v>
      </c>
      <c r="H16658" s="25" t="n">
        <f aca="false">H16653*Assumptions!$H$54</f>
        <v>0</v>
      </c>
      <c r="I16658" s="25" t="n">
        <f aca="false">I16653*Assumptions!$H$54</f>
        <v>0</v>
      </c>
      <c r="J16658" s="25" t="n">
        <f aca="false">J16653*Assumptions!$H$54</f>
        <v>0</v>
      </c>
      <c r="K16658" s="25" t="n">
        <f aca="false">K16653*Assumptions!$H$54</f>
        <v>0</v>
      </c>
    </row>
    <row r="16659" customFormat="false" ht="15" hidden="false" customHeight="false" outlineLevel="0" collapsed="false">
      <c r="A16659" s="5" t="s">
        <v>269</v>
      </c>
      <c r="G16659" s="25" t="n">
        <f aca="false">MIN(G16653,Assumptions!$L$54*Assumptions!$C$54)</f>
        <v>5.2</v>
      </c>
      <c r="H16659" s="25" t="n">
        <f aca="false">MIN(H16653,Assumptions!$L$54*Assumptions!$C$54)</f>
        <v>5.2</v>
      </c>
      <c r="I16659" s="25" t="n">
        <f aca="false">MIN(I16653,Assumptions!$L$54*Assumptions!$C$54)</f>
        <v>5.2</v>
      </c>
      <c r="J16659" s="25" t="n">
        <f aca="false">MIN(J16653,Assumptions!$L$54*Assumptions!$C$54)</f>
        <v>5.2</v>
      </c>
      <c r="K16659" s="25" t="n">
        <f aca="false">MIN(K16653,Assumptions!$L$54*Assumptions!$C$54)</f>
        <v>5.2</v>
      </c>
    </row>
    <row r="16660" customFormat="false" ht="15" hidden="false" customHeight="false" outlineLevel="0" collapsed="false">
      <c r="A16660" s="5" t="s">
        <v>270</v>
      </c>
      <c r="G16660" s="25" t="n">
        <f aca="false">IF(AND(Assumptions!$P$54=1,G16604&lt;Assumptions!$K$54),MIN(MAX(0,-G16718),MAX(0,Assumptions!$D$54-G16653)),0)</f>
        <v>0</v>
      </c>
      <c r="H16660" s="25" t="n">
        <f aca="false">IF(AND(Assumptions!$P$54=1,OR(H16604&lt;Assumptions!$K$54,G16793=1)),MIN(MAX(0,-H16718),MAX(0,Assumptions!$D$54-H16653)),0)</f>
        <v>0</v>
      </c>
      <c r="I16660" s="25" t="n">
        <f aca="false">IF(AND(Assumptions!$P$54=1,OR(I16604&lt;Assumptions!$K$54,H16793=1)),MIN(MAX(0,-I16718),MAX(0,Assumptions!$D$54-I16653)),0)</f>
        <v>0</v>
      </c>
      <c r="J16660" s="25" t="n">
        <f aca="false">IF(AND(Assumptions!$P$54=1,OR(J16604&lt;Assumptions!$K$54,I16793=1)),MIN(MAX(0,-J16718),MAX(0,Assumptions!$D$54-J16653)),0)</f>
        <v>0</v>
      </c>
      <c r="K16660" s="25" t="n">
        <f aca="false">IF(AND(Assumptions!$P$54=1,OR(K16604&lt;Assumptions!$K$54,J16793=1)),MIN(MAX(0,-K16718),MAX(0,Assumptions!$D$54-K16653)),0)</f>
        <v>0</v>
      </c>
    </row>
    <row r="16661" customFormat="false" ht="15" hidden="false" customHeight="false" outlineLevel="0" collapsed="false">
      <c r="A16661" s="5" t="s">
        <v>271</v>
      </c>
      <c r="G16661" s="25" t="n">
        <f aca="false">G16654*MIN(G16653-G16659+G16658,MAX(0,G16720-Assumptions!$C$12*G16638-G16648))</f>
        <v>0</v>
      </c>
      <c r="H16661" s="25" t="n">
        <f aca="false">H16654*MIN(H16653-H16659+H16658,MAX(0,H16720-Assumptions!$C$12*H16638-H16648))</f>
        <v>0</v>
      </c>
      <c r="I16661" s="25" t="n">
        <f aca="false">I16654*MIN(I16653-I16659+I16658,MAX(0,I16720-Assumptions!$C$12*I16638-I16648))</f>
        <v>0</v>
      </c>
      <c r="J16661" s="25" t="n">
        <f aca="false">J16654*MIN(J16653-J16659+J16658,MAX(0,J16720-Assumptions!$C$12*J16638-J16648))</f>
        <v>0</v>
      </c>
      <c r="K16661" s="25" t="n">
        <f aca="false">K16654*MIN(K16653-K16659+K16658,MAX(0,K16720-Assumptions!$C$12*K16638-K16648))</f>
        <v>0</v>
      </c>
    </row>
    <row r="16662" customFormat="false" ht="15" hidden="false" customHeight="false" outlineLevel="0" collapsed="false">
      <c r="A16662" s="5" t="s">
        <v>272</v>
      </c>
      <c r="G16662" s="25" t="n">
        <f aca="false">Assumptions!$N$54*MIN(G16653+G16660+G16658-G16659-G16661,MAX(0,G16724-G16649))</f>
        <v>0</v>
      </c>
      <c r="H16662" s="25" t="n">
        <f aca="false">Assumptions!$N$54*MIN(H16653+H16660+H16658-H16659-H16661,MAX(0,H16724-H16649))</f>
        <v>0</v>
      </c>
      <c r="I16662" s="25" t="n">
        <f aca="false">Assumptions!$N$54*MIN(I16653+I16660+I16658-I16659-I16661,MAX(0,I16724-I16649))</f>
        <v>0</v>
      </c>
      <c r="J16662" s="25" t="n">
        <f aca="false">Assumptions!$N$54*MIN(J16653+J16660+J16658-J16659-J16661,MAX(0,J16724-J16649))</f>
        <v>0</v>
      </c>
      <c r="K16662" s="25" t="n">
        <f aca="false">Assumptions!$N$54*MIN(K16653+K16660+K16658-K16659-K16661,MAX(0,K16724-K16649))</f>
        <v>0</v>
      </c>
    </row>
    <row r="16663" customFormat="false" ht="15" hidden="false" customHeight="false" outlineLevel="0" collapsed="false">
      <c r="A16663" s="5" t="s">
        <v>273</v>
      </c>
      <c r="G16663" s="25" t="n">
        <f aca="false">G16654*(1-G16638)*(G16653-G16659+G16658-G16661)</f>
        <v>0</v>
      </c>
      <c r="H16663" s="25" t="n">
        <f aca="false">H16654*(1-H16638)*(H16653-H16659+H16658-H16661)</f>
        <v>0</v>
      </c>
      <c r="I16663" s="25" t="n">
        <f aca="false">I16654*(1-I16638)*(I16653-I16659+I16658-I16661)</f>
        <v>504.4</v>
      </c>
      <c r="J16663" s="25" t="n">
        <f aca="false">J16654*(1-J16638)*(J16653-J16659+J16658-J16661)</f>
        <v>0</v>
      </c>
      <c r="K16663" s="25" t="n">
        <f aca="false">K16654*(1-K16638)*(K16653-K16659+K16658-K16661)</f>
        <v>0</v>
      </c>
    </row>
    <row r="16664" customFormat="false" ht="15" hidden="false" customHeight="false" outlineLevel="0" collapsed="false">
      <c r="A16664" s="2" t="s">
        <v>274</v>
      </c>
      <c r="F16664" s="27" t="n">
        <f aca="false">Assumptions!$C$54</f>
        <v>520</v>
      </c>
      <c r="G16664" s="16" t="n">
        <f aca="false">G16653+G16660+G16658-G16659-G16661-G16662</f>
        <v>514.8</v>
      </c>
      <c r="H16664" s="16" t="n">
        <f aca="false">H16653+H16660+H16658-H16659-H16661-H16662</f>
        <v>509.6</v>
      </c>
      <c r="I16664" s="16" t="n">
        <f aca="false">I16653+I16660+I16658-I16659-I16661-I16662</f>
        <v>504.4</v>
      </c>
      <c r="J16664" s="16" t="n">
        <f aca="false">J16653+J16660+J16658-J16659-J16661-J16662</f>
        <v>499.2</v>
      </c>
      <c r="K16664" s="16" t="n">
        <f aca="false">K16653+K16660+K16658-K16659-K16661-K16662</f>
        <v>494</v>
      </c>
    </row>
    <row r="16665" customFormat="false" ht="15" hidden="false" customHeight="false" outlineLevel="0" collapsed="false">
      <c r="A16665" s="23" t="s">
        <v>276</v>
      </c>
      <c r="B16665" s="24"/>
      <c r="C16665" s="24"/>
      <c r="D16665" s="24"/>
      <c r="E16665" s="24"/>
      <c r="F16665" s="24"/>
      <c r="G16665" s="24"/>
      <c r="H16665" s="24"/>
      <c r="I16665" s="24"/>
      <c r="J16665" s="24"/>
      <c r="K16665" s="24"/>
    </row>
    <row r="16666" customFormat="false" ht="15" hidden="false" customHeight="false" outlineLevel="0" collapsed="false">
      <c r="A16666" s="5" t="s">
        <v>264</v>
      </c>
      <c r="G16666" s="25" t="n">
        <f aca="false">F16677</f>
        <v>250</v>
      </c>
      <c r="H16666" s="25" t="n">
        <f aca="false">G16677</f>
        <v>250</v>
      </c>
      <c r="I16666" s="25" t="n">
        <f aca="false">H16677</f>
        <v>250</v>
      </c>
      <c r="J16666" s="25" t="n">
        <f aca="false">I16677</f>
        <v>250</v>
      </c>
      <c r="K16666" s="25" t="n">
        <f aca="false">J16677</f>
        <v>250</v>
      </c>
    </row>
    <row r="16667" customFormat="false" ht="15" hidden="false" customHeight="false" outlineLevel="0" collapsed="false">
      <c r="A16667" s="5" t="s">
        <v>265</v>
      </c>
      <c r="G16667" s="20" t="n">
        <f aca="false">IF(G16604=Assumptions!$K$55,1,0)</f>
        <v>0</v>
      </c>
      <c r="H16667" s="20" t="n">
        <f aca="false">IF(H16604=Assumptions!$K$55,1,0)</f>
        <v>0</v>
      </c>
      <c r="I16667" s="20" t="n">
        <f aca="false">IF(I16604=Assumptions!$K$55,1,0)</f>
        <v>0</v>
      </c>
      <c r="J16667" s="20" t="n">
        <f aca="false">IF(J16604=Assumptions!$K$55,1,0)</f>
        <v>1</v>
      </c>
      <c r="K16667" s="20" t="n">
        <f aca="false">IF(K16604=Assumptions!$K$55,1,0)</f>
        <v>0</v>
      </c>
    </row>
    <row r="16669" customFormat="false" ht="15" hidden="false" customHeight="false" outlineLevel="0" collapsed="false">
      <c r="A16669" s="5" t="s">
        <v>266</v>
      </c>
      <c r="G16669" s="30" t="n">
        <f aca="false">IF(Assumptions!$I$55=1,MAX(G16630,Assumptions!$G$55)+Assumptions!$F$55+$C$16631,Assumptions!$E$55)</f>
        <v>0.11</v>
      </c>
      <c r="H16669" s="30" t="n">
        <f aca="false">IF(G16794=1,$C$16632,IF(Assumptions!$I$55=1,MAX(H16630,Assumptions!$G$55)+Assumptions!$F$55+$C$16631,Assumptions!$E$55))</f>
        <v>0.11</v>
      </c>
      <c r="I16669" s="30" t="n">
        <f aca="false">IF(H16794=1,$C$16632,IF(Assumptions!$I$55=1,MAX(I16630,Assumptions!$G$55)+Assumptions!$F$55+$C$16631,Assumptions!$E$55))</f>
        <v>0.11</v>
      </c>
      <c r="J16669" s="30" t="n">
        <f aca="false">IF(I16794=1,$C$16632,IF(Assumptions!$I$55=1,MAX(J16630,Assumptions!$G$55)+Assumptions!$F$55+$C$16631,Assumptions!$E$55))</f>
        <v>0.11</v>
      </c>
      <c r="K16669" s="30" t="n">
        <f aca="false">IF(J16794=1,$C$16632,IF(Assumptions!$I$55=1,MAX(K16630,Assumptions!$G$55)+Assumptions!$F$55+$C$16631,Assumptions!$E$55))</f>
        <v>0.11</v>
      </c>
    </row>
    <row r="16670" customFormat="false" ht="15" hidden="false" customHeight="false" outlineLevel="0" collapsed="false">
      <c r="A16670" s="5" t="s">
        <v>267</v>
      </c>
      <c r="G16670" s="25" t="n">
        <f aca="false">G16666*G16669</f>
        <v>27.5</v>
      </c>
      <c r="H16670" s="25" t="n">
        <f aca="false">H16666*H16669</f>
        <v>27.5</v>
      </c>
      <c r="I16670" s="25" t="n">
        <f aca="false">I16666*I16669</f>
        <v>27.5</v>
      </c>
      <c r="J16670" s="25" t="n">
        <f aca="false">J16666*J16669</f>
        <v>27.5</v>
      </c>
      <c r="K16670" s="25" t="n">
        <f aca="false">K16666*K16669</f>
        <v>27.5</v>
      </c>
    </row>
    <row r="16671" customFormat="false" ht="15" hidden="false" customHeight="false" outlineLevel="0" collapsed="false">
      <c r="A16671" s="5" t="s">
        <v>268</v>
      </c>
      <c r="G16671" s="25" t="n">
        <f aca="false">G16666*Assumptions!$H$55</f>
        <v>0</v>
      </c>
      <c r="H16671" s="25" t="n">
        <f aca="false">H16666*Assumptions!$H$55</f>
        <v>0</v>
      </c>
      <c r="I16671" s="25" t="n">
        <f aca="false">I16666*Assumptions!$H$55</f>
        <v>0</v>
      </c>
      <c r="J16671" s="25" t="n">
        <f aca="false">J16666*Assumptions!$H$55</f>
        <v>0</v>
      </c>
      <c r="K16671" s="25" t="n">
        <f aca="false">K16666*Assumptions!$H$55</f>
        <v>0</v>
      </c>
    </row>
    <row r="16672" customFormat="false" ht="15" hidden="false" customHeight="false" outlineLevel="0" collapsed="false">
      <c r="A16672" s="5" t="s">
        <v>269</v>
      </c>
      <c r="G16672" s="25" t="n">
        <f aca="false">MIN(G16666,Assumptions!$L$55*Assumptions!$C$55)</f>
        <v>0</v>
      </c>
      <c r="H16672" s="25" t="n">
        <f aca="false">MIN(H16666,Assumptions!$L$55*Assumptions!$C$55)</f>
        <v>0</v>
      </c>
      <c r="I16672" s="25" t="n">
        <f aca="false">MIN(I16666,Assumptions!$L$55*Assumptions!$C$55)</f>
        <v>0</v>
      </c>
      <c r="J16672" s="25" t="n">
        <f aca="false">MIN(J16666,Assumptions!$L$55*Assumptions!$C$55)</f>
        <v>0</v>
      </c>
      <c r="K16672" s="25" t="n">
        <f aca="false">MIN(K16666,Assumptions!$L$55*Assumptions!$C$55)</f>
        <v>0</v>
      </c>
    </row>
    <row r="16673" customFormat="false" ht="15" hidden="false" customHeight="false" outlineLevel="0" collapsed="false">
      <c r="A16673" s="5" t="s">
        <v>270</v>
      </c>
      <c r="G16673" s="25" t="n">
        <f aca="false">IF(AND(Assumptions!$P$55=1,G16604&lt;Assumptions!$K$55),MIN(MAX(0,-G16718),MAX(0,Assumptions!$D$55-G16666)),0)</f>
        <v>0</v>
      </c>
      <c r="H16673" s="25" t="n">
        <f aca="false">IF(AND(Assumptions!$P$55=1,OR(H16604&lt;Assumptions!$K$55,G16794=1)),MIN(MAX(0,-H16718),MAX(0,Assumptions!$D$55-H16666)),0)</f>
        <v>0</v>
      </c>
      <c r="I16673" s="25" t="n">
        <f aca="false">IF(AND(Assumptions!$P$55=1,OR(I16604&lt;Assumptions!$K$55,H16794=1)),MIN(MAX(0,-I16718),MAX(0,Assumptions!$D$55-I16666)),0)</f>
        <v>0</v>
      </c>
      <c r="J16673" s="25" t="n">
        <f aca="false">IF(AND(Assumptions!$P$55=1,OR(J16604&lt;Assumptions!$K$55,I16794=1)),MIN(MAX(0,-J16718),MAX(0,Assumptions!$D$55-J16666)),0)</f>
        <v>0</v>
      </c>
      <c r="K16673" s="25" t="n">
        <f aca="false">IF(AND(Assumptions!$P$55=1,OR(K16604&lt;Assumptions!$K$55,J16794=1)),MIN(MAX(0,-K16718),MAX(0,Assumptions!$D$55-K16666)),0)</f>
        <v>0</v>
      </c>
    </row>
    <row r="16674" customFormat="false" ht="15" hidden="false" customHeight="false" outlineLevel="0" collapsed="false">
      <c r="A16674" s="5" t="s">
        <v>271</v>
      </c>
      <c r="G16674" s="25" t="n">
        <f aca="false">G16667*MIN(G16666-G16672+G16671,MAX(0,G16720-Assumptions!$C$12*G16638-G16648-G16661))</f>
        <v>0</v>
      </c>
      <c r="H16674" s="25" t="n">
        <f aca="false">H16667*MIN(H16666-H16672+H16671,MAX(0,H16720-Assumptions!$C$12*H16638-H16648-H16661))</f>
        <v>0</v>
      </c>
      <c r="I16674" s="25" t="n">
        <f aca="false">I16667*MIN(I16666-I16672+I16671,MAX(0,I16720-Assumptions!$C$12*I16638-I16648-I16661))</f>
        <v>0</v>
      </c>
      <c r="J16674" s="25" t="n">
        <f aca="false">J16667*MIN(J16666-J16672+J16671,MAX(0,J16720-Assumptions!$C$12*J16638-J16648-J16661))</f>
        <v>0</v>
      </c>
      <c r="K16674" s="25" t="n">
        <f aca="false">K16667*MIN(K16666-K16672+K16671,MAX(0,K16720-Assumptions!$C$12*K16638-K16648-K16661))</f>
        <v>0</v>
      </c>
    </row>
    <row r="16675" customFormat="false" ht="15" hidden="false" customHeight="false" outlineLevel="0" collapsed="false">
      <c r="A16675" s="5" t="s">
        <v>272</v>
      </c>
      <c r="G16675" s="25" t="n">
        <f aca="false">Assumptions!$N$55*MIN(G16666+G16673+G16671-G16672-G16674,MAX(0,G16724-G16649-G16662))</f>
        <v>0</v>
      </c>
      <c r="H16675" s="25" t="n">
        <f aca="false">Assumptions!$N$55*MIN(H16666+H16673+H16671-H16672-H16674,MAX(0,H16724-H16649-H16662))</f>
        <v>0</v>
      </c>
      <c r="I16675" s="25" t="n">
        <f aca="false">Assumptions!$N$55*MIN(I16666+I16673+I16671-I16672-I16674,MAX(0,I16724-I16649-I16662))</f>
        <v>0</v>
      </c>
      <c r="J16675" s="25" t="n">
        <f aca="false">Assumptions!$N$55*MIN(J16666+J16673+J16671-J16672-J16674,MAX(0,J16724-J16649-J16662))</f>
        <v>0</v>
      </c>
      <c r="K16675" s="25" t="n">
        <f aca="false">Assumptions!$N$55*MIN(K16666+K16673+K16671-K16672-K16674,MAX(0,K16724-K16649-K16662))</f>
        <v>0</v>
      </c>
    </row>
    <row r="16676" customFormat="false" ht="15" hidden="false" customHeight="false" outlineLevel="0" collapsed="false">
      <c r="A16676" s="5" t="s">
        <v>273</v>
      </c>
      <c r="G16676" s="25" t="n">
        <f aca="false">G16667*(1-G16638)*(G16666-G16672+G16671-G16674)</f>
        <v>0</v>
      </c>
      <c r="H16676" s="25" t="n">
        <f aca="false">H16667*(1-H16638)*(H16666-H16672+H16671-H16674)</f>
        <v>0</v>
      </c>
      <c r="I16676" s="25" t="n">
        <f aca="false">I16667*(1-I16638)*(I16666-I16672+I16671-I16674)</f>
        <v>0</v>
      </c>
      <c r="J16676" s="25" t="n">
        <f aca="false">J16667*(1-J16638)*(J16666-J16672+J16671-J16674)</f>
        <v>250</v>
      </c>
      <c r="K16676" s="25" t="n">
        <f aca="false">K16667*(1-K16638)*(K16666-K16672+K16671-K16674)</f>
        <v>0</v>
      </c>
    </row>
    <row r="16677" customFormat="false" ht="15" hidden="false" customHeight="false" outlineLevel="0" collapsed="false">
      <c r="A16677" s="2" t="s">
        <v>274</v>
      </c>
      <c r="F16677" s="27" t="n">
        <f aca="false">Assumptions!$C$55</f>
        <v>250</v>
      </c>
      <c r="G16677" s="16" t="n">
        <f aca="false">G16666+G16673+G16671-G16672-G16674-G16675</f>
        <v>250</v>
      </c>
      <c r="H16677" s="16" t="n">
        <f aca="false">H16666+H16673+H16671-H16672-H16674-H16675</f>
        <v>250</v>
      </c>
      <c r="I16677" s="16" t="n">
        <f aca="false">I16666+I16673+I16671-I16672-I16674-I16675</f>
        <v>250</v>
      </c>
      <c r="J16677" s="16" t="n">
        <f aca="false">J16666+J16673+J16671-J16672-J16674-J16675</f>
        <v>250</v>
      </c>
      <c r="K16677" s="16" t="n">
        <f aca="false">K16666+K16673+K16671-K16672-K16674-K16675</f>
        <v>250</v>
      </c>
    </row>
    <row r="16678" customFormat="false" ht="15" hidden="false" customHeight="false" outlineLevel="0" collapsed="false">
      <c r="A16678" s="23" t="s">
        <v>277</v>
      </c>
      <c r="B16678" s="24"/>
      <c r="C16678" s="24"/>
      <c r="D16678" s="24"/>
      <c r="E16678" s="24"/>
      <c r="F16678" s="24"/>
      <c r="G16678" s="24"/>
      <c r="H16678" s="24"/>
      <c r="I16678" s="24"/>
      <c r="J16678" s="24"/>
      <c r="K16678" s="24"/>
    </row>
    <row r="16679" customFormat="false" ht="15" hidden="false" customHeight="false" outlineLevel="0" collapsed="false">
      <c r="A16679" s="5" t="s">
        <v>264</v>
      </c>
      <c r="G16679" s="25" t="n">
        <f aca="false">F16690</f>
        <v>300</v>
      </c>
      <c r="H16679" s="25" t="n">
        <f aca="false">G16690</f>
        <v>300</v>
      </c>
      <c r="I16679" s="25" t="n">
        <f aca="false">H16690</f>
        <v>300</v>
      </c>
      <c r="J16679" s="25" t="n">
        <f aca="false">I16690</f>
        <v>300</v>
      </c>
      <c r="K16679" s="25" t="n">
        <f aca="false">J16690</f>
        <v>300</v>
      </c>
    </row>
    <row r="16680" customFormat="false" ht="15" hidden="false" customHeight="false" outlineLevel="0" collapsed="false">
      <c r="A16680" s="5" t="s">
        <v>265</v>
      </c>
      <c r="G16680" s="20" t="n">
        <f aca="false">IF(G16604=Assumptions!$K$56,1,0)</f>
        <v>0</v>
      </c>
      <c r="H16680" s="20" t="n">
        <f aca="false">IF(H16604=Assumptions!$K$56,1,0)</f>
        <v>1</v>
      </c>
      <c r="I16680" s="20" t="n">
        <f aca="false">IF(I16604=Assumptions!$K$56,1,0)</f>
        <v>0</v>
      </c>
      <c r="J16680" s="20" t="n">
        <f aca="false">IF(J16604=Assumptions!$K$56,1,0)</f>
        <v>0</v>
      </c>
      <c r="K16680" s="20" t="n">
        <f aca="false">IF(K16604=Assumptions!$K$56,1,0)</f>
        <v>0</v>
      </c>
    </row>
    <row r="16682" customFormat="false" ht="15" hidden="false" customHeight="false" outlineLevel="0" collapsed="false">
      <c r="A16682" s="5" t="s">
        <v>266</v>
      </c>
      <c r="G16682" s="30" t="n">
        <f aca="false">IF(Assumptions!$I$56=1,MAX(G16630,Assumptions!$G$56)+Assumptions!$F$56+$C$16631,Assumptions!$E$56)</f>
        <v>0.075</v>
      </c>
      <c r="H16682" s="30" t="n">
        <f aca="false">IF(G16795=1,$C$16632,IF(Assumptions!$I$56=1,MAX(H16630,Assumptions!$G$56)+Assumptions!$F$56+$C$16631,Assumptions!$E$56))</f>
        <v>0.075</v>
      </c>
      <c r="I16682" s="30" t="n">
        <f aca="false">IF(H16795=1,$C$16632,IF(Assumptions!$I$56=1,MAX(I16630,Assumptions!$G$56)+Assumptions!$F$56+$C$16631,Assumptions!$E$56))</f>
        <v>0.075</v>
      </c>
      <c r="J16682" s="30" t="n">
        <f aca="false">IF(I16795=1,$C$16632,IF(Assumptions!$I$56=1,MAX(J16630,Assumptions!$G$56)+Assumptions!$F$56+$C$16631,Assumptions!$E$56))</f>
        <v>0.075</v>
      </c>
      <c r="K16682" s="30" t="n">
        <f aca="false">IF(J16795=1,$C$16632,IF(Assumptions!$I$56=1,MAX(K16630,Assumptions!$G$56)+Assumptions!$F$56+$C$16631,Assumptions!$E$56))</f>
        <v>0.075</v>
      </c>
    </row>
    <row r="16683" customFormat="false" ht="15" hidden="false" customHeight="false" outlineLevel="0" collapsed="false">
      <c r="A16683" s="5" t="s">
        <v>267</v>
      </c>
      <c r="G16683" s="25" t="n">
        <f aca="false">G16679*G16682</f>
        <v>22.5</v>
      </c>
      <c r="H16683" s="25" t="n">
        <f aca="false">H16679*H16682</f>
        <v>22.5</v>
      </c>
      <c r="I16683" s="25" t="n">
        <f aca="false">I16679*I16682</f>
        <v>22.5</v>
      </c>
      <c r="J16683" s="25" t="n">
        <f aca="false">J16679*J16682</f>
        <v>22.5</v>
      </c>
      <c r="K16683" s="25" t="n">
        <f aca="false">K16679*K16682</f>
        <v>22.5</v>
      </c>
    </row>
    <row r="16684" customFormat="false" ht="15" hidden="false" customHeight="false" outlineLevel="0" collapsed="false">
      <c r="A16684" s="5" t="s">
        <v>268</v>
      </c>
      <c r="G16684" s="25" t="n">
        <f aca="false">G16679*Assumptions!$H$56</f>
        <v>0</v>
      </c>
      <c r="H16684" s="25" t="n">
        <f aca="false">H16679*Assumptions!$H$56</f>
        <v>0</v>
      </c>
      <c r="I16684" s="25" t="n">
        <f aca="false">I16679*Assumptions!$H$56</f>
        <v>0</v>
      </c>
      <c r="J16684" s="25" t="n">
        <f aca="false">J16679*Assumptions!$H$56</f>
        <v>0</v>
      </c>
      <c r="K16684" s="25" t="n">
        <f aca="false">K16679*Assumptions!$H$56</f>
        <v>0</v>
      </c>
    </row>
    <row r="16685" customFormat="false" ht="15" hidden="false" customHeight="false" outlineLevel="0" collapsed="false">
      <c r="A16685" s="5" t="s">
        <v>269</v>
      </c>
      <c r="G16685" s="25" t="n">
        <f aca="false">MIN(G16679,Assumptions!$L$56*Assumptions!$C$56)</f>
        <v>0</v>
      </c>
      <c r="H16685" s="25" t="n">
        <f aca="false">MIN(H16679,Assumptions!$L$56*Assumptions!$C$56)</f>
        <v>0</v>
      </c>
      <c r="I16685" s="25" t="n">
        <f aca="false">MIN(I16679,Assumptions!$L$56*Assumptions!$C$56)</f>
        <v>0</v>
      </c>
      <c r="J16685" s="25" t="n">
        <f aca="false">MIN(J16679,Assumptions!$L$56*Assumptions!$C$56)</f>
        <v>0</v>
      </c>
      <c r="K16685" s="25" t="n">
        <f aca="false">MIN(K16679,Assumptions!$L$56*Assumptions!$C$56)</f>
        <v>0</v>
      </c>
    </row>
    <row r="16686" customFormat="false" ht="15" hidden="false" customHeight="false" outlineLevel="0" collapsed="false">
      <c r="A16686" s="5" t="s">
        <v>270</v>
      </c>
      <c r="G16686" s="25" t="n">
        <f aca="false">IF(AND(Assumptions!$P$56=1,G16604&lt;Assumptions!$K$56),MIN(MAX(0,-G16718),MAX(0,Assumptions!$D$56-G16679)),0)</f>
        <v>0</v>
      </c>
      <c r="H16686" s="25" t="n">
        <f aca="false">IF(AND(Assumptions!$P$56=1,OR(H16604&lt;Assumptions!$K$56,G16795=1)),MIN(MAX(0,-H16718),MAX(0,Assumptions!$D$56-H16679)),0)</f>
        <v>0</v>
      </c>
      <c r="I16686" s="25" t="n">
        <f aca="false">IF(AND(Assumptions!$P$56=1,OR(I16604&lt;Assumptions!$K$56,H16795=1)),MIN(MAX(0,-I16718),MAX(0,Assumptions!$D$56-I16679)),0)</f>
        <v>0</v>
      </c>
      <c r="J16686" s="25" t="n">
        <f aca="false">IF(AND(Assumptions!$P$56=1,OR(J16604&lt;Assumptions!$K$56,I16795=1)),MIN(MAX(0,-J16718),MAX(0,Assumptions!$D$56-J16679)),0)</f>
        <v>0</v>
      </c>
      <c r="K16686" s="25" t="n">
        <f aca="false">IF(AND(Assumptions!$P$56=1,OR(K16604&lt;Assumptions!$K$56,J16795=1)),MIN(MAX(0,-K16718),MAX(0,Assumptions!$D$56-K16679)),0)</f>
        <v>0</v>
      </c>
    </row>
    <row r="16687" customFormat="false" ht="15" hidden="false" customHeight="false" outlineLevel="0" collapsed="false">
      <c r="A16687" s="5" t="s">
        <v>271</v>
      </c>
      <c r="G16687" s="25" t="n">
        <f aca="false">G16680*MIN(G16679-G16685+G16684,MAX(0,G16720-Assumptions!$C$12*G16638-G16648-G16661-G16674))</f>
        <v>0</v>
      </c>
      <c r="H16687" s="25" t="n">
        <f aca="false">H16680*MIN(H16679-H16685+H16684,MAX(0,H16720-Assumptions!$C$12*H16638-H16648-H16661-H16674))</f>
        <v>0</v>
      </c>
      <c r="I16687" s="25" t="n">
        <f aca="false">I16680*MIN(I16679-I16685+I16684,MAX(0,I16720-Assumptions!$C$12*I16638-I16648-I16661-I16674))</f>
        <v>0</v>
      </c>
      <c r="J16687" s="25" t="n">
        <f aca="false">J16680*MIN(J16679-J16685+J16684,MAX(0,J16720-Assumptions!$C$12*J16638-J16648-J16661-J16674))</f>
        <v>0</v>
      </c>
      <c r="K16687" s="25" t="n">
        <f aca="false">K16680*MIN(K16679-K16685+K16684,MAX(0,K16720-Assumptions!$C$12*K16638-K16648-K16661-K16674))</f>
        <v>0</v>
      </c>
    </row>
    <row r="16688" customFormat="false" ht="15" hidden="false" customHeight="false" outlineLevel="0" collapsed="false">
      <c r="A16688" s="5" t="s">
        <v>272</v>
      </c>
      <c r="G16688" s="25" t="n">
        <f aca="false">Assumptions!$N$56*MIN(G16679+G16686+G16684-G16685-G16687,MAX(0,G16724-G16649-G16662-G16675))</f>
        <v>0</v>
      </c>
      <c r="H16688" s="25" t="n">
        <f aca="false">Assumptions!$N$56*MIN(H16679+H16686+H16684-H16685-H16687,MAX(0,H16724-H16649-H16662-H16675))</f>
        <v>0</v>
      </c>
      <c r="I16688" s="25" t="n">
        <f aca="false">Assumptions!$N$56*MIN(I16679+I16686+I16684-I16685-I16687,MAX(0,I16724-I16649-I16662-I16675))</f>
        <v>0</v>
      </c>
      <c r="J16688" s="25" t="n">
        <f aca="false">Assumptions!$N$56*MIN(J16679+J16686+J16684-J16685-J16687,MAX(0,J16724-J16649-J16662-J16675))</f>
        <v>0</v>
      </c>
      <c r="K16688" s="25" t="n">
        <f aca="false">Assumptions!$N$56*MIN(K16679+K16686+K16684-K16685-K16687,MAX(0,K16724-K16649-K16662-K16675))</f>
        <v>0</v>
      </c>
    </row>
    <row r="16689" customFormat="false" ht="15" hidden="false" customHeight="false" outlineLevel="0" collapsed="false">
      <c r="A16689" s="5" t="s">
        <v>273</v>
      </c>
      <c r="G16689" s="25" t="n">
        <f aca="false">G16680*(1-G16638)*(G16679-G16685+G16684-G16687)</f>
        <v>0</v>
      </c>
      <c r="H16689" s="25" t="n">
        <f aca="false">H16680*(1-H16638)*(H16679-H16685+H16684-H16687)</f>
        <v>300</v>
      </c>
      <c r="I16689" s="25" t="n">
        <f aca="false">I16680*(1-I16638)*(I16679-I16685+I16684-I16687)</f>
        <v>0</v>
      </c>
      <c r="J16689" s="25" t="n">
        <f aca="false">J16680*(1-J16638)*(J16679-J16685+J16684-J16687)</f>
        <v>0</v>
      </c>
      <c r="K16689" s="25" t="n">
        <f aca="false">K16680*(1-K16638)*(K16679-K16685+K16684-K16687)</f>
        <v>0</v>
      </c>
    </row>
    <row r="16690" customFormat="false" ht="15" hidden="false" customHeight="false" outlineLevel="0" collapsed="false">
      <c r="A16690" s="2" t="s">
        <v>274</v>
      </c>
      <c r="F16690" s="27" t="n">
        <f aca="false">Assumptions!$C$56</f>
        <v>300</v>
      </c>
      <c r="G16690" s="16" t="n">
        <f aca="false">G16679+G16686+G16684-G16685-G16687-G16688</f>
        <v>300</v>
      </c>
      <c r="H16690" s="16" t="n">
        <f aca="false">H16679+H16686+H16684-H16685-H16687-H16688</f>
        <v>300</v>
      </c>
      <c r="I16690" s="16" t="n">
        <f aca="false">I16679+I16686+I16684-I16685-I16687-I16688</f>
        <v>300</v>
      </c>
      <c r="J16690" s="16" t="n">
        <f aca="false">J16679+J16686+J16684-J16685-J16687-J16688</f>
        <v>300</v>
      </c>
      <c r="K16690" s="16" t="n">
        <f aca="false">K16679+K16686+K16684-K16685-K16687-K16688</f>
        <v>300</v>
      </c>
    </row>
    <row r="16691" customFormat="false" ht="15" hidden="false" customHeight="false" outlineLevel="0" collapsed="false">
      <c r="A16691" s="23" t="s">
        <v>278</v>
      </c>
      <c r="B16691" s="24"/>
      <c r="C16691" s="24"/>
      <c r="D16691" s="24"/>
      <c r="E16691" s="24"/>
      <c r="F16691" s="24"/>
      <c r="G16691" s="24"/>
      <c r="H16691" s="24"/>
      <c r="I16691" s="24"/>
      <c r="J16691" s="24"/>
      <c r="K16691" s="24"/>
    </row>
    <row r="16692" customFormat="false" ht="15" hidden="false" customHeight="false" outlineLevel="0" collapsed="false">
      <c r="A16692" s="2" t="s">
        <v>279</v>
      </c>
      <c r="F16692" s="16" t="n">
        <f aca="false">F16651+F16664+F16677+F16690</f>
        <v>1250</v>
      </c>
      <c r="G16692" s="16" t="n">
        <f aca="false">G16651+G16664+G16677+G16690</f>
        <v>1313.7088</v>
      </c>
      <c r="H16692" s="16" t="n">
        <f aca="false">H16651+H16664+H16677+H16690</f>
        <v>1308.5088</v>
      </c>
      <c r="I16692" s="16" t="n">
        <f aca="false">I16651+I16664+I16677+I16690</f>
        <v>1303.3088</v>
      </c>
      <c r="J16692" s="16" t="n">
        <f aca="false">J16651+J16664+J16677+J16690</f>
        <v>1298.1088</v>
      </c>
      <c r="K16692" s="16" t="n">
        <f aca="false">K16651+K16664+K16677+K16690</f>
        <v>1292.9088</v>
      </c>
    </row>
    <row r="16693" customFormat="false" ht="15" hidden="false" customHeight="false" outlineLevel="0" collapsed="false">
      <c r="A16693" s="5" t="s">
        <v>280</v>
      </c>
      <c r="G16693" s="25" t="n">
        <f aca="false">G16641*Assumptions!$C$53+G16654*Assumptions!$C$54+G16667*Assumptions!$C$55+G16680*Assumptions!$C$56</f>
        <v>0</v>
      </c>
      <c r="H16693" s="25" t="n">
        <f aca="false">H16641*Assumptions!$C$53+H16654*Assumptions!$C$54+H16667*Assumptions!$C$55+H16680*Assumptions!$C$56</f>
        <v>480</v>
      </c>
      <c r="I16693" s="25" t="n">
        <f aca="false">I16641*Assumptions!$C$53+I16654*Assumptions!$C$54+I16667*Assumptions!$C$55+I16680*Assumptions!$C$56</f>
        <v>520</v>
      </c>
      <c r="J16693" s="25" t="n">
        <f aca="false">J16641*Assumptions!$C$53+J16654*Assumptions!$C$54+J16667*Assumptions!$C$55+J16680*Assumptions!$C$56</f>
        <v>250</v>
      </c>
      <c r="K16693" s="25" t="n">
        <f aca="false">K16641*Assumptions!$C$53+K16654*Assumptions!$C$54+K16667*Assumptions!$C$55+K16680*Assumptions!$C$56</f>
        <v>0</v>
      </c>
    </row>
    <row r="16694" customFormat="false" ht="15" hidden="false" customHeight="false" outlineLevel="0" collapsed="false">
      <c r="A16694" s="23" t="s">
        <v>281</v>
      </c>
      <c r="B16694" s="24"/>
      <c r="C16694" s="24"/>
      <c r="D16694" s="24"/>
      <c r="E16694" s="24"/>
      <c r="F16694" s="24"/>
      <c r="G16694" s="24"/>
      <c r="H16694" s="24"/>
      <c r="I16694" s="24"/>
      <c r="J16694" s="24"/>
      <c r="K16694" s="24"/>
    </row>
    <row r="16695" customFormat="false" ht="15" hidden="false" customHeight="false" outlineLevel="0" collapsed="false">
      <c r="A16695" s="5" t="s">
        <v>282</v>
      </c>
      <c r="C16695" s="25" t="n">
        <f aca="false">SUMPRODUCT($G$16641:$K$16641,$G$16640:$K$16640-$G$16646:$K$16646+$G$16645:$K$16645)</f>
        <v>248.9088</v>
      </c>
    </row>
    <row r="16696" customFormat="false" ht="15" hidden="false" customHeight="false" outlineLevel="0" collapsed="false">
      <c r="A16696" s="5" t="s">
        <v>283</v>
      </c>
      <c r="C16696" s="25" t="n">
        <f aca="false">SUMPRODUCT($G$16641:$K$16641,$G$16648:$K$16648)</f>
        <v>0</v>
      </c>
    </row>
    <row r="16697" customFormat="false" ht="15" hidden="false" customHeight="false" outlineLevel="0" collapsed="false">
      <c r="A16697" s="5" t="s">
        <v>284</v>
      </c>
      <c r="C16697" s="5" t="str">
        <f aca="false">IF(SUM($G$16641:$K$16641)=0,"n/a (beyond horizon)",IF(SUMPRODUCT($G$16641:$K$16641,$G$16638:$K$16638)&gt;0,"REFINANCING PASS","REFINANCING FAILURE"))</f>
        <v>REFINANCING FAILURE</v>
      </c>
    </row>
    <row r="16698" customFormat="false" ht="15" hidden="false" customHeight="false" outlineLevel="0" collapsed="false">
      <c r="A16698" s="5" t="s">
        <v>285</v>
      </c>
      <c r="C16698" s="5" t="str">
        <f aca="false">IF(SUM($G$16641:$K$16641)=0,"n/a",IF(C16696&gt;=C16695-0.001,"Repaid from cash",IF(SUMPRODUCT($G$16641:$K$16641,$G$16638:$K$16638)&gt;0,IF(C16696&gt;0,"Partly repaid; remainder refinanced","Refinanced"),IF(SUM($G$16650:$K$16650)&gt;0.001,IF(C16696&gt;0,"Partial repayment; PAYMENT DEFAULT","PAYMENT DEFAULT"),"Repaid from cash"))))</f>
        <v>PAYMENT DEFAULT</v>
      </c>
    </row>
    <row r="16699" customFormat="false" ht="15" hidden="false" customHeight="false" outlineLevel="0" collapsed="false">
      <c r="A16699" s="5" t="s">
        <v>286</v>
      </c>
      <c r="C16699" s="25" t="n">
        <f aca="false">SUMPRODUCT($G$16654:$K$16654,$G$16653:$K$16653-$G$16659:$K$16659+$G$16658:$K$16658)</f>
        <v>504.4</v>
      </c>
    </row>
    <row r="16700" customFormat="false" ht="15" hidden="false" customHeight="false" outlineLevel="0" collapsed="false">
      <c r="A16700" s="5" t="s">
        <v>287</v>
      </c>
      <c r="C16700" s="25" t="n">
        <f aca="false">SUMPRODUCT($G$16654:$K$16654,$G$16661:$K$16661)</f>
        <v>0</v>
      </c>
    </row>
    <row r="16701" customFormat="false" ht="15" hidden="false" customHeight="false" outlineLevel="0" collapsed="false">
      <c r="A16701" s="5" t="s">
        <v>288</v>
      </c>
      <c r="C16701" s="5" t="str">
        <f aca="false">IF(SUM($G$16654:$K$16654)=0,"n/a (beyond horizon)",IF(SUMPRODUCT($G$16654:$K$16654,$G$16638:$K$16638)&gt;0,"REFINANCING PASS","REFINANCING FAILURE"))</f>
        <v>REFINANCING FAILURE</v>
      </c>
    </row>
    <row r="16702" customFormat="false" ht="15" hidden="false" customHeight="false" outlineLevel="0" collapsed="false">
      <c r="A16702" s="5" t="s">
        <v>289</v>
      </c>
      <c r="C16702" s="5" t="str">
        <f aca="false">IF(SUM($G$16654:$K$16654)=0,"n/a",IF(C16700&gt;=C16699-0.001,"Repaid from cash",IF(SUMPRODUCT($G$16654:$K$16654,$G$16638:$K$16638)&gt;0,IF(C16700&gt;0,"Partly repaid; remainder refinanced","Refinanced"),IF(SUM($G$16663:$K$16663)&gt;0.001,IF(C16700&gt;0,"Partial repayment; PAYMENT DEFAULT","PAYMENT DEFAULT"),"Repaid from cash"))))</f>
        <v>PAYMENT DEFAULT</v>
      </c>
    </row>
    <row r="16703" customFormat="false" ht="15" hidden="false" customHeight="false" outlineLevel="0" collapsed="false">
      <c r="A16703" s="5" t="s">
        <v>290</v>
      </c>
      <c r="C16703" s="25" t="n">
        <f aca="false">SUMPRODUCT($G$16667:$K$16667,$G$16666:$K$16666-$G$16672:$K$16672+$G$16671:$K$16671)</f>
        <v>250</v>
      </c>
    </row>
    <row r="16704" customFormat="false" ht="15" hidden="false" customHeight="false" outlineLevel="0" collapsed="false">
      <c r="A16704" s="5" t="s">
        <v>291</v>
      </c>
      <c r="C16704" s="25" t="n">
        <f aca="false">SUMPRODUCT($G$16667:$K$16667,$G$16674:$K$16674)</f>
        <v>0</v>
      </c>
    </row>
    <row r="16705" customFormat="false" ht="15" hidden="false" customHeight="false" outlineLevel="0" collapsed="false">
      <c r="A16705" s="5" t="s">
        <v>292</v>
      </c>
      <c r="C16705" s="5" t="str">
        <f aca="false">IF(SUM($G$16667:$K$16667)=0,"n/a (beyond horizon)",IF(SUMPRODUCT($G$16667:$K$16667,$G$16638:$K$16638)&gt;0,"REFINANCING PASS","REFINANCING FAILURE"))</f>
        <v>REFINANCING FAILURE</v>
      </c>
    </row>
    <row r="16706" customFormat="false" ht="15" hidden="false" customHeight="false" outlineLevel="0" collapsed="false">
      <c r="A16706" s="5" t="s">
        <v>293</v>
      </c>
      <c r="C16706" s="5" t="str">
        <f aca="false">IF(SUM($G$16667:$K$16667)=0,"n/a",IF(C16704&gt;=C16703-0.001,"Repaid from cash",IF(SUMPRODUCT($G$16667:$K$16667,$G$16638:$K$16638)&gt;0,IF(C16704&gt;0,"Partly repaid; remainder refinanced","Refinanced"),IF(SUM($G$16676:$K$16676)&gt;0.001,IF(C16704&gt;0,"Partial repayment; PAYMENT DEFAULT","PAYMENT DEFAULT"),"Repaid from cash"))))</f>
        <v>PAYMENT DEFAULT</v>
      </c>
    </row>
    <row r="16707" customFormat="false" ht="15" hidden="false" customHeight="false" outlineLevel="0" collapsed="false">
      <c r="A16707" s="5" t="s">
        <v>294</v>
      </c>
      <c r="C16707" s="25" t="n">
        <f aca="false">SUMPRODUCT($G$16680:$K$16680,$G$16679:$K$16679-$G$16685:$K$16685+$G$16684:$K$16684)</f>
        <v>300</v>
      </c>
    </row>
    <row r="16708" customFormat="false" ht="15" hidden="false" customHeight="false" outlineLevel="0" collapsed="false">
      <c r="A16708" s="5" t="s">
        <v>295</v>
      </c>
      <c r="C16708" s="25" t="n">
        <f aca="false">SUMPRODUCT($G$16680:$K$16680,$G$16687:$K$16687)</f>
        <v>0</v>
      </c>
    </row>
    <row r="16709" customFormat="false" ht="15" hidden="false" customHeight="false" outlineLevel="0" collapsed="false">
      <c r="A16709" s="5" t="s">
        <v>296</v>
      </c>
      <c r="C16709" s="5" t="str">
        <f aca="false">IF(SUM($G$16680:$K$16680)=0,"n/a (beyond horizon)",IF(SUMPRODUCT($G$16680:$K$16680,$G$16638:$K$16638)&gt;0,"REFINANCING PASS","REFINANCING FAILURE"))</f>
        <v>REFINANCING FAILURE</v>
      </c>
    </row>
    <row r="16710" customFormat="false" ht="15" hidden="false" customHeight="false" outlineLevel="0" collapsed="false">
      <c r="A16710" s="5" t="s">
        <v>297</v>
      </c>
      <c r="C16710" s="5" t="str">
        <f aca="false">IF(SUM($G$16680:$K$16680)=0,"n/a",IF(C16708&gt;=C16707-0.001,"Repaid from cash",IF(SUMPRODUCT($G$16680:$K$16680,$G$16638:$K$16638)&gt;0,IF(C16708&gt;0,"Partly repaid; remainder refinanced","Refinanced"),IF(SUM($G$16689:$K$16689)&gt;0.001,IF(C16708&gt;0,"Partial repayment; PAYMENT DEFAULT","PAYMENT DEFAULT"),"Repaid from cash"))))</f>
        <v>PAYMENT DEFAULT</v>
      </c>
    </row>
    <row r="16711" customFormat="false" ht="15" hidden="false" customHeight="false" outlineLevel="0" collapsed="false">
      <c r="A16711" s="5" t="s">
        <v>298</v>
      </c>
      <c r="C16711" s="20" t="n">
        <f aca="false">IF(C16697="REFINANCING FAILURE",1,0)+IF(C16701="REFINANCING FAILURE",1,0)+IF(C16705="REFINANCING FAILURE",1,0)+IF(C16709="REFINANCING FAILURE",1,0)</f>
        <v>4</v>
      </c>
    </row>
    <row r="16713" customFormat="false" ht="15" hidden="false" customHeight="false" outlineLevel="0" collapsed="false">
      <c r="A16713" s="23" t="s">
        <v>300</v>
      </c>
      <c r="B16713" s="24"/>
      <c r="C16713" s="24"/>
      <c r="D16713" s="24"/>
      <c r="E16713" s="24"/>
      <c r="F16713" s="24"/>
      <c r="G16713" s="24"/>
      <c r="H16713" s="24"/>
      <c r="I16713" s="24"/>
      <c r="J16713" s="24"/>
      <c r="K16713" s="24"/>
    </row>
    <row r="16714" customFormat="false" ht="15" hidden="false" customHeight="false" outlineLevel="0" collapsed="false">
      <c r="A16714" s="5" t="s">
        <v>260</v>
      </c>
      <c r="G16714" s="25" t="n">
        <f aca="false">F16726</f>
        <v>45</v>
      </c>
      <c r="H16714" s="25" t="n">
        <f aca="false">G16726</f>
        <v>0</v>
      </c>
      <c r="I16714" s="25" t="n">
        <f aca="false">H16726</f>
        <v>-156.4205808</v>
      </c>
      <c r="J16714" s="25" t="n">
        <f aca="false">I16726</f>
        <v>-333.352161344</v>
      </c>
      <c r="K16714" s="25" t="n">
        <f aca="false">J16726</f>
        <v>-512.44796797056</v>
      </c>
    </row>
    <row r="16715" customFormat="false" ht="15" hidden="false" customHeight="false" outlineLevel="0" collapsed="false">
      <c r="A16715" s="5" t="s">
        <v>301</v>
      </c>
      <c r="G16715" s="25" t="n">
        <f aca="false">G16627</f>
        <v>-108.7088</v>
      </c>
      <c r="H16715" s="25" t="n">
        <f aca="false">H16627</f>
        <v>-151.2205808</v>
      </c>
      <c r="I16715" s="25" t="n">
        <f aca="false">I16627</f>
        <v>-171.731580544</v>
      </c>
      <c r="J16715" s="25" t="n">
        <f aca="false">J16627</f>
        <v>-173.89580662656</v>
      </c>
      <c r="K16715" s="25" t="n">
        <f aca="false">K16627</f>
        <v>-172.959831088294</v>
      </c>
    </row>
    <row r="16716" customFormat="false" ht="15" hidden="false" customHeight="false" outlineLevel="0" collapsed="false">
      <c r="A16716" s="5" t="s">
        <v>302</v>
      </c>
      <c r="G16716" s="25" t="n">
        <f aca="false">CHOOSE($C$16597,Assumptions!$G$68,Assumptions!$G$87,Assumptions!$G$106)</f>
        <v>0</v>
      </c>
      <c r="H16716" s="25" t="n">
        <f aca="false">CHOOSE($C$16597,Assumptions!$H$68,Assumptions!$H$87,Assumptions!$H$106)</f>
        <v>0</v>
      </c>
      <c r="I16716" s="25" t="n">
        <f aca="false">CHOOSE($C$16597,Assumptions!$I$68,Assumptions!$I$87,Assumptions!$I$106)</f>
        <v>0</v>
      </c>
      <c r="J16716" s="25" t="n">
        <f aca="false">CHOOSE($C$16597,Assumptions!$J$68,Assumptions!$J$87,Assumptions!$J$106)</f>
        <v>0</v>
      </c>
      <c r="K16716" s="25" t="n">
        <f aca="false">CHOOSE($C$16597,Assumptions!$K$68,Assumptions!$K$87,Assumptions!$K$106)</f>
        <v>0</v>
      </c>
    </row>
    <row r="16717" customFormat="false" ht="15" hidden="false" customHeight="false" outlineLevel="0" collapsed="false">
      <c r="A16717" s="5" t="s">
        <v>303</v>
      </c>
      <c r="G16717" s="25" t="n">
        <f aca="false">G16646+G16659+G16672+G16685</f>
        <v>5.2</v>
      </c>
      <c r="H16717" s="25" t="n">
        <f aca="false">H16646+H16659+H16672+H16685</f>
        <v>5.2</v>
      </c>
      <c r="I16717" s="25" t="n">
        <f aca="false">I16646+I16659+I16672+I16685</f>
        <v>5.2</v>
      </c>
      <c r="J16717" s="25" t="n">
        <f aca="false">J16646+J16659+J16672+J16685</f>
        <v>5.2</v>
      </c>
      <c r="K16717" s="25" t="n">
        <f aca="false">K16646+K16659+K16672+K16685</f>
        <v>5.2</v>
      </c>
    </row>
    <row r="16718" customFormat="false" ht="15" hidden="false" customHeight="false" outlineLevel="0" collapsed="false">
      <c r="A16718" s="2" t="s">
        <v>304</v>
      </c>
      <c r="G16718" s="16" t="n">
        <f aca="false">G16714+G16715+G16716-G16717</f>
        <v>-68.9088</v>
      </c>
      <c r="H16718" s="16" t="n">
        <f aca="false">H16714+H16715+H16716-H16717</f>
        <v>-156.4205808</v>
      </c>
      <c r="I16718" s="16" t="n">
        <f aca="false">I16714+I16715+I16716-I16717</f>
        <v>-333.352161344</v>
      </c>
      <c r="J16718" s="16" t="n">
        <f aca="false">J16714+J16715+J16716-J16717</f>
        <v>-512.44796797056</v>
      </c>
      <c r="K16718" s="16" t="n">
        <f aca="false">K16714+K16715+K16716-K16717</f>
        <v>-690.607799058855</v>
      </c>
    </row>
    <row r="16719" customFormat="false" ht="15" hidden="false" customHeight="false" outlineLevel="0" collapsed="false">
      <c r="A16719" s="5" t="s">
        <v>305</v>
      </c>
      <c r="G16719" s="25" t="n">
        <f aca="false">G16647+G16660+G16673+G16686</f>
        <v>68.9088</v>
      </c>
      <c r="H16719" s="25" t="n">
        <f aca="false">H16647+H16660+H16673+H16686</f>
        <v>0</v>
      </c>
      <c r="I16719" s="25" t="n">
        <f aca="false">I16647+I16660+I16673+I16686</f>
        <v>0</v>
      </c>
      <c r="J16719" s="25" t="n">
        <f aca="false">J16647+J16660+J16673+J16686</f>
        <v>0</v>
      </c>
      <c r="K16719" s="25" t="n">
        <f aca="false">K16647+K16660+K16673+K16686</f>
        <v>0</v>
      </c>
    </row>
    <row r="16720" customFormat="false" ht="15" hidden="false" customHeight="false" outlineLevel="0" collapsed="false">
      <c r="A16720" s="2" t="s">
        <v>306</v>
      </c>
      <c r="G16720" s="16" t="n">
        <f aca="false">G16718+G16719</f>
        <v>0</v>
      </c>
      <c r="H16720" s="16" t="n">
        <f aca="false">H16718+H16719</f>
        <v>-156.4205808</v>
      </c>
      <c r="I16720" s="16" t="n">
        <f aca="false">I16718+I16719</f>
        <v>-333.352161344</v>
      </c>
      <c r="J16720" s="16" t="n">
        <f aca="false">J16718+J16719</f>
        <v>-512.44796797056</v>
      </c>
      <c r="K16720" s="16" t="n">
        <f aca="false">K16718+K16719</f>
        <v>-690.607799058855</v>
      </c>
    </row>
    <row r="16721" customFormat="false" ht="15" hidden="false" customHeight="false" outlineLevel="0" collapsed="false">
      <c r="A16721" s="5" t="s">
        <v>307</v>
      </c>
      <c r="G16721" s="25" t="n">
        <f aca="false">G16648+G16661+G16674+G16687</f>
        <v>0</v>
      </c>
      <c r="H16721" s="25" t="n">
        <f aca="false">H16648+H16661+H16674+H16687</f>
        <v>0</v>
      </c>
      <c r="I16721" s="25" t="n">
        <f aca="false">I16648+I16661+I16674+I16687</f>
        <v>0</v>
      </c>
      <c r="J16721" s="25" t="n">
        <f aca="false">J16648+J16661+J16674+J16687</f>
        <v>0</v>
      </c>
      <c r="K16721" s="25" t="n">
        <f aca="false">K16648+K16661+K16674+K16687</f>
        <v>0</v>
      </c>
    </row>
    <row r="16722" customFormat="false" ht="15" hidden="false" customHeight="false" outlineLevel="0" collapsed="false">
      <c r="A16722" s="2" t="s">
        <v>308</v>
      </c>
      <c r="G16722" s="16" t="n">
        <f aca="false">G16720-G16721</f>
        <v>0</v>
      </c>
      <c r="H16722" s="16" t="n">
        <f aca="false">H16720-H16721</f>
        <v>-156.4205808</v>
      </c>
      <c r="I16722" s="16" t="n">
        <f aca="false">I16720-I16721</f>
        <v>-333.352161344</v>
      </c>
      <c r="J16722" s="16" t="n">
        <f aca="false">J16720-J16721</f>
        <v>-512.44796797056</v>
      </c>
      <c r="K16722" s="16" t="n">
        <f aca="false">K16720-K16721</f>
        <v>-690.607799058855</v>
      </c>
    </row>
    <row r="16723" customFormat="false" ht="15" hidden="false" customHeight="false" outlineLevel="0" collapsed="false">
      <c r="A16723" s="5" t="s">
        <v>309</v>
      </c>
      <c r="G16723" s="25" t="n">
        <f aca="false">MAX(0,-G16722)</f>
        <v>-0</v>
      </c>
      <c r="H16723" s="25" t="n">
        <f aca="false">MAX(0,-H16722)</f>
        <v>156.4205808</v>
      </c>
      <c r="I16723" s="25" t="n">
        <f aca="false">MAX(0,-I16722)</f>
        <v>333.352161344</v>
      </c>
      <c r="J16723" s="25" t="n">
        <f aca="false">MAX(0,-J16722)</f>
        <v>512.44796797056</v>
      </c>
      <c r="K16723" s="25" t="n">
        <f aca="false">MAX(0,-K16722)</f>
        <v>690.607799058855</v>
      </c>
    </row>
    <row r="16724" customFormat="false" ht="15" hidden="false" customHeight="false" outlineLevel="0" collapsed="false">
      <c r="A16724" s="5" t="s">
        <v>310</v>
      </c>
      <c r="G16724" s="25" t="n">
        <f aca="false">MAX(0,G16722-Assumptions!$C$12)*Assumptions!$C$13</f>
        <v>0</v>
      </c>
      <c r="H16724" s="25" t="n">
        <f aca="false">MAX(0,H16722-Assumptions!$C$12)*Assumptions!$C$13</f>
        <v>0</v>
      </c>
      <c r="I16724" s="25" t="n">
        <f aca="false">MAX(0,I16722-Assumptions!$C$12)*Assumptions!$C$13</f>
        <v>0</v>
      </c>
      <c r="J16724" s="25" t="n">
        <f aca="false">MAX(0,J16722-Assumptions!$C$12)*Assumptions!$C$13</f>
        <v>0</v>
      </c>
      <c r="K16724" s="25" t="n">
        <f aca="false">MAX(0,K16722-Assumptions!$C$12)*Assumptions!$C$13</f>
        <v>0</v>
      </c>
    </row>
    <row r="16725" customFormat="false" ht="15" hidden="false" customHeight="false" outlineLevel="0" collapsed="false">
      <c r="A16725" s="5" t="s">
        <v>311</v>
      </c>
      <c r="G16725" s="25" t="n">
        <f aca="false">G16649+G16662+G16675+G16688</f>
        <v>0</v>
      </c>
      <c r="H16725" s="25" t="n">
        <f aca="false">H16649+H16662+H16675+H16688</f>
        <v>0</v>
      </c>
      <c r="I16725" s="25" t="n">
        <f aca="false">I16649+I16662+I16675+I16688</f>
        <v>0</v>
      </c>
      <c r="J16725" s="25" t="n">
        <f aca="false">J16649+J16662+J16675+J16688</f>
        <v>0</v>
      </c>
      <c r="K16725" s="25" t="n">
        <f aca="false">K16649+K16662+K16675+K16688</f>
        <v>0</v>
      </c>
    </row>
    <row r="16726" customFormat="false" ht="15" hidden="false" customHeight="false" outlineLevel="0" collapsed="false">
      <c r="A16726" s="2" t="s">
        <v>312</v>
      </c>
      <c r="F16726" s="27" t="n">
        <f aca="false">Assumptions!$C$11</f>
        <v>45</v>
      </c>
      <c r="G16726" s="16" t="n">
        <f aca="false">G16722-G16725</f>
        <v>0</v>
      </c>
      <c r="H16726" s="16" t="n">
        <f aca="false">H16722-H16725</f>
        <v>-156.4205808</v>
      </c>
      <c r="I16726" s="16" t="n">
        <f aca="false">I16722-I16725</f>
        <v>-333.352161344</v>
      </c>
      <c r="J16726" s="16" t="n">
        <f aca="false">J16722-J16725</f>
        <v>-512.44796797056</v>
      </c>
      <c r="K16726" s="16" t="n">
        <f aca="false">K16722-K16725</f>
        <v>-690.607799058855</v>
      </c>
    </row>
    <row r="16727" customFormat="false" ht="15" hidden="false" customHeight="false" outlineLevel="0" collapsed="false">
      <c r="A16727" s="5" t="s">
        <v>313</v>
      </c>
      <c r="G16727" s="25" t="n">
        <f aca="false">G16650+G16663+G16676+G16689</f>
        <v>0</v>
      </c>
      <c r="H16727" s="25" t="n">
        <f aca="false">H16650+H16663+H16676+H16689</f>
        <v>548.9088</v>
      </c>
      <c r="I16727" s="25" t="n">
        <f aca="false">I16650+I16663+I16676+I16689</f>
        <v>504.4</v>
      </c>
      <c r="J16727" s="25" t="n">
        <f aca="false">J16650+J16663+J16676+J16689</f>
        <v>250</v>
      </c>
      <c r="K16727" s="25" t="n">
        <f aca="false">K16650+K16663+K16676+K16689</f>
        <v>0</v>
      </c>
    </row>
    <row r="16728" customFormat="false" ht="15" hidden="false" customHeight="false" outlineLevel="0" collapsed="false">
      <c r="A16728" s="5" t="s">
        <v>314</v>
      </c>
      <c r="G16728" s="20" t="n">
        <f aca="false">IF(OR(G16723&gt;0.001,G16727&gt;0.001),1,0)</f>
        <v>0</v>
      </c>
      <c r="H16728" s="20" t="n">
        <f aca="false">IF(OR(H16723&gt;0.001,H16727&gt;0.001),1,0)</f>
        <v>1</v>
      </c>
      <c r="I16728" s="20" t="n">
        <f aca="false">IF(OR(I16723&gt;0.001,I16727&gt;0.001),1,0)</f>
        <v>1</v>
      </c>
      <c r="J16728" s="20" t="n">
        <f aca="false">IF(OR(J16723&gt;0.001,J16727&gt;0.001),1,0)</f>
        <v>1</v>
      </c>
      <c r="K16728" s="20" t="n">
        <f aca="false">IF(OR(K16723&gt;0.001,K16727&gt;0.001),1,0)</f>
        <v>1</v>
      </c>
    </row>
    <row r="16729" customFormat="false" ht="15" hidden="false" customHeight="false" outlineLevel="0" collapsed="false">
      <c r="A16729" s="5" t="s">
        <v>315</v>
      </c>
      <c r="G16729" s="20" t="n">
        <f aca="false">IF(G16728=1,1,0)</f>
        <v>0</v>
      </c>
      <c r="H16729" s="20" t="n">
        <f aca="false">IF(AND(H16728=1,SUM($G$16728:G16728)=0),1,0)</f>
        <v>1</v>
      </c>
      <c r="I16729" s="20" t="n">
        <f aca="false">IF(AND(I16728=1,SUM($G$16728:H16728)=0),1,0)</f>
        <v>0</v>
      </c>
      <c r="J16729" s="20" t="n">
        <f aca="false">IF(AND(J16728=1,SUM($G$16728:I16728)=0),1,0)</f>
        <v>0</v>
      </c>
      <c r="K16729" s="20" t="n">
        <f aca="false">IF(AND(K16728=1,SUM($G$16728:J16728)=0),1,0)</f>
        <v>0</v>
      </c>
    </row>
    <row r="16730" customFormat="false" ht="15" hidden="false" customHeight="false" outlineLevel="0" collapsed="false">
      <c r="A16730" s="5" t="s">
        <v>316</v>
      </c>
      <c r="G16730" s="25" t="n">
        <f aca="false">(G16692-F16692)-(G16719+G16619-G16717-G16721-G16725)</f>
        <v>0</v>
      </c>
      <c r="H16730" s="25" t="n">
        <f aca="false">(H16692-G16692)-(H16719+H16619-H16717-H16721-H16725)</f>
        <v>1.82076576038526E-013</v>
      </c>
      <c r="I16730" s="25" t="n">
        <f aca="false">(I16692-H16692)-(I16719+I16619-I16717-I16721-I16725)</f>
        <v>-4.52970994047064E-014</v>
      </c>
      <c r="J16730" s="25" t="n">
        <f aca="false">(J16692-I16692)-(J16719+J16619-J16717-J16721-J16725)</f>
        <v>-4.52970994047064E-014</v>
      </c>
      <c r="K16730" s="25" t="n">
        <f aca="false">(K16692-J16692)-(K16719+K16619-K16717-K16721-K16725)</f>
        <v>1.82076576038526E-013</v>
      </c>
    </row>
    <row r="16732" customFormat="false" ht="15" hidden="false" customHeight="false" outlineLevel="0" collapsed="false">
      <c r="A16732" s="23" t="s">
        <v>318</v>
      </c>
      <c r="B16732" s="24"/>
      <c r="C16732" s="24"/>
      <c r="D16732" s="24"/>
      <c r="E16732" s="24"/>
      <c r="F16732" s="24"/>
      <c r="G16732" s="24"/>
      <c r="H16732" s="24"/>
      <c r="I16732" s="24"/>
      <c r="J16732" s="24"/>
      <c r="K16732" s="24"/>
    </row>
    <row r="16733" customFormat="false" ht="15" hidden="false" customHeight="false" outlineLevel="0" collapsed="false">
      <c r="A16733" s="5" t="s">
        <v>319</v>
      </c>
      <c r="G16733" s="25" t="n">
        <f aca="false">G16692</f>
        <v>1313.7088</v>
      </c>
      <c r="H16733" s="25" t="n">
        <f aca="false">H16692</f>
        <v>1308.5088</v>
      </c>
      <c r="I16733" s="25" t="n">
        <f aca="false">I16692</f>
        <v>1303.3088</v>
      </c>
      <c r="J16733" s="25" t="n">
        <f aca="false">J16692</f>
        <v>1298.1088</v>
      </c>
      <c r="K16733" s="25" t="n">
        <f aca="false">K16692</f>
        <v>1292.9088</v>
      </c>
    </row>
    <row r="16734" customFormat="false" ht="15" hidden="false" customHeight="false" outlineLevel="0" collapsed="false">
      <c r="A16734" s="5" t="s">
        <v>320</v>
      </c>
      <c r="G16734" s="25" t="n">
        <f aca="false">Assumptions!$O$53*G16651+Assumptions!$O$54*G16664+Assumptions!$O$55*G16677+Assumptions!$O$56*G16690</f>
        <v>1013.7088</v>
      </c>
      <c r="H16734" s="25" t="n">
        <f aca="false">Assumptions!$O$53*H16651+Assumptions!$O$54*H16664+Assumptions!$O$55*H16677+Assumptions!$O$56*H16690</f>
        <v>1008.5088</v>
      </c>
      <c r="I16734" s="25" t="n">
        <f aca="false">Assumptions!$O$53*I16651+Assumptions!$O$54*I16664+Assumptions!$O$55*I16677+Assumptions!$O$56*I16690</f>
        <v>1003.3088</v>
      </c>
      <c r="J16734" s="25" t="n">
        <f aca="false">Assumptions!$O$53*J16651+Assumptions!$O$54*J16664+Assumptions!$O$55*J16677+Assumptions!$O$56*J16690</f>
        <v>998.1088</v>
      </c>
      <c r="K16734" s="25" t="n">
        <f aca="false">Assumptions!$O$53*K16651+Assumptions!$O$54*K16664+Assumptions!$O$55*K16677+Assumptions!$O$56*K16690</f>
        <v>992.9088</v>
      </c>
    </row>
    <row r="16735" customFormat="false" ht="15" hidden="false" customHeight="false" outlineLevel="0" collapsed="false">
      <c r="A16735" s="5" t="s">
        <v>321</v>
      </c>
      <c r="G16735" s="25" t="n">
        <f aca="false">G16733-G16726</f>
        <v>1313.7088</v>
      </c>
      <c r="H16735" s="25" t="n">
        <f aca="false">H16733-H16726</f>
        <v>1464.9293808</v>
      </c>
      <c r="I16735" s="25" t="n">
        <f aca="false">I16733-I16726</f>
        <v>1636.660961344</v>
      </c>
      <c r="J16735" s="25" t="n">
        <f aca="false">J16733-J16726</f>
        <v>1810.55676797056</v>
      </c>
      <c r="K16735" s="25" t="n">
        <f aca="false">K16733-K16726</f>
        <v>1983.51659905885</v>
      </c>
    </row>
    <row r="16736" customFormat="false" ht="15" hidden="false" customHeight="false" outlineLevel="0" collapsed="false">
      <c r="A16736" s="5" t="s">
        <v>322</v>
      </c>
      <c r="G16736" s="31" t="n">
        <f aca="false">IF(G16614&gt;0,G16733/G16614,0)</f>
        <v>71.4593559617058</v>
      </c>
      <c r="H16736" s="31" t="n">
        <f aca="false">IF(H16614&gt;0,H16733/H16614,0)</f>
        <v>81.8120704660724</v>
      </c>
      <c r="I16736" s="31" t="n">
        <f aca="false">IF(I16614&gt;0,I16733/I16614,0)</f>
        <v>83.6621665005785</v>
      </c>
      <c r="J16736" s="31" t="n">
        <f aca="false">IF(J16614&gt;0,J16733/J16614,0)</f>
        <v>84.1700681113543</v>
      </c>
      <c r="K16736" s="31" t="n">
        <f aca="false">IF(K16614&gt;0,K16733/K16614,0)</f>
        <v>84.6796942759953</v>
      </c>
    </row>
    <row r="16737" customFormat="false" ht="15" hidden="false" customHeight="false" outlineLevel="0" collapsed="false">
      <c r="A16737" s="5" t="s">
        <v>323</v>
      </c>
      <c r="G16737" s="31" t="n">
        <f aca="false">IF(G16614&gt;0,G16735/G16614,0)</f>
        <v>71.4593559617058</v>
      </c>
      <c r="H16737" s="31" t="n">
        <f aca="false">IF(H16614&gt;0,H16735/H16614,0)</f>
        <v>91.5919753308724</v>
      </c>
      <c r="I16737" s="31" t="n">
        <f aca="false">IF(I16614&gt;0,I16735/I16614,0)</f>
        <v>105.060751414368</v>
      </c>
      <c r="J16737" s="31" t="n">
        <f aca="false">IF(J16614&gt;0,J16735/J16614,0)</f>
        <v>117.397468131759</v>
      </c>
      <c r="K16737" s="31" t="n">
        <f aca="false">IF(K16614&gt;0,K16735/K16614,0)</f>
        <v>129.911389882771</v>
      </c>
    </row>
    <row r="16738" customFormat="false" ht="15" hidden="false" customHeight="false" outlineLevel="0" collapsed="false">
      <c r="A16738" s="5" t="s">
        <v>324</v>
      </c>
      <c r="G16738" s="31" t="n">
        <f aca="false">IF(G16618&gt;0,G16614/G16618,0)</f>
        <v>0.119345624513113</v>
      </c>
      <c r="H16738" s="31" t="n">
        <f aca="false">IF(H16618&gt;0,H16614/H16618,0)</f>
        <v>0.0995234021470146</v>
      </c>
      <c r="I16738" s="31" t="n">
        <f aca="false">IF(I16618&gt;0,I16614/I16618,0)</f>
        <v>0.0985790393527387</v>
      </c>
      <c r="J16738" s="31" t="n">
        <f aca="false">IF(J16618&gt;0,J16614/J16618,0)</f>
        <v>0.0980708567353484</v>
      </c>
      <c r="K16738" s="31" t="n">
        <f aca="false">IF(K16618&gt;0,K16614/K16618,0)</f>
        <v>0.0975676305713075</v>
      </c>
    </row>
    <row r="16739" customFormat="false" ht="15" hidden="false" customHeight="false" outlineLevel="0" collapsed="false">
      <c r="A16739" s="5" t="s">
        <v>325</v>
      </c>
      <c r="G16739" s="31" t="n">
        <f aca="false">IF(G16618&gt;0,G16617/G16618,0)</f>
        <v>-0.143214749415736</v>
      </c>
      <c r="H16739" s="31" t="n">
        <f aca="false">IF(H16618&gt;0,H16617/H16618,0)</f>
        <v>-0.119428082576417</v>
      </c>
      <c r="I16739" s="31" t="n">
        <f aca="false">IF(I16618&gt;0,I16617/I16618,0)</f>
        <v>-0.118294847223286</v>
      </c>
      <c r="J16739" s="31" t="n">
        <f aca="false">IF(J16618&gt;0,J16617/J16618,0)</f>
        <v>-0.117685028082418</v>
      </c>
      <c r="K16739" s="31" t="n">
        <f aca="false">IF(K16618&gt;0,K16617/K16618,0)</f>
        <v>-0.117081156685569</v>
      </c>
    </row>
    <row r="16740" customFormat="false" ht="15" hidden="false" customHeight="false" outlineLevel="0" collapsed="false">
      <c r="A16740" s="5" t="s">
        <v>182</v>
      </c>
      <c r="G16740" s="21" t="n">
        <f aca="false">IF(G16733&gt;0,G16627/G16733,0)</f>
        <v>-0.0827495408419279</v>
      </c>
      <c r="H16740" s="21" t="n">
        <f aca="false">IF(H16733&gt;0,H16627/H16733,0)</f>
        <v>-0.115567110286152</v>
      </c>
      <c r="I16740" s="21" t="n">
        <f aca="false">IF(I16733&gt;0,I16627/I16733,0)</f>
        <v>-0.131765841329392</v>
      </c>
      <c r="J16740" s="21" t="n">
        <f aca="false">IF(J16733&gt;0,J16627/J16733,0)</f>
        <v>-0.133960887274287</v>
      </c>
      <c r="K16740" s="21" t="n">
        <f aca="false">IF(K16733&gt;0,K16627/K16733,0)</f>
        <v>-0.133775739702827</v>
      </c>
    </row>
    <row r="16741" customFormat="false" ht="15" hidden="false" customHeight="false" outlineLevel="0" collapsed="false">
      <c r="A16741" s="5" t="s">
        <v>326</v>
      </c>
      <c r="G16741" s="31" t="n">
        <f aca="false">IF(G16618+G16717&gt;0,(G16614-G16625-G16622)/(G16618+G16717),0)</f>
        <v>-0.0692690278824416</v>
      </c>
      <c r="H16741" s="31" t="n">
        <f aca="false">IF(H16618+H16717&gt;0,(H16614-H16625-H16622)/(H16618+H16717),0)</f>
        <v>-0.0578424293021786</v>
      </c>
      <c r="I16741" s="31" t="n">
        <f aca="false">IF(I16618+I16717&gt;0,(I16614-I16625-I16622)/(I16618+I16717),0)</f>
        <v>-0.0572631459132935</v>
      </c>
      <c r="J16741" s="31" t="n">
        <f aca="false">IF(J16618+J16717&gt;0,(J16614-J16625-J16622)/(J16618+J16717),0)</f>
        <v>-0.0569590697240344</v>
      </c>
      <c r="K16741" s="31" t="n">
        <f aca="false">IF(K16618+K16717&gt;0,(K16614-K16625-K16622)/(K16618+K16717),0)</f>
        <v>-0.056657879698749</v>
      </c>
    </row>
    <row r="16742" customFormat="false" ht="15" hidden="false" customHeight="false" outlineLevel="0" collapsed="false">
      <c r="A16742" s="5" t="s">
        <v>327</v>
      </c>
      <c r="G16742" s="25" t="n">
        <f aca="false">MAX(0,G16726)+Assumptions!$P$53*MAX(0,Assumptions!$D$53-G16651)+Assumptions!$P$54*MAX(0,Assumptions!$D$54-G16664)+Assumptions!$P$55*MAX(0,Assumptions!$D$55-G16677)+Assumptions!$P$56*MAX(0,Assumptions!$D$56-G16690)</f>
        <v>51.0912</v>
      </c>
      <c r="H16742" s="25" t="n">
        <f aca="false">MAX(0,H16726)+Assumptions!$P$53*MAX(0,Assumptions!$D$53-H16651)+Assumptions!$P$54*MAX(0,Assumptions!$D$54-H16664)+Assumptions!$P$55*MAX(0,Assumptions!$D$55-H16677)+Assumptions!$P$56*MAX(0,Assumptions!$D$56-H16690)</f>
        <v>51.0912</v>
      </c>
      <c r="I16742" s="25" t="n">
        <f aca="false">MAX(0,I16726)+Assumptions!$P$53*MAX(0,Assumptions!$D$53-I16651)+Assumptions!$P$54*MAX(0,Assumptions!$D$54-I16664)+Assumptions!$P$55*MAX(0,Assumptions!$D$55-I16677)+Assumptions!$P$56*MAX(0,Assumptions!$D$56-I16690)</f>
        <v>51.0912</v>
      </c>
      <c r="J16742" s="25" t="n">
        <f aca="false">MAX(0,J16726)+Assumptions!$P$53*MAX(0,Assumptions!$D$53-J16651)+Assumptions!$P$54*MAX(0,Assumptions!$D$54-J16664)+Assumptions!$P$55*MAX(0,Assumptions!$D$55-J16677)+Assumptions!$P$56*MAX(0,Assumptions!$D$56-J16690)</f>
        <v>51.0912</v>
      </c>
      <c r="K16742" s="25" t="n">
        <f aca="false">MAX(0,K16726)+Assumptions!$P$53*MAX(0,Assumptions!$D$53-K16651)+Assumptions!$P$54*MAX(0,Assumptions!$D$54-K16664)+Assumptions!$P$55*MAX(0,Assumptions!$D$55-K16677)+Assumptions!$P$56*MAX(0,Assumptions!$D$56-K16690)</f>
        <v>51.0912</v>
      </c>
    </row>
    <row r="16743" customFormat="false" ht="15" hidden="false" customHeight="false" outlineLevel="0" collapsed="false">
      <c r="A16743" s="5" t="s">
        <v>328</v>
      </c>
      <c r="G16743" s="21" t="n">
        <f aca="false">IF(G16733&gt;0,G16733/(G16733+MAX(0,G16614*CHOOSE($C$16597,Assumptions!$C$76,Assumptions!$C$95,Assumptions!$C$114)-G16735)),0)</f>
        <v>1</v>
      </c>
      <c r="H16743" s="21" t="n">
        <f aca="false">IF(H16733&gt;0,H16733/(H16733+MAX(0,H16614*CHOOSE($C$16597,Assumptions!$C$76,Assumptions!$C$95,Assumptions!$C$114)-H16735)),0)</f>
        <v>1</v>
      </c>
      <c r="I16743" s="21" t="n">
        <f aca="false">IF(I16733&gt;0,I16733/(I16733+MAX(0,I16614*CHOOSE($C$16597,Assumptions!$C$76,Assumptions!$C$95,Assumptions!$C$114)-I16735)),0)</f>
        <v>1</v>
      </c>
      <c r="J16743" s="21" t="n">
        <f aca="false">IF(J16733&gt;0,J16733/(J16733+MAX(0,J16614*CHOOSE($C$16597,Assumptions!$C$76,Assumptions!$C$95,Assumptions!$C$114)-J16735)),0)</f>
        <v>1</v>
      </c>
      <c r="K16743" s="21" t="n">
        <f aca="false">IF(K16733&gt;0,K16733/(K16733+MAX(0,K16614*CHOOSE($C$16597,Assumptions!$C$76,Assumptions!$C$95,Assumptions!$C$114)-K16735)),0)</f>
        <v>1</v>
      </c>
    </row>
    <row r="16744" customFormat="false" ht="15" hidden="false" customHeight="false" outlineLevel="0" collapsed="false">
      <c r="A16744" s="5" t="s">
        <v>329</v>
      </c>
      <c r="G16744" s="21" t="n">
        <f aca="false">IF(G16733&gt;0,MAX(0,G16726)/G16733,0)</f>
        <v>0</v>
      </c>
      <c r="H16744" s="21" t="n">
        <f aca="false">IF(H16733&gt;0,MAX(0,H16726)/H16733,0)</f>
        <v>0</v>
      </c>
      <c r="I16744" s="21" t="n">
        <f aca="false">IF(I16733&gt;0,MAX(0,I16726)/I16733,0)</f>
        <v>0</v>
      </c>
      <c r="J16744" s="21" t="n">
        <f aca="false">IF(J16733&gt;0,MAX(0,J16726)/J16733,0)</f>
        <v>0</v>
      </c>
      <c r="K16744" s="21" t="n">
        <f aca="false">IF(K16733&gt;0,MAX(0,K16726)/K16733,0)</f>
        <v>0</v>
      </c>
    </row>
    <row r="16745" customFormat="false" ht="15" hidden="false" customHeight="false" outlineLevel="0" collapsed="false">
      <c r="A16745" s="5" t="s">
        <v>330</v>
      </c>
      <c r="G16745" s="25" t="n">
        <f aca="false">Assumptions!$C$27*(1-CHOOSE($C$16597,Assumptions!$C$79,Assumptions!$C$98,Assumptions!$C$117))</f>
        <v>676</v>
      </c>
      <c r="H16745" s="25" t="n">
        <f aca="false">Assumptions!$C$27*(1-CHOOSE($C$16597,Assumptions!$C$79,Assumptions!$C$98,Assumptions!$C$117))</f>
        <v>676</v>
      </c>
      <c r="I16745" s="25" t="n">
        <f aca="false">Assumptions!$C$27*(1-CHOOSE($C$16597,Assumptions!$C$79,Assumptions!$C$98,Assumptions!$C$117))</f>
        <v>676</v>
      </c>
      <c r="J16745" s="25" t="n">
        <f aca="false">Assumptions!$C$27*(1-CHOOSE($C$16597,Assumptions!$C$79,Assumptions!$C$98,Assumptions!$C$117))</f>
        <v>676</v>
      </c>
      <c r="K16745" s="25" t="n">
        <f aca="false">Assumptions!$C$27*(1-CHOOSE($C$16597,Assumptions!$C$79,Assumptions!$C$98,Assumptions!$C$117))</f>
        <v>676</v>
      </c>
    </row>
    <row r="16746" customFormat="false" ht="15" hidden="false" customHeight="false" outlineLevel="0" collapsed="false">
      <c r="A16746" s="23" t="s">
        <v>331</v>
      </c>
      <c r="B16746" s="24"/>
      <c r="C16746" s="24"/>
      <c r="D16746" s="24"/>
      <c r="E16746" s="24"/>
      <c r="F16746" s="24"/>
      <c r="G16746" s="24"/>
      <c r="H16746" s="24"/>
      <c r="I16746" s="24"/>
      <c r="J16746" s="24"/>
      <c r="K16746" s="24"/>
    </row>
    <row r="16747" customFormat="false" ht="15" hidden="false" customHeight="false" outlineLevel="0" collapsed="false">
      <c r="A16747" s="23" t="s">
        <v>332</v>
      </c>
      <c r="B16747" s="24"/>
      <c r="C16747" s="24"/>
      <c r="D16747" s="24"/>
      <c r="E16747" s="24"/>
      <c r="F16747" s="24"/>
      <c r="G16747" s="24"/>
      <c r="H16747" s="24"/>
      <c r="I16747" s="24"/>
      <c r="J16747" s="24"/>
      <c r="K16747" s="24"/>
    </row>
    <row r="16748" customFormat="false" ht="15" hidden="false" customHeight="false" outlineLevel="0" collapsed="false">
      <c r="A16748" s="5" t="s">
        <v>333</v>
      </c>
      <c r="G16748" s="31" t="n">
        <f aca="false">IF(G16614&gt;0,G16735/G16614,99)</f>
        <v>71.4593559617058</v>
      </c>
      <c r="H16748" s="31" t="n">
        <f aca="false">IF(H16614&gt;0,H16735/H16614,99)</f>
        <v>91.5919753308724</v>
      </c>
      <c r="I16748" s="31" t="n">
        <f aca="false">IF(I16614&gt;0,I16735/I16614,99)</f>
        <v>105.060751414368</v>
      </c>
      <c r="J16748" s="31" t="n">
        <f aca="false">IF(J16614&gt;0,J16735/J16614,99)</f>
        <v>117.397468131759</v>
      </c>
      <c r="K16748" s="31" t="n">
        <f aca="false">IF(K16614&gt;0,K16735/K16614,99)</f>
        <v>129.911389882771</v>
      </c>
    </row>
    <row r="16749" customFormat="false" ht="15" hidden="false" customHeight="false" outlineLevel="0" collapsed="false">
      <c r="A16749" s="5" t="s">
        <v>334</v>
      </c>
      <c r="G16749" s="32" t="n">
        <f aca="false">Assumptions!$G$61</f>
        <v>8.5</v>
      </c>
      <c r="H16749" s="32" t="n">
        <f aca="false">Assumptions!$H$61</f>
        <v>8.5</v>
      </c>
      <c r="I16749" s="32" t="n">
        <f aca="false">Assumptions!$I$61</f>
        <v>8.5</v>
      </c>
      <c r="J16749" s="32" t="n">
        <f aca="false">Assumptions!$J$61</f>
        <v>8.5</v>
      </c>
      <c r="K16749" s="32" t="n">
        <f aca="false">Assumptions!$K$61</f>
        <v>8.5</v>
      </c>
    </row>
    <row r="16750" customFormat="false" ht="15" hidden="false" customHeight="false" outlineLevel="0" collapsed="false">
      <c r="A16750" s="5" t="s">
        <v>335</v>
      </c>
      <c r="G16750" s="31" t="n">
        <f aca="false">G16749-G16748</f>
        <v>-62.9593559617058</v>
      </c>
      <c r="H16750" s="31" t="n">
        <f aca="false">H16749-H16748</f>
        <v>-83.0919753308724</v>
      </c>
      <c r="I16750" s="31" t="n">
        <f aca="false">I16749-I16748</f>
        <v>-96.5607514143683</v>
      </c>
      <c r="J16750" s="31" t="n">
        <f aca="false">J16749-J16748</f>
        <v>-108.897468131759</v>
      </c>
      <c r="K16750" s="31" t="n">
        <f aca="false">K16749-K16748</f>
        <v>-121.411389882771</v>
      </c>
    </row>
    <row r="16751" customFormat="false" ht="15" hidden="false" customHeight="false" outlineLevel="0" collapsed="false">
      <c r="A16751" s="5" t="s">
        <v>336</v>
      </c>
      <c r="G16751" s="21" t="n">
        <f aca="false">IF(G16749=0,0,G16750/ABS(G16749))</f>
        <v>-7.40698305431833</v>
      </c>
      <c r="H16751" s="21" t="n">
        <f aca="false">IF(H16749=0,0,H16750/ABS(H16749))</f>
        <v>-9.7755265095144</v>
      </c>
      <c r="I16751" s="21" t="n">
        <f aca="false">IF(I16749=0,0,I16750/ABS(I16749))</f>
        <v>-11.3600884016904</v>
      </c>
      <c r="J16751" s="21" t="n">
        <f aca="false">IF(J16749=0,0,J16750/ABS(J16749))</f>
        <v>-12.8114668390304</v>
      </c>
      <c r="K16751" s="21" t="n">
        <f aca="false">IF(K16749=0,0,K16750/ABS(K16749))</f>
        <v>-14.2836929273848</v>
      </c>
    </row>
    <row r="16752" customFormat="false" ht="15" hidden="false" customHeight="false" outlineLevel="0" collapsed="false">
      <c r="A16752" s="5" t="s">
        <v>337</v>
      </c>
      <c r="G16752" s="20" t="n">
        <f aca="false">IF(G16750&lt;0,1,0)</f>
        <v>1</v>
      </c>
      <c r="H16752" s="20" t="n">
        <f aca="false">IF(H16750&lt;0,1,0)</f>
        <v>1</v>
      </c>
      <c r="I16752" s="20" t="n">
        <f aca="false">IF(I16750&lt;0,1,0)</f>
        <v>1</v>
      </c>
      <c r="J16752" s="20" t="n">
        <f aca="false">IF(J16750&lt;0,1,0)</f>
        <v>1</v>
      </c>
      <c r="K16752" s="20" t="n">
        <f aca="false">IF(K16750&lt;0,1,0)</f>
        <v>1</v>
      </c>
    </row>
    <row r="16753" customFormat="false" ht="15" hidden="false" customHeight="false" outlineLevel="0" collapsed="false">
      <c r="A16753" s="5" t="s">
        <v>338</v>
      </c>
      <c r="C16753" s="20" t="n">
        <f aca="false">IFERROR(INDEX($G$16604:$K$16604,MATCH(1,$G$16752:$K$16752,0)),0)</f>
        <v>2026</v>
      </c>
    </row>
    <row r="16754" customFormat="false" ht="15" hidden="false" customHeight="false" outlineLevel="0" collapsed="false">
      <c r="A16754" s="5" t="s">
        <v>339</v>
      </c>
      <c r="C16754" s="21" t="n">
        <f aca="false">MIN($G$16751:$K$16751)</f>
        <v>-14.2836929273848</v>
      </c>
    </row>
    <row r="16755" customFormat="false" ht="15" hidden="false" customHeight="false" outlineLevel="0" collapsed="false">
      <c r="A16755" s="5" t="s">
        <v>340</v>
      </c>
      <c r="G16755" s="20" t="n">
        <f aca="false">G16752</f>
        <v>1</v>
      </c>
      <c r="H16755" s="20" t="n">
        <f aca="false">H16752</f>
        <v>1</v>
      </c>
      <c r="I16755" s="20" t="n">
        <f aca="false">I16752</f>
        <v>1</v>
      </c>
      <c r="J16755" s="20" t="n">
        <f aca="false">J16752</f>
        <v>1</v>
      </c>
      <c r="K16755" s="20" t="n">
        <f aca="false">K16752</f>
        <v>1</v>
      </c>
    </row>
    <row r="16756" customFormat="false" ht="15" hidden="false" customHeight="false" outlineLevel="0" collapsed="false">
      <c r="A16756" s="5" t="s">
        <v>341</v>
      </c>
      <c r="C16756" s="20" t="n">
        <f aca="false">SUM($G$16755:$K$16755)</f>
        <v>5</v>
      </c>
    </row>
    <row r="16757" customFormat="false" ht="15" hidden="false" customHeight="false" outlineLevel="0" collapsed="false">
      <c r="A16757" s="5" t="s">
        <v>342</v>
      </c>
      <c r="C16757" s="21" t="n">
        <f aca="false">MIN(C16754)</f>
        <v>-14.2836929273848</v>
      </c>
    </row>
    <row r="16759" customFormat="false" ht="15" hidden="false" customHeight="false" outlineLevel="0" collapsed="false">
      <c r="A16759" s="23" t="s">
        <v>444</v>
      </c>
      <c r="B16759" s="24"/>
      <c r="C16759" s="24"/>
      <c r="D16759" s="24"/>
      <c r="E16759" s="24"/>
      <c r="F16759" s="24"/>
      <c r="G16759" s="24"/>
      <c r="H16759" s="24"/>
      <c r="I16759" s="24"/>
      <c r="J16759" s="24"/>
      <c r="K16759" s="24"/>
    </row>
    <row r="16760" customFormat="false" ht="15" hidden="false" customHeight="false" outlineLevel="0" collapsed="false">
      <c r="A16760" s="5" t="s">
        <v>445</v>
      </c>
      <c r="G16760" s="20" t="n">
        <f aca="false">IF($C$16761=1,G16729,IF(G16614=MIN($G$16614:$K$16614),1,0))</f>
        <v>0</v>
      </c>
      <c r="H16760" s="20" t="n">
        <f aca="false">IF($C$16761=1,H16729,IF(AND(H16614=MIN($G$16614:$K$16614),SUM($G$16760:G16760)=0),1,0))</f>
        <v>1</v>
      </c>
      <c r="I16760" s="20" t="n">
        <f aca="false">IF($C$16761=1,I16729,IF(AND(I16614=MIN($G$16614:$K$16614),SUM($G$16760:H16760)=0),1,0))</f>
        <v>0</v>
      </c>
      <c r="J16760" s="20" t="n">
        <f aca="false">IF($C$16761=1,J16729,IF(AND(J16614=MIN($G$16614:$K$16614),SUM($G$16760:I16760)=0),1,0))</f>
        <v>0</v>
      </c>
      <c r="K16760" s="20" t="n">
        <f aca="false">IF($C$16761=1,K16729,IF(AND(K16614=MIN($G$16614:$K$16614),SUM($G$16760:J16760)=0),1,0))</f>
        <v>0</v>
      </c>
    </row>
    <row r="16761" customFormat="false" ht="15" hidden="false" customHeight="false" outlineLevel="0" collapsed="false">
      <c r="A16761" s="5" t="s">
        <v>446</v>
      </c>
      <c r="C16761" s="20" t="n">
        <f aca="false">IF(SUM($G$16729:$K$16729)&gt;0,1,0)</f>
        <v>1</v>
      </c>
    </row>
    <row r="16762" customFormat="false" ht="15" hidden="false" customHeight="false" outlineLevel="0" collapsed="false">
      <c r="A16762" s="5" t="s">
        <v>447</v>
      </c>
      <c r="C16762" s="20" t="n">
        <f aca="false">SUMPRODUCT($G$16760:$K$16760,$G$16604:$K$16604)</f>
        <v>2027</v>
      </c>
    </row>
    <row r="16763" customFormat="false" ht="15" hidden="false" customHeight="false" outlineLevel="0" collapsed="false">
      <c r="A16763" s="5" t="s">
        <v>448</v>
      </c>
      <c r="C16763" s="25" t="n">
        <f aca="false">SUMPRODUCT($G$16760:$K$16760,$G$16614:$K$16614)</f>
        <v>15.99408</v>
      </c>
    </row>
    <row r="16764" customFormat="false" ht="15" hidden="false" customHeight="false" outlineLevel="0" collapsed="false">
      <c r="A16764" s="5" t="s">
        <v>449</v>
      </c>
      <c r="C16764" s="25" t="n">
        <f aca="false">MAX(0,SUMPRODUCT($G$16760:$K$16760,$G$16726:$K$16726))</f>
        <v>0</v>
      </c>
    </row>
    <row r="16765" customFormat="false" ht="15" hidden="false" customHeight="false" outlineLevel="0" collapsed="false">
      <c r="A16765" s="5" t="s">
        <v>450</v>
      </c>
      <c r="C16765" s="25" t="n">
        <f aca="false">(CHOOSE($C$16597,Assumptions!$C$78,Assumptions!$C$97,Assumptions!$C$116)+$C$16601)*C16763</f>
        <v>63.97632</v>
      </c>
    </row>
    <row r="16766" customFormat="false" ht="15" hidden="false" customHeight="false" outlineLevel="0" collapsed="false">
      <c r="A16766" s="5" t="s">
        <v>451</v>
      </c>
      <c r="C16766" s="25" t="n">
        <f aca="false">Assumptions!$C$27*(1-CHOOSE($C$16597,Assumptions!$C$79,Assumptions!$C$98,Assumptions!$C$117))*CHOOSE($C$16597,Assumptions!$C$80,Assumptions!$C$99,Assumptions!$C$118)</f>
        <v>405.6</v>
      </c>
    </row>
    <row r="16767" customFormat="false" ht="15" hidden="false" customHeight="false" outlineLevel="0" collapsed="false">
      <c r="A16767" s="5" t="s">
        <v>452</v>
      </c>
      <c r="C16767" s="25" t="n">
        <f aca="false">MAX(C16765,C16766)+C16764</f>
        <v>405.6</v>
      </c>
    </row>
    <row r="16768" customFormat="false" ht="15" hidden="false" customHeight="false" outlineLevel="0" collapsed="false">
      <c r="A16768" s="2" t="s">
        <v>453</v>
      </c>
      <c r="C16768" s="16" t="n">
        <f aca="false">IF(ISNUMBER(Assumptions!$C$14),Assumptions!$C$14,C16767)</f>
        <v>405.6</v>
      </c>
    </row>
    <row r="16769" customFormat="false" ht="15" hidden="false" customHeight="false" outlineLevel="0" collapsed="false">
      <c r="A16769" s="5" t="s">
        <v>454</v>
      </c>
      <c r="C16769" s="25" t="n">
        <f aca="false">C16768*Assumptions!$C$15</f>
        <v>16.224</v>
      </c>
    </row>
    <row r="16770" customFormat="false" ht="15" hidden="false" customHeight="false" outlineLevel="0" collapsed="false">
      <c r="A16770" s="2" t="s">
        <v>455</v>
      </c>
      <c r="C16770" s="16" t="n">
        <f aca="false">C16768-C16769</f>
        <v>389.376</v>
      </c>
    </row>
    <row r="16771" customFormat="false" ht="15" hidden="false" customHeight="false" outlineLevel="0" collapsed="false">
      <c r="A16771" s="23" t="s">
        <v>456</v>
      </c>
      <c r="B16771" s="24"/>
      <c r="C16771" s="24"/>
      <c r="D16771" s="24"/>
      <c r="E16771" s="24"/>
      <c r="F16771" s="24"/>
      <c r="G16771" s="24"/>
      <c r="H16771" s="24"/>
      <c r="I16771" s="24"/>
      <c r="J16771" s="24"/>
      <c r="K16771" s="24"/>
    </row>
    <row r="16772" customFormat="false" ht="15" hidden="false" customHeight="false" outlineLevel="0" collapsed="false">
      <c r="A16772" s="5" t="s">
        <v>457</v>
      </c>
      <c r="C16772" s="25" t="n">
        <f aca="false">SUMPRODUCT($G$16760:$K$16760,$G$16651:$K$16651)*(1+SUMPRODUCT($G$16760:$K$16760,$G$16643:$K$16643)*Assumptions!$C$16/12)</f>
        <v>257.2161312</v>
      </c>
    </row>
    <row r="16773" customFormat="false" ht="15" hidden="false" customHeight="false" outlineLevel="0" collapsed="false">
      <c r="A16773" s="5" t="s">
        <v>458</v>
      </c>
      <c r="C16773" s="25" t="n">
        <f aca="false">SUMPRODUCT($G$16760:$K$16760,$G$16664:$K$16664)*(1+SUMPRODUCT($G$16760:$K$16760,$G$16656:$K$16656)*Assumptions!$C$16/12)</f>
        <v>528.7737</v>
      </c>
    </row>
    <row r="16774" customFormat="false" ht="15" hidden="false" customHeight="false" outlineLevel="0" collapsed="false">
      <c r="A16774" s="5" t="s">
        <v>459</v>
      </c>
      <c r="C16774" s="25" t="n">
        <f aca="false">SUMPRODUCT($G$16760:$K$16760,$G$16677:$K$16677)*(1+SUMPRODUCT($G$16760:$K$16760,$G$16669:$K$16669)*Assumptions!$C$16/12)</f>
        <v>256.875</v>
      </c>
    </row>
    <row r="16775" customFormat="false" ht="15" hidden="false" customHeight="false" outlineLevel="0" collapsed="false">
      <c r="A16775" s="5" t="s">
        <v>460</v>
      </c>
      <c r="C16775" s="25" t="n">
        <f aca="false">SUMPRODUCT($G$16760:$K$16760,$G$16690:$K$16690)*(1+SUMPRODUCT($G$16760:$K$16760,$G$16682:$K$16682)*Assumptions!$C$16/12)</f>
        <v>305.625</v>
      </c>
    </row>
    <row r="16776" customFormat="false" ht="15" hidden="false" customHeight="false" outlineLevel="0" collapsed="false">
      <c r="A16776" s="23" t="s">
        <v>461</v>
      </c>
      <c r="B16776" s="24"/>
      <c r="C16776" s="24"/>
      <c r="D16776" s="24"/>
      <c r="E16776" s="24"/>
      <c r="F16776" s="24"/>
      <c r="G16776" s="24"/>
      <c r="H16776" s="24"/>
      <c r="I16776" s="24"/>
      <c r="J16776" s="24"/>
      <c r="K16776" s="24"/>
    </row>
    <row r="16777" customFormat="false" ht="15" hidden="false" customHeight="false" outlineLevel="0" collapsed="false">
      <c r="A16777" s="5" t="s">
        <v>457</v>
      </c>
      <c r="C16777" s="26" t="n">
        <f aca="false">Assumptions!$M$53</f>
        <v>1</v>
      </c>
    </row>
    <row r="16778" customFormat="false" ht="15" hidden="false" customHeight="false" outlineLevel="0" collapsed="false">
      <c r="A16778" s="5" t="s">
        <v>458</v>
      </c>
      <c r="C16778" s="26" t="n">
        <f aca="false">Assumptions!$M$54</f>
        <v>2</v>
      </c>
    </row>
    <row r="16779" customFormat="false" ht="15" hidden="false" customHeight="false" outlineLevel="0" collapsed="false">
      <c r="A16779" s="5" t="s">
        <v>459</v>
      </c>
      <c r="C16779" s="26" t="n">
        <f aca="false">Assumptions!$M$55</f>
        <v>3</v>
      </c>
    </row>
    <row r="16780" customFormat="false" ht="15" hidden="false" customHeight="false" outlineLevel="0" collapsed="false">
      <c r="A16780" s="5" t="s">
        <v>460</v>
      </c>
      <c r="C16780" s="26" t="n">
        <f aca="false">Assumptions!$M$56</f>
        <v>4</v>
      </c>
    </row>
    <row r="16781" customFormat="false" ht="15" hidden="false" customHeight="false" outlineLevel="0" collapsed="false">
      <c r="A16781" s="23" t="s">
        <v>462</v>
      </c>
      <c r="B16781" s="24"/>
      <c r="C16781" s="24"/>
      <c r="D16781" s="24"/>
      <c r="E16781" s="24"/>
      <c r="F16781" s="24"/>
      <c r="G16781" s="24"/>
      <c r="H16781" s="24"/>
      <c r="I16781" s="24"/>
      <c r="J16781" s="24"/>
      <c r="K16781" s="24"/>
    </row>
    <row r="16782" customFormat="false" ht="15" hidden="false" customHeight="false" outlineLevel="0" collapsed="false">
      <c r="A16782" s="5" t="s">
        <v>457</v>
      </c>
      <c r="C16782" s="34" t="n">
        <f aca="false">Assumptions!$Q$53</f>
        <v>0</v>
      </c>
    </row>
    <row r="16783" customFormat="false" ht="15" hidden="false" customHeight="false" outlineLevel="0" collapsed="false">
      <c r="A16783" s="5" t="s">
        <v>458</v>
      </c>
      <c r="C16783" s="34" t="n">
        <f aca="false">Assumptions!$Q$54</f>
        <v>0</v>
      </c>
    </row>
    <row r="16784" customFormat="false" ht="15" hidden="false" customHeight="false" outlineLevel="0" collapsed="false">
      <c r="A16784" s="5" t="s">
        <v>459</v>
      </c>
      <c r="C16784" s="34" t="n">
        <f aca="false">Assumptions!$Q$55</f>
        <v>0</v>
      </c>
    </row>
    <row r="16785" customFormat="false" ht="15" hidden="false" customHeight="false" outlineLevel="0" collapsed="false">
      <c r="A16785" s="5" t="s">
        <v>460</v>
      </c>
      <c r="C16785" s="34" t="n">
        <f aca="false">Assumptions!$Q$56</f>
        <v>0</v>
      </c>
    </row>
    <row r="16786" customFormat="false" ht="15" hidden="false" customHeight="false" outlineLevel="0" collapsed="false">
      <c r="A16786" s="23" t="s">
        <v>463</v>
      </c>
      <c r="B16786" s="24"/>
      <c r="C16786" s="24"/>
      <c r="D16786" s="24"/>
      <c r="E16786" s="24"/>
      <c r="F16786" s="24"/>
      <c r="G16786" s="24"/>
      <c r="H16786" s="24"/>
      <c r="I16786" s="24"/>
      <c r="J16786" s="24"/>
      <c r="K16786" s="24"/>
    </row>
    <row r="16787" customFormat="false" ht="15" hidden="false" customHeight="false" outlineLevel="0" collapsed="false">
      <c r="A16787" s="5" t="s">
        <v>457</v>
      </c>
      <c r="C16787" s="25" t="n">
        <f aca="false">IF(C16782&gt;0,MIN(C16772,C16782*$C$16770),0)</f>
        <v>0</v>
      </c>
    </row>
    <row r="16788" customFormat="false" ht="15" hidden="false" customHeight="false" outlineLevel="0" collapsed="false">
      <c r="A16788" s="5" t="s">
        <v>458</v>
      </c>
      <c r="C16788" s="25" t="n">
        <f aca="false">IF(C16783&gt;0,MIN(C16773,C16783*$C$16770),0)</f>
        <v>0</v>
      </c>
    </row>
    <row r="16789" customFormat="false" ht="15" hidden="false" customHeight="false" outlineLevel="0" collapsed="false">
      <c r="A16789" s="5" t="s">
        <v>459</v>
      </c>
      <c r="C16789" s="25" t="n">
        <f aca="false">IF(C16784&gt;0,MIN(C16774,C16784*$C$16770),0)</f>
        <v>0</v>
      </c>
    </row>
    <row r="16790" customFormat="false" ht="15" hidden="false" customHeight="false" outlineLevel="0" collapsed="false">
      <c r="A16790" s="5" t="s">
        <v>460</v>
      </c>
      <c r="C16790" s="25" t="n">
        <f aca="false">IF(C16785&gt;0,MIN(C16775,C16785*$C$16770),0)</f>
        <v>0</v>
      </c>
    </row>
    <row r="16791" customFormat="false" ht="15" hidden="false" customHeight="false" outlineLevel="0" collapsed="false">
      <c r="A16791" s="23" t="s">
        <v>464</v>
      </c>
      <c r="B16791" s="24"/>
      <c r="C16791" s="24"/>
      <c r="D16791" s="24"/>
      <c r="E16791" s="24"/>
      <c r="F16791" s="24"/>
      <c r="G16791" s="24"/>
      <c r="H16791" s="24"/>
      <c r="I16791" s="24"/>
      <c r="J16791" s="24"/>
      <c r="K16791" s="24"/>
    </row>
    <row r="16792" customFormat="false" ht="15" hidden="false" customHeight="false" outlineLevel="0" collapsed="false">
      <c r="A16792" s="5" t="s">
        <v>457</v>
      </c>
      <c r="C16792" s="25" t="n">
        <f aca="false">IF(C16782&gt;0,C16772-C16787,0)</f>
        <v>0</v>
      </c>
      <c r="G16792" s="20" t="n">
        <f aca="false">IF(AND(G16641=1,G16638=1),1,0)</f>
        <v>0</v>
      </c>
      <c r="H16792" s="20" t="n">
        <f aca="false">IF(G16792=1,1,IF(AND(H16641=1,H16638=1),1,0))</f>
        <v>0</v>
      </c>
      <c r="I16792" s="20" t="n">
        <f aca="false">IF(H16792=1,1,IF(AND(I16641=1,I16638=1),1,0))</f>
        <v>0</v>
      </c>
      <c r="J16792" s="20" t="n">
        <f aca="false">IF(I16792=1,1,IF(AND(J16641=1,J16638=1),1,0))</f>
        <v>0</v>
      </c>
      <c r="K16792" s="20" t="n">
        <f aca="false">IF(J16792=1,1,IF(AND(K16641=1,K16638=1),1,0))</f>
        <v>0</v>
      </c>
    </row>
    <row r="16793" customFormat="false" ht="15" hidden="false" customHeight="false" outlineLevel="0" collapsed="false">
      <c r="A16793" s="5" t="s">
        <v>458</v>
      </c>
      <c r="C16793" s="25" t="n">
        <f aca="false">IF(C16783&gt;0,C16773-C16788,0)</f>
        <v>0</v>
      </c>
      <c r="G16793" s="20" t="n">
        <f aca="false">IF(AND(G16654=1,G16638=1),1,0)</f>
        <v>0</v>
      </c>
      <c r="H16793" s="20" t="n">
        <f aca="false">IF(G16793=1,1,IF(AND(H16654=1,H16638=1),1,0))</f>
        <v>0</v>
      </c>
      <c r="I16793" s="20" t="n">
        <f aca="false">IF(H16793=1,1,IF(AND(I16654=1,I16638=1),1,0))</f>
        <v>0</v>
      </c>
      <c r="J16793" s="20" t="n">
        <f aca="false">IF(I16793=1,1,IF(AND(J16654=1,J16638=1),1,0))</f>
        <v>0</v>
      </c>
      <c r="K16793" s="20" t="n">
        <f aca="false">IF(J16793=1,1,IF(AND(K16654=1,K16638=1),1,0))</f>
        <v>0</v>
      </c>
    </row>
    <row r="16794" customFormat="false" ht="15" hidden="false" customHeight="false" outlineLevel="0" collapsed="false">
      <c r="A16794" s="5" t="s">
        <v>459</v>
      </c>
      <c r="C16794" s="25" t="n">
        <f aca="false">IF(C16784&gt;0,C16774-C16789,0)</f>
        <v>0</v>
      </c>
      <c r="G16794" s="20" t="n">
        <f aca="false">IF(AND(G16667=1,G16638=1),1,0)</f>
        <v>0</v>
      </c>
      <c r="H16794" s="20" t="n">
        <f aca="false">IF(G16794=1,1,IF(AND(H16667=1,H16638=1),1,0))</f>
        <v>0</v>
      </c>
      <c r="I16794" s="20" t="n">
        <f aca="false">IF(H16794=1,1,IF(AND(I16667=1,I16638=1),1,0))</f>
        <v>0</v>
      </c>
      <c r="J16794" s="20" t="n">
        <f aca="false">IF(I16794=1,1,IF(AND(J16667=1,J16638=1),1,0))</f>
        <v>0</v>
      </c>
      <c r="K16794" s="20" t="n">
        <f aca="false">IF(J16794=1,1,IF(AND(K16667=1,K16638=1),1,0))</f>
        <v>0</v>
      </c>
    </row>
    <row r="16795" customFormat="false" ht="15" hidden="false" customHeight="false" outlineLevel="0" collapsed="false">
      <c r="A16795" s="5" t="s">
        <v>460</v>
      </c>
      <c r="C16795" s="25" t="n">
        <f aca="false">IF(C16785&gt;0,C16775-C16790,0)</f>
        <v>0</v>
      </c>
      <c r="G16795" s="20" t="n">
        <f aca="false">IF(AND(G16680=1,G16638=1),1,0)</f>
        <v>0</v>
      </c>
      <c r="H16795" s="20" t="n">
        <f aca="false">IF(G16795=1,1,IF(AND(H16680=1,H16638=1),1,0))</f>
        <v>0</v>
      </c>
      <c r="I16795" s="20" t="n">
        <f aca="false">IF(H16795=1,1,IF(AND(I16680=1,I16638=1),1,0))</f>
        <v>0</v>
      </c>
      <c r="J16795" s="20" t="n">
        <f aca="false">IF(I16795=1,1,IF(AND(J16680=1,J16638=1),1,0))</f>
        <v>0</v>
      </c>
      <c r="K16795" s="20" t="n">
        <f aca="false">IF(J16795=1,1,IF(AND(K16680=1,K16638=1),1,0))</f>
        <v>0</v>
      </c>
    </row>
    <row r="16796" customFormat="false" ht="15" hidden="false" customHeight="false" outlineLevel="0" collapsed="false">
      <c r="A16796" s="23" t="s">
        <v>465</v>
      </c>
      <c r="B16796" s="24"/>
      <c r="C16796" s="24"/>
      <c r="D16796" s="24"/>
      <c r="E16796" s="24"/>
      <c r="F16796" s="24"/>
      <c r="G16796" s="24"/>
      <c r="H16796" s="24"/>
      <c r="I16796" s="24"/>
      <c r="J16796" s="24"/>
      <c r="K16796" s="24"/>
    </row>
    <row r="16797" customFormat="false" ht="15" hidden="false" customHeight="false" outlineLevel="0" collapsed="false">
      <c r="A16797" s="5" t="s">
        <v>457</v>
      </c>
      <c r="C16797" s="25" t="n">
        <f aca="false">IF(C16782&gt;0,C16792,C16772)</f>
        <v>257.2161312</v>
      </c>
    </row>
    <row r="16798" customFormat="false" ht="15" hidden="false" customHeight="false" outlineLevel="0" collapsed="false">
      <c r="A16798" s="5" t="s">
        <v>458</v>
      </c>
      <c r="C16798" s="25" t="n">
        <f aca="false">IF(C16783&gt;0,C16793,C16773)</f>
        <v>528.7737</v>
      </c>
    </row>
    <row r="16799" customFormat="false" ht="15" hidden="false" customHeight="false" outlineLevel="0" collapsed="false">
      <c r="A16799" s="5" t="s">
        <v>459</v>
      </c>
      <c r="C16799" s="25" t="n">
        <f aca="false">IF(C16784&gt;0,C16794,C16774)</f>
        <v>256.875</v>
      </c>
    </row>
    <row r="16800" customFormat="false" ht="15" hidden="false" customHeight="false" outlineLevel="0" collapsed="false">
      <c r="A16800" s="5" t="s">
        <v>460</v>
      </c>
      <c r="C16800" s="25" t="n">
        <f aca="false">IF(C16785&gt;0,C16795,C16775)</f>
        <v>305.625</v>
      </c>
    </row>
    <row r="16801" customFormat="false" ht="15" hidden="false" customHeight="false" outlineLevel="0" collapsed="false">
      <c r="A16801" s="23" t="s">
        <v>466</v>
      </c>
      <c r="B16801" s="24"/>
      <c r="C16801" s="24"/>
      <c r="D16801" s="24"/>
      <c r="E16801" s="24"/>
      <c r="F16801" s="24"/>
      <c r="G16801" s="24"/>
      <c r="H16801" s="24"/>
      <c r="I16801" s="24"/>
      <c r="J16801" s="24"/>
      <c r="K16801" s="24"/>
    </row>
    <row r="16802" customFormat="false" ht="15" hidden="false" customHeight="false" outlineLevel="0" collapsed="false">
      <c r="A16802" s="5" t="s">
        <v>457</v>
      </c>
      <c r="C16802" s="20" t="n">
        <f aca="false">IF(C16782&gt;0,Assumptions!$C$17,C16777)</f>
        <v>1</v>
      </c>
    </row>
    <row r="16803" customFormat="false" ht="15" hidden="false" customHeight="false" outlineLevel="0" collapsed="false">
      <c r="A16803" s="5" t="s">
        <v>458</v>
      </c>
      <c r="C16803" s="20" t="n">
        <f aca="false">IF(C16783&gt;0,Assumptions!$C$17,C16778)</f>
        <v>2</v>
      </c>
    </row>
    <row r="16804" customFormat="false" ht="15" hidden="false" customHeight="false" outlineLevel="0" collapsed="false">
      <c r="A16804" s="5" t="s">
        <v>459</v>
      </c>
      <c r="C16804" s="20" t="n">
        <f aca="false">IF(C16784&gt;0,Assumptions!$C$17,C16779)</f>
        <v>3</v>
      </c>
    </row>
    <row r="16805" customFormat="false" ht="15" hidden="false" customHeight="false" outlineLevel="0" collapsed="false">
      <c r="A16805" s="5" t="s">
        <v>460</v>
      </c>
      <c r="C16805" s="20" t="n">
        <f aca="false">IF(C16785&gt;0,Assumptions!$C$17,C16780)</f>
        <v>4</v>
      </c>
    </row>
    <row r="16806" customFormat="false" ht="15" hidden="false" customHeight="false" outlineLevel="0" collapsed="false">
      <c r="A16806" s="23" t="s">
        <v>467</v>
      </c>
      <c r="B16806" s="24"/>
      <c r="C16806" s="24"/>
      <c r="D16806" s="24"/>
      <c r="E16806" s="24"/>
      <c r="F16806" s="24"/>
      <c r="G16806" s="24"/>
      <c r="H16806" s="24"/>
      <c r="I16806" s="24"/>
      <c r="J16806" s="24"/>
      <c r="K16806" s="24"/>
    </row>
    <row r="16807" customFormat="false" ht="15" hidden="false" customHeight="false" outlineLevel="0" collapsed="false">
      <c r="A16807" s="5" t="s">
        <v>457</v>
      </c>
      <c r="C16807" s="25" t="n">
        <f aca="false">SUMPRODUCT(($C$16802:$C$16805&lt;C16802)*$C$16797:$C$16800)</f>
        <v>0</v>
      </c>
    </row>
    <row r="16808" customFormat="false" ht="15" hidden="false" customHeight="false" outlineLevel="0" collapsed="false">
      <c r="A16808" s="5" t="s">
        <v>458</v>
      </c>
      <c r="C16808" s="25" t="n">
        <f aca="false">SUMPRODUCT(($C$16802:$C$16805&lt;C16803)*$C$16797:$C$16800)</f>
        <v>257.2161312</v>
      </c>
    </row>
    <row r="16809" customFormat="false" ht="15" hidden="false" customHeight="false" outlineLevel="0" collapsed="false">
      <c r="A16809" s="5" t="s">
        <v>459</v>
      </c>
      <c r="C16809" s="25" t="n">
        <f aca="false">SUMPRODUCT(($C$16802:$C$16805&lt;C16804)*$C$16797:$C$16800)</f>
        <v>785.9898312</v>
      </c>
    </row>
    <row r="16810" customFormat="false" ht="15" hidden="false" customHeight="false" outlineLevel="0" collapsed="false">
      <c r="A16810" s="5" t="s">
        <v>460</v>
      </c>
      <c r="C16810" s="25" t="n">
        <f aca="false">SUMPRODUCT(($C$16802:$C$16805&lt;C16805)*$C$16797:$C$16800)</f>
        <v>1042.8648312</v>
      </c>
    </row>
    <row r="16811" customFormat="false" ht="15" hidden="false" customHeight="false" outlineLevel="0" collapsed="false">
      <c r="A16811" s="23" t="s">
        <v>468</v>
      </c>
      <c r="B16811" s="24"/>
      <c r="C16811" s="24"/>
      <c r="D16811" s="24"/>
      <c r="E16811" s="24"/>
      <c r="F16811" s="24"/>
      <c r="G16811" s="24"/>
      <c r="H16811" s="24"/>
      <c r="I16811" s="24"/>
      <c r="J16811" s="24"/>
      <c r="K16811" s="24"/>
    </row>
    <row r="16812" customFormat="false" ht="15" hidden="false" customHeight="false" outlineLevel="0" collapsed="false">
      <c r="A16812" s="5" t="s">
        <v>457</v>
      </c>
      <c r="C16812" s="25" t="n">
        <f aca="false">SUMPRODUCT(($C$16802:$C$16805=C16802)*$C$16797:$C$16800)</f>
        <v>257.2161312</v>
      </c>
    </row>
    <row r="16813" customFormat="false" ht="15" hidden="false" customHeight="false" outlineLevel="0" collapsed="false">
      <c r="A16813" s="5" t="s">
        <v>458</v>
      </c>
      <c r="C16813" s="25" t="n">
        <f aca="false">SUMPRODUCT(($C$16802:$C$16805=C16803)*$C$16797:$C$16800)</f>
        <v>528.7737</v>
      </c>
    </row>
    <row r="16814" customFormat="false" ht="15" hidden="false" customHeight="false" outlineLevel="0" collapsed="false">
      <c r="A16814" s="5" t="s">
        <v>459</v>
      </c>
      <c r="C16814" s="25" t="n">
        <f aca="false">SUMPRODUCT(($C$16802:$C$16805=C16804)*$C$16797:$C$16800)</f>
        <v>256.875</v>
      </c>
    </row>
    <row r="16815" customFormat="false" ht="15" hidden="false" customHeight="false" outlineLevel="0" collapsed="false">
      <c r="A16815" s="5" t="s">
        <v>460</v>
      </c>
      <c r="C16815" s="25" t="n">
        <f aca="false">SUMPRODUCT(($C$16802:$C$16805=C16805)*$C$16797:$C$16800)</f>
        <v>305.625</v>
      </c>
    </row>
    <row r="16816" customFormat="false" ht="15" hidden="false" customHeight="false" outlineLevel="0" collapsed="false">
      <c r="A16816" s="23" t="s">
        <v>469</v>
      </c>
      <c r="B16816" s="24"/>
      <c r="C16816" s="24"/>
      <c r="D16816" s="24"/>
      <c r="E16816" s="24"/>
      <c r="F16816" s="24"/>
      <c r="G16816" s="24"/>
      <c r="H16816" s="24"/>
      <c r="I16816" s="24"/>
      <c r="J16816" s="24"/>
      <c r="K16816" s="24"/>
    </row>
    <row r="16817" customFormat="false" ht="15" hidden="false" customHeight="false" outlineLevel="0" collapsed="false">
      <c r="A16817" s="5" t="s">
        <v>457</v>
      </c>
      <c r="C16817" s="25" t="n">
        <f aca="false">IF(C16812=0,0,C16797/C16812*MAX(0,MIN(C16812,$C$16770-SUM($C$16787:$C$16790)-C16807)))</f>
        <v>257.2161312</v>
      </c>
    </row>
    <row r="16818" customFormat="false" ht="15" hidden="false" customHeight="false" outlineLevel="0" collapsed="false">
      <c r="A16818" s="5" t="s">
        <v>458</v>
      </c>
      <c r="C16818" s="25" t="n">
        <f aca="false">IF(C16813=0,0,C16798/C16813*MAX(0,MIN(C16813,$C$16770-SUM($C$16787:$C$16790)-C16808)))</f>
        <v>132.1598688</v>
      </c>
    </row>
    <row r="16819" customFormat="false" ht="15" hidden="false" customHeight="false" outlineLevel="0" collapsed="false">
      <c r="A16819" s="5" t="s">
        <v>459</v>
      </c>
      <c r="C16819" s="25" t="n">
        <f aca="false">IF(C16814=0,0,C16799/C16814*MAX(0,MIN(C16814,$C$16770-SUM($C$16787:$C$16790)-C16809)))</f>
        <v>0</v>
      </c>
    </row>
    <row r="16820" customFormat="false" ht="15" hidden="false" customHeight="false" outlineLevel="0" collapsed="false">
      <c r="A16820" s="5" t="s">
        <v>460</v>
      </c>
      <c r="C16820" s="25" t="n">
        <f aca="false">IF(C16815=0,0,C16800/C16815*MAX(0,MIN(C16815,$C$16770-SUM($C$16787:$C$16790)-C16810)))</f>
        <v>0</v>
      </c>
    </row>
    <row r="16821" customFormat="false" ht="15" hidden="false" customHeight="false" outlineLevel="0" collapsed="false">
      <c r="A16821" s="23" t="s">
        <v>470</v>
      </c>
      <c r="B16821" s="24"/>
      <c r="C16821" s="24"/>
      <c r="D16821" s="24"/>
      <c r="E16821" s="24"/>
      <c r="F16821" s="24"/>
      <c r="G16821" s="24"/>
      <c r="H16821" s="24"/>
      <c r="I16821" s="24"/>
      <c r="J16821" s="24"/>
      <c r="K16821" s="24"/>
    </row>
    <row r="16822" customFormat="false" ht="15" hidden="false" customHeight="false" outlineLevel="0" collapsed="false">
      <c r="A16822" s="2" t="s">
        <v>457</v>
      </c>
      <c r="C16822" s="16" t="n">
        <f aca="false">C16787+C16817</f>
        <v>257.2161312</v>
      </c>
    </row>
    <row r="16823" customFormat="false" ht="15" hidden="false" customHeight="false" outlineLevel="0" collapsed="false">
      <c r="A16823" s="2" t="s">
        <v>458</v>
      </c>
      <c r="C16823" s="16" t="n">
        <f aca="false">C16788+C16818</f>
        <v>132.1598688</v>
      </c>
    </row>
    <row r="16824" customFormat="false" ht="15" hidden="false" customHeight="false" outlineLevel="0" collapsed="false">
      <c r="A16824" s="2" t="s">
        <v>459</v>
      </c>
      <c r="C16824" s="16" t="n">
        <f aca="false">C16789+C16819</f>
        <v>0</v>
      </c>
    </row>
    <row r="16825" customFormat="false" ht="15" hidden="false" customHeight="false" outlineLevel="0" collapsed="false">
      <c r="A16825" s="2" t="s">
        <v>460</v>
      </c>
      <c r="C16825" s="16" t="n">
        <f aca="false">C16790+C16820</f>
        <v>0</v>
      </c>
    </row>
    <row r="16826" customFormat="false" ht="15" hidden="false" customHeight="false" outlineLevel="0" collapsed="false">
      <c r="A16826" s="23" t="s">
        <v>471</v>
      </c>
      <c r="B16826" s="24"/>
      <c r="C16826" s="24"/>
      <c r="D16826" s="24"/>
      <c r="E16826" s="24"/>
      <c r="F16826" s="24"/>
      <c r="G16826" s="24"/>
      <c r="H16826" s="24"/>
      <c r="I16826" s="24"/>
      <c r="J16826" s="24"/>
      <c r="K16826" s="24"/>
    </row>
    <row r="16827" customFormat="false" ht="15" hidden="false" customHeight="false" outlineLevel="0" collapsed="false">
      <c r="A16827" s="5" t="s">
        <v>457</v>
      </c>
      <c r="C16827" s="21" t="n">
        <f aca="false">IF(C16772=0,1,C16822/C16772)</f>
        <v>1</v>
      </c>
    </row>
    <row r="16828" customFormat="false" ht="15" hidden="false" customHeight="false" outlineLevel="0" collapsed="false">
      <c r="A16828" s="5" t="s">
        <v>458</v>
      </c>
      <c r="C16828" s="21" t="n">
        <f aca="false">IF(C16773=0,1,C16823/C16773)</f>
        <v>0.249936539582056</v>
      </c>
    </row>
    <row r="16829" customFormat="false" ht="15" hidden="false" customHeight="false" outlineLevel="0" collapsed="false">
      <c r="A16829" s="5" t="s">
        <v>459</v>
      </c>
      <c r="C16829" s="21" t="n">
        <f aca="false">IF(C16774=0,1,C16824/C16774)</f>
        <v>0</v>
      </c>
    </row>
    <row r="16830" customFormat="false" ht="15" hidden="false" customHeight="false" outlineLevel="0" collapsed="false">
      <c r="A16830" s="5" t="s">
        <v>460</v>
      </c>
      <c r="C16830" s="21" t="n">
        <f aca="false">IF(C16775=0,1,C16825/C16775)</f>
        <v>0</v>
      </c>
    </row>
    <row r="16831" customFormat="false" ht="15" hidden="false" customHeight="false" outlineLevel="0" collapsed="false">
      <c r="A16831" s="23" t="s">
        <v>472</v>
      </c>
      <c r="B16831" s="24"/>
      <c r="C16831" s="24"/>
      <c r="D16831" s="24"/>
      <c r="E16831" s="24"/>
      <c r="F16831" s="24"/>
      <c r="G16831" s="24"/>
      <c r="H16831" s="24"/>
      <c r="I16831" s="24"/>
      <c r="J16831" s="24"/>
      <c r="K16831" s="24"/>
    </row>
    <row r="16832" customFormat="false" ht="15" hidden="false" customHeight="false" outlineLevel="0" collapsed="false">
      <c r="A16832" s="5" t="s">
        <v>457</v>
      </c>
      <c r="C16832" s="25" t="n">
        <f aca="false">C16772-C16822</f>
        <v>0</v>
      </c>
    </row>
    <row r="16833" customFormat="false" ht="15" hidden="false" customHeight="false" outlineLevel="0" collapsed="false">
      <c r="A16833" s="5" t="s">
        <v>458</v>
      </c>
      <c r="C16833" s="25" t="n">
        <f aca="false">C16773-C16823</f>
        <v>396.6138312</v>
      </c>
    </row>
    <row r="16834" customFormat="false" ht="15" hidden="false" customHeight="false" outlineLevel="0" collapsed="false">
      <c r="A16834" s="5" t="s">
        <v>459</v>
      </c>
      <c r="C16834" s="25" t="n">
        <f aca="false">C16774-C16824</f>
        <v>256.875</v>
      </c>
    </row>
    <row r="16835" customFormat="false" ht="15" hidden="false" customHeight="false" outlineLevel="0" collapsed="false">
      <c r="A16835" s="5" t="s">
        <v>460</v>
      </c>
      <c r="C16835" s="25" t="n">
        <f aca="false">C16775-C16825</f>
        <v>305.625</v>
      </c>
    </row>
    <row r="16836" customFormat="false" ht="15" hidden="false" customHeight="false" outlineLevel="0" collapsed="false">
      <c r="A16836" s="23" t="s">
        <v>473</v>
      </c>
      <c r="B16836" s="24"/>
      <c r="C16836" s="24"/>
      <c r="D16836" s="24"/>
      <c r="E16836" s="24"/>
      <c r="F16836" s="24"/>
      <c r="G16836" s="24"/>
      <c r="H16836" s="24"/>
      <c r="I16836" s="24"/>
      <c r="J16836" s="24"/>
      <c r="K16836" s="24"/>
    </row>
    <row r="16837" customFormat="false" ht="15" hidden="false" customHeight="false" outlineLevel="0" collapsed="false">
      <c r="A16837" s="5" t="s">
        <v>457</v>
      </c>
      <c r="C16837" s="21" t="n">
        <f aca="false">IF(C16772=0,0,C16832/C16772)</f>
        <v>0</v>
      </c>
    </row>
    <row r="16838" customFormat="false" ht="15" hidden="false" customHeight="false" outlineLevel="0" collapsed="false">
      <c r="A16838" s="5" t="s">
        <v>458</v>
      </c>
      <c r="C16838" s="21" t="n">
        <f aca="false">IF(C16773=0,0,C16833/C16773)</f>
        <v>0.750063460417945</v>
      </c>
    </row>
    <row r="16839" customFormat="false" ht="15" hidden="false" customHeight="false" outlineLevel="0" collapsed="false">
      <c r="A16839" s="5" t="s">
        <v>459</v>
      </c>
      <c r="C16839" s="21" t="n">
        <f aca="false">IF(C16774=0,0,C16834/C16774)</f>
        <v>1</v>
      </c>
    </row>
    <row r="16840" customFormat="false" ht="15" hidden="false" customHeight="false" outlineLevel="0" collapsed="false">
      <c r="A16840" s="5" t="s">
        <v>460</v>
      </c>
      <c r="C16840" s="21" t="n">
        <f aca="false">IF(C16775=0,0,C16835/C16775)</f>
        <v>1</v>
      </c>
    </row>
    <row r="16841" customFormat="false" ht="15" hidden="false" customHeight="false" outlineLevel="0" collapsed="false">
      <c r="A16841" s="2" t="s">
        <v>474</v>
      </c>
      <c r="C16841" s="16" t="n">
        <f aca="false">MAX(0,$C$16770-SUM($C$16787:$C$16790)-SUM($C$16797:$C$16800))</f>
        <v>0</v>
      </c>
    </row>
    <row r="16842" customFormat="false" ht="15" hidden="false" customHeight="false" outlineLevel="0" collapsed="false">
      <c r="A16842" s="5" t="s">
        <v>475</v>
      </c>
      <c r="C16842" s="25" t="n">
        <f aca="false">SUM($C$16822:$C$16825)+C16841+C16769-C16768</f>
        <v>0</v>
      </c>
    </row>
    <row r="16844" customFormat="false" ht="15" hidden="false" customHeight="false" outlineLevel="0" collapsed="false">
      <c r="A16844" s="23" t="s">
        <v>478</v>
      </c>
      <c r="B16844" s="24"/>
      <c r="C16844" s="24"/>
      <c r="D16844" s="24"/>
      <c r="E16844" s="24"/>
      <c r="F16844" s="24"/>
      <c r="G16844" s="24"/>
      <c r="H16844" s="24"/>
      <c r="I16844" s="24"/>
      <c r="J16844" s="24"/>
      <c r="K16844" s="24"/>
    </row>
    <row r="16845" customFormat="false" ht="15" hidden="false" customHeight="false" outlineLevel="0" collapsed="false">
      <c r="A16845" s="5" t="s">
        <v>479</v>
      </c>
      <c r="C16845" s="26" t="n">
        <f aca="false">Assumptions!$C$30</f>
        <v>2</v>
      </c>
    </row>
    <row r="16846" customFormat="false" ht="15" hidden="false" customHeight="false" outlineLevel="0" collapsed="false">
      <c r="A16846" s="5" t="s">
        <v>480</v>
      </c>
      <c r="C16846" s="28" t="n">
        <f aca="false">Assumptions!$C$31</f>
        <v>100</v>
      </c>
    </row>
    <row r="16847" customFormat="false" ht="15" hidden="false" customHeight="false" outlineLevel="0" collapsed="false">
      <c r="A16847" s="5" t="s">
        <v>481</v>
      </c>
      <c r="C16847" s="39" t="n">
        <f aca="false">Assumptions!$C$32</f>
        <v>78</v>
      </c>
    </row>
    <row r="16848" customFormat="false" ht="15" hidden="false" customHeight="false" outlineLevel="0" collapsed="false">
      <c r="A16848" s="5" t="s">
        <v>482</v>
      </c>
      <c r="C16848" s="25" t="n">
        <f aca="false">C16846*C16847/100*(1+Assumptions!$C$33)</f>
        <v>78.39</v>
      </c>
    </row>
    <row r="16849" customFormat="false" ht="15" hidden="false" customHeight="false" outlineLevel="0" collapsed="false">
      <c r="A16849" s="5" t="s">
        <v>483</v>
      </c>
      <c r="C16849" s="26" t="n">
        <f aca="false">Assumptions!$C$34</f>
        <v>2</v>
      </c>
    </row>
    <row r="16850" customFormat="false" ht="15" hidden="false" customHeight="false" outlineLevel="0" collapsed="false">
      <c r="A16850" s="5" t="s">
        <v>484</v>
      </c>
      <c r="C16850" s="20" t="n">
        <f aca="false">IF(C16761=1,SUMPRODUCT($G$16729:$K$16729,$G$16605:$K$16605),0)</f>
        <v>2</v>
      </c>
    </row>
    <row r="16851" customFormat="false" ht="15" hidden="false" customHeight="false" outlineLevel="0" collapsed="false">
      <c r="A16851" s="5" t="s">
        <v>485</v>
      </c>
      <c r="C16851" s="21" t="n">
        <f aca="false">IFERROR(C16846/CHOOSE(C16845,SUMPRODUCT($G$16760:$K$16760,$G$16651:$K$16651),SUMPRODUCT($G$16760:$K$16760,$G$16664:$K$16664),SUMPRODUCT($G$16760:$K$16760,$G$16677:$K$16677),SUMPRODUCT($G$16760:$K$16760,$G$16690:$K$16690)),0)</f>
        <v>0.196232339089482</v>
      </c>
    </row>
    <row r="16852" customFormat="false" ht="15" hidden="false" customHeight="false" outlineLevel="0" collapsed="false">
      <c r="A16852" s="5" t="s">
        <v>486</v>
      </c>
      <c r="C16852" s="25" t="n">
        <f aca="false">CHOOSE(C16845,C16822,C16823,C16824,C16825)*C16851</f>
        <v>25.934040188383</v>
      </c>
    </row>
    <row r="16853" customFormat="false" ht="15" hidden="false" customHeight="false" outlineLevel="0" collapsed="false">
      <c r="A16853" s="5" t="s">
        <v>487</v>
      </c>
      <c r="C16853" s="21" t="n">
        <f aca="false">CHOOSE(C16845,C16827,C16828,C16829,C16830)</f>
        <v>0.249936539582056</v>
      </c>
    </row>
    <row r="16854" customFormat="false" ht="15" hidden="false" customHeight="false" outlineLevel="0" collapsed="false">
      <c r="A16854" s="5" t="s">
        <v>488</v>
      </c>
      <c r="C16854" s="20" t="n">
        <f aca="false">IF(C16761=1,C16850,C16849)</f>
        <v>2</v>
      </c>
    </row>
    <row r="16855" customFormat="false" ht="15" hidden="false" customHeight="false" outlineLevel="0" collapsed="false">
      <c r="A16855" s="5" t="s">
        <v>489</v>
      </c>
      <c r="C16855" s="33" t="n">
        <f aca="false">CHOOSE($C$16597,Assumptions!$C$77,Assumptions!$C$96,Assumptions!$C$115)</f>
        <v>70</v>
      </c>
    </row>
    <row r="16856" customFormat="false" ht="15" hidden="false" customHeight="false" outlineLevel="0" collapsed="false">
      <c r="A16856" s="5" t="s">
        <v>490</v>
      </c>
      <c r="C16856" s="25" t="n">
        <f aca="false">INDEX($G$16614:$K$16614,C16849)*CHOOSE($C$16597,Assumptions!$C$76,Assumptions!$C$95,Assumptions!$C$114)+MAX(0,INDEX($G$16726:$K$16726,C16849))</f>
        <v>55.97928</v>
      </c>
    </row>
    <row r="16857" customFormat="false" ht="15" hidden="false" customHeight="false" outlineLevel="0" collapsed="false">
      <c r="A16857" s="23" t="s">
        <v>491</v>
      </c>
      <c r="B16857" s="24"/>
      <c r="C16857" s="24"/>
      <c r="D16857" s="24"/>
      <c r="E16857" s="24"/>
      <c r="F16857" s="24"/>
      <c r="G16857" s="24"/>
      <c r="H16857" s="24"/>
      <c r="I16857" s="24"/>
      <c r="J16857" s="24"/>
      <c r="K16857" s="24"/>
    </row>
    <row r="16858" customFormat="false" ht="15" hidden="false" customHeight="false" outlineLevel="0" collapsed="false">
      <c r="A16858" s="5" t="s">
        <v>457</v>
      </c>
      <c r="C16858" s="25" t="n">
        <f aca="false">INDEX($G$16651:$K$16651,C16849)</f>
        <v>248.9088</v>
      </c>
    </row>
    <row r="16859" customFormat="false" ht="15" hidden="false" customHeight="false" outlineLevel="0" collapsed="false">
      <c r="A16859" s="5" t="s">
        <v>458</v>
      </c>
      <c r="C16859" s="25" t="n">
        <f aca="false">INDEX($G$16664:$K$16664,C16849)</f>
        <v>509.6</v>
      </c>
    </row>
    <row r="16860" customFormat="false" ht="15" hidden="false" customHeight="false" outlineLevel="0" collapsed="false">
      <c r="A16860" s="5" t="s">
        <v>459</v>
      </c>
      <c r="C16860" s="25" t="n">
        <f aca="false">INDEX($G$16677:$K$16677,C16849)</f>
        <v>250</v>
      </c>
    </row>
    <row r="16861" customFormat="false" ht="15" hidden="false" customHeight="false" outlineLevel="0" collapsed="false">
      <c r="A16861" s="5" t="s">
        <v>460</v>
      </c>
      <c r="C16861" s="25" t="n">
        <f aca="false">INDEX($G$16690:$K$16690,C16849)</f>
        <v>300</v>
      </c>
    </row>
    <row r="16862" customFormat="false" ht="15" hidden="false" customHeight="false" outlineLevel="0" collapsed="false">
      <c r="A16862" s="23" t="s">
        <v>461</v>
      </c>
      <c r="B16862" s="24"/>
      <c r="C16862" s="24"/>
      <c r="D16862" s="24"/>
      <c r="E16862" s="24"/>
      <c r="F16862" s="24"/>
      <c r="G16862" s="24"/>
      <c r="H16862" s="24"/>
      <c r="I16862" s="24"/>
      <c r="J16862" s="24"/>
      <c r="K16862" s="24"/>
    </row>
    <row r="16863" customFormat="false" ht="15" hidden="false" customHeight="false" outlineLevel="0" collapsed="false">
      <c r="A16863" s="5" t="s">
        <v>457</v>
      </c>
      <c r="C16863" s="26" t="n">
        <f aca="false">Assumptions!$M$53</f>
        <v>1</v>
      </c>
    </row>
    <row r="16864" customFormat="false" ht="15" hidden="false" customHeight="false" outlineLevel="0" collapsed="false">
      <c r="A16864" s="5" t="s">
        <v>458</v>
      </c>
      <c r="C16864" s="26" t="n">
        <f aca="false">Assumptions!$M$54</f>
        <v>2</v>
      </c>
    </row>
    <row r="16865" customFormat="false" ht="15" hidden="false" customHeight="false" outlineLevel="0" collapsed="false">
      <c r="A16865" s="5" t="s">
        <v>459</v>
      </c>
      <c r="C16865" s="26" t="n">
        <f aca="false">Assumptions!$M$55</f>
        <v>3</v>
      </c>
    </row>
    <row r="16866" customFormat="false" ht="15" hidden="false" customHeight="false" outlineLevel="0" collapsed="false">
      <c r="A16866" s="5" t="s">
        <v>460</v>
      </c>
      <c r="C16866" s="26" t="n">
        <f aca="false">Assumptions!$M$56</f>
        <v>4</v>
      </c>
    </row>
    <row r="16867" customFormat="false" ht="15" hidden="false" customHeight="false" outlineLevel="0" collapsed="false">
      <c r="A16867" s="23" t="s">
        <v>462</v>
      </c>
      <c r="B16867" s="24"/>
      <c r="C16867" s="24"/>
      <c r="D16867" s="24"/>
      <c r="E16867" s="24"/>
      <c r="F16867" s="24"/>
      <c r="G16867" s="24"/>
      <c r="H16867" s="24"/>
      <c r="I16867" s="24"/>
      <c r="J16867" s="24"/>
      <c r="K16867" s="24"/>
    </row>
    <row r="16868" customFormat="false" ht="15" hidden="false" customHeight="false" outlineLevel="0" collapsed="false">
      <c r="A16868" s="5" t="s">
        <v>457</v>
      </c>
      <c r="C16868" s="34" t="n">
        <f aca="false">Assumptions!$Q$53</f>
        <v>0</v>
      </c>
    </row>
    <row r="16869" customFormat="false" ht="15" hidden="false" customHeight="false" outlineLevel="0" collapsed="false">
      <c r="A16869" s="5" t="s">
        <v>458</v>
      </c>
      <c r="C16869" s="34" t="n">
        <f aca="false">Assumptions!$Q$54</f>
        <v>0</v>
      </c>
    </row>
    <row r="16870" customFormat="false" ht="15" hidden="false" customHeight="false" outlineLevel="0" collapsed="false">
      <c r="A16870" s="5" t="s">
        <v>459</v>
      </c>
      <c r="C16870" s="34" t="n">
        <f aca="false">Assumptions!$Q$55</f>
        <v>0</v>
      </c>
    </row>
    <row r="16871" customFormat="false" ht="15" hidden="false" customHeight="false" outlineLevel="0" collapsed="false">
      <c r="A16871" s="5" t="s">
        <v>460</v>
      </c>
      <c r="C16871" s="34" t="n">
        <f aca="false">Assumptions!$Q$56</f>
        <v>0</v>
      </c>
    </row>
    <row r="16872" customFormat="false" ht="15" hidden="false" customHeight="false" outlineLevel="0" collapsed="false">
      <c r="A16872" s="23" t="s">
        <v>463</v>
      </c>
      <c r="B16872" s="24"/>
      <c r="C16872" s="24"/>
      <c r="D16872" s="24"/>
      <c r="E16872" s="24"/>
      <c r="F16872" s="24"/>
      <c r="G16872" s="24"/>
      <c r="H16872" s="24"/>
      <c r="I16872" s="24"/>
      <c r="J16872" s="24"/>
      <c r="K16872" s="24"/>
    </row>
    <row r="16873" customFormat="false" ht="15" hidden="false" customHeight="false" outlineLevel="0" collapsed="false">
      <c r="A16873" s="5" t="s">
        <v>457</v>
      </c>
      <c r="C16873" s="25" t="n">
        <f aca="false">IF(C16868&gt;0,MIN(C16858,C16868*$C$16856),0)</f>
        <v>0</v>
      </c>
    </row>
    <row r="16874" customFormat="false" ht="15" hidden="false" customHeight="false" outlineLevel="0" collapsed="false">
      <c r="A16874" s="5" t="s">
        <v>458</v>
      </c>
      <c r="C16874" s="25" t="n">
        <f aca="false">IF(C16869&gt;0,MIN(C16859,C16869*$C$16856),0)</f>
        <v>0</v>
      </c>
    </row>
    <row r="16875" customFormat="false" ht="15" hidden="false" customHeight="false" outlineLevel="0" collapsed="false">
      <c r="A16875" s="5" t="s">
        <v>459</v>
      </c>
      <c r="C16875" s="25" t="n">
        <f aca="false">IF(C16870&gt;0,MIN(C16860,C16870*$C$16856),0)</f>
        <v>0</v>
      </c>
    </row>
    <row r="16876" customFormat="false" ht="15" hidden="false" customHeight="false" outlineLevel="0" collapsed="false">
      <c r="A16876" s="5" t="s">
        <v>460</v>
      </c>
      <c r="C16876" s="25" t="n">
        <f aca="false">IF(C16871&gt;0,MIN(C16861,C16871*$C$16856),0)</f>
        <v>0</v>
      </c>
    </row>
    <row r="16877" customFormat="false" ht="15" hidden="false" customHeight="false" outlineLevel="0" collapsed="false">
      <c r="A16877" s="23" t="s">
        <v>464</v>
      </c>
      <c r="B16877" s="24"/>
      <c r="C16877" s="24"/>
      <c r="D16877" s="24"/>
      <c r="E16877" s="24"/>
      <c r="F16877" s="24"/>
      <c r="G16877" s="24"/>
      <c r="H16877" s="24"/>
      <c r="I16877" s="24"/>
      <c r="J16877" s="24"/>
      <c r="K16877" s="24"/>
    </row>
    <row r="16878" customFormat="false" ht="15" hidden="false" customHeight="false" outlineLevel="0" collapsed="false">
      <c r="A16878" s="5" t="s">
        <v>457</v>
      </c>
      <c r="C16878" s="25" t="n">
        <f aca="false">IF(C16868&gt;0,C16858-C16873,0)</f>
        <v>0</v>
      </c>
    </row>
    <row r="16879" customFormat="false" ht="15" hidden="false" customHeight="false" outlineLevel="0" collapsed="false">
      <c r="A16879" s="5" t="s">
        <v>458</v>
      </c>
      <c r="C16879" s="25" t="n">
        <f aca="false">IF(C16869&gt;0,C16859-C16874,0)</f>
        <v>0</v>
      </c>
    </row>
    <row r="16880" customFormat="false" ht="15" hidden="false" customHeight="false" outlineLevel="0" collapsed="false">
      <c r="A16880" s="5" t="s">
        <v>459</v>
      </c>
      <c r="C16880" s="25" t="n">
        <f aca="false">IF(C16870&gt;0,C16860-C16875,0)</f>
        <v>0</v>
      </c>
    </row>
    <row r="16881" customFormat="false" ht="15" hidden="false" customHeight="false" outlineLevel="0" collapsed="false">
      <c r="A16881" s="5" t="s">
        <v>460</v>
      </c>
      <c r="C16881" s="25" t="n">
        <f aca="false">IF(C16871&gt;0,C16861-C16876,0)</f>
        <v>0</v>
      </c>
    </row>
    <row r="16882" customFormat="false" ht="15" hidden="false" customHeight="false" outlineLevel="0" collapsed="false">
      <c r="A16882" s="23" t="s">
        <v>465</v>
      </c>
      <c r="B16882" s="24"/>
      <c r="C16882" s="24"/>
      <c r="D16882" s="24"/>
      <c r="E16882" s="24"/>
      <c r="F16882" s="24"/>
      <c r="G16882" s="24"/>
      <c r="H16882" s="24"/>
      <c r="I16882" s="24"/>
      <c r="J16882" s="24"/>
      <c r="K16882" s="24"/>
    </row>
    <row r="16883" customFormat="false" ht="15" hidden="false" customHeight="false" outlineLevel="0" collapsed="false">
      <c r="A16883" s="5" t="s">
        <v>457</v>
      </c>
      <c r="C16883" s="25" t="n">
        <f aca="false">IF(C16868&gt;0,C16878,C16858)</f>
        <v>248.9088</v>
      </c>
    </row>
    <row r="16884" customFormat="false" ht="15" hidden="false" customHeight="false" outlineLevel="0" collapsed="false">
      <c r="A16884" s="5" t="s">
        <v>458</v>
      </c>
      <c r="C16884" s="25" t="n">
        <f aca="false">IF(C16869&gt;0,C16879,C16859)</f>
        <v>509.6</v>
      </c>
    </row>
    <row r="16885" customFormat="false" ht="15" hidden="false" customHeight="false" outlineLevel="0" collapsed="false">
      <c r="A16885" s="5" t="s">
        <v>459</v>
      </c>
      <c r="C16885" s="25" t="n">
        <f aca="false">IF(C16870&gt;0,C16880,C16860)</f>
        <v>250</v>
      </c>
    </row>
    <row r="16886" customFormat="false" ht="15" hidden="false" customHeight="false" outlineLevel="0" collapsed="false">
      <c r="A16886" s="5" t="s">
        <v>460</v>
      </c>
      <c r="C16886" s="25" t="n">
        <f aca="false">IF(C16871&gt;0,C16881,C16861)</f>
        <v>300</v>
      </c>
    </row>
    <row r="16887" customFormat="false" ht="15" hidden="false" customHeight="false" outlineLevel="0" collapsed="false">
      <c r="A16887" s="23" t="s">
        <v>466</v>
      </c>
      <c r="B16887" s="24"/>
      <c r="C16887" s="24"/>
      <c r="D16887" s="24"/>
      <c r="E16887" s="24"/>
      <c r="F16887" s="24"/>
      <c r="G16887" s="24"/>
      <c r="H16887" s="24"/>
      <c r="I16887" s="24"/>
      <c r="J16887" s="24"/>
      <c r="K16887" s="24"/>
    </row>
    <row r="16888" customFormat="false" ht="15" hidden="false" customHeight="false" outlineLevel="0" collapsed="false">
      <c r="A16888" s="5" t="s">
        <v>457</v>
      </c>
      <c r="C16888" s="20" t="n">
        <f aca="false">IF(C16868&gt;0,Assumptions!$C$17,C16863)</f>
        <v>1</v>
      </c>
    </row>
    <row r="16889" customFormat="false" ht="15" hidden="false" customHeight="false" outlineLevel="0" collapsed="false">
      <c r="A16889" s="5" t="s">
        <v>458</v>
      </c>
      <c r="C16889" s="20" t="n">
        <f aca="false">IF(C16869&gt;0,Assumptions!$C$17,C16864)</f>
        <v>2</v>
      </c>
    </row>
    <row r="16890" customFormat="false" ht="15" hidden="false" customHeight="false" outlineLevel="0" collapsed="false">
      <c r="A16890" s="5" t="s">
        <v>459</v>
      </c>
      <c r="C16890" s="20" t="n">
        <f aca="false">IF(C16870&gt;0,Assumptions!$C$17,C16865)</f>
        <v>3</v>
      </c>
    </row>
    <row r="16891" customFormat="false" ht="15" hidden="false" customHeight="false" outlineLevel="0" collapsed="false">
      <c r="A16891" s="5" t="s">
        <v>460</v>
      </c>
      <c r="C16891" s="20" t="n">
        <f aca="false">IF(C16871&gt;0,Assumptions!$C$17,C16866)</f>
        <v>4</v>
      </c>
    </row>
    <row r="16892" customFormat="false" ht="15" hidden="false" customHeight="false" outlineLevel="0" collapsed="false">
      <c r="A16892" s="23" t="s">
        <v>467</v>
      </c>
      <c r="B16892" s="24"/>
      <c r="C16892" s="24"/>
      <c r="D16892" s="24"/>
      <c r="E16892" s="24"/>
      <c r="F16892" s="24"/>
      <c r="G16892" s="24"/>
      <c r="H16892" s="24"/>
      <c r="I16892" s="24"/>
      <c r="J16892" s="24"/>
      <c r="K16892" s="24"/>
    </row>
    <row r="16893" customFormat="false" ht="15" hidden="false" customHeight="false" outlineLevel="0" collapsed="false">
      <c r="A16893" s="5" t="s">
        <v>457</v>
      </c>
      <c r="C16893" s="25" t="n">
        <f aca="false">SUMPRODUCT(($C$16888:$C$16891&lt;C16888)*$C$16883:$C$16886)</f>
        <v>0</v>
      </c>
    </row>
    <row r="16894" customFormat="false" ht="15" hidden="false" customHeight="false" outlineLevel="0" collapsed="false">
      <c r="A16894" s="5" t="s">
        <v>458</v>
      </c>
      <c r="C16894" s="25" t="n">
        <f aca="false">SUMPRODUCT(($C$16888:$C$16891&lt;C16889)*$C$16883:$C$16886)</f>
        <v>248.9088</v>
      </c>
    </row>
    <row r="16895" customFormat="false" ht="15" hidden="false" customHeight="false" outlineLevel="0" collapsed="false">
      <c r="A16895" s="5" t="s">
        <v>459</v>
      </c>
      <c r="C16895" s="25" t="n">
        <f aca="false">SUMPRODUCT(($C$16888:$C$16891&lt;C16890)*$C$16883:$C$16886)</f>
        <v>758.5088</v>
      </c>
    </row>
    <row r="16896" customFormat="false" ht="15" hidden="false" customHeight="false" outlineLevel="0" collapsed="false">
      <c r="A16896" s="5" t="s">
        <v>460</v>
      </c>
      <c r="C16896" s="25" t="n">
        <f aca="false">SUMPRODUCT(($C$16888:$C$16891&lt;C16891)*$C$16883:$C$16886)</f>
        <v>1008.5088</v>
      </c>
    </row>
    <row r="16897" customFormat="false" ht="15" hidden="false" customHeight="false" outlineLevel="0" collapsed="false">
      <c r="A16897" s="23" t="s">
        <v>468</v>
      </c>
      <c r="B16897" s="24"/>
      <c r="C16897" s="24"/>
      <c r="D16897" s="24"/>
      <c r="E16897" s="24"/>
      <c r="F16897" s="24"/>
      <c r="G16897" s="24"/>
      <c r="H16897" s="24"/>
      <c r="I16897" s="24"/>
      <c r="J16897" s="24"/>
      <c r="K16897" s="24"/>
    </row>
    <row r="16898" customFormat="false" ht="15" hidden="false" customHeight="false" outlineLevel="0" collapsed="false">
      <c r="A16898" s="5" t="s">
        <v>457</v>
      </c>
      <c r="C16898" s="25" t="n">
        <f aca="false">SUMPRODUCT(($C$16888:$C$16891=C16888)*$C$16883:$C$16886)</f>
        <v>248.9088</v>
      </c>
    </row>
    <row r="16899" customFormat="false" ht="15" hidden="false" customHeight="false" outlineLevel="0" collapsed="false">
      <c r="A16899" s="5" t="s">
        <v>458</v>
      </c>
      <c r="C16899" s="25" t="n">
        <f aca="false">SUMPRODUCT(($C$16888:$C$16891=C16889)*$C$16883:$C$16886)</f>
        <v>509.6</v>
      </c>
    </row>
    <row r="16900" customFormat="false" ht="15" hidden="false" customHeight="false" outlineLevel="0" collapsed="false">
      <c r="A16900" s="5" t="s">
        <v>459</v>
      </c>
      <c r="C16900" s="25" t="n">
        <f aca="false">SUMPRODUCT(($C$16888:$C$16891=C16890)*$C$16883:$C$16886)</f>
        <v>250</v>
      </c>
    </row>
    <row r="16901" customFormat="false" ht="15" hidden="false" customHeight="false" outlineLevel="0" collapsed="false">
      <c r="A16901" s="5" t="s">
        <v>460</v>
      </c>
      <c r="C16901" s="25" t="n">
        <f aca="false">SUMPRODUCT(($C$16888:$C$16891=C16891)*$C$16883:$C$16886)</f>
        <v>300</v>
      </c>
    </row>
    <row r="16902" customFormat="false" ht="15" hidden="false" customHeight="false" outlineLevel="0" collapsed="false">
      <c r="A16902" s="23" t="s">
        <v>469</v>
      </c>
      <c r="B16902" s="24"/>
      <c r="C16902" s="24"/>
      <c r="D16902" s="24"/>
      <c r="E16902" s="24"/>
      <c r="F16902" s="24"/>
      <c r="G16902" s="24"/>
      <c r="H16902" s="24"/>
      <c r="I16902" s="24"/>
      <c r="J16902" s="24"/>
      <c r="K16902" s="24"/>
    </row>
    <row r="16903" customFormat="false" ht="15" hidden="false" customHeight="false" outlineLevel="0" collapsed="false">
      <c r="A16903" s="5" t="s">
        <v>457</v>
      </c>
      <c r="C16903" s="25" t="n">
        <f aca="false">IF(C16898=0,0,C16883/C16898*MAX(0,MIN(C16898,$C$16856-SUM($C$16873:$C$16876)-C16893)))</f>
        <v>55.97928</v>
      </c>
    </row>
    <row r="16904" customFormat="false" ht="15" hidden="false" customHeight="false" outlineLevel="0" collapsed="false">
      <c r="A16904" s="5" t="s">
        <v>458</v>
      </c>
      <c r="C16904" s="25" t="n">
        <f aca="false">IF(C16899=0,0,C16884/C16899*MAX(0,MIN(C16899,$C$16856-SUM($C$16873:$C$16876)-C16894)))</f>
        <v>0</v>
      </c>
    </row>
    <row r="16905" customFormat="false" ht="15" hidden="false" customHeight="false" outlineLevel="0" collapsed="false">
      <c r="A16905" s="5" t="s">
        <v>459</v>
      </c>
      <c r="C16905" s="25" t="n">
        <f aca="false">IF(C16900=0,0,C16885/C16900*MAX(0,MIN(C16900,$C$16856-SUM($C$16873:$C$16876)-C16895)))</f>
        <v>0</v>
      </c>
    </row>
    <row r="16906" customFormat="false" ht="15" hidden="false" customHeight="false" outlineLevel="0" collapsed="false">
      <c r="A16906" s="5" t="s">
        <v>460</v>
      </c>
      <c r="C16906" s="25" t="n">
        <f aca="false">IF(C16901=0,0,C16886/C16901*MAX(0,MIN(C16901,$C$16856-SUM($C$16873:$C$16876)-C16896)))</f>
        <v>0</v>
      </c>
    </row>
    <row r="16907" customFormat="false" ht="15" hidden="false" customHeight="false" outlineLevel="0" collapsed="false">
      <c r="A16907" s="23" t="s">
        <v>470</v>
      </c>
      <c r="B16907" s="24"/>
      <c r="C16907" s="24"/>
      <c r="D16907" s="24"/>
      <c r="E16907" s="24"/>
      <c r="F16907" s="24"/>
      <c r="G16907" s="24"/>
      <c r="H16907" s="24"/>
      <c r="I16907" s="24"/>
      <c r="J16907" s="24"/>
      <c r="K16907" s="24"/>
    </row>
    <row r="16908" customFormat="false" ht="15" hidden="false" customHeight="false" outlineLevel="0" collapsed="false">
      <c r="A16908" s="2" t="s">
        <v>457</v>
      </c>
      <c r="C16908" s="16" t="n">
        <f aca="false">C16873+C16903</f>
        <v>55.97928</v>
      </c>
    </row>
    <row r="16909" customFormat="false" ht="15" hidden="false" customHeight="false" outlineLevel="0" collapsed="false">
      <c r="A16909" s="2" t="s">
        <v>458</v>
      </c>
      <c r="C16909" s="16" t="n">
        <f aca="false">C16874+C16904</f>
        <v>0</v>
      </c>
    </row>
    <row r="16910" customFormat="false" ht="15" hidden="false" customHeight="false" outlineLevel="0" collapsed="false">
      <c r="A16910" s="2" t="s">
        <v>459</v>
      </c>
      <c r="C16910" s="16" t="n">
        <f aca="false">C16875+C16905</f>
        <v>0</v>
      </c>
    </row>
    <row r="16911" customFormat="false" ht="15" hidden="false" customHeight="false" outlineLevel="0" collapsed="false">
      <c r="A16911" s="2" t="s">
        <v>460</v>
      </c>
      <c r="C16911" s="16" t="n">
        <f aca="false">C16876+C16906</f>
        <v>0</v>
      </c>
    </row>
    <row r="16912" customFormat="false" ht="15" hidden="false" customHeight="false" outlineLevel="0" collapsed="false">
      <c r="A16912" s="23" t="s">
        <v>471</v>
      </c>
      <c r="B16912" s="24"/>
      <c r="C16912" s="24"/>
      <c r="D16912" s="24"/>
      <c r="E16912" s="24"/>
      <c r="F16912" s="24"/>
      <c r="G16912" s="24"/>
      <c r="H16912" s="24"/>
      <c r="I16912" s="24"/>
      <c r="J16912" s="24"/>
      <c r="K16912" s="24"/>
    </row>
    <row r="16913" customFormat="false" ht="15" hidden="false" customHeight="false" outlineLevel="0" collapsed="false">
      <c r="A16913" s="5" t="s">
        <v>457</v>
      </c>
      <c r="C16913" s="21" t="n">
        <f aca="false">IF(C16858=0,1,C16908/C16858)</f>
        <v>0.224898758099352</v>
      </c>
    </row>
    <row r="16914" customFormat="false" ht="15" hidden="false" customHeight="false" outlineLevel="0" collapsed="false">
      <c r="A16914" s="5" t="s">
        <v>458</v>
      </c>
      <c r="C16914" s="21" t="n">
        <f aca="false">IF(C16859=0,1,C16909/C16859)</f>
        <v>0</v>
      </c>
    </row>
    <row r="16915" customFormat="false" ht="15" hidden="false" customHeight="false" outlineLevel="0" collapsed="false">
      <c r="A16915" s="5" t="s">
        <v>459</v>
      </c>
      <c r="C16915" s="21" t="n">
        <f aca="false">IF(C16860=0,1,C16910/C16860)</f>
        <v>0</v>
      </c>
    </row>
    <row r="16916" customFormat="false" ht="15" hidden="false" customHeight="false" outlineLevel="0" collapsed="false">
      <c r="A16916" s="5" t="s">
        <v>460</v>
      </c>
      <c r="C16916" s="21" t="n">
        <f aca="false">IF(C16861=0,1,C16911/C16861)</f>
        <v>0</v>
      </c>
    </row>
    <row r="16917" customFormat="false" ht="15" hidden="false" customHeight="false" outlineLevel="0" collapsed="false">
      <c r="A16917" s="23" t="s">
        <v>472</v>
      </c>
      <c r="B16917" s="24"/>
      <c r="C16917" s="24"/>
      <c r="D16917" s="24"/>
      <c r="E16917" s="24"/>
      <c r="F16917" s="24"/>
      <c r="G16917" s="24"/>
      <c r="H16917" s="24"/>
      <c r="I16917" s="24"/>
      <c r="J16917" s="24"/>
      <c r="K16917" s="24"/>
    </row>
    <row r="16918" customFormat="false" ht="15" hidden="false" customHeight="false" outlineLevel="0" collapsed="false">
      <c r="A16918" s="5" t="s">
        <v>457</v>
      </c>
      <c r="C16918" s="25" t="n">
        <f aca="false">C16858-C16908</f>
        <v>192.92952</v>
      </c>
    </row>
    <row r="16919" customFormat="false" ht="15" hidden="false" customHeight="false" outlineLevel="0" collapsed="false">
      <c r="A16919" s="5" t="s">
        <v>458</v>
      </c>
      <c r="C16919" s="25" t="n">
        <f aca="false">C16859-C16909</f>
        <v>509.6</v>
      </c>
    </row>
    <row r="16920" customFormat="false" ht="15" hidden="false" customHeight="false" outlineLevel="0" collapsed="false">
      <c r="A16920" s="5" t="s">
        <v>459</v>
      </c>
      <c r="C16920" s="25" t="n">
        <f aca="false">C16860-C16910</f>
        <v>250</v>
      </c>
    </row>
    <row r="16921" customFormat="false" ht="15" hidden="false" customHeight="false" outlineLevel="0" collapsed="false">
      <c r="A16921" s="5" t="s">
        <v>460</v>
      </c>
      <c r="C16921" s="25" t="n">
        <f aca="false">C16861-C16911</f>
        <v>300</v>
      </c>
    </row>
    <row r="16922" customFormat="false" ht="15" hidden="false" customHeight="false" outlineLevel="0" collapsed="false">
      <c r="A16922" s="23" t="s">
        <v>473</v>
      </c>
      <c r="B16922" s="24"/>
      <c r="C16922" s="24"/>
      <c r="D16922" s="24"/>
      <c r="E16922" s="24"/>
      <c r="F16922" s="24"/>
      <c r="G16922" s="24"/>
      <c r="H16922" s="24"/>
      <c r="I16922" s="24"/>
      <c r="J16922" s="24"/>
      <c r="K16922" s="24"/>
    </row>
    <row r="16923" customFormat="false" ht="15" hidden="false" customHeight="false" outlineLevel="0" collapsed="false">
      <c r="A16923" s="5" t="s">
        <v>457</v>
      </c>
      <c r="C16923" s="21" t="n">
        <f aca="false">IF(C16858=0,0,C16918/C16858)</f>
        <v>0.775101241900648</v>
      </c>
    </row>
    <row r="16924" customFormat="false" ht="15" hidden="false" customHeight="false" outlineLevel="0" collapsed="false">
      <c r="A16924" s="5" t="s">
        <v>458</v>
      </c>
      <c r="C16924" s="21" t="n">
        <f aca="false">IF(C16859=0,0,C16919/C16859)</f>
        <v>1</v>
      </c>
    </row>
    <row r="16925" customFormat="false" ht="15" hidden="false" customHeight="false" outlineLevel="0" collapsed="false">
      <c r="A16925" s="5" t="s">
        <v>459</v>
      </c>
      <c r="C16925" s="21" t="n">
        <f aca="false">IF(C16860=0,0,C16920/C16860)</f>
        <v>1</v>
      </c>
    </row>
    <row r="16926" customFormat="false" ht="15" hidden="false" customHeight="false" outlineLevel="0" collapsed="false">
      <c r="A16926" s="5" t="s">
        <v>460</v>
      </c>
      <c r="C16926" s="21" t="n">
        <f aca="false">IF(C16861=0,0,C16921/C16861)</f>
        <v>1</v>
      </c>
    </row>
    <row r="16927" customFormat="false" ht="15" hidden="false" customHeight="false" outlineLevel="0" collapsed="false">
      <c r="A16927" s="2" t="s">
        <v>474</v>
      </c>
      <c r="C16927" s="16" t="n">
        <f aca="false">MAX(0,$C$16856-SUM($C$16873:$C$16876)-SUM($C$16883:$C$16886))</f>
        <v>0</v>
      </c>
    </row>
    <row r="16928" customFormat="false" ht="15" hidden="false" customHeight="false" outlineLevel="0" collapsed="false">
      <c r="A16928" s="5" t="s">
        <v>492</v>
      </c>
      <c r="C16928" s="33" t="n">
        <f aca="false">MIN(C16855,100*CHOOSE(C16845,C16913,C16914,C16915,C16916))</f>
        <v>0</v>
      </c>
    </row>
    <row r="16929" customFormat="false" ht="15" hidden="false" customHeight="false" outlineLevel="0" collapsed="false">
      <c r="A16929" s="5" t="s">
        <v>493</v>
      </c>
      <c r="C16929" s="20" t="n">
        <f aca="false">IF(C16761=1,C16850+Assumptions!$C$36,C16849)</f>
        <v>3</v>
      </c>
    </row>
    <row r="16930" customFormat="false" ht="15" hidden="false" customHeight="false" outlineLevel="0" collapsed="false">
      <c r="A16930" s="23" t="s">
        <v>494</v>
      </c>
      <c r="B16930" s="24"/>
      <c r="C16930" s="24"/>
      <c r="D16930" s="24"/>
      <c r="E16930" s="24"/>
      <c r="F16930" s="24"/>
      <c r="G16930" s="24"/>
      <c r="H16930" s="24"/>
      <c r="I16930" s="24"/>
      <c r="J16930" s="24"/>
      <c r="K16930" s="24"/>
    </row>
    <row r="16931" customFormat="false" ht="15" hidden="false" customHeight="false" outlineLevel="0" collapsed="false">
      <c r="A16931" s="5" t="s">
        <v>495</v>
      </c>
      <c r="C16931" s="20" t="n">
        <f aca="false">COLUMN()-COLUMN($C$1)</f>
        <v>0</v>
      </c>
      <c r="D16931" s="20" t="n">
        <f aca="false">COLUMN()-COLUMN($C$1)</f>
        <v>1</v>
      </c>
      <c r="E16931" s="20" t="n">
        <f aca="false">COLUMN()-COLUMN($C$1)</f>
        <v>2</v>
      </c>
      <c r="F16931" s="20" t="n">
        <f aca="false">COLUMN()-COLUMN($C$1)</f>
        <v>3</v>
      </c>
      <c r="G16931" s="20" t="n">
        <f aca="false">COLUMN()-COLUMN($C$1)</f>
        <v>4</v>
      </c>
      <c r="H16931" s="20" t="n">
        <f aca="false">COLUMN()-COLUMN($C$1)</f>
        <v>5</v>
      </c>
      <c r="I16931" s="20" t="n">
        <f aca="false">COLUMN()-COLUMN($C$1)</f>
        <v>6</v>
      </c>
    </row>
    <row r="16932" customFormat="false" ht="15" hidden="false" customHeight="false" outlineLevel="0" collapsed="false">
      <c r="A16932" s="5" t="s">
        <v>496</v>
      </c>
      <c r="D16932" s="30" t="n">
        <f aca="false">CHOOSE($C$16845,G16643,G16656,G16669,G16682)</f>
        <v>0.153</v>
      </c>
      <c r="E16932" s="30" t="n">
        <f aca="false">CHOOSE($C$16845,H16643,H16656,H16669,H16682)</f>
        <v>0.1505</v>
      </c>
      <c r="F16932" s="30" t="n">
        <f aca="false">CHOOSE($C$16845,I16643,I16656,I16669,I16682)</f>
        <v>0.148</v>
      </c>
      <c r="G16932" s="30" t="n">
        <f aca="false">CHOOSE($C$16845,J16643,J16656,J16669,J16682)</f>
        <v>0.148</v>
      </c>
      <c r="H16932" s="30" t="n">
        <f aca="false">CHOOSE($C$16845,K16643,K16656,K16669,K16682)</f>
        <v>0.148</v>
      </c>
    </row>
    <row r="16933" customFormat="false" ht="15" hidden="false" customHeight="false" outlineLevel="0" collapsed="false">
      <c r="A16933" s="5" t="s">
        <v>497</v>
      </c>
      <c r="D16933" s="25" t="n">
        <f aca="false">IF(D16931&lt;=$C$16854,$C$16846*D16932,0)</f>
        <v>15.3</v>
      </c>
      <c r="E16933" s="25" t="n">
        <f aca="false">IF(E16931&lt;=$C$16854,$C$16846*E16932,0)</f>
        <v>15.05</v>
      </c>
      <c r="F16933" s="25" t="n">
        <f aca="false">IF(F16931&lt;=$C$16854,$C$16846*F16932,0)</f>
        <v>0</v>
      </c>
      <c r="G16933" s="25" t="n">
        <f aca="false">IF(G16931&lt;=$C$16854,$C$16846*G16932,0)</f>
        <v>0</v>
      </c>
      <c r="H16933" s="25" t="n">
        <f aca="false">IF(H16931&lt;=$C$16854,$C$16846*H16932,0)</f>
        <v>0</v>
      </c>
    </row>
    <row r="16934" customFormat="false" ht="15" hidden="false" customHeight="false" outlineLevel="0" collapsed="false">
      <c r="A16934" s="5" t="s">
        <v>498</v>
      </c>
      <c r="D16934" s="25" t="n">
        <f aca="false">IF(AND($C$16761=0,D16931=$C$16849),$C$16846*$C$16928/100,0)+IF(AND($C$16761=1,D16931=$C$16929),$C$16852,0)</f>
        <v>0</v>
      </c>
      <c r="E16934" s="25" t="n">
        <f aca="false">IF(AND($C$16761=0,E16931=$C$16849),$C$16846*$C$16928/100,0)+IF(AND($C$16761=1,E16931=$C$16929),$C$16852,0)</f>
        <v>0</v>
      </c>
      <c r="F16934" s="25" t="n">
        <f aca="false">IF(AND($C$16761=0,F16931=$C$16849),$C$16846*$C$16928/100,0)+IF(AND($C$16761=1,F16931=$C$16929),$C$16852,0)</f>
        <v>25.934040188383</v>
      </c>
      <c r="G16934" s="25" t="n">
        <f aca="false">IF(AND($C$16761=0,G16931=$C$16849),$C$16846*$C$16928/100,0)+IF(AND($C$16761=1,G16931=$C$16929),$C$16852,0)</f>
        <v>0</v>
      </c>
      <c r="H16934" s="25" t="n">
        <f aca="false">IF(AND($C$16761=0,H16931=$C$16849),$C$16846*$C$16928/100,0)+IF(AND($C$16761=1,H16931=$C$16929),$C$16852,0)</f>
        <v>0</v>
      </c>
      <c r="I16934" s="25" t="n">
        <f aca="false">IF(AND($C$16761=0,I16931=$C$16849),$C$16846*$C$16928/100,0)+IF(AND($C$16761=1,I16931=$C$16929),$C$16852,0)</f>
        <v>0</v>
      </c>
    </row>
    <row r="16935" customFormat="false" ht="15" hidden="false" customHeight="false" outlineLevel="0" collapsed="false">
      <c r="A16935" s="2" t="s">
        <v>499</v>
      </c>
      <c r="C16935" s="16" t="n">
        <f aca="false">-$C$16848</f>
        <v>-78.39</v>
      </c>
      <c r="D16935" s="16" t="n">
        <f aca="false">D16933+D16934</f>
        <v>15.3</v>
      </c>
      <c r="E16935" s="16" t="n">
        <f aca="false">E16933+E16934</f>
        <v>15.05</v>
      </c>
      <c r="F16935" s="16" t="n">
        <f aca="false">F16933+F16934</f>
        <v>25.934040188383</v>
      </c>
      <c r="G16935" s="16" t="n">
        <f aca="false">G16933+G16934</f>
        <v>0</v>
      </c>
      <c r="H16935" s="16" t="n">
        <f aca="false">H16933+H16934</f>
        <v>0</v>
      </c>
      <c r="I16935" s="16" t="n">
        <f aca="false">I16933+I16934</f>
        <v>0</v>
      </c>
    </row>
    <row r="16936" customFormat="false" ht="15" hidden="false" customHeight="false" outlineLevel="0" collapsed="false">
      <c r="A16936" s="5" t="s">
        <v>500</v>
      </c>
      <c r="C16936" s="25" t="n">
        <f aca="false">SUM($C$16933:$I$16933)</f>
        <v>30.35</v>
      </c>
    </row>
    <row r="16937" customFormat="false" ht="15" hidden="false" customHeight="false" outlineLevel="0" collapsed="false">
      <c r="A16937" s="5" t="s">
        <v>501</v>
      </c>
      <c r="C16937" s="25" t="n">
        <f aca="false">SUM($C$16934:$I$16934)</f>
        <v>25.934040188383</v>
      </c>
    </row>
    <row r="16938" customFormat="false" ht="15" hidden="false" customHeight="false" outlineLevel="0" collapsed="false">
      <c r="A16938" s="5" t="s">
        <v>502</v>
      </c>
      <c r="C16938" s="25" t="n">
        <f aca="false">C16936+C16937</f>
        <v>56.284040188383</v>
      </c>
    </row>
    <row r="16939" customFormat="false" ht="15" hidden="false" customHeight="false" outlineLevel="0" collapsed="false">
      <c r="A16939" s="5" t="s">
        <v>503</v>
      </c>
      <c r="C16939" s="25" t="n">
        <f aca="false">C16937-C16846*C16847/100</f>
        <v>-52.065959811617</v>
      </c>
    </row>
    <row r="16940" customFormat="false" ht="15" hidden="false" customHeight="false" outlineLevel="0" collapsed="false">
      <c r="A16940" s="5" t="s">
        <v>504</v>
      </c>
      <c r="C16940" s="25" t="n">
        <f aca="false">C16938-C16848</f>
        <v>-22.1059598116169</v>
      </c>
    </row>
    <row r="16941" customFormat="false" ht="15" hidden="false" customHeight="false" outlineLevel="0" collapsed="false">
      <c r="A16941" s="2" t="s">
        <v>385</v>
      </c>
      <c r="C16941" s="43" t="n">
        <f aca="false">C16938/C16848</f>
        <v>0.718000257537735</v>
      </c>
    </row>
    <row r="16942" customFormat="false" ht="15" hidden="false" customHeight="false" outlineLevel="0" collapsed="false">
      <c r="A16942" s="2" t="s">
        <v>384</v>
      </c>
      <c r="C16942" s="41" t="n">
        <f aca="false">IF(C16938&lt;=0,-1,IFERROR(IRR($C$16935:$I$16935,MAX(-0.9,C16941^(1/C16929)-1)),IRR($C$16935:$I$16935,0.1)))</f>
        <v>-0.137500701265524</v>
      </c>
    </row>
    <row r="16943" customFormat="false" ht="15" hidden="false" customHeight="false" outlineLevel="0" collapsed="false">
      <c r="A16943" s="5" t="s">
        <v>505</v>
      </c>
      <c r="C16943" s="31" t="n">
        <f aca="false">MAX($G$16737:$K$16737)</f>
        <v>129.911389882771</v>
      </c>
    </row>
    <row r="16944" customFormat="false" ht="15" hidden="false" customHeight="false" outlineLevel="0" collapsed="false">
      <c r="A16944" s="5" t="s">
        <v>506</v>
      </c>
      <c r="C16944" s="31" t="n">
        <f aca="false">MIN($G$16738:$K$16738)</f>
        <v>0.0975676305713075</v>
      </c>
    </row>
    <row r="16945" customFormat="false" ht="15" hidden="false" customHeight="false" outlineLevel="0" collapsed="false">
      <c r="A16945" s="5" t="s">
        <v>507</v>
      </c>
      <c r="C16945" s="25" t="n">
        <f aca="false">SUM($G$16627:$K$16627)</f>
        <v>-778.516599058855</v>
      </c>
    </row>
    <row r="16949" customFormat="false" ht="15" hidden="false" customHeight="false" outlineLevel="0" collapsed="false">
      <c r="A16949" s="9" t="s">
        <v>674</v>
      </c>
      <c r="B16949" s="10"/>
      <c r="C16949" s="10"/>
      <c r="D16949" s="10"/>
      <c r="E16949" s="10"/>
      <c r="F16949" s="10"/>
      <c r="G16949" s="10"/>
      <c r="H16949" s="10"/>
      <c r="I16949" s="10"/>
      <c r="J16949" s="10"/>
      <c r="K16949" s="10"/>
    </row>
    <row r="16950" customFormat="false" ht="15" hidden="false" customHeight="false" outlineLevel="0" collapsed="false">
      <c r="A16950" s="5" t="s">
        <v>622</v>
      </c>
      <c r="C16950" s="11" t="n">
        <v>1</v>
      </c>
    </row>
    <row r="16951" customFormat="false" ht="15" hidden="false" customHeight="false" outlineLevel="0" collapsed="false">
      <c r="A16951" s="5" t="s">
        <v>623</v>
      </c>
      <c r="C16951" s="18" t="n">
        <v>0</v>
      </c>
    </row>
    <row r="16952" customFormat="false" ht="15" hidden="false" customHeight="false" outlineLevel="0" collapsed="false">
      <c r="A16952" s="5" t="s">
        <v>624</v>
      </c>
      <c r="C16952" s="18" t="n">
        <v>0</v>
      </c>
    </row>
    <row r="16953" customFormat="false" ht="15" hidden="false" customHeight="false" outlineLevel="0" collapsed="false">
      <c r="A16953" s="5" t="s">
        <v>625</v>
      </c>
      <c r="C16953" s="18" t="n">
        <v>0</v>
      </c>
    </row>
    <row r="16954" customFormat="false" ht="15" hidden="false" customHeight="false" outlineLevel="0" collapsed="false">
      <c r="A16954" s="5" t="s">
        <v>626</v>
      </c>
      <c r="C16954" s="32" t="n">
        <f aca="false">Sensitivities!$A$60</f>
        <v>-2</v>
      </c>
    </row>
    <row r="16956" customFormat="false" ht="15" hidden="false" customHeight="false" outlineLevel="0" collapsed="false">
      <c r="A16956" s="23" t="s">
        <v>237</v>
      </c>
      <c r="B16956" s="24"/>
      <c r="C16956" s="24"/>
      <c r="D16956" s="24"/>
      <c r="E16956" s="24"/>
      <c r="F16956" s="24"/>
      <c r="G16956" s="24"/>
      <c r="H16956" s="24"/>
      <c r="I16956" s="24"/>
      <c r="J16956" s="24"/>
      <c r="K16956" s="24"/>
    </row>
    <row r="16957" customFormat="false" ht="15" hidden="false" customHeight="false" outlineLevel="0" collapsed="false">
      <c r="A16957" s="5" t="s">
        <v>238</v>
      </c>
      <c r="F16957" s="26" t="n">
        <f aca="false">Assumptions!$C$6</f>
        <v>2025</v>
      </c>
      <c r="G16957" s="20" t="n">
        <f aca="false">F16957+1</f>
        <v>2026</v>
      </c>
      <c r="H16957" s="20" t="n">
        <f aca="false">G16957+1</f>
        <v>2027</v>
      </c>
      <c r="I16957" s="20" t="n">
        <f aca="false">H16957+1</f>
        <v>2028</v>
      </c>
      <c r="J16957" s="20" t="n">
        <f aca="false">I16957+1</f>
        <v>2029</v>
      </c>
      <c r="K16957" s="20" t="n">
        <f aca="false">J16957+1</f>
        <v>2030</v>
      </c>
    </row>
    <row r="16958" customFormat="false" ht="15" hidden="false" customHeight="false" outlineLevel="0" collapsed="false">
      <c r="A16958" s="5" t="s">
        <v>239</v>
      </c>
      <c r="G16958" s="20" t="n">
        <f aca="false">G16957-Assumptions!$C$6</f>
        <v>1</v>
      </c>
      <c r="H16958" s="20" t="n">
        <f aca="false">H16957-Assumptions!$C$6</f>
        <v>2</v>
      </c>
      <c r="I16958" s="20" t="n">
        <f aca="false">I16957-Assumptions!$C$6</f>
        <v>3</v>
      </c>
      <c r="J16958" s="20" t="n">
        <f aca="false">J16957-Assumptions!$C$6</f>
        <v>4</v>
      </c>
      <c r="K16958" s="20" t="n">
        <f aca="false">K16957-Assumptions!$C$6</f>
        <v>5</v>
      </c>
    </row>
    <row r="16959" customFormat="false" ht="15" hidden="false" customHeight="false" outlineLevel="0" collapsed="false">
      <c r="A16959" s="5" t="s">
        <v>149</v>
      </c>
      <c r="G16959" s="21" t="n">
        <f aca="false">CHOOSE($C$16950,Assumptions!$G$65,Assumptions!$G$84,Assumptions!$G$103)+$C$16951</f>
        <v>-0.01</v>
      </c>
      <c r="H16959" s="21" t="n">
        <f aca="false">CHOOSE($C$16950,Assumptions!$H$65,Assumptions!$H$84,Assumptions!$H$103)+$C$16951</f>
        <v>-0.01</v>
      </c>
      <c r="I16959" s="21" t="n">
        <f aca="false">CHOOSE($C$16950,Assumptions!$I$65,Assumptions!$I$84,Assumptions!$I$103)+$C$16951</f>
        <v>-0.01</v>
      </c>
      <c r="J16959" s="21" t="n">
        <f aca="false">CHOOSE($C$16950,Assumptions!$J$65,Assumptions!$J$84,Assumptions!$J$103)+$C$16951</f>
        <v>-0.01</v>
      </c>
      <c r="K16959" s="21" t="n">
        <f aca="false">CHOOSE($C$16950,Assumptions!$K$65,Assumptions!$K$84,Assumptions!$K$103)+$C$16951</f>
        <v>-0.01</v>
      </c>
    </row>
    <row r="16960" customFormat="false" ht="15" hidden="false" customHeight="false" outlineLevel="0" collapsed="false">
      <c r="A16960" s="5" t="s">
        <v>150</v>
      </c>
      <c r="G16960" s="21" t="n">
        <f aca="false">CHOOSE($C$16950,Assumptions!$G$66,Assumptions!$G$85,Assumptions!$G$104)</f>
        <v>0.36</v>
      </c>
      <c r="H16960" s="21" t="n">
        <f aca="false">CHOOSE($C$16950,Assumptions!$H$66,Assumptions!$H$85,Assumptions!$H$104)</f>
        <v>0.362</v>
      </c>
      <c r="I16960" s="21" t="n">
        <f aca="false">CHOOSE($C$16950,Assumptions!$I$66,Assumptions!$I$85,Assumptions!$I$104)</f>
        <v>0.364</v>
      </c>
      <c r="J16960" s="21" t="n">
        <f aca="false">CHOOSE($C$16950,Assumptions!$J$66,Assumptions!$J$85,Assumptions!$J$104)</f>
        <v>0.366</v>
      </c>
      <c r="K16960" s="21" t="n">
        <f aca="false">CHOOSE($C$16950,Assumptions!$K$66,Assumptions!$K$85,Assumptions!$K$104)</f>
        <v>0.368</v>
      </c>
    </row>
    <row r="16961" customFormat="false" ht="15" hidden="false" customHeight="false" outlineLevel="0" collapsed="false">
      <c r="A16961" s="5" t="s">
        <v>151</v>
      </c>
      <c r="G16961" s="21" t="n">
        <f aca="false">CHOOSE($C$16950,Assumptions!$G$67,Assumptions!$G$86,Assumptions!$G$105)+$C$16952</f>
        <v>0.065</v>
      </c>
      <c r="H16961" s="21" t="n">
        <f aca="false">CHOOSE($C$16950,Assumptions!$H$67,Assumptions!$H$86,Assumptions!$H$105)+$C$16952</f>
        <v>0.067</v>
      </c>
      <c r="I16961" s="21" t="n">
        <f aca="false">CHOOSE($C$16950,Assumptions!$I$67,Assumptions!$I$86,Assumptions!$I$105)+$C$16952</f>
        <v>0.069</v>
      </c>
      <c r="J16961" s="21" t="n">
        <f aca="false">CHOOSE($C$16950,Assumptions!$J$67,Assumptions!$J$86,Assumptions!$J$105)+$C$16952</f>
        <v>0.071</v>
      </c>
      <c r="K16961" s="21" t="n">
        <f aca="false">CHOOSE($C$16950,Assumptions!$K$67,Assumptions!$K$86,Assumptions!$K$105)+$C$16952</f>
        <v>0.073</v>
      </c>
    </row>
    <row r="16962" customFormat="false" ht="15" hidden="false" customHeight="false" outlineLevel="0" collapsed="false">
      <c r="A16962" s="23" t="s">
        <v>240</v>
      </c>
      <c r="B16962" s="24"/>
      <c r="C16962" s="24"/>
      <c r="D16962" s="24"/>
      <c r="E16962" s="24"/>
      <c r="F16962" s="24"/>
      <c r="G16962" s="24"/>
      <c r="H16962" s="24"/>
      <c r="I16962" s="24"/>
      <c r="J16962" s="24"/>
      <c r="K16962" s="24"/>
    </row>
    <row r="16963" customFormat="false" ht="15" hidden="false" customHeight="false" outlineLevel="0" collapsed="false">
      <c r="A16963" s="2" t="s">
        <v>207</v>
      </c>
      <c r="F16963" s="27" t="n">
        <f aca="false">'Historical Financials'!E17</f>
        <v>2400</v>
      </c>
      <c r="G16963" s="16" t="n">
        <f aca="false">F16963*(1+G16959)</f>
        <v>2376</v>
      </c>
      <c r="H16963" s="16" t="n">
        <f aca="false">G16963*(1+H16959)</f>
        <v>2352.24</v>
      </c>
      <c r="I16963" s="16" t="n">
        <f aca="false">H16963*(1+I16959)</f>
        <v>2328.7176</v>
      </c>
      <c r="J16963" s="16" t="n">
        <f aca="false">I16963*(1+J16959)</f>
        <v>2305.430424</v>
      </c>
      <c r="K16963" s="16" t="n">
        <f aca="false">J16963*(1+K16959)</f>
        <v>2282.37611976</v>
      </c>
    </row>
    <row r="16964" customFormat="false" ht="15" hidden="false" customHeight="false" outlineLevel="0" collapsed="false">
      <c r="A16964" s="5" t="s">
        <v>217</v>
      </c>
      <c r="G16964" s="25" t="n">
        <f aca="false">G16963*(1-G16960)</f>
        <v>1520.64</v>
      </c>
      <c r="H16964" s="25" t="n">
        <f aca="false">H16963*(1-H16960)</f>
        <v>1500.72912</v>
      </c>
      <c r="I16964" s="25" t="n">
        <f aca="false">I16963*(1-I16960)</f>
        <v>1481.0643936</v>
      </c>
      <c r="J16964" s="25" t="n">
        <f aca="false">J16963*(1-J16960)</f>
        <v>1461.642888816</v>
      </c>
      <c r="K16964" s="25" t="n">
        <f aca="false">K16963*(1-K16960)</f>
        <v>1442.46170768832</v>
      </c>
    </row>
    <row r="16965" customFormat="false" ht="15" hidden="false" customHeight="false" outlineLevel="0" collapsed="false">
      <c r="A16965" s="2" t="s">
        <v>218</v>
      </c>
      <c r="G16965" s="16" t="n">
        <f aca="false">G16963-G16964</f>
        <v>855.36</v>
      </c>
      <c r="H16965" s="16" t="n">
        <f aca="false">H16963-H16964</f>
        <v>851.51088</v>
      </c>
      <c r="I16965" s="16" t="n">
        <f aca="false">I16963-I16964</f>
        <v>847.6532064</v>
      </c>
      <c r="J16965" s="16" t="n">
        <f aca="false">J16963-J16964</f>
        <v>843.787535184</v>
      </c>
      <c r="K16965" s="16" t="n">
        <f aca="false">K16963-K16964</f>
        <v>839.91441207168</v>
      </c>
    </row>
    <row r="16966" customFormat="false" ht="15" hidden="false" customHeight="false" outlineLevel="0" collapsed="false">
      <c r="A16966" s="5" t="s">
        <v>241</v>
      </c>
      <c r="G16966" s="25" t="n">
        <f aca="false">G16965-G16967</f>
        <v>700.92</v>
      </c>
      <c r="H16966" s="25" t="n">
        <f aca="false">H16965-H16967</f>
        <v>693.9108</v>
      </c>
      <c r="I16966" s="25" t="n">
        <f aca="false">I16965-I16967</f>
        <v>686.971692</v>
      </c>
      <c r="J16966" s="25" t="n">
        <f aca="false">J16965-J16967</f>
        <v>680.10197508</v>
      </c>
      <c r="K16966" s="25" t="n">
        <f aca="false">K16965-K16967</f>
        <v>673.3009553292</v>
      </c>
    </row>
    <row r="16967" customFormat="false" ht="15" hidden="false" customHeight="false" outlineLevel="0" collapsed="false">
      <c r="A16967" s="2" t="s">
        <v>242</v>
      </c>
      <c r="G16967" s="16" t="n">
        <f aca="false">G16963*G16961</f>
        <v>154.44</v>
      </c>
      <c r="H16967" s="16" t="n">
        <f aca="false">H16963*H16961</f>
        <v>157.60008</v>
      </c>
      <c r="I16967" s="16" t="n">
        <f aca="false">I16963*I16961</f>
        <v>160.6815144</v>
      </c>
      <c r="J16967" s="16" t="n">
        <f aca="false">J16963*J16961</f>
        <v>163.685560104</v>
      </c>
      <c r="K16967" s="16" t="n">
        <f aca="false">K16963*K16961</f>
        <v>166.61345674248</v>
      </c>
    </row>
    <row r="16968" customFormat="false" ht="15" hidden="false" customHeight="false" outlineLevel="0" collapsed="false">
      <c r="A16968" s="5" t="s">
        <v>243</v>
      </c>
      <c r="G16968" s="25" t="n">
        <f aca="false">G16963*'Historical Financials'!E22/'Historical Financials'!E17</f>
        <v>52.272</v>
      </c>
      <c r="H16968" s="25" t="n">
        <f aca="false">H16963*'Historical Financials'!E22/'Historical Financials'!E17</f>
        <v>51.74928</v>
      </c>
      <c r="I16968" s="25" t="n">
        <f aca="false">I16963*'Historical Financials'!E22/'Historical Financials'!E17</f>
        <v>51.2317872</v>
      </c>
      <c r="J16968" s="25" t="n">
        <f aca="false">J16963*'Historical Financials'!E22/'Historical Financials'!E17</f>
        <v>50.719469328</v>
      </c>
      <c r="K16968" s="25" t="n">
        <f aca="false">K16963*'Historical Financials'!E22/'Historical Financials'!E17</f>
        <v>50.21227463472</v>
      </c>
    </row>
    <row r="16969" customFormat="false" ht="15" hidden="false" customHeight="false" outlineLevel="0" collapsed="false">
      <c r="A16969" s="5" t="s">
        <v>244</v>
      </c>
      <c r="G16969" s="25" t="n">
        <f aca="false">G16963*'Historical Financials'!E23/'Historical Financials'!E17</f>
        <v>0</v>
      </c>
      <c r="H16969" s="25" t="n">
        <f aca="false">H16963*'Historical Financials'!E23/'Historical Financials'!E17</f>
        <v>0</v>
      </c>
      <c r="I16969" s="25" t="n">
        <f aca="false">I16963*'Historical Financials'!E23/'Historical Financials'!E17</f>
        <v>0</v>
      </c>
      <c r="J16969" s="25" t="n">
        <f aca="false">J16963*'Historical Financials'!E23/'Historical Financials'!E17</f>
        <v>0</v>
      </c>
      <c r="K16969" s="25" t="n">
        <f aca="false">K16963*'Historical Financials'!E23/'Historical Financials'!E17</f>
        <v>0</v>
      </c>
    </row>
    <row r="16970" customFormat="false" ht="15" hidden="false" customHeight="false" outlineLevel="0" collapsed="false">
      <c r="A16970" s="2" t="s">
        <v>245</v>
      </c>
      <c r="G16970" s="16" t="n">
        <f aca="false">G16967-G16968-G16969</f>
        <v>102.168</v>
      </c>
      <c r="H16970" s="16" t="n">
        <f aca="false">H16967-H16968-H16969</f>
        <v>105.8508</v>
      </c>
      <c r="I16970" s="16" t="n">
        <f aca="false">I16967-I16968-I16969</f>
        <v>109.4497272</v>
      </c>
      <c r="J16970" s="16" t="n">
        <f aca="false">J16967-J16968-J16969</f>
        <v>112.966090776</v>
      </c>
      <c r="K16970" s="16" t="n">
        <f aca="false">K16967-K16968-K16969</f>
        <v>116.40118210776</v>
      </c>
    </row>
    <row r="16971" customFormat="false" ht="15" hidden="false" customHeight="false" outlineLevel="0" collapsed="false">
      <c r="A16971" s="5" t="s">
        <v>246</v>
      </c>
      <c r="G16971" s="25" t="n">
        <f aca="false">G16997+G17010+G17023+G17036</f>
        <v>119.04</v>
      </c>
      <c r="H16971" s="25" t="n">
        <f aca="false">H16997+H17010+H17023+H17036</f>
        <v>114.21564</v>
      </c>
      <c r="I16971" s="25" t="n">
        <f aca="false">I16997+I17010+I17023+I17036</f>
        <v>126.8792</v>
      </c>
      <c r="J16971" s="25" t="n">
        <f aca="false">J16997+J17010+J17023+J17036</f>
        <v>134.749836056</v>
      </c>
      <c r="K16971" s="25" t="n">
        <f aca="false">K16997+K17010+K17023+K17036</f>
        <v>136.33146262032</v>
      </c>
    </row>
    <row r="16972" customFormat="false" ht="15" hidden="false" customHeight="false" outlineLevel="0" collapsed="false">
      <c r="A16972" s="5" t="s">
        <v>247</v>
      </c>
      <c r="G16972" s="25" t="n">
        <f aca="false">G16998+G17011+G17024+G17037</f>
        <v>0</v>
      </c>
      <c r="H16972" s="25" t="n">
        <f aca="false">H16998+H17011+H17024+H17037</f>
        <v>0</v>
      </c>
      <c r="I16972" s="25" t="n">
        <f aca="false">I16998+I17011+I17024+I17037</f>
        <v>0</v>
      </c>
      <c r="J16972" s="25" t="n">
        <f aca="false">J16998+J17011+J17024+J17037</f>
        <v>0</v>
      </c>
      <c r="K16972" s="25" t="n">
        <f aca="false">K16998+K17011+K17024+K17037</f>
        <v>0</v>
      </c>
    </row>
    <row r="16973" customFormat="false" ht="15" hidden="false" customHeight="false" outlineLevel="0" collapsed="false">
      <c r="A16973" s="5" t="s">
        <v>212</v>
      </c>
      <c r="G16973" s="25" t="n">
        <f aca="false">G16971+G16972</f>
        <v>119.04</v>
      </c>
      <c r="H16973" s="25" t="n">
        <f aca="false">H16971+H16972</f>
        <v>114.21564</v>
      </c>
      <c r="I16973" s="25" t="n">
        <f aca="false">I16971+I16972</f>
        <v>126.8792</v>
      </c>
      <c r="J16973" s="25" t="n">
        <f aca="false">J16971+J16972</f>
        <v>134.749836056</v>
      </c>
      <c r="K16973" s="25" t="n">
        <f aca="false">K16971+K16972</f>
        <v>136.33146262032</v>
      </c>
    </row>
    <row r="16974" customFormat="false" ht="15" hidden="false" customHeight="false" outlineLevel="0" collapsed="false">
      <c r="A16974" s="2" t="s">
        <v>223</v>
      </c>
      <c r="G16974" s="16" t="n">
        <f aca="false">G16970-G16973</f>
        <v>-16.872</v>
      </c>
      <c r="H16974" s="16" t="n">
        <f aca="false">H16970-H16973</f>
        <v>-8.36484</v>
      </c>
      <c r="I16974" s="16" t="n">
        <f aca="false">I16970-I16973</f>
        <v>-17.4294728</v>
      </c>
      <c r="J16974" s="16" t="n">
        <f aca="false">J16970-J16973</f>
        <v>-21.78374528</v>
      </c>
      <c r="K16974" s="16" t="n">
        <f aca="false">K16970-K16973</f>
        <v>-19.93028051256</v>
      </c>
    </row>
    <row r="16975" customFormat="false" ht="15" hidden="false" customHeight="false" outlineLevel="0" collapsed="false">
      <c r="A16975" s="5" t="s">
        <v>213</v>
      </c>
      <c r="G16975" s="25" t="n">
        <f aca="false">MAX(0,G16974)*Assumptions!$C$9</f>
        <v>0</v>
      </c>
      <c r="H16975" s="25" t="n">
        <f aca="false">MAX(0,H16974)*Assumptions!$C$9</f>
        <v>0</v>
      </c>
      <c r="I16975" s="25" t="n">
        <f aca="false">MAX(0,I16974)*Assumptions!$C$9</f>
        <v>0</v>
      </c>
      <c r="J16975" s="25" t="n">
        <f aca="false">MAX(0,J16974)*Assumptions!$C$9</f>
        <v>0</v>
      </c>
      <c r="K16975" s="25" t="n">
        <f aca="false">MAX(0,K16974)*Assumptions!$C$9</f>
        <v>0</v>
      </c>
    </row>
    <row r="16976" customFormat="false" ht="15" hidden="false" customHeight="false" outlineLevel="0" collapsed="false">
      <c r="A16976" s="2" t="s">
        <v>248</v>
      </c>
      <c r="G16976" s="16" t="n">
        <f aca="false">G16974-G16975</f>
        <v>-16.872</v>
      </c>
      <c r="H16976" s="16" t="n">
        <f aca="false">H16974-H16975</f>
        <v>-8.36484</v>
      </c>
      <c r="I16976" s="16" t="n">
        <f aca="false">I16974-I16975</f>
        <v>-17.4294728</v>
      </c>
      <c r="J16976" s="16" t="n">
        <f aca="false">J16974-J16975</f>
        <v>-21.78374528</v>
      </c>
      <c r="K16976" s="16" t="n">
        <f aca="false">K16974-K16975</f>
        <v>-19.93028051256</v>
      </c>
    </row>
    <row r="16977" customFormat="false" ht="15" hidden="false" customHeight="false" outlineLevel="0" collapsed="false">
      <c r="A16977" s="23" t="s">
        <v>249</v>
      </c>
      <c r="B16977" s="24"/>
      <c r="C16977" s="24"/>
      <c r="D16977" s="24"/>
      <c r="E16977" s="24"/>
      <c r="F16977" s="24"/>
      <c r="G16977" s="24"/>
      <c r="H16977" s="24"/>
      <c r="I16977" s="24"/>
      <c r="J16977" s="24"/>
      <c r="K16977" s="24"/>
    </row>
    <row r="16978" customFormat="false" ht="15" hidden="false" customHeight="false" outlineLevel="0" collapsed="false">
      <c r="A16978" s="5" t="s">
        <v>153</v>
      </c>
      <c r="G16978" s="25" t="n">
        <f aca="false">G16963*CHOOSE($C$16950,Assumptions!$C$69,Assumptions!$C$88,Assumptions!$C$107)</f>
        <v>47.52</v>
      </c>
      <c r="H16978" s="25" t="n">
        <f aca="false">H16963*CHOOSE($C$16950,Assumptions!$C$69,Assumptions!$C$88,Assumptions!$C$107)</f>
        <v>47.0448</v>
      </c>
      <c r="I16978" s="25" t="n">
        <f aca="false">I16963*CHOOSE($C$16950,Assumptions!$C$69,Assumptions!$C$88,Assumptions!$C$107)</f>
        <v>46.574352</v>
      </c>
      <c r="J16978" s="25" t="n">
        <f aca="false">J16963*CHOOSE($C$16950,Assumptions!$C$69,Assumptions!$C$88,Assumptions!$C$107)</f>
        <v>46.10860848</v>
      </c>
      <c r="K16978" s="25" t="n">
        <f aca="false">K16963*CHOOSE($C$16950,Assumptions!$C$69,Assumptions!$C$88,Assumptions!$C$107)</f>
        <v>45.6475223952</v>
      </c>
    </row>
    <row r="16979" customFormat="false" ht="15" hidden="false" customHeight="false" outlineLevel="0" collapsed="false">
      <c r="A16979" s="5" t="s">
        <v>250</v>
      </c>
      <c r="G16979" s="25" t="n">
        <f aca="false">CHOOSE($C$16950,Assumptions!$C$70,Assumptions!$C$89,Assumptions!$C$108)*(G16963-F16963)+CHOOSE($C$16950,Assumptions!$C$71,Assumptions!$C$90,Assumptions!$C$109)*G16963</f>
        <v>-2.88</v>
      </c>
      <c r="H16979" s="25" t="n">
        <f aca="false">CHOOSE($C$16950,Assumptions!$C$70,Assumptions!$C$89,Assumptions!$C$108)*(H16963-G16963)+CHOOSE($C$16950,Assumptions!$C$71,Assumptions!$C$90,Assumptions!$C$109)*H16963</f>
        <v>-2.85120000000003</v>
      </c>
      <c r="I16979" s="25" t="n">
        <f aca="false">CHOOSE($C$16950,Assumptions!$C$70,Assumptions!$C$89,Assumptions!$C$108)*(I16963-H16963)+CHOOSE($C$16950,Assumptions!$C$71,Assumptions!$C$90,Assumptions!$C$109)*I16963</f>
        <v>-2.82268799999998</v>
      </c>
      <c r="J16979" s="25" t="n">
        <f aca="false">CHOOSE($C$16950,Assumptions!$C$70,Assumptions!$C$89,Assumptions!$C$108)*(J16963-I16963)+CHOOSE($C$16950,Assumptions!$C$71,Assumptions!$C$90,Assumptions!$C$109)*J16963</f>
        <v>-2.79446111999998</v>
      </c>
      <c r="K16979" s="25" t="n">
        <f aca="false">CHOOSE($C$16950,Assumptions!$C$70,Assumptions!$C$89,Assumptions!$C$108)*(K16963-J16963)+CHOOSE($C$16950,Assumptions!$C$71,Assumptions!$C$90,Assumptions!$C$109)*K16963</f>
        <v>-2.7665165088</v>
      </c>
    </row>
    <row r="16980" customFormat="false" ht="15" hidden="false" customHeight="false" outlineLevel="0" collapsed="false">
      <c r="A16980" s="2" t="s">
        <v>251</v>
      </c>
      <c r="G16980" s="16" t="n">
        <f aca="false">G16976+G16968+G16969+G16972-G16978-G16979</f>
        <v>-9.24000000000001</v>
      </c>
      <c r="H16980" s="16" t="n">
        <f aca="false">H16976+H16968+H16969+H16972-H16978-H16979</f>
        <v>-0.809159999999978</v>
      </c>
      <c r="I16980" s="16" t="n">
        <f aca="false">I16976+I16968+I16969+I16972-I16978-I16979</f>
        <v>-9.94934960000002</v>
      </c>
      <c r="J16980" s="16" t="n">
        <f aca="false">J16976+J16968+J16969+J16972-J16978-J16979</f>
        <v>-14.378423312</v>
      </c>
      <c r="K16980" s="16" t="n">
        <f aca="false">K16976+K16968+K16969+K16972-K16978-K16979</f>
        <v>-12.59901176424</v>
      </c>
    </row>
    <row r="16982" customFormat="false" ht="15" hidden="false" customHeight="false" outlineLevel="0" collapsed="false">
      <c r="A16982" s="23" t="s">
        <v>253</v>
      </c>
      <c r="B16982" s="24"/>
      <c r="C16982" s="24"/>
      <c r="D16982" s="24"/>
      <c r="E16982" s="24"/>
      <c r="F16982" s="24"/>
      <c r="G16982" s="24"/>
      <c r="H16982" s="24"/>
      <c r="I16982" s="24"/>
      <c r="J16982" s="24"/>
      <c r="K16982" s="24"/>
    </row>
    <row r="16983" customFormat="false" ht="15" hidden="false" customHeight="false" outlineLevel="0" collapsed="false">
      <c r="A16983" s="5" t="s">
        <v>254</v>
      </c>
      <c r="G16983" s="29" t="n">
        <f aca="false">Assumptions!$G$49</f>
        <v>0.0425</v>
      </c>
      <c r="H16983" s="29" t="n">
        <f aca="false">Assumptions!$H$49</f>
        <v>0.04</v>
      </c>
      <c r="I16983" s="29" t="n">
        <f aca="false">Assumptions!$I$49</f>
        <v>0.0375</v>
      </c>
      <c r="J16983" s="29" t="n">
        <f aca="false">Assumptions!$J$49</f>
        <v>0.0375</v>
      </c>
      <c r="K16983" s="29" t="n">
        <f aca="false">Assumptions!$K$49</f>
        <v>0.0375</v>
      </c>
    </row>
    <row r="16984" customFormat="false" ht="15" hidden="false" customHeight="false" outlineLevel="0" collapsed="false">
      <c r="A16984" s="5" t="s">
        <v>255</v>
      </c>
      <c r="C16984" s="30" t="n">
        <f aca="false">CHOOSE($C$16950,Assumptions!$C$72,Assumptions!$C$91,Assumptions!$C$110)+$C$16953</f>
        <v>0</v>
      </c>
    </row>
    <row r="16985" customFormat="false" ht="15" hidden="false" customHeight="false" outlineLevel="0" collapsed="false">
      <c r="A16985" s="5" t="s">
        <v>256</v>
      </c>
      <c r="C16985" s="30" t="n">
        <f aca="false">CHOOSE($C$16950,Assumptions!$C$73,Assumptions!$C$92,Assumptions!$C$111)</f>
        <v>0.11</v>
      </c>
    </row>
    <row r="16986" customFormat="false" ht="15" hidden="false" customHeight="false" outlineLevel="0" collapsed="false">
      <c r="A16986" s="5" t="s">
        <v>257</v>
      </c>
      <c r="C16986" s="31" t="n">
        <f aca="false">CHOOSE($C$16950,Assumptions!$C$74,Assumptions!$C$93,Assumptions!$C$112)</f>
        <v>8.5</v>
      </c>
    </row>
    <row r="16987" customFormat="false" ht="15" hidden="false" customHeight="false" outlineLevel="0" collapsed="false">
      <c r="A16987" s="5" t="s">
        <v>258</v>
      </c>
      <c r="C16987" s="31" t="n">
        <f aca="false">CHOOSE($C$16950,Assumptions!$C$75,Assumptions!$C$94,Assumptions!$C$113)</f>
        <v>1.2</v>
      </c>
    </row>
    <row r="16988" customFormat="false" ht="15" hidden="false" customHeight="false" outlineLevel="0" collapsed="false">
      <c r="A16988" s="5" t="s">
        <v>259</v>
      </c>
      <c r="G16988" s="25" t="n">
        <f aca="false">G16993+G17006+G17019+G17032</f>
        <v>1250</v>
      </c>
      <c r="H16988" s="25" t="n">
        <f aca="false">H16993+H17006+H17019+H17032</f>
        <v>1214.24</v>
      </c>
      <c r="I16988" s="25" t="n">
        <f aca="false">I16993+I17006+I17019+I17032</f>
        <v>1209.04</v>
      </c>
      <c r="J16988" s="25" t="n">
        <f aca="false">J16993+J17006+J17019+J17032</f>
        <v>1224.9985096</v>
      </c>
      <c r="K16988" s="25" t="n">
        <f aca="false">K16993+K17006+K17019+K17032</f>
        <v>1239.376932912</v>
      </c>
    </row>
    <row r="16989" customFormat="false" ht="15" hidden="false" customHeight="false" outlineLevel="0" collapsed="false">
      <c r="A16989" s="5" t="s">
        <v>260</v>
      </c>
      <c r="G16989" s="25" t="n">
        <f aca="false">F17079</f>
        <v>45</v>
      </c>
      <c r="H16989" s="25" t="n">
        <f aca="false">G17079</f>
        <v>0</v>
      </c>
      <c r="I16989" s="25" t="n">
        <f aca="false">H17079</f>
        <v>-6.00915999999998</v>
      </c>
      <c r="J16989" s="25" t="n">
        <f aca="false">I17079</f>
        <v>0</v>
      </c>
      <c r="K16989" s="25" t="n">
        <f aca="false">J17079</f>
        <v>0</v>
      </c>
    </row>
    <row r="16990" customFormat="false" ht="15" hidden="false" customHeight="false" outlineLevel="0" collapsed="false">
      <c r="A16990" s="5" t="s">
        <v>261</v>
      </c>
      <c r="G16990" s="25" t="n">
        <f aca="false">G16993*IF(G16994=1,$C$16985,IF(Assumptions!$I$53=1,MAX(G16983,Assumptions!$G$53)+Assumptions!$F$53+$C$16984,Assumptions!$E$53))+G17006*IF(G17007=1,$C$16985,IF(Assumptions!$I$54=1,MAX(G16983,Assumptions!$G$54)+Assumptions!$F$54+$C$16984,Assumptions!$E$54))+G17019*IF(G17020=1,$C$16985,IF(Assumptions!$I$55=1,MAX(G16983,Assumptions!$G$55)+Assumptions!$F$55+$C$16984,Assumptions!$E$55))+G17032*IF(G17033=1,$C$16985,IF(Assumptions!$I$56=1,MAX(G16983,Assumptions!$G$56)+Assumptions!$F$56+$C$16984,Assumptions!$E$56))</f>
        <v>119.04</v>
      </c>
      <c r="H16990" s="25" t="n">
        <f aca="false">H16993*IF(OR(H16994=1,G17145=1),$C$16985,IF(Assumptions!$I$53=1,MAX(H16983,Assumptions!$G$53)+Assumptions!$F$53+$C$16984,Assumptions!$E$53))+H17006*IF(OR(H17007=1,G17146=1),$C$16985,IF(Assumptions!$I$54=1,MAX(H16983,Assumptions!$G$54)+Assumptions!$F$54+$C$16984,Assumptions!$E$54))+H17019*IF(OR(H17020=1,G17147=1),$C$16985,IF(Assumptions!$I$55=1,MAX(H16983,Assumptions!$G$55)+Assumptions!$F$55+$C$16984,Assumptions!$E$55))+H17032*IF(OR(H17033=1,G17148=1),$C$16985,IF(Assumptions!$I$56=1,MAX(H16983,Assumptions!$G$56)+Assumptions!$F$56+$C$16984,Assumptions!$E$56))</f>
        <v>128.6758</v>
      </c>
      <c r="I16990" s="25" t="n">
        <f aca="false">I16993*IF(OR(I16994=1,H17145=1),$C$16985,IF(Assumptions!$I$53=1,MAX(I16983,Assumptions!$G$53)+Assumptions!$F$53+$C$16984,Assumptions!$E$53))+I17006*IF(OR(I17007=1,H17146=1),$C$16985,IF(Assumptions!$I$54=1,MAX(I16983,Assumptions!$G$54)+Assumptions!$F$54+$C$16984,Assumptions!$E$54))+I17019*IF(OR(I17020=1,H17147=1),$C$16985,IF(Assumptions!$I$55=1,MAX(I16983,Assumptions!$G$55)+Assumptions!$F$55+$C$16984,Assumptions!$E$55))+I17032*IF(OR(I17033=1,H17148=1),$C$16985,IF(Assumptions!$I$56=1,MAX(I16983,Assumptions!$G$56)+Assumptions!$F$56+$C$16984,Assumptions!$E$56))</f>
        <v>132.9944</v>
      </c>
      <c r="J16990" s="25" t="n">
        <f aca="false">J16993*IF(OR(J16994=1,I17145=1),$C$16985,IF(Assumptions!$I$53=1,MAX(J16983,Assumptions!$G$53)+Assumptions!$F$53+$C$16984,Assumptions!$E$53))+J17006*IF(OR(J17007=1,I17146=1),$C$16985,IF(Assumptions!$I$54=1,MAX(J16983,Assumptions!$G$54)+Assumptions!$F$54+$C$16984,Assumptions!$E$54))+J17019*IF(OR(J17020=1,I17147=1),$C$16985,IF(Assumptions!$I$55=1,MAX(J16983,Assumptions!$G$55)+Assumptions!$F$55+$C$16984,Assumptions!$E$55))+J17032*IF(OR(J17033=1,I17148=1),$C$16985,IF(Assumptions!$I$56=1,MAX(J16983,Assumptions!$G$56)+Assumptions!$F$56+$C$16984,Assumptions!$E$56))</f>
        <v>134.749836056</v>
      </c>
      <c r="K16990" s="25" t="n">
        <f aca="false">K16993*IF(OR(K16994=1,J17145=1),$C$16985,IF(Assumptions!$I$53=1,MAX(K16983,Assumptions!$G$53)+Assumptions!$F$53+$C$16984,Assumptions!$E$53))+K17006*IF(OR(K17007=1,J17146=1),$C$16985,IF(Assumptions!$I$54=1,MAX(K16983,Assumptions!$G$54)+Assumptions!$F$54+$C$16984,Assumptions!$E$54))+K17019*IF(OR(K17020=1,J17147=1),$C$16985,IF(Assumptions!$I$55=1,MAX(K16983,Assumptions!$G$55)+Assumptions!$F$55+$C$16984,Assumptions!$E$55))+K17032*IF(OR(K17033=1,J17148=1),$C$16985,IF(Assumptions!$I$56=1,MAX(K16983,Assumptions!$G$56)+Assumptions!$F$56+$C$16984,Assumptions!$E$56))</f>
        <v>136.33146262032</v>
      </c>
    </row>
    <row r="16991" customFormat="false" ht="15" hidden="false" customHeight="false" outlineLevel="0" collapsed="false">
      <c r="A16991" s="5" t="s">
        <v>262</v>
      </c>
      <c r="G16991" s="20" t="n">
        <f aca="false">IF(G16967&lt;=0,0,IF(AND((G16988-G16989)/G16967&lt;=$C$16986,G16967/G16990&gt;=$C$16987),1,0))</f>
        <v>1</v>
      </c>
      <c r="H16991" s="20" t="n">
        <f aca="false">IF(H16967&lt;=0,0,IF(AND((H16988-H16989)/H16967&lt;=$C$16986,H16967/H16990&gt;=$C$16987),1,0))</f>
        <v>1</v>
      </c>
      <c r="I16991" s="20" t="n">
        <f aca="false">IF(I16967&lt;=0,0,IF(AND((I16988-I16989)/I16967&lt;=$C$16986,I16967/I16990&gt;=$C$16987),1,0))</f>
        <v>1</v>
      </c>
      <c r="J16991" s="20" t="n">
        <f aca="false">IF(J16967&lt;=0,0,IF(AND((J16988-J16989)/J16967&lt;=$C$16986,J16967/J16990&gt;=$C$16987),1,0))</f>
        <v>1</v>
      </c>
      <c r="K16991" s="20" t="n">
        <f aca="false">IF(K16967&lt;=0,0,IF(AND((K16988-K16989)/K16967&lt;=$C$16986,K16967/K16990&gt;=$C$16987),1,0))</f>
        <v>1</v>
      </c>
    </row>
    <row r="16992" customFormat="false" ht="15" hidden="false" customHeight="false" outlineLevel="0" collapsed="false">
      <c r="A16992" s="23" t="s">
        <v>263</v>
      </c>
      <c r="B16992" s="24"/>
      <c r="C16992" s="24"/>
      <c r="D16992" s="24"/>
      <c r="E16992" s="24"/>
      <c r="F16992" s="24"/>
      <c r="G16992" s="24"/>
      <c r="H16992" s="24"/>
      <c r="I16992" s="24"/>
      <c r="J16992" s="24"/>
      <c r="K16992" s="24"/>
    </row>
    <row r="16993" customFormat="false" ht="15" hidden="false" customHeight="false" outlineLevel="0" collapsed="false">
      <c r="A16993" s="5" t="s">
        <v>264</v>
      </c>
      <c r="G16993" s="25" t="n">
        <f aca="false">F17004</f>
        <v>180</v>
      </c>
      <c r="H16993" s="25" t="n">
        <f aca="false">G17004</f>
        <v>149.44</v>
      </c>
      <c r="I16993" s="25" t="n">
        <f aca="false">H17004</f>
        <v>149.44</v>
      </c>
      <c r="J16993" s="25" t="n">
        <f aca="false">I17004</f>
        <v>170.5985096</v>
      </c>
      <c r="K16993" s="25" t="n">
        <f aca="false">J17004</f>
        <v>190.176932912</v>
      </c>
    </row>
    <row r="16994" customFormat="false" ht="15" hidden="false" customHeight="false" outlineLevel="0" collapsed="false">
      <c r="A16994" s="5" t="s">
        <v>265</v>
      </c>
      <c r="G16994" s="20" t="n">
        <f aca="false">IF(G16957=Assumptions!$K$53,1,0)</f>
        <v>0</v>
      </c>
      <c r="H16994" s="20" t="n">
        <f aca="false">IF(H16957=Assumptions!$K$53,1,0)</f>
        <v>1</v>
      </c>
      <c r="I16994" s="20" t="n">
        <f aca="false">IF(I16957=Assumptions!$K$53,1,0)</f>
        <v>0</v>
      </c>
      <c r="J16994" s="20" t="n">
        <f aca="false">IF(J16957=Assumptions!$K$53,1,0)</f>
        <v>0</v>
      </c>
      <c r="K16994" s="20" t="n">
        <f aca="false">IF(K16957=Assumptions!$K$53,1,0)</f>
        <v>0</v>
      </c>
    </row>
    <row r="16996" customFormat="false" ht="15" hidden="false" customHeight="false" outlineLevel="0" collapsed="false">
      <c r="A16996" s="5" t="s">
        <v>266</v>
      </c>
      <c r="G16996" s="30" t="n">
        <f aca="false">IF(Assumptions!$I$53=1,MAX(G16983,Assumptions!$G$53)+Assumptions!$F$53+$C$16984,Assumptions!$E$53)</f>
        <v>0.086</v>
      </c>
      <c r="H16996" s="30" t="n">
        <f aca="false">IF(G17145=1,$C$16985,IF(Assumptions!$I$53=1,MAX(H16983,Assumptions!$G$53)+Assumptions!$F$53+$C$16984,Assumptions!$E$53))</f>
        <v>0.0835</v>
      </c>
      <c r="I16996" s="30" t="n">
        <f aca="false">IF(H17145=1,$C$16985,IF(Assumptions!$I$53=1,MAX(I16983,Assumptions!$G$53)+Assumptions!$F$53+$C$16984,Assumptions!$E$53))</f>
        <v>0.11</v>
      </c>
      <c r="J16996" s="30" t="n">
        <f aca="false">IF(I17145=1,$C$16985,IF(Assumptions!$I$53=1,MAX(J16983,Assumptions!$G$53)+Assumptions!$F$53+$C$16984,Assumptions!$E$53))</f>
        <v>0.11</v>
      </c>
      <c r="K16996" s="30" t="n">
        <f aca="false">IF(J17145=1,$C$16985,IF(Assumptions!$I$53=1,MAX(K16983,Assumptions!$G$53)+Assumptions!$F$53+$C$16984,Assumptions!$E$53))</f>
        <v>0.11</v>
      </c>
    </row>
    <row r="16997" customFormat="false" ht="15" hidden="false" customHeight="false" outlineLevel="0" collapsed="false">
      <c r="A16997" s="5" t="s">
        <v>267</v>
      </c>
      <c r="G16997" s="25" t="n">
        <f aca="false">G16993*G16996</f>
        <v>15.48</v>
      </c>
      <c r="H16997" s="25" t="n">
        <f aca="false">H16993*H16996</f>
        <v>12.47824</v>
      </c>
      <c r="I16997" s="25" t="n">
        <f aca="false">I16993*I16996</f>
        <v>16.4384</v>
      </c>
      <c r="J16997" s="25" t="n">
        <f aca="false">J16993*J16996</f>
        <v>18.765836056</v>
      </c>
      <c r="K16997" s="25" t="n">
        <f aca="false">K16993*K16996</f>
        <v>20.91946262032</v>
      </c>
    </row>
    <row r="16998" customFormat="false" ht="15" hidden="false" customHeight="false" outlineLevel="0" collapsed="false">
      <c r="A16998" s="5" t="s">
        <v>268</v>
      </c>
      <c r="G16998" s="25" t="n">
        <f aca="false">G16993*Assumptions!$H$53</f>
        <v>0</v>
      </c>
      <c r="H16998" s="25" t="n">
        <f aca="false">H16993*Assumptions!$H$53</f>
        <v>0</v>
      </c>
      <c r="I16998" s="25" t="n">
        <f aca="false">I16993*Assumptions!$H$53</f>
        <v>0</v>
      </c>
      <c r="J16998" s="25" t="n">
        <f aca="false">J16993*Assumptions!$H$53</f>
        <v>0</v>
      </c>
      <c r="K16998" s="25" t="n">
        <f aca="false">K16993*Assumptions!$H$53</f>
        <v>0</v>
      </c>
    </row>
    <row r="16999" customFormat="false" ht="15" hidden="false" customHeight="false" outlineLevel="0" collapsed="false">
      <c r="A16999" s="5" t="s">
        <v>269</v>
      </c>
      <c r="G16999" s="25" t="n">
        <f aca="false">MIN(G16993,Assumptions!$L$53*Assumptions!$C$53)</f>
        <v>0</v>
      </c>
      <c r="H16999" s="25" t="n">
        <f aca="false">MIN(H16993,Assumptions!$L$53*Assumptions!$C$53)</f>
        <v>0</v>
      </c>
      <c r="I16999" s="25" t="n">
        <f aca="false">MIN(I16993,Assumptions!$L$53*Assumptions!$C$53)</f>
        <v>0</v>
      </c>
      <c r="J16999" s="25" t="n">
        <f aca="false">MIN(J16993,Assumptions!$L$53*Assumptions!$C$53)</f>
        <v>0</v>
      </c>
      <c r="K16999" s="25" t="n">
        <f aca="false">MIN(K16993,Assumptions!$L$53*Assumptions!$C$53)</f>
        <v>0</v>
      </c>
    </row>
    <row r="17000" customFormat="false" ht="15" hidden="false" customHeight="false" outlineLevel="0" collapsed="false">
      <c r="A17000" s="5" t="s">
        <v>270</v>
      </c>
      <c r="G17000" s="25" t="n">
        <f aca="false">IF(AND(Assumptions!$P$53=1,G16957&lt;Assumptions!$K$53),MIN(MAX(0,-G17071),MAX(0,Assumptions!$D$53-G16993)),0)</f>
        <v>0</v>
      </c>
      <c r="H17000" s="25" t="n">
        <f aca="false">IF(AND(Assumptions!$P$53=1,OR(H16957&lt;Assumptions!$K$53,G17145=1)),MIN(MAX(0,-H17071),MAX(0,Assumptions!$D$53-H16993)),0)</f>
        <v>0</v>
      </c>
      <c r="I17000" s="25" t="n">
        <f aca="false">IF(AND(Assumptions!$P$53=1,OR(I16957&lt;Assumptions!$K$53,H17145=1)),MIN(MAX(0,-I17071),MAX(0,Assumptions!$D$53-I16993)),0)</f>
        <v>21.1585096</v>
      </c>
      <c r="J17000" s="25" t="n">
        <f aca="false">IF(AND(Assumptions!$P$53=1,OR(J16957&lt;Assumptions!$K$53,I17145=1)),MIN(MAX(0,-J17071),MAX(0,Assumptions!$D$53-J16993)),0)</f>
        <v>19.578423312</v>
      </c>
      <c r="K17000" s="25" t="n">
        <f aca="false">IF(AND(Assumptions!$P$53=1,OR(K16957&lt;Assumptions!$K$53,J17145=1)),MIN(MAX(0,-K17071),MAX(0,Assumptions!$D$53-K16993)),0)</f>
        <v>17.79901176424</v>
      </c>
    </row>
    <row r="17001" customFormat="false" ht="15" hidden="false" customHeight="false" outlineLevel="0" collapsed="false">
      <c r="A17001" s="5" t="s">
        <v>271</v>
      </c>
      <c r="G17001" s="25" t="n">
        <f aca="false">G16994*MIN(G16993-G16999+G16998,MAX(0,G17073-Assumptions!$C$12*G16991))</f>
        <v>0</v>
      </c>
      <c r="H17001" s="25" t="n">
        <f aca="false">H16994*MIN(H16993-H16999+H16998,MAX(0,H17073-Assumptions!$C$12*H16991))</f>
        <v>0</v>
      </c>
      <c r="I17001" s="25" t="n">
        <f aca="false">I16994*MIN(I16993-I16999+I16998,MAX(0,I17073-Assumptions!$C$12*I16991))</f>
        <v>0</v>
      </c>
      <c r="J17001" s="25" t="n">
        <f aca="false">J16994*MIN(J16993-J16999+J16998,MAX(0,J17073-Assumptions!$C$12*J16991))</f>
        <v>0</v>
      </c>
      <c r="K17001" s="25" t="n">
        <f aca="false">K16994*MIN(K16993-K16999+K16998,MAX(0,K17073-Assumptions!$C$12*K16991))</f>
        <v>0</v>
      </c>
    </row>
    <row r="17002" customFormat="false" ht="15" hidden="false" customHeight="false" outlineLevel="0" collapsed="false">
      <c r="A17002" s="5" t="s">
        <v>272</v>
      </c>
      <c r="G17002" s="25" t="n">
        <f aca="false">Assumptions!$N$53*MIN(G16993+G17000+G16998-G16999-G17001,MAX(0,G17077))</f>
        <v>30.56</v>
      </c>
      <c r="H17002" s="25" t="n">
        <f aca="false">Assumptions!$N$53*MIN(H16993+H17000+H16998-H16999-H17001,MAX(0,H17077))</f>
        <v>0</v>
      </c>
      <c r="I17002" s="25" t="n">
        <f aca="false">Assumptions!$N$53*MIN(I16993+I17000+I16998-I16999-I17001,MAX(0,I17077))</f>
        <v>0</v>
      </c>
      <c r="J17002" s="25" t="n">
        <f aca="false">Assumptions!$N$53*MIN(J16993+J17000+J16998-J16999-J17001,MAX(0,J17077))</f>
        <v>0</v>
      </c>
      <c r="K17002" s="25" t="n">
        <f aca="false">Assumptions!$N$53*MIN(K16993+K17000+K16998-K16999-K17001,MAX(0,K17077))</f>
        <v>0</v>
      </c>
    </row>
    <row r="17003" customFormat="false" ht="15" hidden="false" customHeight="false" outlineLevel="0" collapsed="false">
      <c r="A17003" s="5" t="s">
        <v>273</v>
      </c>
      <c r="G17003" s="25" t="n">
        <f aca="false">G16994*(1-G16991)*(G16993-G16999+G16998-G17001)</f>
        <v>0</v>
      </c>
      <c r="H17003" s="25" t="n">
        <f aca="false">H16994*(1-H16991)*(H16993-H16999+H16998-H17001)</f>
        <v>0</v>
      </c>
      <c r="I17003" s="25" t="n">
        <f aca="false">I16994*(1-I16991)*(I16993-I16999+I16998-I17001)</f>
        <v>0</v>
      </c>
      <c r="J17003" s="25" t="n">
        <f aca="false">J16994*(1-J16991)*(J16993-J16999+J16998-J17001)</f>
        <v>0</v>
      </c>
      <c r="K17003" s="25" t="n">
        <f aca="false">K16994*(1-K16991)*(K16993-K16999+K16998-K17001)</f>
        <v>0</v>
      </c>
    </row>
    <row r="17004" customFormat="false" ht="15" hidden="false" customHeight="false" outlineLevel="0" collapsed="false">
      <c r="A17004" s="2" t="s">
        <v>274</v>
      </c>
      <c r="F17004" s="27" t="n">
        <f aca="false">Assumptions!$C$53</f>
        <v>180</v>
      </c>
      <c r="G17004" s="16" t="n">
        <f aca="false">G16993+G17000+G16998-G16999-G17001-G17002</f>
        <v>149.44</v>
      </c>
      <c r="H17004" s="16" t="n">
        <f aca="false">H16993+H17000+H16998-H16999-H17001-H17002</f>
        <v>149.44</v>
      </c>
      <c r="I17004" s="16" t="n">
        <f aca="false">I16993+I17000+I16998-I16999-I17001-I17002</f>
        <v>170.5985096</v>
      </c>
      <c r="J17004" s="16" t="n">
        <f aca="false">J16993+J17000+J16998-J16999-J17001-J17002</f>
        <v>190.176932912</v>
      </c>
      <c r="K17004" s="16" t="n">
        <f aca="false">K16993+K17000+K16998-K16999-K17001-K17002</f>
        <v>207.97594467624</v>
      </c>
    </row>
    <row r="17005" customFormat="false" ht="15" hidden="false" customHeight="false" outlineLevel="0" collapsed="false">
      <c r="A17005" s="23" t="s">
        <v>275</v>
      </c>
      <c r="B17005" s="24"/>
      <c r="C17005" s="24"/>
      <c r="D17005" s="24"/>
      <c r="E17005" s="24"/>
      <c r="F17005" s="24"/>
      <c r="G17005" s="24"/>
      <c r="H17005" s="24"/>
      <c r="I17005" s="24"/>
      <c r="J17005" s="24"/>
      <c r="K17005" s="24"/>
    </row>
    <row r="17006" customFormat="false" ht="15" hidden="false" customHeight="false" outlineLevel="0" collapsed="false">
      <c r="A17006" s="5" t="s">
        <v>264</v>
      </c>
      <c r="G17006" s="25" t="n">
        <f aca="false">F17017</f>
        <v>520</v>
      </c>
      <c r="H17006" s="25" t="n">
        <f aca="false">G17017</f>
        <v>514.8</v>
      </c>
      <c r="I17006" s="25" t="n">
        <f aca="false">H17017</f>
        <v>509.6</v>
      </c>
      <c r="J17006" s="25" t="n">
        <f aca="false">I17017</f>
        <v>504.4</v>
      </c>
      <c r="K17006" s="25" t="n">
        <f aca="false">J17017</f>
        <v>499.2</v>
      </c>
    </row>
    <row r="17007" customFormat="false" ht="15" hidden="false" customHeight="false" outlineLevel="0" collapsed="false">
      <c r="A17007" s="5" t="s">
        <v>265</v>
      </c>
      <c r="G17007" s="20" t="n">
        <f aca="false">IF(G16957=Assumptions!$K$54,1,0)</f>
        <v>0</v>
      </c>
      <c r="H17007" s="20" t="n">
        <f aca="false">IF(H16957=Assumptions!$K$54,1,0)</f>
        <v>0</v>
      </c>
      <c r="I17007" s="20" t="n">
        <f aca="false">IF(I16957=Assumptions!$K$54,1,0)</f>
        <v>1</v>
      </c>
      <c r="J17007" s="20" t="n">
        <f aca="false">IF(J16957=Assumptions!$K$54,1,0)</f>
        <v>0</v>
      </c>
      <c r="K17007" s="20" t="n">
        <f aca="false">IF(K16957=Assumptions!$K$54,1,0)</f>
        <v>0</v>
      </c>
    </row>
    <row r="17009" customFormat="false" ht="15" hidden="false" customHeight="false" outlineLevel="0" collapsed="false">
      <c r="A17009" s="5" t="s">
        <v>266</v>
      </c>
      <c r="G17009" s="30" t="n">
        <f aca="false">IF(Assumptions!$I$54=1,MAX(G16983,Assumptions!$G$54)+Assumptions!$F$54+$C$16984,Assumptions!$E$54)</f>
        <v>0.103</v>
      </c>
      <c r="H17009" s="30" t="n">
        <f aca="false">IF(G17146=1,$C$16985,IF(Assumptions!$I$54=1,MAX(H16983,Assumptions!$G$54)+Assumptions!$F$54+$C$16984,Assumptions!$E$54))</f>
        <v>0.1005</v>
      </c>
      <c r="I17009" s="30" t="n">
        <f aca="false">IF(H17146=1,$C$16985,IF(Assumptions!$I$54=1,MAX(I16983,Assumptions!$G$54)+Assumptions!$F$54+$C$16984,Assumptions!$E$54))</f>
        <v>0.098</v>
      </c>
      <c r="J17009" s="30" t="n">
        <f aca="false">IF(I17146=1,$C$16985,IF(Assumptions!$I$54=1,MAX(J16983,Assumptions!$G$54)+Assumptions!$F$54+$C$16984,Assumptions!$E$54))</f>
        <v>0.11</v>
      </c>
      <c r="K17009" s="30" t="n">
        <f aca="false">IF(J17146=1,$C$16985,IF(Assumptions!$I$54=1,MAX(K16983,Assumptions!$G$54)+Assumptions!$F$54+$C$16984,Assumptions!$E$54))</f>
        <v>0.11</v>
      </c>
    </row>
    <row r="17010" customFormat="false" ht="15" hidden="false" customHeight="false" outlineLevel="0" collapsed="false">
      <c r="A17010" s="5" t="s">
        <v>267</v>
      </c>
      <c r="G17010" s="25" t="n">
        <f aca="false">G17006*G17009</f>
        <v>53.56</v>
      </c>
      <c r="H17010" s="25" t="n">
        <f aca="false">H17006*H17009</f>
        <v>51.7374</v>
      </c>
      <c r="I17010" s="25" t="n">
        <f aca="false">I17006*I17009</f>
        <v>49.9408</v>
      </c>
      <c r="J17010" s="25" t="n">
        <f aca="false">J17006*J17009</f>
        <v>55.484</v>
      </c>
      <c r="K17010" s="25" t="n">
        <f aca="false">K17006*K17009</f>
        <v>54.912</v>
      </c>
    </row>
    <row r="17011" customFormat="false" ht="15" hidden="false" customHeight="false" outlineLevel="0" collapsed="false">
      <c r="A17011" s="5" t="s">
        <v>268</v>
      </c>
      <c r="G17011" s="25" t="n">
        <f aca="false">G17006*Assumptions!$H$54</f>
        <v>0</v>
      </c>
      <c r="H17011" s="25" t="n">
        <f aca="false">H17006*Assumptions!$H$54</f>
        <v>0</v>
      </c>
      <c r="I17011" s="25" t="n">
        <f aca="false">I17006*Assumptions!$H$54</f>
        <v>0</v>
      </c>
      <c r="J17011" s="25" t="n">
        <f aca="false">J17006*Assumptions!$H$54</f>
        <v>0</v>
      </c>
      <c r="K17011" s="25" t="n">
        <f aca="false">K17006*Assumptions!$H$54</f>
        <v>0</v>
      </c>
    </row>
    <row r="17012" customFormat="false" ht="15" hidden="false" customHeight="false" outlineLevel="0" collapsed="false">
      <c r="A17012" s="5" t="s">
        <v>269</v>
      </c>
      <c r="G17012" s="25" t="n">
        <f aca="false">MIN(G17006,Assumptions!$L$54*Assumptions!$C$54)</f>
        <v>5.2</v>
      </c>
      <c r="H17012" s="25" t="n">
        <f aca="false">MIN(H17006,Assumptions!$L$54*Assumptions!$C$54)</f>
        <v>5.2</v>
      </c>
      <c r="I17012" s="25" t="n">
        <f aca="false">MIN(I17006,Assumptions!$L$54*Assumptions!$C$54)</f>
        <v>5.2</v>
      </c>
      <c r="J17012" s="25" t="n">
        <f aca="false">MIN(J17006,Assumptions!$L$54*Assumptions!$C$54)</f>
        <v>5.2</v>
      </c>
      <c r="K17012" s="25" t="n">
        <f aca="false">MIN(K17006,Assumptions!$L$54*Assumptions!$C$54)</f>
        <v>5.2</v>
      </c>
    </row>
    <row r="17013" customFormat="false" ht="15" hidden="false" customHeight="false" outlineLevel="0" collapsed="false">
      <c r="A17013" s="5" t="s">
        <v>270</v>
      </c>
      <c r="G17013" s="25" t="n">
        <f aca="false">IF(AND(Assumptions!$P$54=1,G16957&lt;Assumptions!$K$54),MIN(MAX(0,-G17071),MAX(0,Assumptions!$D$54-G17006)),0)</f>
        <v>0</v>
      </c>
      <c r="H17013" s="25" t="n">
        <f aca="false">IF(AND(Assumptions!$P$54=1,OR(H16957&lt;Assumptions!$K$54,G17146=1)),MIN(MAX(0,-H17071),MAX(0,Assumptions!$D$54-H17006)),0)</f>
        <v>0</v>
      </c>
      <c r="I17013" s="25" t="n">
        <f aca="false">IF(AND(Assumptions!$P$54=1,OR(I16957&lt;Assumptions!$K$54,H17146=1)),MIN(MAX(0,-I17071),MAX(0,Assumptions!$D$54-I17006)),0)</f>
        <v>0</v>
      </c>
      <c r="J17013" s="25" t="n">
        <f aca="false">IF(AND(Assumptions!$P$54=1,OR(J16957&lt;Assumptions!$K$54,I17146=1)),MIN(MAX(0,-J17071),MAX(0,Assumptions!$D$54-J17006)),0)</f>
        <v>0</v>
      </c>
      <c r="K17013" s="25" t="n">
        <f aca="false">IF(AND(Assumptions!$P$54=1,OR(K16957&lt;Assumptions!$K$54,J17146=1)),MIN(MAX(0,-K17071),MAX(0,Assumptions!$D$54-K17006)),0)</f>
        <v>0</v>
      </c>
    </row>
    <row r="17014" customFormat="false" ht="15" hidden="false" customHeight="false" outlineLevel="0" collapsed="false">
      <c r="A17014" s="5" t="s">
        <v>271</v>
      </c>
      <c r="G17014" s="25" t="n">
        <f aca="false">G17007*MIN(G17006-G17012+G17011,MAX(0,G17073-Assumptions!$C$12*G16991-G17001))</f>
        <v>0</v>
      </c>
      <c r="H17014" s="25" t="n">
        <f aca="false">H17007*MIN(H17006-H17012+H17011,MAX(0,H17073-Assumptions!$C$12*H16991-H17001))</f>
        <v>0</v>
      </c>
      <c r="I17014" s="25" t="n">
        <f aca="false">I17007*MIN(I17006-I17012+I17011,MAX(0,I17073-Assumptions!$C$12*I16991-I17001))</f>
        <v>0</v>
      </c>
      <c r="J17014" s="25" t="n">
        <f aca="false">J17007*MIN(J17006-J17012+J17011,MAX(0,J17073-Assumptions!$C$12*J16991-J17001))</f>
        <v>0</v>
      </c>
      <c r="K17014" s="25" t="n">
        <f aca="false">K17007*MIN(K17006-K17012+K17011,MAX(0,K17073-Assumptions!$C$12*K16991-K17001))</f>
        <v>0</v>
      </c>
    </row>
    <row r="17015" customFormat="false" ht="15" hidden="false" customHeight="false" outlineLevel="0" collapsed="false">
      <c r="A17015" s="5" t="s">
        <v>272</v>
      </c>
      <c r="G17015" s="25" t="n">
        <f aca="false">Assumptions!$N$54*MIN(G17006+G17013+G17011-G17012-G17014,MAX(0,G17077-G17002))</f>
        <v>0</v>
      </c>
      <c r="H17015" s="25" t="n">
        <f aca="false">Assumptions!$N$54*MIN(H17006+H17013+H17011-H17012-H17014,MAX(0,H17077-H17002))</f>
        <v>0</v>
      </c>
      <c r="I17015" s="25" t="n">
        <f aca="false">Assumptions!$N$54*MIN(I17006+I17013+I17011-I17012-I17014,MAX(0,I17077-I17002))</f>
        <v>0</v>
      </c>
      <c r="J17015" s="25" t="n">
        <f aca="false">Assumptions!$N$54*MIN(J17006+J17013+J17011-J17012-J17014,MAX(0,J17077-J17002))</f>
        <v>0</v>
      </c>
      <c r="K17015" s="25" t="n">
        <f aca="false">Assumptions!$N$54*MIN(K17006+K17013+K17011-K17012-K17014,MAX(0,K17077-K17002))</f>
        <v>0</v>
      </c>
    </row>
    <row r="17016" customFormat="false" ht="15" hidden="false" customHeight="false" outlineLevel="0" collapsed="false">
      <c r="A17016" s="5" t="s">
        <v>273</v>
      </c>
      <c r="G17016" s="25" t="n">
        <f aca="false">G17007*(1-G16991)*(G17006-G17012+G17011-G17014)</f>
        <v>0</v>
      </c>
      <c r="H17016" s="25" t="n">
        <f aca="false">H17007*(1-H16991)*(H17006-H17012+H17011-H17014)</f>
        <v>0</v>
      </c>
      <c r="I17016" s="25" t="n">
        <f aca="false">I17007*(1-I16991)*(I17006-I17012+I17011-I17014)</f>
        <v>0</v>
      </c>
      <c r="J17016" s="25" t="n">
        <f aca="false">J17007*(1-J16991)*(J17006-J17012+J17011-J17014)</f>
        <v>0</v>
      </c>
      <c r="K17016" s="25" t="n">
        <f aca="false">K17007*(1-K16991)*(K17006-K17012+K17011-K17014)</f>
        <v>0</v>
      </c>
    </row>
    <row r="17017" customFormat="false" ht="15" hidden="false" customHeight="false" outlineLevel="0" collapsed="false">
      <c r="A17017" s="2" t="s">
        <v>274</v>
      </c>
      <c r="F17017" s="27" t="n">
        <f aca="false">Assumptions!$C$54</f>
        <v>520</v>
      </c>
      <c r="G17017" s="16" t="n">
        <f aca="false">G17006+G17013+G17011-G17012-G17014-G17015</f>
        <v>514.8</v>
      </c>
      <c r="H17017" s="16" t="n">
        <f aca="false">H17006+H17013+H17011-H17012-H17014-H17015</f>
        <v>509.6</v>
      </c>
      <c r="I17017" s="16" t="n">
        <f aca="false">I17006+I17013+I17011-I17012-I17014-I17015</f>
        <v>504.4</v>
      </c>
      <c r="J17017" s="16" t="n">
        <f aca="false">J17006+J17013+J17011-J17012-J17014-J17015</f>
        <v>499.2</v>
      </c>
      <c r="K17017" s="16" t="n">
        <f aca="false">K17006+K17013+K17011-K17012-K17014-K17015</f>
        <v>494</v>
      </c>
    </row>
    <row r="17018" customFormat="false" ht="15" hidden="false" customHeight="false" outlineLevel="0" collapsed="false">
      <c r="A17018" s="23" t="s">
        <v>276</v>
      </c>
      <c r="B17018" s="24"/>
      <c r="C17018" s="24"/>
      <c r="D17018" s="24"/>
      <c r="E17018" s="24"/>
      <c r="F17018" s="24"/>
      <c r="G17018" s="24"/>
      <c r="H17018" s="24"/>
      <c r="I17018" s="24"/>
      <c r="J17018" s="24"/>
      <c r="K17018" s="24"/>
    </row>
    <row r="17019" customFormat="false" ht="15" hidden="false" customHeight="false" outlineLevel="0" collapsed="false">
      <c r="A17019" s="5" t="s">
        <v>264</v>
      </c>
      <c r="G17019" s="25" t="n">
        <f aca="false">F17030</f>
        <v>250</v>
      </c>
      <c r="H17019" s="25" t="n">
        <f aca="false">G17030</f>
        <v>250</v>
      </c>
      <c r="I17019" s="25" t="n">
        <f aca="false">H17030</f>
        <v>250</v>
      </c>
      <c r="J17019" s="25" t="n">
        <f aca="false">I17030</f>
        <v>250</v>
      </c>
      <c r="K17019" s="25" t="n">
        <f aca="false">J17030</f>
        <v>250</v>
      </c>
    </row>
    <row r="17020" customFormat="false" ht="15" hidden="false" customHeight="false" outlineLevel="0" collapsed="false">
      <c r="A17020" s="5" t="s">
        <v>265</v>
      </c>
      <c r="G17020" s="20" t="n">
        <f aca="false">IF(G16957=Assumptions!$K$55,1,0)</f>
        <v>0</v>
      </c>
      <c r="H17020" s="20" t="n">
        <f aca="false">IF(H16957=Assumptions!$K$55,1,0)</f>
        <v>0</v>
      </c>
      <c r="I17020" s="20" t="n">
        <f aca="false">IF(I16957=Assumptions!$K$55,1,0)</f>
        <v>0</v>
      </c>
      <c r="J17020" s="20" t="n">
        <f aca="false">IF(J16957=Assumptions!$K$55,1,0)</f>
        <v>1</v>
      </c>
      <c r="K17020" s="20" t="n">
        <f aca="false">IF(K16957=Assumptions!$K$55,1,0)</f>
        <v>0</v>
      </c>
    </row>
    <row r="17022" customFormat="false" ht="15" hidden="false" customHeight="false" outlineLevel="0" collapsed="false">
      <c r="A17022" s="5" t="s">
        <v>266</v>
      </c>
      <c r="G17022" s="30" t="n">
        <f aca="false">IF(Assumptions!$I$55=1,MAX(G16983,Assumptions!$G$55)+Assumptions!$F$55+$C$16984,Assumptions!$E$55)</f>
        <v>0.11</v>
      </c>
      <c r="H17022" s="30" t="n">
        <f aca="false">IF(G17147=1,$C$16985,IF(Assumptions!$I$55=1,MAX(H16983,Assumptions!$G$55)+Assumptions!$F$55+$C$16984,Assumptions!$E$55))</f>
        <v>0.11</v>
      </c>
      <c r="I17022" s="30" t="n">
        <f aca="false">IF(H17147=1,$C$16985,IF(Assumptions!$I$55=1,MAX(I16983,Assumptions!$G$55)+Assumptions!$F$55+$C$16984,Assumptions!$E$55))</f>
        <v>0.11</v>
      </c>
      <c r="J17022" s="30" t="n">
        <f aca="false">IF(I17147=1,$C$16985,IF(Assumptions!$I$55=1,MAX(J16983,Assumptions!$G$55)+Assumptions!$F$55+$C$16984,Assumptions!$E$55))</f>
        <v>0.11</v>
      </c>
      <c r="K17022" s="30" t="n">
        <f aca="false">IF(J17147=1,$C$16985,IF(Assumptions!$I$55=1,MAX(K16983,Assumptions!$G$55)+Assumptions!$F$55+$C$16984,Assumptions!$E$55))</f>
        <v>0.11</v>
      </c>
    </row>
    <row r="17023" customFormat="false" ht="15" hidden="false" customHeight="false" outlineLevel="0" collapsed="false">
      <c r="A17023" s="5" t="s">
        <v>267</v>
      </c>
      <c r="G17023" s="25" t="n">
        <f aca="false">G17019*G17022</f>
        <v>27.5</v>
      </c>
      <c r="H17023" s="25" t="n">
        <f aca="false">H17019*H17022</f>
        <v>27.5</v>
      </c>
      <c r="I17023" s="25" t="n">
        <f aca="false">I17019*I17022</f>
        <v>27.5</v>
      </c>
      <c r="J17023" s="25" t="n">
        <f aca="false">J17019*J17022</f>
        <v>27.5</v>
      </c>
      <c r="K17023" s="25" t="n">
        <f aca="false">K17019*K17022</f>
        <v>27.5</v>
      </c>
    </row>
    <row r="17024" customFormat="false" ht="15" hidden="false" customHeight="false" outlineLevel="0" collapsed="false">
      <c r="A17024" s="5" t="s">
        <v>268</v>
      </c>
      <c r="G17024" s="25" t="n">
        <f aca="false">G17019*Assumptions!$H$55</f>
        <v>0</v>
      </c>
      <c r="H17024" s="25" t="n">
        <f aca="false">H17019*Assumptions!$H$55</f>
        <v>0</v>
      </c>
      <c r="I17024" s="25" t="n">
        <f aca="false">I17019*Assumptions!$H$55</f>
        <v>0</v>
      </c>
      <c r="J17024" s="25" t="n">
        <f aca="false">J17019*Assumptions!$H$55</f>
        <v>0</v>
      </c>
      <c r="K17024" s="25" t="n">
        <f aca="false">K17019*Assumptions!$H$55</f>
        <v>0</v>
      </c>
    </row>
    <row r="17025" customFormat="false" ht="15" hidden="false" customHeight="false" outlineLevel="0" collapsed="false">
      <c r="A17025" s="5" t="s">
        <v>269</v>
      </c>
      <c r="G17025" s="25" t="n">
        <f aca="false">MIN(G17019,Assumptions!$L$55*Assumptions!$C$55)</f>
        <v>0</v>
      </c>
      <c r="H17025" s="25" t="n">
        <f aca="false">MIN(H17019,Assumptions!$L$55*Assumptions!$C$55)</f>
        <v>0</v>
      </c>
      <c r="I17025" s="25" t="n">
        <f aca="false">MIN(I17019,Assumptions!$L$55*Assumptions!$C$55)</f>
        <v>0</v>
      </c>
      <c r="J17025" s="25" t="n">
        <f aca="false">MIN(J17019,Assumptions!$L$55*Assumptions!$C$55)</f>
        <v>0</v>
      </c>
      <c r="K17025" s="25" t="n">
        <f aca="false">MIN(K17019,Assumptions!$L$55*Assumptions!$C$55)</f>
        <v>0</v>
      </c>
    </row>
    <row r="17026" customFormat="false" ht="15" hidden="false" customHeight="false" outlineLevel="0" collapsed="false">
      <c r="A17026" s="5" t="s">
        <v>270</v>
      </c>
      <c r="G17026" s="25" t="n">
        <f aca="false">IF(AND(Assumptions!$P$55=1,G16957&lt;Assumptions!$K$55),MIN(MAX(0,-G17071),MAX(0,Assumptions!$D$55-G17019)),0)</f>
        <v>0</v>
      </c>
      <c r="H17026" s="25" t="n">
        <f aca="false">IF(AND(Assumptions!$P$55=1,OR(H16957&lt;Assumptions!$K$55,G17147=1)),MIN(MAX(0,-H17071),MAX(0,Assumptions!$D$55-H17019)),0)</f>
        <v>0</v>
      </c>
      <c r="I17026" s="25" t="n">
        <f aca="false">IF(AND(Assumptions!$P$55=1,OR(I16957&lt;Assumptions!$K$55,H17147=1)),MIN(MAX(0,-I17071),MAX(0,Assumptions!$D$55-I17019)),0)</f>
        <v>0</v>
      </c>
      <c r="J17026" s="25" t="n">
        <f aca="false">IF(AND(Assumptions!$P$55=1,OR(J16957&lt;Assumptions!$K$55,I17147=1)),MIN(MAX(0,-J17071),MAX(0,Assumptions!$D$55-J17019)),0)</f>
        <v>0</v>
      </c>
      <c r="K17026" s="25" t="n">
        <f aca="false">IF(AND(Assumptions!$P$55=1,OR(K16957&lt;Assumptions!$K$55,J17147=1)),MIN(MAX(0,-K17071),MAX(0,Assumptions!$D$55-K17019)),0)</f>
        <v>0</v>
      </c>
    </row>
    <row r="17027" customFormat="false" ht="15" hidden="false" customHeight="false" outlineLevel="0" collapsed="false">
      <c r="A17027" s="5" t="s">
        <v>271</v>
      </c>
      <c r="G17027" s="25" t="n">
        <f aca="false">G17020*MIN(G17019-G17025+G17024,MAX(0,G17073-Assumptions!$C$12*G16991-G17001-G17014))</f>
        <v>0</v>
      </c>
      <c r="H17027" s="25" t="n">
        <f aca="false">H17020*MIN(H17019-H17025+H17024,MAX(0,H17073-Assumptions!$C$12*H16991-H17001-H17014))</f>
        <v>0</v>
      </c>
      <c r="I17027" s="25" t="n">
        <f aca="false">I17020*MIN(I17019-I17025+I17024,MAX(0,I17073-Assumptions!$C$12*I16991-I17001-I17014))</f>
        <v>0</v>
      </c>
      <c r="J17027" s="25" t="n">
        <f aca="false">J17020*MIN(J17019-J17025+J17024,MAX(0,J17073-Assumptions!$C$12*J16991-J17001-J17014))</f>
        <v>0</v>
      </c>
      <c r="K17027" s="25" t="n">
        <f aca="false">K17020*MIN(K17019-K17025+K17024,MAX(0,K17073-Assumptions!$C$12*K16991-K17001-K17014))</f>
        <v>0</v>
      </c>
    </row>
    <row r="17028" customFormat="false" ht="15" hidden="false" customHeight="false" outlineLevel="0" collapsed="false">
      <c r="A17028" s="5" t="s">
        <v>272</v>
      </c>
      <c r="G17028" s="25" t="n">
        <f aca="false">Assumptions!$N$55*MIN(G17019+G17026+G17024-G17025-G17027,MAX(0,G17077-G17002-G17015))</f>
        <v>0</v>
      </c>
      <c r="H17028" s="25" t="n">
        <f aca="false">Assumptions!$N$55*MIN(H17019+H17026+H17024-H17025-H17027,MAX(0,H17077-H17002-H17015))</f>
        <v>0</v>
      </c>
      <c r="I17028" s="25" t="n">
        <f aca="false">Assumptions!$N$55*MIN(I17019+I17026+I17024-I17025-I17027,MAX(0,I17077-I17002-I17015))</f>
        <v>0</v>
      </c>
      <c r="J17028" s="25" t="n">
        <f aca="false">Assumptions!$N$55*MIN(J17019+J17026+J17024-J17025-J17027,MAX(0,J17077-J17002-J17015))</f>
        <v>0</v>
      </c>
      <c r="K17028" s="25" t="n">
        <f aca="false">Assumptions!$N$55*MIN(K17019+K17026+K17024-K17025-K17027,MAX(0,K17077-K17002-K17015))</f>
        <v>0</v>
      </c>
    </row>
    <row r="17029" customFormat="false" ht="15" hidden="false" customHeight="false" outlineLevel="0" collapsed="false">
      <c r="A17029" s="5" t="s">
        <v>273</v>
      </c>
      <c r="G17029" s="25" t="n">
        <f aca="false">G17020*(1-G16991)*(G17019-G17025+G17024-G17027)</f>
        <v>0</v>
      </c>
      <c r="H17029" s="25" t="n">
        <f aca="false">H17020*(1-H16991)*(H17019-H17025+H17024-H17027)</f>
        <v>0</v>
      </c>
      <c r="I17029" s="25" t="n">
        <f aca="false">I17020*(1-I16991)*(I17019-I17025+I17024-I17027)</f>
        <v>0</v>
      </c>
      <c r="J17029" s="25" t="n">
        <f aca="false">J17020*(1-J16991)*(J17019-J17025+J17024-J17027)</f>
        <v>0</v>
      </c>
      <c r="K17029" s="25" t="n">
        <f aca="false">K17020*(1-K16991)*(K17019-K17025+K17024-K17027)</f>
        <v>0</v>
      </c>
    </row>
    <row r="17030" customFormat="false" ht="15" hidden="false" customHeight="false" outlineLevel="0" collapsed="false">
      <c r="A17030" s="2" t="s">
        <v>274</v>
      </c>
      <c r="F17030" s="27" t="n">
        <f aca="false">Assumptions!$C$55</f>
        <v>250</v>
      </c>
      <c r="G17030" s="16" t="n">
        <f aca="false">G17019+G17026+G17024-G17025-G17027-G17028</f>
        <v>250</v>
      </c>
      <c r="H17030" s="16" t="n">
        <f aca="false">H17019+H17026+H17024-H17025-H17027-H17028</f>
        <v>250</v>
      </c>
      <c r="I17030" s="16" t="n">
        <f aca="false">I17019+I17026+I17024-I17025-I17027-I17028</f>
        <v>250</v>
      </c>
      <c r="J17030" s="16" t="n">
        <f aca="false">J17019+J17026+J17024-J17025-J17027-J17028</f>
        <v>250</v>
      </c>
      <c r="K17030" s="16" t="n">
        <f aca="false">K17019+K17026+K17024-K17025-K17027-K17028</f>
        <v>250</v>
      </c>
    </row>
    <row r="17031" customFormat="false" ht="15" hidden="false" customHeight="false" outlineLevel="0" collapsed="false">
      <c r="A17031" s="23" t="s">
        <v>277</v>
      </c>
      <c r="B17031" s="24"/>
      <c r="C17031" s="24"/>
      <c r="D17031" s="24"/>
      <c r="E17031" s="24"/>
      <c r="F17031" s="24"/>
      <c r="G17031" s="24"/>
      <c r="H17031" s="24"/>
      <c r="I17031" s="24"/>
      <c r="J17031" s="24"/>
      <c r="K17031" s="24"/>
    </row>
    <row r="17032" customFormat="false" ht="15" hidden="false" customHeight="false" outlineLevel="0" collapsed="false">
      <c r="A17032" s="5" t="s">
        <v>264</v>
      </c>
      <c r="G17032" s="25" t="n">
        <f aca="false">F17043</f>
        <v>300</v>
      </c>
      <c r="H17032" s="25" t="n">
        <f aca="false">G17043</f>
        <v>300</v>
      </c>
      <c r="I17032" s="25" t="n">
        <f aca="false">H17043</f>
        <v>300</v>
      </c>
      <c r="J17032" s="25" t="n">
        <f aca="false">I17043</f>
        <v>300</v>
      </c>
      <c r="K17032" s="25" t="n">
        <f aca="false">J17043</f>
        <v>300</v>
      </c>
    </row>
    <row r="17033" customFormat="false" ht="15" hidden="false" customHeight="false" outlineLevel="0" collapsed="false">
      <c r="A17033" s="5" t="s">
        <v>265</v>
      </c>
      <c r="G17033" s="20" t="n">
        <f aca="false">IF(G16957=Assumptions!$K$56,1,0)</f>
        <v>0</v>
      </c>
      <c r="H17033" s="20" t="n">
        <f aca="false">IF(H16957=Assumptions!$K$56,1,0)</f>
        <v>1</v>
      </c>
      <c r="I17033" s="20" t="n">
        <f aca="false">IF(I16957=Assumptions!$K$56,1,0)</f>
        <v>0</v>
      </c>
      <c r="J17033" s="20" t="n">
        <f aca="false">IF(J16957=Assumptions!$K$56,1,0)</f>
        <v>0</v>
      </c>
      <c r="K17033" s="20" t="n">
        <f aca="false">IF(K16957=Assumptions!$K$56,1,0)</f>
        <v>0</v>
      </c>
    </row>
    <row r="17035" customFormat="false" ht="15" hidden="false" customHeight="false" outlineLevel="0" collapsed="false">
      <c r="A17035" s="5" t="s">
        <v>266</v>
      </c>
      <c r="G17035" s="30" t="n">
        <f aca="false">IF(Assumptions!$I$56=1,MAX(G16983,Assumptions!$G$56)+Assumptions!$F$56+$C$16984,Assumptions!$E$56)</f>
        <v>0.075</v>
      </c>
      <c r="H17035" s="30" t="n">
        <f aca="false">IF(G17148=1,$C$16985,IF(Assumptions!$I$56=1,MAX(H16983,Assumptions!$G$56)+Assumptions!$F$56+$C$16984,Assumptions!$E$56))</f>
        <v>0.075</v>
      </c>
      <c r="I17035" s="30" t="n">
        <f aca="false">IF(H17148=1,$C$16985,IF(Assumptions!$I$56=1,MAX(I16983,Assumptions!$G$56)+Assumptions!$F$56+$C$16984,Assumptions!$E$56))</f>
        <v>0.11</v>
      </c>
      <c r="J17035" s="30" t="n">
        <f aca="false">IF(I17148=1,$C$16985,IF(Assumptions!$I$56=1,MAX(J16983,Assumptions!$G$56)+Assumptions!$F$56+$C$16984,Assumptions!$E$56))</f>
        <v>0.11</v>
      </c>
      <c r="K17035" s="30" t="n">
        <f aca="false">IF(J17148=1,$C$16985,IF(Assumptions!$I$56=1,MAX(K16983,Assumptions!$G$56)+Assumptions!$F$56+$C$16984,Assumptions!$E$56))</f>
        <v>0.11</v>
      </c>
    </row>
    <row r="17036" customFormat="false" ht="15" hidden="false" customHeight="false" outlineLevel="0" collapsed="false">
      <c r="A17036" s="5" t="s">
        <v>267</v>
      </c>
      <c r="G17036" s="25" t="n">
        <f aca="false">G17032*G17035</f>
        <v>22.5</v>
      </c>
      <c r="H17036" s="25" t="n">
        <f aca="false">H17032*H17035</f>
        <v>22.5</v>
      </c>
      <c r="I17036" s="25" t="n">
        <f aca="false">I17032*I17035</f>
        <v>33</v>
      </c>
      <c r="J17036" s="25" t="n">
        <f aca="false">J17032*J17035</f>
        <v>33</v>
      </c>
      <c r="K17036" s="25" t="n">
        <f aca="false">K17032*K17035</f>
        <v>33</v>
      </c>
    </row>
    <row r="17037" customFormat="false" ht="15" hidden="false" customHeight="false" outlineLevel="0" collapsed="false">
      <c r="A17037" s="5" t="s">
        <v>268</v>
      </c>
      <c r="G17037" s="25" t="n">
        <f aca="false">G17032*Assumptions!$H$56</f>
        <v>0</v>
      </c>
      <c r="H17037" s="25" t="n">
        <f aca="false">H17032*Assumptions!$H$56</f>
        <v>0</v>
      </c>
      <c r="I17037" s="25" t="n">
        <f aca="false">I17032*Assumptions!$H$56</f>
        <v>0</v>
      </c>
      <c r="J17037" s="25" t="n">
        <f aca="false">J17032*Assumptions!$H$56</f>
        <v>0</v>
      </c>
      <c r="K17037" s="25" t="n">
        <f aca="false">K17032*Assumptions!$H$56</f>
        <v>0</v>
      </c>
    </row>
    <row r="17038" customFormat="false" ht="15" hidden="false" customHeight="false" outlineLevel="0" collapsed="false">
      <c r="A17038" s="5" t="s">
        <v>269</v>
      </c>
      <c r="G17038" s="25" t="n">
        <f aca="false">MIN(G17032,Assumptions!$L$56*Assumptions!$C$56)</f>
        <v>0</v>
      </c>
      <c r="H17038" s="25" t="n">
        <f aca="false">MIN(H17032,Assumptions!$L$56*Assumptions!$C$56)</f>
        <v>0</v>
      </c>
      <c r="I17038" s="25" t="n">
        <f aca="false">MIN(I17032,Assumptions!$L$56*Assumptions!$C$56)</f>
        <v>0</v>
      </c>
      <c r="J17038" s="25" t="n">
        <f aca="false">MIN(J17032,Assumptions!$L$56*Assumptions!$C$56)</f>
        <v>0</v>
      </c>
      <c r="K17038" s="25" t="n">
        <f aca="false">MIN(K17032,Assumptions!$L$56*Assumptions!$C$56)</f>
        <v>0</v>
      </c>
    </row>
    <row r="17039" customFormat="false" ht="15" hidden="false" customHeight="false" outlineLevel="0" collapsed="false">
      <c r="A17039" s="5" t="s">
        <v>270</v>
      </c>
      <c r="G17039" s="25" t="n">
        <f aca="false">IF(AND(Assumptions!$P$56=1,G16957&lt;Assumptions!$K$56),MIN(MAX(0,-G17071),MAX(0,Assumptions!$D$56-G17032)),0)</f>
        <v>0</v>
      </c>
      <c r="H17039" s="25" t="n">
        <f aca="false">IF(AND(Assumptions!$P$56=1,OR(H16957&lt;Assumptions!$K$56,G17148=1)),MIN(MAX(0,-H17071),MAX(0,Assumptions!$D$56-H17032)),0)</f>
        <v>0</v>
      </c>
      <c r="I17039" s="25" t="n">
        <f aca="false">IF(AND(Assumptions!$P$56=1,OR(I16957&lt;Assumptions!$K$56,H17148=1)),MIN(MAX(0,-I17071),MAX(0,Assumptions!$D$56-I17032)),0)</f>
        <v>0</v>
      </c>
      <c r="J17039" s="25" t="n">
        <f aca="false">IF(AND(Assumptions!$P$56=1,OR(J16957&lt;Assumptions!$K$56,I17148=1)),MIN(MAX(0,-J17071),MAX(0,Assumptions!$D$56-J17032)),0)</f>
        <v>0</v>
      </c>
      <c r="K17039" s="25" t="n">
        <f aca="false">IF(AND(Assumptions!$P$56=1,OR(K16957&lt;Assumptions!$K$56,J17148=1)),MIN(MAX(0,-K17071),MAX(0,Assumptions!$D$56-K17032)),0)</f>
        <v>0</v>
      </c>
    </row>
    <row r="17040" customFormat="false" ht="15" hidden="false" customHeight="false" outlineLevel="0" collapsed="false">
      <c r="A17040" s="5" t="s">
        <v>271</v>
      </c>
      <c r="G17040" s="25" t="n">
        <f aca="false">G17033*MIN(G17032-G17038+G17037,MAX(0,G17073-Assumptions!$C$12*G16991-G17001-G17014-G17027))</f>
        <v>0</v>
      </c>
      <c r="H17040" s="25" t="n">
        <f aca="false">H17033*MIN(H17032-H17038+H17037,MAX(0,H17073-Assumptions!$C$12*H16991-H17001-H17014-H17027))</f>
        <v>0</v>
      </c>
      <c r="I17040" s="25" t="n">
        <f aca="false">I17033*MIN(I17032-I17038+I17037,MAX(0,I17073-Assumptions!$C$12*I16991-I17001-I17014-I17027))</f>
        <v>0</v>
      </c>
      <c r="J17040" s="25" t="n">
        <f aca="false">J17033*MIN(J17032-J17038+J17037,MAX(0,J17073-Assumptions!$C$12*J16991-J17001-J17014-J17027))</f>
        <v>0</v>
      </c>
      <c r="K17040" s="25" t="n">
        <f aca="false">K17033*MIN(K17032-K17038+K17037,MAX(0,K17073-Assumptions!$C$12*K16991-K17001-K17014-K17027))</f>
        <v>0</v>
      </c>
    </row>
    <row r="17041" customFormat="false" ht="15" hidden="false" customHeight="false" outlineLevel="0" collapsed="false">
      <c r="A17041" s="5" t="s">
        <v>272</v>
      </c>
      <c r="G17041" s="25" t="n">
        <f aca="false">Assumptions!$N$56*MIN(G17032+G17039+G17037-G17038-G17040,MAX(0,G17077-G17002-G17015-G17028))</f>
        <v>0</v>
      </c>
      <c r="H17041" s="25" t="n">
        <f aca="false">Assumptions!$N$56*MIN(H17032+H17039+H17037-H17038-H17040,MAX(0,H17077-H17002-H17015-H17028))</f>
        <v>0</v>
      </c>
      <c r="I17041" s="25" t="n">
        <f aca="false">Assumptions!$N$56*MIN(I17032+I17039+I17037-I17038-I17040,MAX(0,I17077-I17002-I17015-I17028))</f>
        <v>0</v>
      </c>
      <c r="J17041" s="25" t="n">
        <f aca="false">Assumptions!$N$56*MIN(J17032+J17039+J17037-J17038-J17040,MAX(0,J17077-J17002-J17015-J17028))</f>
        <v>0</v>
      </c>
      <c r="K17041" s="25" t="n">
        <f aca="false">Assumptions!$N$56*MIN(K17032+K17039+K17037-K17038-K17040,MAX(0,K17077-K17002-K17015-K17028))</f>
        <v>0</v>
      </c>
    </row>
    <row r="17042" customFormat="false" ht="15" hidden="false" customHeight="false" outlineLevel="0" collapsed="false">
      <c r="A17042" s="5" t="s">
        <v>273</v>
      </c>
      <c r="G17042" s="25" t="n">
        <f aca="false">G17033*(1-G16991)*(G17032-G17038+G17037-G17040)</f>
        <v>0</v>
      </c>
      <c r="H17042" s="25" t="n">
        <f aca="false">H17033*(1-H16991)*(H17032-H17038+H17037-H17040)</f>
        <v>0</v>
      </c>
      <c r="I17042" s="25" t="n">
        <f aca="false">I17033*(1-I16991)*(I17032-I17038+I17037-I17040)</f>
        <v>0</v>
      </c>
      <c r="J17042" s="25" t="n">
        <f aca="false">J17033*(1-J16991)*(J17032-J17038+J17037-J17040)</f>
        <v>0</v>
      </c>
      <c r="K17042" s="25" t="n">
        <f aca="false">K17033*(1-K16991)*(K17032-K17038+K17037-K17040)</f>
        <v>0</v>
      </c>
    </row>
    <row r="17043" customFormat="false" ht="15" hidden="false" customHeight="false" outlineLevel="0" collapsed="false">
      <c r="A17043" s="2" t="s">
        <v>274</v>
      </c>
      <c r="F17043" s="27" t="n">
        <f aca="false">Assumptions!$C$56</f>
        <v>300</v>
      </c>
      <c r="G17043" s="16" t="n">
        <f aca="false">G17032+G17039+G17037-G17038-G17040-G17041</f>
        <v>300</v>
      </c>
      <c r="H17043" s="16" t="n">
        <f aca="false">H17032+H17039+H17037-H17038-H17040-H17041</f>
        <v>300</v>
      </c>
      <c r="I17043" s="16" t="n">
        <f aca="false">I17032+I17039+I17037-I17038-I17040-I17041</f>
        <v>300</v>
      </c>
      <c r="J17043" s="16" t="n">
        <f aca="false">J17032+J17039+J17037-J17038-J17040-J17041</f>
        <v>300</v>
      </c>
      <c r="K17043" s="16" t="n">
        <f aca="false">K17032+K17039+K17037-K17038-K17040-K17041</f>
        <v>300</v>
      </c>
    </row>
    <row r="17044" customFormat="false" ht="15" hidden="false" customHeight="false" outlineLevel="0" collapsed="false">
      <c r="A17044" s="23" t="s">
        <v>278</v>
      </c>
      <c r="B17044" s="24"/>
      <c r="C17044" s="24"/>
      <c r="D17044" s="24"/>
      <c r="E17044" s="24"/>
      <c r="F17044" s="24"/>
      <c r="G17044" s="24"/>
      <c r="H17044" s="24"/>
      <c r="I17044" s="24"/>
      <c r="J17044" s="24"/>
      <c r="K17044" s="24"/>
    </row>
    <row r="17045" customFormat="false" ht="15" hidden="false" customHeight="false" outlineLevel="0" collapsed="false">
      <c r="A17045" s="2" t="s">
        <v>279</v>
      </c>
      <c r="F17045" s="16" t="n">
        <f aca="false">F17004+F17017+F17030+F17043</f>
        <v>1250</v>
      </c>
      <c r="G17045" s="16" t="n">
        <f aca="false">G17004+G17017+G17030+G17043</f>
        <v>1214.24</v>
      </c>
      <c r="H17045" s="16" t="n">
        <f aca="false">H17004+H17017+H17030+H17043</f>
        <v>1209.04</v>
      </c>
      <c r="I17045" s="16" t="n">
        <f aca="false">I17004+I17017+I17030+I17043</f>
        <v>1224.9985096</v>
      </c>
      <c r="J17045" s="16" t="n">
        <f aca="false">J17004+J17017+J17030+J17043</f>
        <v>1239.376932912</v>
      </c>
      <c r="K17045" s="16" t="n">
        <f aca="false">K17004+K17017+K17030+K17043</f>
        <v>1251.97594467624</v>
      </c>
    </row>
    <row r="17046" customFormat="false" ht="15" hidden="false" customHeight="false" outlineLevel="0" collapsed="false">
      <c r="A17046" s="5" t="s">
        <v>280</v>
      </c>
      <c r="G17046" s="25" t="n">
        <f aca="false">G16994*Assumptions!$C$53+G17007*Assumptions!$C$54+G17020*Assumptions!$C$55+G17033*Assumptions!$C$56</f>
        <v>0</v>
      </c>
      <c r="H17046" s="25" t="n">
        <f aca="false">H16994*Assumptions!$C$53+H17007*Assumptions!$C$54+H17020*Assumptions!$C$55+H17033*Assumptions!$C$56</f>
        <v>480</v>
      </c>
      <c r="I17046" s="25" t="n">
        <f aca="false">I16994*Assumptions!$C$53+I17007*Assumptions!$C$54+I17020*Assumptions!$C$55+I17033*Assumptions!$C$56</f>
        <v>520</v>
      </c>
      <c r="J17046" s="25" t="n">
        <f aca="false">J16994*Assumptions!$C$53+J17007*Assumptions!$C$54+J17020*Assumptions!$C$55+J17033*Assumptions!$C$56</f>
        <v>250</v>
      </c>
      <c r="K17046" s="25" t="n">
        <f aca="false">K16994*Assumptions!$C$53+K17007*Assumptions!$C$54+K17020*Assumptions!$C$55+K17033*Assumptions!$C$56</f>
        <v>0</v>
      </c>
    </row>
    <row r="17047" customFormat="false" ht="15" hidden="false" customHeight="false" outlineLevel="0" collapsed="false">
      <c r="A17047" s="23" t="s">
        <v>281</v>
      </c>
      <c r="B17047" s="24"/>
      <c r="C17047" s="24"/>
      <c r="D17047" s="24"/>
      <c r="E17047" s="24"/>
      <c r="F17047" s="24"/>
      <c r="G17047" s="24"/>
      <c r="H17047" s="24"/>
      <c r="I17047" s="24"/>
      <c r="J17047" s="24"/>
      <c r="K17047" s="24"/>
    </row>
    <row r="17048" customFormat="false" ht="15" hidden="false" customHeight="false" outlineLevel="0" collapsed="false">
      <c r="A17048" s="5" t="s">
        <v>282</v>
      </c>
      <c r="C17048" s="25" t="n">
        <f aca="false">SUMPRODUCT($G$16994:$K$16994,$G$16993:$K$16993-$G$16999:$K$16999+$G$16998:$K$16998)</f>
        <v>149.44</v>
      </c>
    </row>
    <row r="17049" customFormat="false" ht="15" hidden="false" customHeight="false" outlineLevel="0" collapsed="false">
      <c r="A17049" s="5" t="s">
        <v>283</v>
      </c>
      <c r="C17049" s="25" t="n">
        <f aca="false">SUMPRODUCT($G$16994:$K$16994,$G$17001:$K$17001)</f>
        <v>0</v>
      </c>
    </row>
    <row r="17050" customFormat="false" ht="15" hidden="false" customHeight="false" outlineLevel="0" collapsed="false">
      <c r="A17050" s="5" t="s">
        <v>284</v>
      </c>
      <c r="C17050" s="5" t="str">
        <f aca="false">IF(SUM($G$16994:$K$16994)=0,"n/a (beyond horizon)",IF(SUMPRODUCT($G$16994:$K$16994,$G$16991:$K$16991)&gt;0,"REFINANCING PASS","REFINANCING FAILURE"))</f>
        <v>REFINANCING PASS</v>
      </c>
    </row>
    <row r="17051" customFormat="false" ht="15" hidden="false" customHeight="false" outlineLevel="0" collapsed="false">
      <c r="A17051" s="5" t="s">
        <v>285</v>
      </c>
      <c r="C17051" s="5" t="str">
        <f aca="false">IF(SUM($G$16994:$K$16994)=0,"n/a",IF(C17049&gt;=C17048-0.001,"Repaid from cash",IF(SUMPRODUCT($G$16994:$K$16994,$G$16991:$K$16991)&gt;0,IF(C17049&gt;0,"Partly repaid; remainder refinanced","Refinanced"),IF(SUM($G$17003:$K$17003)&gt;0.001,IF(C17049&gt;0,"Partial repayment; PAYMENT DEFAULT","PAYMENT DEFAULT"),"Repaid from cash"))))</f>
        <v>Refinanced</v>
      </c>
    </row>
    <row r="17052" customFormat="false" ht="15" hidden="false" customHeight="false" outlineLevel="0" collapsed="false">
      <c r="A17052" s="5" t="s">
        <v>286</v>
      </c>
      <c r="C17052" s="25" t="n">
        <f aca="false">SUMPRODUCT($G$17007:$K$17007,$G$17006:$K$17006-$G$17012:$K$17012+$G$17011:$K$17011)</f>
        <v>504.4</v>
      </c>
    </row>
    <row r="17053" customFormat="false" ht="15" hidden="false" customHeight="false" outlineLevel="0" collapsed="false">
      <c r="A17053" s="5" t="s">
        <v>287</v>
      </c>
      <c r="C17053" s="25" t="n">
        <f aca="false">SUMPRODUCT($G$17007:$K$17007,$G$17014:$K$17014)</f>
        <v>0</v>
      </c>
    </row>
    <row r="17054" customFormat="false" ht="15" hidden="false" customHeight="false" outlineLevel="0" collapsed="false">
      <c r="A17054" s="5" t="s">
        <v>288</v>
      </c>
      <c r="C17054" s="5" t="str">
        <f aca="false">IF(SUM($G$17007:$K$17007)=0,"n/a (beyond horizon)",IF(SUMPRODUCT($G$17007:$K$17007,$G$16991:$K$16991)&gt;0,"REFINANCING PASS","REFINANCING FAILURE"))</f>
        <v>REFINANCING PASS</v>
      </c>
    </row>
    <row r="17055" customFormat="false" ht="15" hidden="false" customHeight="false" outlineLevel="0" collapsed="false">
      <c r="A17055" s="5" t="s">
        <v>289</v>
      </c>
      <c r="C17055" s="5" t="str">
        <f aca="false">IF(SUM($G$17007:$K$17007)=0,"n/a",IF(C17053&gt;=C17052-0.001,"Repaid from cash",IF(SUMPRODUCT($G$17007:$K$17007,$G$16991:$K$16991)&gt;0,IF(C17053&gt;0,"Partly repaid; remainder refinanced","Refinanced"),IF(SUM($G$17016:$K$17016)&gt;0.001,IF(C17053&gt;0,"Partial repayment; PAYMENT DEFAULT","PAYMENT DEFAULT"),"Repaid from cash"))))</f>
        <v>Refinanced</v>
      </c>
    </row>
    <row r="17056" customFormat="false" ht="15" hidden="false" customHeight="false" outlineLevel="0" collapsed="false">
      <c r="A17056" s="5" t="s">
        <v>290</v>
      </c>
      <c r="C17056" s="25" t="n">
        <f aca="false">SUMPRODUCT($G$17020:$K$17020,$G$17019:$K$17019-$G$17025:$K$17025+$G$17024:$K$17024)</f>
        <v>250</v>
      </c>
    </row>
    <row r="17057" customFormat="false" ht="15" hidden="false" customHeight="false" outlineLevel="0" collapsed="false">
      <c r="A17057" s="5" t="s">
        <v>291</v>
      </c>
      <c r="C17057" s="25" t="n">
        <f aca="false">SUMPRODUCT($G$17020:$K$17020,$G$17027:$K$17027)</f>
        <v>0</v>
      </c>
    </row>
    <row r="17058" customFormat="false" ht="15" hidden="false" customHeight="false" outlineLevel="0" collapsed="false">
      <c r="A17058" s="5" t="s">
        <v>292</v>
      </c>
      <c r="C17058" s="5" t="str">
        <f aca="false">IF(SUM($G$17020:$K$17020)=0,"n/a (beyond horizon)",IF(SUMPRODUCT($G$17020:$K$17020,$G$16991:$K$16991)&gt;0,"REFINANCING PASS","REFINANCING FAILURE"))</f>
        <v>REFINANCING PASS</v>
      </c>
    </row>
    <row r="17059" customFormat="false" ht="15" hidden="false" customHeight="false" outlineLevel="0" collapsed="false">
      <c r="A17059" s="5" t="s">
        <v>293</v>
      </c>
      <c r="C17059" s="5" t="str">
        <f aca="false">IF(SUM($G$17020:$K$17020)=0,"n/a",IF(C17057&gt;=C17056-0.001,"Repaid from cash",IF(SUMPRODUCT($G$17020:$K$17020,$G$16991:$K$16991)&gt;0,IF(C17057&gt;0,"Partly repaid; remainder refinanced","Refinanced"),IF(SUM($G$17029:$K$17029)&gt;0.001,IF(C17057&gt;0,"Partial repayment; PAYMENT DEFAULT","PAYMENT DEFAULT"),"Repaid from cash"))))</f>
        <v>Refinanced</v>
      </c>
    </row>
    <row r="17060" customFormat="false" ht="15" hidden="false" customHeight="false" outlineLevel="0" collapsed="false">
      <c r="A17060" s="5" t="s">
        <v>294</v>
      </c>
      <c r="C17060" s="25" t="n">
        <f aca="false">SUMPRODUCT($G$17033:$K$17033,$G$17032:$K$17032-$G$17038:$K$17038+$G$17037:$K$17037)</f>
        <v>300</v>
      </c>
    </row>
    <row r="17061" customFormat="false" ht="15" hidden="false" customHeight="false" outlineLevel="0" collapsed="false">
      <c r="A17061" s="5" t="s">
        <v>295</v>
      </c>
      <c r="C17061" s="25" t="n">
        <f aca="false">SUMPRODUCT($G$17033:$K$17033,$G$17040:$K$17040)</f>
        <v>0</v>
      </c>
    </row>
    <row r="17062" customFormat="false" ht="15" hidden="false" customHeight="false" outlineLevel="0" collapsed="false">
      <c r="A17062" s="5" t="s">
        <v>296</v>
      </c>
      <c r="C17062" s="5" t="str">
        <f aca="false">IF(SUM($G$17033:$K$17033)=0,"n/a (beyond horizon)",IF(SUMPRODUCT($G$17033:$K$17033,$G$16991:$K$16991)&gt;0,"REFINANCING PASS","REFINANCING FAILURE"))</f>
        <v>REFINANCING PASS</v>
      </c>
    </row>
    <row r="17063" customFormat="false" ht="15" hidden="false" customHeight="false" outlineLevel="0" collapsed="false">
      <c r="A17063" s="5" t="s">
        <v>297</v>
      </c>
      <c r="C17063" s="5" t="str">
        <f aca="false">IF(SUM($G$17033:$K$17033)=0,"n/a",IF(C17061&gt;=C17060-0.001,"Repaid from cash",IF(SUMPRODUCT($G$17033:$K$17033,$G$16991:$K$16991)&gt;0,IF(C17061&gt;0,"Partly repaid; remainder refinanced","Refinanced"),IF(SUM($G$17042:$K$17042)&gt;0.001,IF(C17061&gt;0,"Partial repayment; PAYMENT DEFAULT","PAYMENT DEFAULT"),"Repaid from cash"))))</f>
        <v>Refinanced</v>
      </c>
    </row>
    <row r="17064" customFormat="false" ht="15" hidden="false" customHeight="false" outlineLevel="0" collapsed="false">
      <c r="A17064" s="5" t="s">
        <v>298</v>
      </c>
      <c r="C17064" s="20" t="n">
        <f aca="false">IF(C17050="REFINANCING FAILURE",1,0)+IF(C17054="REFINANCING FAILURE",1,0)+IF(C17058="REFINANCING FAILURE",1,0)+IF(C17062="REFINANCING FAILURE",1,0)</f>
        <v>0</v>
      </c>
    </row>
    <row r="17066" customFormat="false" ht="15" hidden="false" customHeight="false" outlineLevel="0" collapsed="false">
      <c r="A17066" s="23" t="s">
        <v>300</v>
      </c>
      <c r="B17066" s="24"/>
      <c r="C17066" s="24"/>
      <c r="D17066" s="24"/>
      <c r="E17066" s="24"/>
      <c r="F17066" s="24"/>
      <c r="G17066" s="24"/>
      <c r="H17066" s="24"/>
      <c r="I17066" s="24"/>
      <c r="J17066" s="24"/>
      <c r="K17066" s="24"/>
    </row>
    <row r="17067" customFormat="false" ht="15" hidden="false" customHeight="false" outlineLevel="0" collapsed="false">
      <c r="A17067" s="5" t="s">
        <v>260</v>
      </c>
      <c r="G17067" s="25" t="n">
        <f aca="false">F17079</f>
        <v>45</v>
      </c>
      <c r="H17067" s="25" t="n">
        <f aca="false">G17079</f>
        <v>0</v>
      </c>
      <c r="I17067" s="25" t="n">
        <f aca="false">H17079</f>
        <v>-6.00915999999998</v>
      </c>
      <c r="J17067" s="25" t="n">
        <f aca="false">I17079</f>
        <v>0</v>
      </c>
      <c r="K17067" s="25" t="n">
        <f aca="false">J17079</f>
        <v>0</v>
      </c>
    </row>
    <row r="17068" customFormat="false" ht="15" hidden="false" customHeight="false" outlineLevel="0" collapsed="false">
      <c r="A17068" s="5" t="s">
        <v>301</v>
      </c>
      <c r="G17068" s="25" t="n">
        <f aca="false">G16980</f>
        <v>-9.24000000000001</v>
      </c>
      <c r="H17068" s="25" t="n">
        <f aca="false">H16980</f>
        <v>-0.809159999999978</v>
      </c>
      <c r="I17068" s="25" t="n">
        <f aca="false">I16980</f>
        <v>-9.94934960000002</v>
      </c>
      <c r="J17068" s="25" t="n">
        <f aca="false">J16980</f>
        <v>-14.378423312</v>
      </c>
      <c r="K17068" s="25" t="n">
        <f aca="false">K16980</f>
        <v>-12.59901176424</v>
      </c>
    </row>
    <row r="17069" customFormat="false" ht="15" hidden="false" customHeight="false" outlineLevel="0" collapsed="false">
      <c r="A17069" s="5" t="s">
        <v>302</v>
      </c>
      <c r="G17069" s="25" t="n">
        <f aca="false">CHOOSE($C$16950,Assumptions!$G$68,Assumptions!$G$87,Assumptions!$G$106)</f>
        <v>0</v>
      </c>
      <c r="H17069" s="25" t="n">
        <f aca="false">CHOOSE($C$16950,Assumptions!$H$68,Assumptions!$H$87,Assumptions!$H$106)</f>
        <v>0</v>
      </c>
      <c r="I17069" s="25" t="n">
        <f aca="false">CHOOSE($C$16950,Assumptions!$I$68,Assumptions!$I$87,Assumptions!$I$106)</f>
        <v>0</v>
      </c>
      <c r="J17069" s="25" t="n">
        <f aca="false">CHOOSE($C$16950,Assumptions!$J$68,Assumptions!$J$87,Assumptions!$J$106)</f>
        <v>0</v>
      </c>
      <c r="K17069" s="25" t="n">
        <f aca="false">CHOOSE($C$16950,Assumptions!$K$68,Assumptions!$K$87,Assumptions!$K$106)</f>
        <v>0</v>
      </c>
    </row>
    <row r="17070" customFormat="false" ht="15" hidden="false" customHeight="false" outlineLevel="0" collapsed="false">
      <c r="A17070" s="5" t="s">
        <v>303</v>
      </c>
      <c r="G17070" s="25" t="n">
        <f aca="false">G16999+G17012+G17025+G17038</f>
        <v>5.2</v>
      </c>
      <c r="H17070" s="25" t="n">
        <f aca="false">H16999+H17012+H17025+H17038</f>
        <v>5.2</v>
      </c>
      <c r="I17070" s="25" t="n">
        <f aca="false">I16999+I17012+I17025+I17038</f>
        <v>5.2</v>
      </c>
      <c r="J17070" s="25" t="n">
        <f aca="false">J16999+J17012+J17025+J17038</f>
        <v>5.2</v>
      </c>
      <c r="K17070" s="25" t="n">
        <f aca="false">K16999+K17012+K17025+K17038</f>
        <v>5.2</v>
      </c>
    </row>
    <row r="17071" customFormat="false" ht="15" hidden="false" customHeight="false" outlineLevel="0" collapsed="false">
      <c r="A17071" s="2" t="s">
        <v>304</v>
      </c>
      <c r="G17071" s="16" t="n">
        <f aca="false">G17067+G17068+G17069-G17070</f>
        <v>30.56</v>
      </c>
      <c r="H17071" s="16" t="n">
        <f aca="false">H17067+H17068+H17069-H17070</f>
        <v>-6.00915999999998</v>
      </c>
      <c r="I17071" s="16" t="n">
        <f aca="false">I17067+I17068+I17069-I17070</f>
        <v>-21.1585096</v>
      </c>
      <c r="J17071" s="16" t="n">
        <f aca="false">J17067+J17068+J17069-J17070</f>
        <v>-19.578423312</v>
      </c>
      <c r="K17071" s="16" t="n">
        <f aca="false">K17067+K17068+K17069-K17070</f>
        <v>-17.79901176424</v>
      </c>
    </row>
    <row r="17072" customFormat="false" ht="15" hidden="false" customHeight="false" outlineLevel="0" collapsed="false">
      <c r="A17072" s="5" t="s">
        <v>305</v>
      </c>
      <c r="G17072" s="25" t="n">
        <f aca="false">G17000+G17013+G17026+G17039</f>
        <v>0</v>
      </c>
      <c r="H17072" s="25" t="n">
        <f aca="false">H17000+H17013+H17026+H17039</f>
        <v>0</v>
      </c>
      <c r="I17072" s="25" t="n">
        <f aca="false">I17000+I17013+I17026+I17039</f>
        <v>21.1585096</v>
      </c>
      <c r="J17072" s="25" t="n">
        <f aca="false">J17000+J17013+J17026+J17039</f>
        <v>19.578423312</v>
      </c>
      <c r="K17072" s="25" t="n">
        <f aca="false">K17000+K17013+K17026+K17039</f>
        <v>17.79901176424</v>
      </c>
    </row>
    <row r="17073" customFormat="false" ht="15" hidden="false" customHeight="false" outlineLevel="0" collapsed="false">
      <c r="A17073" s="2" t="s">
        <v>306</v>
      </c>
      <c r="G17073" s="16" t="n">
        <f aca="false">G17071+G17072</f>
        <v>30.56</v>
      </c>
      <c r="H17073" s="16" t="n">
        <f aca="false">H17071+H17072</f>
        <v>-6.00915999999998</v>
      </c>
      <c r="I17073" s="16" t="n">
        <f aca="false">I17071+I17072</f>
        <v>0</v>
      </c>
      <c r="J17073" s="16" t="n">
        <f aca="false">J17071+J17072</f>
        <v>0</v>
      </c>
      <c r="K17073" s="16" t="n">
        <f aca="false">K17071+K17072</f>
        <v>0</v>
      </c>
    </row>
    <row r="17074" customFormat="false" ht="15" hidden="false" customHeight="false" outlineLevel="0" collapsed="false">
      <c r="A17074" s="5" t="s">
        <v>307</v>
      </c>
      <c r="G17074" s="25" t="n">
        <f aca="false">G17001+G17014+G17027+G17040</f>
        <v>0</v>
      </c>
      <c r="H17074" s="25" t="n">
        <f aca="false">H17001+H17014+H17027+H17040</f>
        <v>0</v>
      </c>
      <c r="I17074" s="25" t="n">
        <f aca="false">I17001+I17014+I17027+I17040</f>
        <v>0</v>
      </c>
      <c r="J17074" s="25" t="n">
        <f aca="false">J17001+J17014+J17027+J17040</f>
        <v>0</v>
      </c>
      <c r="K17074" s="25" t="n">
        <f aca="false">K17001+K17014+K17027+K17040</f>
        <v>0</v>
      </c>
    </row>
    <row r="17075" customFormat="false" ht="15" hidden="false" customHeight="false" outlineLevel="0" collapsed="false">
      <c r="A17075" s="2" t="s">
        <v>308</v>
      </c>
      <c r="G17075" s="16" t="n">
        <f aca="false">G17073-G17074</f>
        <v>30.56</v>
      </c>
      <c r="H17075" s="16" t="n">
        <f aca="false">H17073-H17074</f>
        <v>-6.00915999999998</v>
      </c>
      <c r="I17075" s="16" t="n">
        <f aca="false">I17073-I17074</f>
        <v>0</v>
      </c>
      <c r="J17075" s="16" t="n">
        <f aca="false">J17073-J17074</f>
        <v>0</v>
      </c>
      <c r="K17075" s="16" t="n">
        <f aca="false">K17073-K17074</f>
        <v>0</v>
      </c>
    </row>
    <row r="17076" customFormat="false" ht="15" hidden="false" customHeight="false" outlineLevel="0" collapsed="false">
      <c r="A17076" s="5" t="s">
        <v>309</v>
      </c>
      <c r="G17076" s="25" t="n">
        <f aca="false">MAX(0,-G17075)</f>
        <v>0</v>
      </c>
      <c r="H17076" s="25" t="n">
        <f aca="false">MAX(0,-H17075)</f>
        <v>6.00915999999998</v>
      </c>
      <c r="I17076" s="25" t="n">
        <f aca="false">MAX(0,-I17075)</f>
        <v>-0</v>
      </c>
      <c r="J17076" s="25" t="n">
        <f aca="false">MAX(0,-J17075)</f>
        <v>-0</v>
      </c>
      <c r="K17076" s="25" t="n">
        <f aca="false">MAX(0,-K17075)</f>
        <v>-0</v>
      </c>
    </row>
    <row r="17077" customFormat="false" ht="15" hidden="false" customHeight="false" outlineLevel="0" collapsed="false">
      <c r="A17077" s="5" t="s">
        <v>310</v>
      </c>
      <c r="G17077" s="25" t="n">
        <f aca="false">MAX(0,G17075-Assumptions!$C$12)*Assumptions!$C$13</f>
        <v>30.56</v>
      </c>
      <c r="H17077" s="25" t="n">
        <f aca="false">MAX(0,H17075-Assumptions!$C$12)*Assumptions!$C$13</f>
        <v>0</v>
      </c>
      <c r="I17077" s="25" t="n">
        <f aca="false">MAX(0,I17075-Assumptions!$C$12)*Assumptions!$C$13</f>
        <v>0</v>
      </c>
      <c r="J17077" s="25" t="n">
        <f aca="false">MAX(0,J17075-Assumptions!$C$12)*Assumptions!$C$13</f>
        <v>0</v>
      </c>
      <c r="K17077" s="25" t="n">
        <f aca="false">MAX(0,K17075-Assumptions!$C$12)*Assumptions!$C$13</f>
        <v>0</v>
      </c>
    </row>
    <row r="17078" customFormat="false" ht="15" hidden="false" customHeight="false" outlineLevel="0" collapsed="false">
      <c r="A17078" s="5" t="s">
        <v>311</v>
      </c>
      <c r="G17078" s="25" t="n">
        <f aca="false">G17002+G17015+G17028+G17041</f>
        <v>30.56</v>
      </c>
      <c r="H17078" s="25" t="n">
        <f aca="false">H17002+H17015+H17028+H17041</f>
        <v>0</v>
      </c>
      <c r="I17078" s="25" t="n">
        <f aca="false">I17002+I17015+I17028+I17041</f>
        <v>0</v>
      </c>
      <c r="J17078" s="25" t="n">
        <f aca="false">J17002+J17015+J17028+J17041</f>
        <v>0</v>
      </c>
      <c r="K17078" s="25" t="n">
        <f aca="false">K17002+K17015+K17028+K17041</f>
        <v>0</v>
      </c>
    </row>
    <row r="17079" customFormat="false" ht="15" hidden="false" customHeight="false" outlineLevel="0" collapsed="false">
      <c r="A17079" s="2" t="s">
        <v>312</v>
      </c>
      <c r="F17079" s="27" t="n">
        <f aca="false">Assumptions!$C$11</f>
        <v>45</v>
      </c>
      <c r="G17079" s="16" t="n">
        <f aca="false">G17075-G17078</f>
        <v>0</v>
      </c>
      <c r="H17079" s="16" t="n">
        <f aca="false">H17075-H17078</f>
        <v>-6.00915999999998</v>
      </c>
      <c r="I17079" s="16" t="n">
        <f aca="false">I17075-I17078</f>
        <v>0</v>
      </c>
      <c r="J17079" s="16" t="n">
        <f aca="false">J17075-J17078</f>
        <v>0</v>
      </c>
      <c r="K17079" s="16" t="n">
        <f aca="false">K17075-K17078</f>
        <v>0</v>
      </c>
    </row>
    <row r="17080" customFormat="false" ht="15" hidden="false" customHeight="false" outlineLevel="0" collapsed="false">
      <c r="A17080" s="5" t="s">
        <v>313</v>
      </c>
      <c r="G17080" s="25" t="n">
        <f aca="false">G17003+G17016+G17029+G17042</f>
        <v>0</v>
      </c>
      <c r="H17080" s="25" t="n">
        <f aca="false">H17003+H17016+H17029+H17042</f>
        <v>0</v>
      </c>
      <c r="I17080" s="25" t="n">
        <f aca="false">I17003+I17016+I17029+I17042</f>
        <v>0</v>
      </c>
      <c r="J17080" s="25" t="n">
        <f aca="false">J17003+J17016+J17029+J17042</f>
        <v>0</v>
      </c>
      <c r="K17080" s="25" t="n">
        <f aca="false">K17003+K17016+K17029+K17042</f>
        <v>0</v>
      </c>
    </row>
    <row r="17081" customFormat="false" ht="15" hidden="false" customHeight="false" outlineLevel="0" collapsed="false">
      <c r="A17081" s="5" t="s">
        <v>314</v>
      </c>
      <c r="G17081" s="20" t="n">
        <f aca="false">IF(OR(G17076&gt;0.001,G17080&gt;0.001),1,0)</f>
        <v>0</v>
      </c>
      <c r="H17081" s="20" t="n">
        <f aca="false">IF(OR(H17076&gt;0.001,H17080&gt;0.001),1,0)</f>
        <v>1</v>
      </c>
      <c r="I17081" s="20" t="n">
        <f aca="false">IF(OR(I17076&gt;0.001,I17080&gt;0.001),1,0)</f>
        <v>0</v>
      </c>
      <c r="J17081" s="20" t="n">
        <f aca="false">IF(OR(J17076&gt;0.001,J17080&gt;0.001),1,0)</f>
        <v>0</v>
      </c>
      <c r="K17081" s="20" t="n">
        <f aca="false">IF(OR(K17076&gt;0.001,K17080&gt;0.001),1,0)</f>
        <v>0</v>
      </c>
    </row>
    <row r="17082" customFormat="false" ht="15" hidden="false" customHeight="false" outlineLevel="0" collapsed="false">
      <c r="A17082" s="5" t="s">
        <v>315</v>
      </c>
      <c r="G17082" s="20" t="n">
        <f aca="false">IF(G17081=1,1,0)</f>
        <v>0</v>
      </c>
      <c r="H17082" s="20" t="n">
        <f aca="false">IF(AND(H17081=1,SUM($G$17081:G17081)=0),1,0)</f>
        <v>1</v>
      </c>
      <c r="I17082" s="20" t="n">
        <f aca="false">IF(AND(I17081=1,SUM($G$17081:H17081)=0),1,0)</f>
        <v>0</v>
      </c>
      <c r="J17082" s="20" t="n">
        <f aca="false">IF(AND(J17081=1,SUM($G$17081:I17081)=0),1,0)</f>
        <v>0</v>
      </c>
      <c r="K17082" s="20" t="n">
        <f aca="false">IF(AND(K17081=1,SUM($G$17081:J17081)=0),1,0)</f>
        <v>0</v>
      </c>
    </row>
    <row r="17083" customFormat="false" ht="15" hidden="false" customHeight="false" outlineLevel="0" collapsed="false">
      <c r="A17083" s="5" t="s">
        <v>316</v>
      </c>
      <c r="G17083" s="25" t="n">
        <f aca="false">(G17045-F17045)-(G17072+G16972-G17070-G17074-G17078)</f>
        <v>0</v>
      </c>
      <c r="H17083" s="25" t="n">
        <f aca="false">(H17045-G17045)-(H17072+H16972-H17070-H17074-H17078)</f>
        <v>-4.52970994047064E-014</v>
      </c>
      <c r="I17083" s="25" t="n">
        <f aca="false">(I17045-H17045)-(I17072+I16972-I17070-I17074-I17078)</f>
        <v>7.46069872548105E-014</v>
      </c>
      <c r="J17083" s="25" t="n">
        <f aca="false">(J17045-I17045)-(J17072+J16972-J17070-J17074-J17078)</f>
        <v>0</v>
      </c>
      <c r="K17083" s="25" t="n">
        <f aca="false">(K17045-J17045)-(K17072+K16972-K17070-K17074-K17078)</f>
        <v>0</v>
      </c>
    </row>
    <row r="17085" customFormat="false" ht="15" hidden="false" customHeight="false" outlineLevel="0" collapsed="false">
      <c r="A17085" s="23" t="s">
        <v>318</v>
      </c>
      <c r="B17085" s="24"/>
      <c r="C17085" s="24"/>
      <c r="D17085" s="24"/>
      <c r="E17085" s="24"/>
      <c r="F17085" s="24"/>
      <c r="G17085" s="24"/>
      <c r="H17085" s="24"/>
      <c r="I17085" s="24"/>
      <c r="J17085" s="24"/>
      <c r="K17085" s="24"/>
    </row>
    <row r="17086" customFormat="false" ht="15" hidden="false" customHeight="false" outlineLevel="0" collapsed="false">
      <c r="A17086" s="5" t="s">
        <v>319</v>
      </c>
      <c r="G17086" s="25" t="n">
        <f aca="false">G17045</f>
        <v>1214.24</v>
      </c>
      <c r="H17086" s="25" t="n">
        <f aca="false">H17045</f>
        <v>1209.04</v>
      </c>
      <c r="I17086" s="25" t="n">
        <f aca="false">I17045</f>
        <v>1224.9985096</v>
      </c>
      <c r="J17086" s="25" t="n">
        <f aca="false">J17045</f>
        <v>1239.376932912</v>
      </c>
      <c r="K17086" s="25" t="n">
        <f aca="false">K17045</f>
        <v>1251.97594467624</v>
      </c>
    </row>
    <row r="17087" customFormat="false" ht="15" hidden="false" customHeight="false" outlineLevel="0" collapsed="false">
      <c r="A17087" s="5" t="s">
        <v>320</v>
      </c>
      <c r="G17087" s="25" t="n">
        <f aca="false">Assumptions!$O$53*G17004+Assumptions!$O$54*G17017+Assumptions!$O$55*G17030+Assumptions!$O$56*G17043</f>
        <v>914.24</v>
      </c>
      <c r="H17087" s="25" t="n">
        <f aca="false">Assumptions!$O$53*H17004+Assumptions!$O$54*H17017+Assumptions!$O$55*H17030+Assumptions!$O$56*H17043</f>
        <v>909.04</v>
      </c>
      <c r="I17087" s="25" t="n">
        <f aca="false">Assumptions!$O$53*I17004+Assumptions!$O$54*I17017+Assumptions!$O$55*I17030+Assumptions!$O$56*I17043</f>
        <v>924.9985096</v>
      </c>
      <c r="J17087" s="25" t="n">
        <f aca="false">Assumptions!$O$53*J17004+Assumptions!$O$54*J17017+Assumptions!$O$55*J17030+Assumptions!$O$56*J17043</f>
        <v>939.376932912</v>
      </c>
      <c r="K17087" s="25" t="n">
        <f aca="false">Assumptions!$O$53*K17004+Assumptions!$O$54*K17017+Assumptions!$O$55*K17030+Assumptions!$O$56*K17043</f>
        <v>951.97594467624</v>
      </c>
    </row>
    <row r="17088" customFormat="false" ht="15" hidden="false" customHeight="false" outlineLevel="0" collapsed="false">
      <c r="A17088" s="5" t="s">
        <v>321</v>
      </c>
      <c r="G17088" s="25" t="n">
        <f aca="false">G17086-G17079</f>
        <v>1214.24</v>
      </c>
      <c r="H17088" s="25" t="n">
        <f aca="false">H17086-H17079</f>
        <v>1215.04916</v>
      </c>
      <c r="I17088" s="25" t="n">
        <f aca="false">I17086-I17079</f>
        <v>1224.9985096</v>
      </c>
      <c r="J17088" s="25" t="n">
        <f aca="false">J17086-J17079</f>
        <v>1239.376932912</v>
      </c>
      <c r="K17088" s="25" t="n">
        <f aca="false">K17086-K17079</f>
        <v>1251.97594467624</v>
      </c>
    </row>
    <row r="17089" customFormat="false" ht="15" hidden="false" customHeight="false" outlineLevel="0" collapsed="false">
      <c r="A17089" s="5" t="s">
        <v>322</v>
      </c>
      <c r="G17089" s="31" t="n">
        <f aca="false">IF(G16967&gt;0,G17086/G16967,0)</f>
        <v>7.86221186221186</v>
      </c>
      <c r="H17089" s="31" t="n">
        <f aca="false">IF(H16967&gt;0,H17086/H16967,0)</f>
        <v>7.67156970986309</v>
      </c>
      <c r="I17089" s="31" t="n">
        <f aca="false">IF(I16967&gt;0,I17086/I16967,0)</f>
        <v>7.62376751410553</v>
      </c>
      <c r="J17089" s="31" t="n">
        <f aca="false">IF(J16967&gt;0,J17086/J16967,0)</f>
        <v>7.5716937530992</v>
      </c>
      <c r="K17089" s="31" t="n">
        <f aca="false">IF(K16967&gt;0,K17086/K16967,0)</f>
        <v>7.51425466558389</v>
      </c>
    </row>
    <row r="17090" customFormat="false" ht="15" hidden="false" customHeight="false" outlineLevel="0" collapsed="false">
      <c r="A17090" s="5" t="s">
        <v>323</v>
      </c>
      <c r="G17090" s="31" t="n">
        <f aca="false">IF(G16967&gt;0,G17088/G16967,0)</f>
        <v>7.86221186221186</v>
      </c>
      <c r="H17090" s="31" t="n">
        <f aca="false">IF(H16967&gt;0,H17088/H16967,0)</f>
        <v>7.70969887832544</v>
      </c>
      <c r="I17090" s="31" t="n">
        <f aca="false">IF(I16967&gt;0,I17088/I16967,0)</f>
        <v>7.62376751410553</v>
      </c>
      <c r="J17090" s="31" t="n">
        <f aca="false">IF(J16967&gt;0,J17088/J16967,0)</f>
        <v>7.5716937530992</v>
      </c>
      <c r="K17090" s="31" t="n">
        <f aca="false">IF(K16967&gt;0,K17088/K16967,0)</f>
        <v>7.51425466558389</v>
      </c>
    </row>
    <row r="17091" customFormat="false" ht="15" hidden="false" customHeight="false" outlineLevel="0" collapsed="false">
      <c r="A17091" s="5" t="s">
        <v>324</v>
      </c>
      <c r="G17091" s="31" t="n">
        <f aca="false">IF(G16971&gt;0,G16967/G16971,0)</f>
        <v>1.29737903225806</v>
      </c>
      <c r="H17091" s="31" t="n">
        <f aca="false">IF(H16971&gt;0,H16967/H16971,0)</f>
        <v>1.37984675303662</v>
      </c>
      <c r="I17091" s="31" t="n">
        <f aca="false">IF(I16971&gt;0,I16967/I16971,0)</f>
        <v>1.26641336326206</v>
      </c>
      <c r="J17091" s="31" t="n">
        <f aca="false">IF(J16971&gt;0,J16967/J16971,0)</f>
        <v>1.21473661783139</v>
      </c>
      <c r="K17091" s="31" t="n">
        <f aca="false">IF(K16971&gt;0,K16967/K16971,0)</f>
        <v>1.22212036414877</v>
      </c>
    </row>
    <row r="17092" customFormat="false" ht="15" hidden="false" customHeight="false" outlineLevel="0" collapsed="false">
      <c r="A17092" s="5" t="s">
        <v>325</v>
      </c>
      <c r="G17092" s="31" t="n">
        <f aca="false">IF(G16971&gt;0,G16970/G16971,0)</f>
        <v>0.858266129032258</v>
      </c>
      <c r="H17092" s="31" t="n">
        <f aca="false">IF(H16971&gt;0,H16970/H16971,0)</f>
        <v>0.926762744576837</v>
      </c>
      <c r="I17092" s="31" t="n">
        <f aca="false">IF(I16971&gt;0,I16970/I16971,0)</f>
        <v>0.862629392366913</v>
      </c>
      <c r="J17092" s="31" t="n">
        <f aca="false">IF(J16971&gt;0,J16970/J16971,0)</f>
        <v>0.838339355968144</v>
      </c>
      <c r="K17092" s="31" t="n">
        <f aca="false">IF(K16971&gt;0,K16970/K16971,0)</f>
        <v>0.853810117419004</v>
      </c>
    </row>
    <row r="17093" customFormat="false" ht="15" hidden="false" customHeight="false" outlineLevel="0" collapsed="false">
      <c r="A17093" s="5" t="s">
        <v>182</v>
      </c>
      <c r="G17093" s="21" t="n">
        <f aca="false">IF(G17086&gt;0,G16980/G17086,0)</f>
        <v>-0.00760969824746344</v>
      </c>
      <c r="H17093" s="21" t="n">
        <f aca="false">IF(H17086&gt;0,H16980/H17086,0)</f>
        <v>-0.000669258254482877</v>
      </c>
      <c r="I17093" s="21" t="n">
        <f aca="false">IF(I17086&gt;0,I16980/I17086,0)</f>
        <v>-0.00812192792238481</v>
      </c>
      <c r="J17093" s="21" t="n">
        <f aca="false">IF(J17086&gt;0,J16980/J17086,0)</f>
        <v>-0.0116013320323922</v>
      </c>
      <c r="K17093" s="21" t="n">
        <f aca="false">IF(K17086&gt;0,K16980/K17086,0)</f>
        <v>-0.0100633017893152</v>
      </c>
    </row>
    <row r="17094" customFormat="false" ht="15" hidden="false" customHeight="false" outlineLevel="0" collapsed="false">
      <c r="A17094" s="5" t="s">
        <v>326</v>
      </c>
      <c r="G17094" s="31" t="n">
        <f aca="false">IF(G16971+G17070&gt;0,(G16967-G16978-G16975)/(G16971+G17070),0)</f>
        <v>0.860592401802962</v>
      </c>
      <c r="H17094" s="31" t="n">
        <f aca="false">IF(H16971+H17070&gt;0,(H16967-H16978-H16975)/(H16971+H17070),0)</f>
        <v>0.925802348838058</v>
      </c>
      <c r="I17094" s="31" t="n">
        <f aca="false">IF(I16971+I17070&gt;0,(I16967-I16978-I16975)/(I16971+I17070),0)</f>
        <v>0.863929842094743</v>
      </c>
      <c r="J17094" s="31" t="n">
        <f aca="false">IF(J16971+J17070&gt;0,(J16967-J16978-J16975)/(J16971+J17070),0)</f>
        <v>0.840136401281331</v>
      </c>
      <c r="K17094" s="31" t="n">
        <f aca="false">IF(K16971+K17070&gt;0,(K16967-K16978-K16975)/(K16971+K17070),0)</f>
        <v>0.854692886710214</v>
      </c>
    </row>
    <row r="17095" customFormat="false" ht="15" hidden="false" customHeight="false" outlineLevel="0" collapsed="false">
      <c r="A17095" s="5" t="s">
        <v>327</v>
      </c>
      <c r="G17095" s="25" t="n">
        <f aca="false">MAX(0,G17079)+Assumptions!$P$53*MAX(0,Assumptions!$D$53-G17004)+Assumptions!$P$54*MAX(0,Assumptions!$D$54-G17017)+Assumptions!$P$55*MAX(0,Assumptions!$D$55-G17030)+Assumptions!$P$56*MAX(0,Assumptions!$D$56-G17043)</f>
        <v>150.56</v>
      </c>
      <c r="H17095" s="25" t="n">
        <f aca="false">MAX(0,H17079)+Assumptions!$P$53*MAX(0,Assumptions!$D$53-H17004)+Assumptions!$P$54*MAX(0,Assumptions!$D$54-H17017)+Assumptions!$P$55*MAX(0,Assumptions!$D$55-H17030)+Assumptions!$P$56*MAX(0,Assumptions!$D$56-H17043)</f>
        <v>150.56</v>
      </c>
      <c r="I17095" s="25" t="n">
        <f aca="false">MAX(0,I17079)+Assumptions!$P$53*MAX(0,Assumptions!$D$53-I17004)+Assumptions!$P$54*MAX(0,Assumptions!$D$54-I17017)+Assumptions!$P$55*MAX(0,Assumptions!$D$55-I17030)+Assumptions!$P$56*MAX(0,Assumptions!$D$56-I17043)</f>
        <v>129.4014904</v>
      </c>
      <c r="J17095" s="25" t="n">
        <f aca="false">MAX(0,J17079)+Assumptions!$P$53*MAX(0,Assumptions!$D$53-J17004)+Assumptions!$P$54*MAX(0,Assumptions!$D$54-J17017)+Assumptions!$P$55*MAX(0,Assumptions!$D$55-J17030)+Assumptions!$P$56*MAX(0,Assumptions!$D$56-J17043)</f>
        <v>109.823067088</v>
      </c>
      <c r="K17095" s="25" t="n">
        <f aca="false">MAX(0,K17079)+Assumptions!$P$53*MAX(0,Assumptions!$D$53-K17004)+Assumptions!$P$54*MAX(0,Assumptions!$D$54-K17017)+Assumptions!$P$55*MAX(0,Assumptions!$D$55-K17030)+Assumptions!$P$56*MAX(0,Assumptions!$D$56-K17043)</f>
        <v>92.02405532376</v>
      </c>
    </row>
    <row r="17096" customFormat="false" ht="15" hidden="false" customHeight="false" outlineLevel="0" collapsed="false">
      <c r="A17096" s="5" t="s">
        <v>328</v>
      </c>
      <c r="G17096" s="21" t="n">
        <f aca="false">IF(G17086&gt;0,G17086/(G17086+MAX(0,G16967*CHOOSE($C$16950,Assumptions!$C$76,Assumptions!$C$95,Assumptions!$C$114)-G17088)),0)</f>
        <v>1</v>
      </c>
      <c r="H17096" s="21" t="n">
        <f aca="false">IF(H17086&gt;0,H17086/(H17086+MAX(0,H16967*CHOOSE($C$16950,Assumptions!$C$76,Assumptions!$C$95,Assumptions!$C$114)-H17088)),0)</f>
        <v>1</v>
      </c>
      <c r="I17096" s="21" t="n">
        <f aca="false">IF(I17086&gt;0,I17086/(I17086+MAX(0,I16967*CHOOSE($C$16950,Assumptions!$C$76,Assumptions!$C$95,Assumptions!$C$114)-I17088)),0)</f>
        <v>1</v>
      </c>
      <c r="J17096" s="21" t="n">
        <f aca="false">IF(J17086&gt;0,J17086/(J17086+MAX(0,J16967*CHOOSE($C$16950,Assumptions!$C$76,Assumptions!$C$95,Assumptions!$C$114)-J17088)),0)</f>
        <v>1</v>
      </c>
      <c r="K17096" s="21" t="n">
        <f aca="false">IF(K17086&gt;0,K17086/(K17086+MAX(0,K16967*CHOOSE($C$16950,Assumptions!$C$76,Assumptions!$C$95,Assumptions!$C$114)-K17088)),0)</f>
        <v>1</v>
      </c>
    </row>
    <row r="17097" customFormat="false" ht="15" hidden="false" customHeight="false" outlineLevel="0" collapsed="false">
      <c r="A17097" s="5" t="s">
        <v>329</v>
      </c>
      <c r="G17097" s="21" t="n">
        <f aca="false">IF(G17086&gt;0,MAX(0,G17079)/G17086,0)</f>
        <v>0</v>
      </c>
      <c r="H17097" s="21" t="n">
        <f aca="false">IF(H17086&gt;0,MAX(0,H17079)/H17086,0)</f>
        <v>0</v>
      </c>
      <c r="I17097" s="21" t="n">
        <f aca="false">IF(I17086&gt;0,MAX(0,I17079)/I17086,0)</f>
        <v>0</v>
      </c>
      <c r="J17097" s="21" t="n">
        <f aca="false">IF(J17086&gt;0,MAX(0,J17079)/J17086,0)</f>
        <v>0</v>
      </c>
      <c r="K17097" s="21" t="n">
        <f aca="false">IF(K17086&gt;0,MAX(0,K17079)/K17086,0)</f>
        <v>0</v>
      </c>
    </row>
    <row r="17098" customFormat="false" ht="15" hidden="false" customHeight="false" outlineLevel="0" collapsed="false">
      <c r="A17098" s="5" t="s">
        <v>330</v>
      </c>
      <c r="G17098" s="25" t="n">
        <f aca="false">Assumptions!$C$27*(1-CHOOSE($C$16950,Assumptions!$C$79,Assumptions!$C$98,Assumptions!$C$117))</f>
        <v>1040</v>
      </c>
      <c r="H17098" s="25" t="n">
        <f aca="false">Assumptions!$C$27*(1-CHOOSE($C$16950,Assumptions!$C$79,Assumptions!$C$98,Assumptions!$C$117))</f>
        <v>1040</v>
      </c>
      <c r="I17098" s="25" t="n">
        <f aca="false">Assumptions!$C$27*(1-CHOOSE($C$16950,Assumptions!$C$79,Assumptions!$C$98,Assumptions!$C$117))</f>
        <v>1040</v>
      </c>
      <c r="J17098" s="25" t="n">
        <f aca="false">Assumptions!$C$27*(1-CHOOSE($C$16950,Assumptions!$C$79,Assumptions!$C$98,Assumptions!$C$117))</f>
        <v>1040</v>
      </c>
      <c r="K17098" s="25" t="n">
        <f aca="false">Assumptions!$C$27*(1-CHOOSE($C$16950,Assumptions!$C$79,Assumptions!$C$98,Assumptions!$C$117))</f>
        <v>1040</v>
      </c>
    </row>
    <row r="17099" customFormat="false" ht="15" hidden="false" customHeight="false" outlineLevel="0" collapsed="false">
      <c r="A17099" s="23" t="s">
        <v>331</v>
      </c>
      <c r="B17099" s="24"/>
      <c r="C17099" s="24"/>
      <c r="D17099" s="24"/>
      <c r="E17099" s="24"/>
      <c r="F17099" s="24"/>
      <c r="G17099" s="24"/>
      <c r="H17099" s="24"/>
      <c r="I17099" s="24"/>
      <c r="J17099" s="24"/>
      <c r="K17099" s="24"/>
    </row>
    <row r="17100" customFormat="false" ht="15" hidden="false" customHeight="false" outlineLevel="0" collapsed="false">
      <c r="A17100" s="23" t="s">
        <v>332</v>
      </c>
      <c r="B17100" s="24"/>
      <c r="C17100" s="24"/>
      <c r="D17100" s="24"/>
      <c r="E17100" s="24"/>
      <c r="F17100" s="24"/>
      <c r="G17100" s="24"/>
      <c r="H17100" s="24"/>
      <c r="I17100" s="24"/>
      <c r="J17100" s="24"/>
      <c r="K17100" s="24"/>
    </row>
    <row r="17101" customFormat="false" ht="15" hidden="false" customHeight="false" outlineLevel="0" collapsed="false">
      <c r="A17101" s="5" t="s">
        <v>333</v>
      </c>
      <c r="G17101" s="31" t="n">
        <f aca="false">IF(G16967&gt;0,G17088/G16967,99)</f>
        <v>7.86221186221186</v>
      </c>
      <c r="H17101" s="31" t="n">
        <f aca="false">IF(H16967&gt;0,H17088/H16967,99)</f>
        <v>7.70969887832544</v>
      </c>
      <c r="I17101" s="31" t="n">
        <f aca="false">IF(I16967&gt;0,I17088/I16967,99)</f>
        <v>7.62376751410553</v>
      </c>
      <c r="J17101" s="31" t="n">
        <f aca="false">IF(J16967&gt;0,J17088/J16967,99)</f>
        <v>7.5716937530992</v>
      </c>
      <c r="K17101" s="31" t="n">
        <f aca="false">IF(K16967&gt;0,K17088/K16967,99)</f>
        <v>7.51425466558389</v>
      </c>
    </row>
    <row r="17102" customFormat="false" ht="15" hidden="false" customHeight="false" outlineLevel="0" collapsed="false">
      <c r="A17102" s="5" t="s">
        <v>334</v>
      </c>
      <c r="G17102" s="32" t="n">
        <f aca="false">Assumptions!$G$61</f>
        <v>8.5</v>
      </c>
      <c r="H17102" s="32" t="n">
        <f aca="false">Assumptions!$H$61</f>
        <v>8.5</v>
      </c>
      <c r="I17102" s="32" t="n">
        <f aca="false">Assumptions!$I$61</f>
        <v>8.5</v>
      </c>
      <c r="J17102" s="32" t="n">
        <f aca="false">Assumptions!$J$61</f>
        <v>8.5</v>
      </c>
      <c r="K17102" s="32" t="n">
        <f aca="false">Assumptions!$K$61</f>
        <v>8.5</v>
      </c>
    </row>
    <row r="17103" customFormat="false" ht="15" hidden="false" customHeight="false" outlineLevel="0" collapsed="false">
      <c r="A17103" s="5" t="s">
        <v>335</v>
      </c>
      <c r="G17103" s="31" t="n">
        <f aca="false">G17102-G17101</f>
        <v>0.637788137788138</v>
      </c>
      <c r="H17103" s="31" t="n">
        <f aca="false">H17102-H17101</f>
        <v>0.790301121674557</v>
      </c>
      <c r="I17103" s="31" t="n">
        <f aca="false">I17102-I17101</f>
        <v>0.876232485894469</v>
      </c>
      <c r="J17103" s="31" t="n">
        <f aca="false">J17102-J17101</f>
        <v>0.928306246900803</v>
      </c>
      <c r="K17103" s="31" t="n">
        <f aca="false">K17102-K17101</f>
        <v>0.985745334416111</v>
      </c>
    </row>
    <row r="17104" customFormat="false" ht="15" hidden="false" customHeight="false" outlineLevel="0" collapsed="false">
      <c r="A17104" s="5" t="s">
        <v>336</v>
      </c>
      <c r="G17104" s="21" t="n">
        <f aca="false">IF(G17102=0,0,G17103/ABS(G17102))</f>
        <v>0.0750338985633103</v>
      </c>
      <c r="H17104" s="21" t="n">
        <f aca="false">IF(H17102=0,0,H17103/ABS(H17102))</f>
        <v>0.0929766025499479</v>
      </c>
      <c r="I17104" s="21" t="n">
        <f aca="false">IF(I17102=0,0,I17103/ABS(I17102))</f>
        <v>0.103086174811114</v>
      </c>
      <c r="J17104" s="21" t="n">
        <f aca="false">IF(J17102=0,0,J17103/ABS(J17102))</f>
        <v>0.109212499635389</v>
      </c>
      <c r="K17104" s="21" t="n">
        <f aca="false">IF(K17102=0,0,K17103/ABS(K17102))</f>
        <v>0.115970039343072</v>
      </c>
    </row>
    <row r="17105" customFormat="false" ht="15" hidden="false" customHeight="false" outlineLevel="0" collapsed="false">
      <c r="A17105" s="5" t="s">
        <v>337</v>
      </c>
      <c r="G17105" s="20" t="n">
        <f aca="false">IF(G17103&lt;0,1,0)</f>
        <v>0</v>
      </c>
      <c r="H17105" s="20" t="n">
        <f aca="false">IF(H17103&lt;0,1,0)</f>
        <v>0</v>
      </c>
      <c r="I17105" s="20" t="n">
        <f aca="false">IF(I17103&lt;0,1,0)</f>
        <v>0</v>
      </c>
      <c r="J17105" s="20" t="n">
        <f aca="false">IF(J17103&lt;0,1,0)</f>
        <v>0</v>
      </c>
      <c r="K17105" s="20" t="n">
        <f aca="false">IF(K17103&lt;0,1,0)</f>
        <v>0</v>
      </c>
    </row>
    <row r="17106" customFormat="false" ht="15" hidden="false" customHeight="false" outlineLevel="0" collapsed="false">
      <c r="A17106" s="5" t="s">
        <v>338</v>
      </c>
      <c r="C17106" s="20" t="n">
        <f aca="false">IFERROR(INDEX($G$16957:$K$16957,MATCH(1,$G$17105:$K$17105,0)),0)</f>
        <v>0</v>
      </c>
    </row>
    <row r="17107" customFormat="false" ht="15" hidden="false" customHeight="false" outlineLevel="0" collapsed="false">
      <c r="A17107" s="5" t="s">
        <v>339</v>
      </c>
      <c r="C17107" s="21" t="n">
        <f aca="false">MIN($G$17104:$K$17104)</f>
        <v>0.0750338985633103</v>
      </c>
    </row>
    <row r="17108" customFormat="false" ht="15" hidden="false" customHeight="false" outlineLevel="0" collapsed="false">
      <c r="A17108" s="5" t="s">
        <v>340</v>
      </c>
      <c r="G17108" s="20" t="n">
        <f aca="false">G17105</f>
        <v>0</v>
      </c>
      <c r="H17108" s="20" t="n">
        <f aca="false">H17105</f>
        <v>0</v>
      </c>
      <c r="I17108" s="20" t="n">
        <f aca="false">I17105</f>
        <v>0</v>
      </c>
      <c r="J17108" s="20" t="n">
        <f aca="false">J17105</f>
        <v>0</v>
      </c>
      <c r="K17108" s="20" t="n">
        <f aca="false">K17105</f>
        <v>0</v>
      </c>
    </row>
    <row r="17109" customFormat="false" ht="15" hidden="false" customHeight="false" outlineLevel="0" collapsed="false">
      <c r="A17109" s="5" t="s">
        <v>341</v>
      </c>
      <c r="C17109" s="20" t="n">
        <f aca="false">SUM($G$17108:$K$17108)</f>
        <v>0</v>
      </c>
    </row>
    <row r="17110" customFormat="false" ht="15" hidden="false" customHeight="false" outlineLevel="0" collapsed="false">
      <c r="A17110" s="5" t="s">
        <v>342</v>
      </c>
      <c r="C17110" s="21" t="n">
        <f aca="false">MIN(C17107)</f>
        <v>0.0750338985633103</v>
      </c>
    </row>
    <row r="17112" customFormat="false" ht="15" hidden="false" customHeight="false" outlineLevel="0" collapsed="false">
      <c r="A17112" s="23" t="s">
        <v>444</v>
      </c>
      <c r="B17112" s="24"/>
      <c r="C17112" s="24"/>
      <c r="D17112" s="24"/>
      <c r="E17112" s="24"/>
      <c r="F17112" s="24"/>
      <c r="G17112" s="24"/>
      <c r="H17112" s="24"/>
      <c r="I17112" s="24"/>
      <c r="J17112" s="24"/>
      <c r="K17112" s="24"/>
    </row>
    <row r="17113" customFormat="false" ht="15" hidden="false" customHeight="false" outlineLevel="0" collapsed="false">
      <c r="A17113" s="5" t="s">
        <v>445</v>
      </c>
      <c r="G17113" s="20" t="n">
        <f aca="false">IF($C$17114=1,G17082,IF(G16967=MIN($G$16967:$K$16967),1,0))</f>
        <v>0</v>
      </c>
      <c r="H17113" s="20" t="n">
        <f aca="false">IF($C$17114=1,H17082,IF(AND(H16967=MIN($G$16967:$K$16967),SUM($G$17113:G17113)=0),1,0))</f>
        <v>1</v>
      </c>
      <c r="I17113" s="20" t="n">
        <f aca="false">IF($C$17114=1,I17082,IF(AND(I16967=MIN($G$16967:$K$16967),SUM($G$17113:H17113)=0),1,0))</f>
        <v>0</v>
      </c>
      <c r="J17113" s="20" t="n">
        <f aca="false">IF($C$17114=1,J17082,IF(AND(J16967=MIN($G$16967:$K$16967),SUM($G$17113:I17113)=0),1,0))</f>
        <v>0</v>
      </c>
      <c r="K17113" s="20" t="n">
        <f aca="false">IF($C$17114=1,K17082,IF(AND(K16967=MIN($G$16967:$K$16967),SUM($G$17113:J17113)=0),1,0))</f>
        <v>0</v>
      </c>
    </row>
    <row r="17114" customFormat="false" ht="15" hidden="false" customHeight="false" outlineLevel="0" collapsed="false">
      <c r="A17114" s="5" t="s">
        <v>446</v>
      </c>
      <c r="C17114" s="20" t="n">
        <f aca="false">IF(SUM($G$17082:$K$17082)&gt;0,1,0)</f>
        <v>1</v>
      </c>
    </row>
    <row r="17115" customFormat="false" ht="15" hidden="false" customHeight="false" outlineLevel="0" collapsed="false">
      <c r="A17115" s="5" t="s">
        <v>447</v>
      </c>
      <c r="C17115" s="20" t="n">
        <f aca="false">SUMPRODUCT($G$17113:$K$17113,$G$16957:$K$16957)</f>
        <v>2027</v>
      </c>
    </row>
    <row r="17116" customFormat="false" ht="15" hidden="false" customHeight="false" outlineLevel="0" collapsed="false">
      <c r="A17116" s="5" t="s">
        <v>448</v>
      </c>
      <c r="C17116" s="25" t="n">
        <f aca="false">SUMPRODUCT($G$17113:$K$17113,$G$16967:$K$16967)</f>
        <v>157.60008</v>
      </c>
    </row>
    <row r="17117" customFormat="false" ht="15" hidden="false" customHeight="false" outlineLevel="0" collapsed="false">
      <c r="A17117" s="5" t="s">
        <v>449</v>
      </c>
      <c r="C17117" s="25" t="n">
        <f aca="false">MAX(0,SUMPRODUCT($G$17113:$K$17113,$G$17079:$K$17079))</f>
        <v>0</v>
      </c>
    </row>
    <row r="17118" customFormat="false" ht="15" hidden="false" customHeight="false" outlineLevel="0" collapsed="false">
      <c r="A17118" s="5" t="s">
        <v>450</v>
      </c>
      <c r="C17118" s="25" t="n">
        <f aca="false">(CHOOSE($C$16950,Assumptions!$C$78,Assumptions!$C$97,Assumptions!$C$116)+$C$16954)*C17116</f>
        <v>315.20016</v>
      </c>
    </row>
    <row r="17119" customFormat="false" ht="15" hidden="false" customHeight="false" outlineLevel="0" collapsed="false">
      <c r="A17119" s="5" t="s">
        <v>451</v>
      </c>
      <c r="C17119" s="25" t="n">
        <f aca="false">Assumptions!$C$27*(1-CHOOSE($C$16950,Assumptions!$C$79,Assumptions!$C$98,Assumptions!$C$117))*CHOOSE($C$16950,Assumptions!$C$80,Assumptions!$C$99,Assumptions!$C$118)</f>
        <v>624</v>
      </c>
    </row>
    <row r="17120" customFormat="false" ht="15" hidden="false" customHeight="false" outlineLevel="0" collapsed="false">
      <c r="A17120" s="5" t="s">
        <v>452</v>
      </c>
      <c r="C17120" s="25" t="n">
        <f aca="false">MAX(C17118,C17119)+C17117</f>
        <v>624</v>
      </c>
    </row>
    <row r="17121" customFormat="false" ht="15" hidden="false" customHeight="false" outlineLevel="0" collapsed="false">
      <c r="A17121" s="2" t="s">
        <v>453</v>
      </c>
      <c r="C17121" s="16" t="n">
        <f aca="false">IF(ISNUMBER(Assumptions!$C$14),Assumptions!$C$14,C17120)</f>
        <v>624</v>
      </c>
    </row>
    <row r="17122" customFormat="false" ht="15" hidden="false" customHeight="false" outlineLevel="0" collapsed="false">
      <c r="A17122" s="5" t="s">
        <v>454</v>
      </c>
      <c r="C17122" s="25" t="n">
        <f aca="false">C17121*Assumptions!$C$15</f>
        <v>24.96</v>
      </c>
    </row>
    <row r="17123" customFormat="false" ht="15" hidden="false" customHeight="false" outlineLevel="0" collapsed="false">
      <c r="A17123" s="2" t="s">
        <v>455</v>
      </c>
      <c r="C17123" s="16" t="n">
        <f aca="false">C17121-C17122</f>
        <v>599.04</v>
      </c>
    </row>
    <row r="17124" customFormat="false" ht="15" hidden="false" customHeight="false" outlineLevel="0" collapsed="false">
      <c r="A17124" s="23" t="s">
        <v>456</v>
      </c>
      <c r="B17124" s="24"/>
      <c r="C17124" s="24"/>
      <c r="D17124" s="24"/>
      <c r="E17124" s="24"/>
      <c r="F17124" s="24"/>
      <c r="G17124" s="24"/>
      <c r="H17124" s="24"/>
      <c r="I17124" s="24"/>
      <c r="J17124" s="24"/>
      <c r="K17124" s="24"/>
    </row>
    <row r="17125" customFormat="false" ht="15" hidden="false" customHeight="false" outlineLevel="0" collapsed="false">
      <c r="A17125" s="5" t="s">
        <v>457</v>
      </c>
      <c r="C17125" s="25" t="n">
        <f aca="false">SUMPRODUCT($G$17113:$K$17113,$G$17004:$K$17004)*(1+SUMPRODUCT($G$17113:$K$17113,$G$16996:$K$16996)*Assumptions!$C$16/12)</f>
        <v>152.55956</v>
      </c>
    </row>
    <row r="17126" customFormat="false" ht="15" hidden="false" customHeight="false" outlineLevel="0" collapsed="false">
      <c r="A17126" s="5" t="s">
        <v>458</v>
      </c>
      <c r="C17126" s="25" t="n">
        <f aca="false">SUMPRODUCT($G$17113:$K$17113,$G$17017:$K$17017)*(1+SUMPRODUCT($G$17113:$K$17113,$G$17009:$K$17009)*Assumptions!$C$16/12)</f>
        <v>522.4037</v>
      </c>
    </row>
    <row r="17127" customFormat="false" ht="15" hidden="false" customHeight="false" outlineLevel="0" collapsed="false">
      <c r="A17127" s="5" t="s">
        <v>459</v>
      </c>
      <c r="C17127" s="25" t="n">
        <f aca="false">SUMPRODUCT($G$17113:$K$17113,$G$17030:$K$17030)*(1+SUMPRODUCT($G$17113:$K$17113,$G$17022:$K$17022)*Assumptions!$C$16/12)</f>
        <v>256.875</v>
      </c>
    </row>
    <row r="17128" customFormat="false" ht="15" hidden="false" customHeight="false" outlineLevel="0" collapsed="false">
      <c r="A17128" s="5" t="s">
        <v>460</v>
      </c>
      <c r="C17128" s="25" t="n">
        <f aca="false">SUMPRODUCT($G$17113:$K$17113,$G$17043:$K$17043)*(1+SUMPRODUCT($G$17113:$K$17113,$G$17035:$K$17035)*Assumptions!$C$16/12)</f>
        <v>305.625</v>
      </c>
    </row>
    <row r="17129" customFormat="false" ht="15" hidden="false" customHeight="false" outlineLevel="0" collapsed="false">
      <c r="A17129" s="23" t="s">
        <v>461</v>
      </c>
      <c r="B17129" s="24"/>
      <c r="C17129" s="24"/>
      <c r="D17129" s="24"/>
      <c r="E17129" s="24"/>
      <c r="F17129" s="24"/>
      <c r="G17129" s="24"/>
      <c r="H17129" s="24"/>
      <c r="I17129" s="24"/>
      <c r="J17129" s="24"/>
      <c r="K17129" s="24"/>
    </row>
    <row r="17130" customFormat="false" ht="15" hidden="false" customHeight="false" outlineLevel="0" collapsed="false">
      <c r="A17130" s="5" t="s">
        <v>457</v>
      </c>
      <c r="C17130" s="26" t="n">
        <f aca="false">Assumptions!$M$53</f>
        <v>1</v>
      </c>
    </row>
    <row r="17131" customFormat="false" ht="15" hidden="false" customHeight="false" outlineLevel="0" collapsed="false">
      <c r="A17131" s="5" t="s">
        <v>458</v>
      </c>
      <c r="C17131" s="26" t="n">
        <f aca="false">Assumptions!$M$54</f>
        <v>2</v>
      </c>
    </row>
    <row r="17132" customFormat="false" ht="15" hidden="false" customHeight="false" outlineLevel="0" collapsed="false">
      <c r="A17132" s="5" t="s">
        <v>459</v>
      </c>
      <c r="C17132" s="26" t="n">
        <f aca="false">Assumptions!$M$55</f>
        <v>3</v>
      </c>
    </row>
    <row r="17133" customFormat="false" ht="15" hidden="false" customHeight="false" outlineLevel="0" collapsed="false">
      <c r="A17133" s="5" t="s">
        <v>460</v>
      </c>
      <c r="C17133" s="26" t="n">
        <f aca="false">Assumptions!$M$56</f>
        <v>4</v>
      </c>
    </row>
    <row r="17134" customFormat="false" ht="15" hidden="false" customHeight="false" outlineLevel="0" collapsed="false">
      <c r="A17134" s="23" t="s">
        <v>462</v>
      </c>
      <c r="B17134" s="24"/>
      <c r="C17134" s="24"/>
      <c r="D17134" s="24"/>
      <c r="E17134" s="24"/>
      <c r="F17134" s="24"/>
      <c r="G17134" s="24"/>
      <c r="H17134" s="24"/>
      <c r="I17134" s="24"/>
      <c r="J17134" s="24"/>
      <c r="K17134" s="24"/>
    </row>
    <row r="17135" customFormat="false" ht="15" hidden="false" customHeight="false" outlineLevel="0" collapsed="false">
      <c r="A17135" s="5" t="s">
        <v>457</v>
      </c>
      <c r="C17135" s="34" t="n">
        <f aca="false">Assumptions!$Q$53</f>
        <v>0</v>
      </c>
    </row>
    <row r="17136" customFormat="false" ht="15" hidden="false" customHeight="false" outlineLevel="0" collapsed="false">
      <c r="A17136" s="5" t="s">
        <v>458</v>
      </c>
      <c r="C17136" s="34" t="n">
        <f aca="false">Assumptions!$Q$54</f>
        <v>0</v>
      </c>
    </row>
    <row r="17137" customFormat="false" ht="15" hidden="false" customHeight="false" outlineLevel="0" collapsed="false">
      <c r="A17137" s="5" t="s">
        <v>459</v>
      </c>
      <c r="C17137" s="34" t="n">
        <f aca="false">Assumptions!$Q$55</f>
        <v>0</v>
      </c>
    </row>
    <row r="17138" customFormat="false" ht="15" hidden="false" customHeight="false" outlineLevel="0" collapsed="false">
      <c r="A17138" s="5" t="s">
        <v>460</v>
      </c>
      <c r="C17138" s="34" t="n">
        <f aca="false">Assumptions!$Q$56</f>
        <v>0</v>
      </c>
    </row>
    <row r="17139" customFormat="false" ht="15" hidden="false" customHeight="false" outlineLevel="0" collapsed="false">
      <c r="A17139" s="23" t="s">
        <v>463</v>
      </c>
      <c r="B17139" s="24"/>
      <c r="C17139" s="24"/>
      <c r="D17139" s="24"/>
      <c r="E17139" s="24"/>
      <c r="F17139" s="24"/>
      <c r="G17139" s="24"/>
      <c r="H17139" s="24"/>
      <c r="I17139" s="24"/>
      <c r="J17139" s="24"/>
      <c r="K17139" s="24"/>
    </row>
    <row r="17140" customFormat="false" ht="15" hidden="false" customHeight="false" outlineLevel="0" collapsed="false">
      <c r="A17140" s="5" t="s">
        <v>457</v>
      </c>
      <c r="C17140" s="25" t="n">
        <f aca="false">IF(C17135&gt;0,MIN(C17125,C17135*$C$17123),0)</f>
        <v>0</v>
      </c>
    </row>
    <row r="17141" customFormat="false" ht="15" hidden="false" customHeight="false" outlineLevel="0" collapsed="false">
      <c r="A17141" s="5" t="s">
        <v>458</v>
      </c>
      <c r="C17141" s="25" t="n">
        <f aca="false">IF(C17136&gt;0,MIN(C17126,C17136*$C$17123),0)</f>
        <v>0</v>
      </c>
    </row>
    <row r="17142" customFormat="false" ht="15" hidden="false" customHeight="false" outlineLevel="0" collapsed="false">
      <c r="A17142" s="5" t="s">
        <v>459</v>
      </c>
      <c r="C17142" s="25" t="n">
        <f aca="false">IF(C17137&gt;0,MIN(C17127,C17137*$C$17123),0)</f>
        <v>0</v>
      </c>
    </row>
    <row r="17143" customFormat="false" ht="15" hidden="false" customHeight="false" outlineLevel="0" collapsed="false">
      <c r="A17143" s="5" t="s">
        <v>460</v>
      </c>
      <c r="C17143" s="25" t="n">
        <f aca="false">IF(C17138&gt;0,MIN(C17128,C17138*$C$17123),0)</f>
        <v>0</v>
      </c>
    </row>
    <row r="17144" customFormat="false" ht="15" hidden="false" customHeight="false" outlineLevel="0" collapsed="false">
      <c r="A17144" s="23" t="s">
        <v>464</v>
      </c>
      <c r="B17144" s="24"/>
      <c r="C17144" s="24"/>
      <c r="D17144" s="24"/>
      <c r="E17144" s="24"/>
      <c r="F17144" s="24"/>
      <c r="G17144" s="24"/>
      <c r="H17144" s="24"/>
      <c r="I17144" s="24"/>
      <c r="J17144" s="24"/>
      <c r="K17144" s="24"/>
    </row>
    <row r="17145" customFormat="false" ht="15" hidden="false" customHeight="false" outlineLevel="0" collapsed="false">
      <c r="A17145" s="5" t="s">
        <v>457</v>
      </c>
      <c r="C17145" s="25" t="n">
        <f aca="false">IF(C17135&gt;0,C17125-C17140,0)</f>
        <v>0</v>
      </c>
      <c r="G17145" s="20" t="n">
        <f aca="false">IF(AND(G16994=1,G16991=1),1,0)</f>
        <v>0</v>
      </c>
      <c r="H17145" s="20" t="n">
        <f aca="false">IF(G17145=1,1,IF(AND(H16994=1,H16991=1),1,0))</f>
        <v>1</v>
      </c>
      <c r="I17145" s="20" t="n">
        <f aca="false">IF(H17145=1,1,IF(AND(I16994=1,I16991=1),1,0))</f>
        <v>1</v>
      </c>
      <c r="J17145" s="20" t="n">
        <f aca="false">IF(I17145=1,1,IF(AND(J16994=1,J16991=1),1,0))</f>
        <v>1</v>
      </c>
      <c r="K17145" s="20" t="n">
        <f aca="false">IF(J17145=1,1,IF(AND(K16994=1,K16991=1),1,0))</f>
        <v>1</v>
      </c>
    </row>
    <row r="17146" customFormat="false" ht="15" hidden="false" customHeight="false" outlineLevel="0" collapsed="false">
      <c r="A17146" s="5" t="s">
        <v>458</v>
      </c>
      <c r="C17146" s="25" t="n">
        <f aca="false">IF(C17136&gt;0,C17126-C17141,0)</f>
        <v>0</v>
      </c>
      <c r="G17146" s="20" t="n">
        <f aca="false">IF(AND(G17007=1,G16991=1),1,0)</f>
        <v>0</v>
      </c>
      <c r="H17146" s="20" t="n">
        <f aca="false">IF(G17146=1,1,IF(AND(H17007=1,H16991=1),1,0))</f>
        <v>0</v>
      </c>
      <c r="I17146" s="20" t="n">
        <f aca="false">IF(H17146=1,1,IF(AND(I17007=1,I16991=1),1,0))</f>
        <v>1</v>
      </c>
      <c r="J17146" s="20" t="n">
        <f aca="false">IF(I17146=1,1,IF(AND(J17007=1,J16991=1),1,0))</f>
        <v>1</v>
      </c>
      <c r="K17146" s="20" t="n">
        <f aca="false">IF(J17146=1,1,IF(AND(K17007=1,K16991=1),1,0))</f>
        <v>1</v>
      </c>
    </row>
    <row r="17147" customFormat="false" ht="15" hidden="false" customHeight="false" outlineLevel="0" collapsed="false">
      <c r="A17147" s="5" t="s">
        <v>459</v>
      </c>
      <c r="C17147" s="25" t="n">
        <f aca="false">IF(C17137&gt;0,C17127-C17142,0)</f>
        <v>0</v>
      </c>
      <c r="G17147" s="20" t="n">
        <f aca="false">IF(AND(G17020=1,G16991=1),1,0)</f>
        <v>0</v>
      </c>
      <c r="H17147" s="20" t="n">
        <f aca="false">IF(G17147=1,1,IF(AND(H17020=1,H16991=1),1,0))</f>
        <v>0</v>
      </c>
      <c r="I17147" s="20" t="n">
        <f aca="false">IF(H17147=1,1,IF(AND(I17020=1,I16991=1),1,0))</f>
        <v>0</v>
      </c>
      <c r="J17147" s="20" t="n">
        <f aca="false">IF(I17147=1,1,IF(AND(J17020=1,J16991=1),1,0))</f>
        <v>1</v>
      </c>
      <c r="K17147" s="20" t="n">
        <f aca="false">IF(J17147=1,1,IF(AND(K17020=1,K16991=1),1,0))</f>
        <v>1</v>
      </c>
    </row>
    <row r="17148" customFormat="false" ht="15" hidden="false" customHeight="false" outlineLevel="0" collapsed="false">
      <c r="A17148" s="5" t="s">
        <v>460</v>
      </c>
      <c r="C17148" s="25" t="n">
        <f aca="false">IF(C17138&gt;0,C17128-C17143,0)</f>
        <v>0</v>
      </c>
      <c r="G17148" s="20" t="n">
        <f aca="false">IF(AND(G17033=1,G16991=1),1,0)</f>
        <v>0</v>
      </c>
      <c r="H17148" s="20" t="n">
        <f aca="false">IF(G17148=1,1,IF(AND(H17033=1,H16991=1),1,0))</f>
        <v>1</v>
      </c>
      <c r="I17148" s="20" t="n">
        <f aca="false">IF(H17148=1,1,IF(AND(I17033=1,I16991=1),1,0))</f>
        <v>1</v>
      </c>
      <c r="J17148" s="20" t="n">
        <f aca="false">IF(I17148=1,1,IF(AND(J17033=1,J16991=1),1,0))</f>
        <v>1</v>
      </c>
      <c r="K17148" s="20" t="n">
        <f aca="false">IF(J17148=1,1,IF(AND(K17033=1,K16991=1),1,0))</f>
        <v>1</v>
      </c>
    </row>
    <row r="17149" customFormat="false" ht="15" hidden="false" customHeight="false" outlineLevel="0" collapsed="false">
      <c r="A17149" s="23" t="s">
        <v>465</v>
      </c>
      <c r="B17149" s="24"/>
      <c r="C17149" s="24"/>
      <c r="D17149" s="24"/>
      <c r="E17149" s="24"/>
      <c r="F17149" s="24"/>
      <c r="G17149" s="24"/>
      <c r="H17149" s="24"/>
      <c r="I17149" s="24"/>
      <c r="J17149" s="24"/>
      <c r="K17149" s="24"/>
    </row>
    <row r="17150" customFormat="false" ht="15" hidden="false" customHeight="false" outlineLevel="0" collapsed="false">
      <c r="A17150" s="5" t="s">
        <v>457</v>
      </c>
      <c r="C17150" s="25" t="n">
        <f aca="false">IF(C17135&gt;0,C17145,C17125)</f>
        <v>152.55956</v>
      </c>
    </row>
    <row r="17151" customFormat="false" ht="15" hidden="false" customHeight="false" outlineLevel="0" collapsed="false">
      <c r="A17151" s="5" t="s">
        <v>458</v>
      </c>
      <c r="C17151" s="25" t="n">
        <f aca="false">IF(C17136&gt;0,C17146,C17126)</f>
        <v>522.4037</v>
      </c>
    </row>
    <row r="17152" customFormat="false" ht="15" hidden="false" customHeight="false" outlineLevel="0" collapsed="false">
      <c r="A17152" s="5" t="s">
        <v>459</v>
      </c>
      <c r="C17152" s="25" t="n">
        <f aca="false">IF(C17137&gt;0,C17147,C17127)</f>
        <v>256.875</v>
      </c>
    </row>
    <row r="17153" customFormat="false" ht="15" hidden="false" customHeight="false" outlineLevel="0" collapsed="false">
      <c r="A17153" s="5" t="s">
        <v>460</v>
      </c>
      <c r="C17153" s="25" t="n">
        <f aca="false">IF(C17138&gt;0,C17148,C17128)</f>
        <v>305.625</v>
      </c>
    </row>
    <row r="17154" customFormat="false" ht="15" hidden="false" customHeight="false" outlineLevel="0" collapsed="false">
      <c r="A17154" s="23" t="s">
        <v>466</v>
      </c>
      <c r="B17154" s="24"/>
      <c r="C17154" s="24"/>
      <c r="D17154" s="24"/>
      <c r="E17154" s="24"/>
      <c r="F17154" s="24"/>
      <c r="G17154" s="24"/>
      <c r="H17154" s="24"/>
      <c r="I17154" s="24"/>
      <c r="J17154" s="24"/>
      <c r="K17154" s="24"/>
    </row>
    <row r="17155" customFormat="false" ht="15" hidden="false" customHeight="false" outlineLevel="0" collapsed="false">
      <c r="A17155" s="5" t="s">
        <v>457</v>
      </c>
      <c r="C17155" s="20" t="n">
        <f aca="false">IF(C17135&gt;0,Assumptions!$C$17,C17130)</f>
        <v>1</v>
      </c>
    </row>
    <row r="17156" customFormat="false" ht="15" hidden="false" customHeight="false" outlineLevel="0" collapsed="false">
      <c r="A17156" s="5" t="s">
        <v>458</v>
      </c>
      <c r="C17156" s="20" t="n">
        <f aca="false">IF(C17136&gt;0,Assumptions!$C$17,C17131)</f>
        <v>2</v>
      </c>
    </row>
    <row r="17157" customFormat="false" ht="15" hidden="false" customHeight="false" outlineLevel="0" collapsed="false">
      <c r="A17157" s="5" t="s">
        <v>459</v>
      </c>
      <c r="C17157" s="20" t="n">
        <f aca="false">IF(C17137&gt;0,Assumptions!$C$17,C17132)</f>
        <v>3</v>
      </c>
    </row>
    <row r="17158" customFormat="false" ht="15" hidden="false" customHeight="false" outlineLevel="0" collapsed="false">
      <c r="A17158" s="5" t="s">
        <v>460</v>
      </c>
      <c r="C17158" s="20" t="n">
        <f aca="false">IF(C17138&gt;0,Assumptions!$C$17,C17133)</f>
        <v>4</v>
      </c>
    </row>
    <row r="17159" customFormat="false" ht="15" hidden="false" customHeight="false" outlineLevel="0" collapsed="false">
      <c r="A17159" s="23" t="s">
        <v>467</v>
      </c>
      <c r="B17159" s="24"/>
      <c r="C17159" s="24"/>
      <c r="D17159" s="24"/>
      <c r="E17159" s="24"/>
      <c r="F17159" s="24"/>
      <c r="G17159" s="24"/>
      <c r="H17159" s="24"/>
      <c r="I17159" s="24"/>
      <c r="J17159" s="24"/>
      <c r="K17159" s="24"/>
    </row>
    <row r="17160" customFormat="false" ht="15" hidden="false" customHeight="false" outlineLevel="0" collapsed="false">
      <c r="A17160" s="5" t="s">
        <v>457</v>
      </c>
      <c r="C17160" s="25" t="n">
        <f aca="false">SUMPRODUCT(($C$17155:$C$17158&lt;C17155)*$C$17150:$C$17153)</f>
        <v>0</v>
      </c>
    </row>
    <row r="17161" customFormat="false" ht="15" hidden="false" customHeight="false" outlineLevel="0" collapsed="false">
      <c r="A17161" s="5" t="s">
        <v>458</v>
      </c>
      <c r="C17161" s="25" t="n">
        <f aca="false">SUMPRODUCT(($C$17155:$C$17158&lt;C17156)*$C$17150:$C$17153)</f>
        <v>152.55956</v>
      </c>
    </row>
    <row r="17162" customFormat="false" ht="15" hidden="false" customHeight="false" outlineLevel="0" collapsed="false">
      <c r="A17162" s="5" t="s">
        <v>459</v>
      </c>
      <c r="C17162" s="25" t="n">
        <f aca="false">SUMPRODUCT(($C$17155:$C$17158&lt;C17157)*$C$17150:$C$17153)</f>
        <v>674.96326</v>
      </c>
    </row>
    <row r="17163" customFormat="false" ht="15" hidden="false" customHeight="false" outlineLevel="0" collapsed="false">
      <c r="A17163" s="5" t="s">
        <v>460</v>
      </c>
      <c r="C17163" s="25" t="n">
        <f aca="false">SUMPRODUCT(($C$17155:$C$17158&lt;C17158)*$C$17150:$C$17153)</f>
        <v>931.83826</v>
      </c>
    </row>
    <row r="17164" customFormat="false" ht="15" hidden="false" customHeight="false" outlineLevel="0" collapsed="false">
      <c r="A17164" s="23" t="s">
        <v>468</v>
      </c>
      <c r="B17164" s="24"/>
      <c r="C17164" s="24"/>
      <c r="D17164" s="24"/>
      <c r="E17164" s="24"/>
      <c r="F17164" s="24"/>
      <c r="G17164" s="24"/>
      <c r="H17164" s="24"/>
      <c r="I17164" s="24"/>
      <c r="J17164" s="24"/>
      <c r="K17164" s="24"/>
    </row>
    <row r="17165" customFormat="false" ht="15" hidden="false" customHeight="false" outlineLevel="0" collapsed="false">
      <c r="A17165" s="5" t="s">
        <v>457</v>
      </c>
      <c r="C17165" s="25" t="n">
        <f aca="false">SUMPRODUCT(($C$17155:$C$17158=C17155)*$C$17150:$C$17153)</f>
        <v>152.55956</v>
      </c>
    </row>
    <row r="17166" customFormat="false" ht="15" hidden="false" customHeight="false" outlineLevel="0" collapsed="false">
      <c r="A17166" s="5" t="s">
        <v>458</v>
      </c>
      <c r="C17166" s="25" t="n">
        <f aca="false">SUMPRODUCT(($C$17155:$C$17158=C17156)*$C$17150:$C$17153)</f>
        <v>522.4037</v>
      </c>
    </row>
    <row r="17167" customFormat="false" ht="15" hidden="false" customHeight="false" outlineLevel="0" collapsed="false">
      <c r="A17167" s="5" t="s">
        <v>459</v>
      </c>
      <c r="C17167" s="25" t="n">
        <f aca="false">SUMPRODUCT(($C$17155:$C$17158=C17157)*$C$17150:$C$17153)</f>
        <v>256.875</v>
      </c>
    </row>
    <row r="17168" customFormat="false" ht="15" hidden="false" customHeight="false" outlineLevel="0" collapsed="false">
      <c r="A17168" s="5" t="s">
        <v>460</v>
      </c>
      <c r="C17168" s="25" t="n">
        <f aca="false">SUMPRODUCT(($C$17155:$C$17158=C17158)*$C$17150:$C$17153)</f>
        <v>305.625</v>
      </c>
    </row>
    <row r="17169" customFormat="false" ht="15" hidden="false" customHeight="false" outlineLevel="0" collapsed="false">
      <c r="A17169" s="23" t="s">
        <v>469</v>
      </c>
      <c r="B17169" s="24"/>
      <c r="C17169" s="24"/>
      <c r="D17169" s="24"/>
      <c r="E17169" s="24"/>
      <c r="F17169" s="24"/>
      <c r="G17169" s="24"/>
      <c r="H17169" s="24"/>
      <c r="I17169" s="24"/>
      <c r="J17169" s="24"/>
      <c r="K17169" s="24"/>
    </row>
    <row r="17170" customFormat="false" ht="15" hidden="false" customHeight="false" outlineLevel="0" collapsed="false">
      <c r="A17170" s="5" t="s">
        <v>457</v>
      </c>
      <c r="C17170" s="25" t="n">
        <f aca="false">IF(C17165=0,0,C17150/C17165*MAX(0,MIN(C17165,$C$17123-SUM($C$17140:$C$17143)-C17160)))</f>
        <v>152.55956</v>
      </c>
    </row>
    <row r="17171" customFormat="false" ht="15" hidden="false" customHeight="false" outlineLevel="0" collapsed="false">
      <c r="A17171" s="5" t="s">
        <v>458</v>
      </c>
      <c r="C17171" s="25" t="n">
        <f aca="false">IF(C17166=0,0,C17151/C17166*MAX(0,MIN(C17166,$C$17123-SUM($C$17140:$C$17143)-C17161)))</f>
        <v>446.48044</v>
      </c>
    </row>
    <row r="17172" customFormat="false" ht="15" hidden="false" customHeight="false" outlineLevel="0" collapsed="false">
      <c r="A17172" s="5" t="s">
        <v>459</v>
      </c>
      <c r="C17172" s="25" t="n">
        <f aca="false">IF(C17167=0,0,C17152/C17167*MAX(0,MIN(C17167,$C$17123-SUM($C$17140:$C$17143)-C17162)))</f>
        <v>0</v>
      </c>
    </row>
    <row r="17173" customFormat="false" ht="15" hidden="false" customHeight="false" outlineLevel="0" collapsed="false">
      <c r="A17173" s="5" t="s">
        <v>460</v>
      </c>
      <c r="C17173" s="25" t="n">
        <f aca="false">IF(C17168=0,0,C17153/C17168*MAX(0,MIN(C17168,$C$17123-SUM($C$17140:$C$17143)-C17163)))</f>
        <v>0</v>
      </c>
    </row>
    <row r="17174" customFormat="false" ht="15" hidden="false" customHeight="false" outlineLevel="0" collapsed="false">
      <c r="A17174" s="23" t="s">
        <v>470</v>
      </c>
      <c r="B17174" s="24"/>
      <c r="C17174" s="24"/>
      <c r="D17174" s="24"/>
      <c r="E17174" s="24"/>
      <c r="F17174" s="24"/>
      <c r="G17174" s="24"/>
      <c r="H17174" s="24"/>
      <c r="I17174" s="24"/>
      <c r="J17174" s="24"/>
      <c r="K17174" s="24"/>
    </row>
    <row r="17175" customFormat="false" ht="15" hidden="false" customHeight="false" outlineLevel="0" collapsed="false">
      <c r="A17175" s="2" t="s">
        <v>457</v>
      </c>
      <c r="C17175" s="16" t="n">
        <f aca="false">C17140+C17170</f>
        <v>152.55956</v>
      </c>
    </row>
    <row r="17176" customFormat="false" ht="15" hidden="false" customHeight="false" outlineLevel="0" collapsed="false">
      <c r="A17176" s="2" t="s">
        <v>458</v>
      </c>
      <c r="C17176" s="16" t="n">
        <f aca="false">C17141+C17171</f>
        <v>446.48044</v>
      </c>
    </row>
    <row r="17177" customFormat="false" ht="15" hidden="false" customHeight="false" outlineLevel="0" collapsed="false">
      <c r="A17177" s="2" t="s">
        <v>459</v>
      </c>
      <c r="C17177" s="16" t="n">
        <f aca="false">C17142+C17172</f>
        <v>0</v>
      </c>
    </row>
    <row r="17178" customFormat="false" ht="15" hidden="false" customHeight="false" outlineLevel="0" collapsed="false">
      <c r="A17178" s="2" t="s">
        <v>460</v>
      </c>
      <c r="C17178" s="16" t="n">
        <f aca="false">C17143+C17173</f>
        <v>0</v>
      </c>
    </row>
    <row r="17179" customFormat="false" ht="15" hidden="false" customHeight="false" outlineLevel="0" collapsed="false">
      <c r="A17179" s="23" t="s">
        <v>471</v>
      </c>
      <c r="B17179" s="24"/>
      <c r="C17179" s="24"/>
      <c r="D17179" s="24"/>
      <c r="E17179" s="24"/>
      <c r="F17179" s="24"/>
      <c r="G17179" s="24"/>
      <c r="H17179" s="24"/>
      <c r="I17179" s="24"/>
      <c r="J17179" s="24"/>
      <c r="K17179" s="24"/>
    </row>
    <row r="17180" customFormat="false" ht="15" hidden="false" customHeight="false" outlineLevel="0" collapsed="false">
      <c r="A17180" s="5" t="s">
        <v>457</v>
      </c>
      <c r="C17180" s="21" t="n">
        <f aca="false">IF(C17125=0,1,C17175/C17125)</f>
        <v>1</v>
      </c>
    </row>
    <row r="17181" customFormat="false" ht="15" hidden="false" customHeight="false" outlineLevel="0" collapsed="false">
      <c r="A17181" s="5" t="s">
        <v>458</v>
      </c>
      <c r="C17181" s="21" t="n">
        <f aca="false">IF(C17126=0,1,C17176/C17126)</f>
        <v>0.854665539313753</v>
      </c>
    </row>
    <row r="17182" customFormat="false" ht="15" hidden="false" customHeight="false" outlineLevel="0" collapsed="false">
      <c r="A17182" s="5" t="s">
        <v>459</v>
      </c>
      <c r="C17182" s="21" t="n">
        <f aca="false">IF(C17127=0,1,C17177/C17127)</f>
        <v>0</v>
      </c>
    </row>
    <row r="17183" customFormat="false" ht="15" hidden="false" customHeight="false" outlineLevel="0" collapsed="false">
      <c r="A17183" s="5" t="s">
        <v>460</v>
      </c>
      <c r="C17183" s="21" t="n">
        <f aca="false">IF(C17128=0,1,C17178/C17128)</f>
        <v>0</v>
      </c>
    </row>
    <row r="17184" customFormat="false" ht="15" hidden="false" customHeight="false" outlineLevel="0" collapsed="false">
      <c r="A17184" s="23" t="s">
        <v>472</v>
      </c>
      <c r="B17184" s="24"/>
      <c r="C17184" s="24"/>
      <c r="D17184" s="24"/>
      <c r="E17184" s="24"/>
      <c r="F17184" s="24"/>
      <c r="G17184" s="24"/>
      <c r="H17184" s="24"/>
      <c r="I17184" s="24"/>
      <c r="J17184" s="24"/>
      <c r="K17184" s="24"/>
    </row>
    <row r="17185" customFormat="false" ht="15" hidden="false" customHeight="false" outlineLevel="0" collapsed="false">
      <c r="A17185" s="5" t="s">
        <v>457</v>
      </c>
      <c r="C17185" s="25" t="n">
        <f aca="false">C17125-C17175</f>
        <v>0</v>
      </c>
    </row>
    <row r="17186" customFormat="false" ht="15" hidden="false" customHeight="false" outlineLevel="0" collapsed="false">
      <c r="A17186" s="5" t="s">
        <v>458</v>
      </c>
      <c r="C17186" s="25" t="n">
        <f aca="false">C17126-C17176</f>
        <v>75.92326</v>
      </c>
    </row>
    <row r="17187" customFormat="false" ht="15" hidden="false" customHeight="false" outlineLevel="0" collapsed="false">
      <c r="A17187" s="5" t="s">
        <v>459</v>
      </c>
      <c r="C17187" s="25" t="n">
        <f aca="false">C17127-C17177</f>
        <v>256.875</v>
      </c>
    </row>
    <row r="17188" customFormat="false" ht="15" hidden="false" customHeight="false" outlineLevel="0" collapsed="false">
      <c r="A17188" s="5" t="s">
        <v>460</v>
      </c>
      <c r="C17188" s="25" t="n">
        <f aca="false">C17128-C17178</f>
        <v>305.625</v>
      </c>
    </row>
    <row r="17189" customFormat="false" ht="15" hidden="false" customHeight="false" outlineLevel="0" collapsed="false">
      <c r="A17189" s="23" t="s">
        <v>473</v>
      </c>
      <c r="B17189" s="24"/>
      <c r="C17189" s="24"/>
      <c r="D17189" s="24"/>
      <c r="E17189" s="24"/>
      <c r="F17189" s="24"/>
      <c r="G17189" s="24"/>
      <c r="H17189" s="24"/>
      <c r="I17189" s="24"/>
      <c r="J17189" s="24"/>
      <c r="K17189" s="24"/>
    </row>
    <row r="17190" customFormat="false" ht="15" hidden="false" customHeight="false" outlineLevel="0" collapsed="false">
      <c r="A17190" s="5" t="s">
        <v>457</v>
      </c>
      <c r="C17190" s="21" t="n">
        <f aca="false">IF(C17125=0,0,C17185/C17125)</f>
        <v>0</v>
      </c>
    </row>
    <row r="17191" customFormat="false" ht="15" hidden="false" customHeight="false" outlineLevel="0" collapsed="false">
      <c r="A17191" s="5" t="s">
        <v>458</v>
      </c>
      <c r="C17191" s="21" t="n">
        <f aca="false">IF(C17126=0,0,C17186/C17126)</f>
        <v>0.145334460686247</v>
      </c>
    </row>
    <row r="17192" customFormat="false" ht="15" hidden="false" customHeight="false" outlineLevel="0" collapsed="false">
      <c r="A17192" s="5" t="s">
        <v>459</v>
      </c>
      <c r="C17192" s="21" t="n">
        <f aca="false">IF(C17127=0,0,C17187/C17127)</f>
        <v>1</v>
      </c>
    </row>
    <row r="17193" customFormat="false" ht="15" hidden="false" customHeight="false" outlineLevel="0" collapsed="false">
      <c r="A17193" s="5" t="s">
        <v>460</v>
      </c>
      <c r="C17193" s="21" t="n">
        <f aca="false">IF(C17128=0,0,C17188/C17128)</f>
        <v>1</v>
      </c>
    </row>
    <row r="17194" customFormat="false" ht="15" hidden="false" customHeight="false" outlineLevel="0" collapsed="false">
      <c r="A17194" s="2" t="s">
        <v>474</v>
      </c>
      <c r="C17194" s="16" t="n">
        <f aca="false">MAX(0,$C$17123-SUM($C$17140:$C$17143)-SUM($C$17150:$C$17153))</f>
        <v>0</v>
      </c>
    </row>
    <row r="17195" customFormat="false" ht="15" hidden="false" customHeight="false" outlineLevel="0" collapsed="false">
      <c r="A17195" s="5" t="s">
        <v>475</v>
      </c>
      <c r="C17195" s="25" t="n">
        <f aca="false">SUM($C$17175:$C$17178)+C17194+C17122-C17121</f>
        <v>0</v>
      </c>
    </row>
    <row r="17197" customFormat="false" ht="15" hidden="false" customHeight="false" outlineLevel="0" collapsed="false">
      <c r="A17197" s="23" t="s">
        <v>478</v>
      </c>
      <c r="B17197" s="24"/>
      <c r="C17197" s="24"/>
      <c r="D17197" s="24"/>
      <c r="E17197" s="24"/>
      <c r="F17197" s="24"/>
      <c r="G17197" s="24"/>
      <c r="H17197" s="24"/>
      <c r="I17197" s="24"/>
      <c r="J17197" s="24"/>
      <c r="K17197" s="24"/>
    </row>
    <row r="17198" customFormat="false" ht="15" hidden="false" customHeight="false" outlineLevel="0" collapsed="false">
      <c r="A17198" s="5" t="s">
        <v>479</v>
      </c>
      <c r="C17198" s="26" t="n">
        <f aca="false">Assumptions!$C$30</f>
        <v>2</v>
      </c>
    </row>
    <row r="17199" customFormat="false" ht="15" hidden="false" customHeight="false" outlineLevel="0" collapsed="false">
      <c r="A17199" s="5" t="s">
        <v>480</v>
      </c>
      <c r="C17199" s="28" t="n">
        <f aca="false">Assumptions!$C$31</f>
        <v>100</v>
      </c>
    </row>
    <row r="17200" customFormat="false" ht="15" hidden="false" customHeight="false" outlineLevel="0" collapsed="false">
      <c r="A17200" s="5" t="s">
        <v>481</v>
      </c>
      <c r="C17200" s="39" t="n">
        <f aca="false">Assumptions!$C$32</f>
        <v>78</v>
      </c>
    </row>
    <row r="17201" customFormat="false" ht="15" hidden="false" customHeight="false" outlineLevel="0" collapsed="false">
      <c r="A17201" s="5" t="s">
        <v>482</v>
      </c>
      <c r="C17201" s="25" t="n">
        <f aca="false">C17199*C17200/100*(1+Assumptions!$C$33)</f>
        <v>78.39</v>
      </c>
    </row>
    <row r="17202" customFormat="false" ht="15" hidden="false" customHeight="false" outlineLevel="0" collapsed="false">
      <c r="A17202" s="5" t="s">
        <v>483</v>
      </c>
      <c r="C17202" s="26" t="n">
        <f aca="false">Assumptions!$C$34</f>
        <v>2</v>
      </c>
    </row>
    <row r="17203" customFormat="false" ht="15" hidden="false" customHeight="false" outlineLevel="0" collapsed="false">
      <c r="A17203" s="5" t="s">
        <v>484</v>
      </c>
      <c r="C17203" s="20" t="n">
        <f aca="false">IF(C17114=1,SUMPRODUCT($G$17082:$K$17082,$G$16958:$K$16958),0)</f>
        <v>2</v>
      </c>
    </row>
    <row r="17204" customFormat="false" ht="15" hidden="false" customHeight="false" outlineLevel="0" collapsed="false">
      <c r="A17204" s="5" t="s">
        <v>485</v>
      </c>
      <c r="C17204" s="21" t="n">
        <f aca="false">IFERROR(C17199/CHOOSE(C17198,SUMPRODUCT($G$17113:$K$17113,$G$17004:$K$17004),SUMPRODUCT($G$17113:$K$17113,$G$17017:$K$17017),SUMPRODUCT($G$17113:$K$17113,$G$17030:$K$17030),SUMPRODUCT($G$17113:$K$17113,$G$17043:$K$17043)),0)</f>
        <v>0.196232339089482</v>
      </c>
    </row>
    <row r="17205" customFormat="false" ht="15" hidden="false" customHeight="false" outlineLevel="0" collapsed="false">
      <c r="A17205" s="5" t="s">
        <v>486</v>
      </c>
      <c r="C17205" s="25" t="n">
        <f aca="false">CHOOSE(C17198,C17175,C17176,C17177,C17178)*C17204</f>
        <v>87.6139010989011</v>
      </c>
    </row>
    <row r="17206" customFormat="false" ht="15" hidden="false" customHeight="false" outlineLevel="0" collapsed="false">
      <c r="A17206" s="5" t="s">
        <v>487</v>
      </c>
      <c r="C17206" s="21" t="n">
        <f aca="false">CHOOSE(C17198,C17180,C17181,C17182,C17183)</f>
        <v>0.854665539313753</v>
      </c>
    </row>
    <row r="17207" customFormat="false" ht="15" hidden="false" customHeight="false" outlineLevel="0" collapsed="false">
      <c r="A17207" s="5" t="s">
        <v>488</v>
      </c>
      <c r="C17207" s="20" t="n">
        <f aca="false">IF(C17114=1,C17203,C17202)</f>
        <v>2</v>
      </c>
    </row>
    <row r="17208" customFormat="false" ht="15" hidden="false" customHeight="false" outlineLevel="0" collapsed="false">
      <c r="A17208" s="5" t="s">
        <v>489</v>
      </c>
      <c r="C17208" s="33" t="n">
        <f aca="false">CHOOSE($C$16950,Assumptions!$C$77,Assumptions!$C$96,Assumptions!$C$115)</f>
        <v>100</v>
      </c>
    </row>
    <row r="17209" customFormat="false" ht="15" hidden="false" customHeight="false" outlineLevel="0" collapsed="false">
      <c r="A17209" s="5" t="s">
        <v>490</v>
      </c>
      <c r="C17209" s="25" t="n">
        <f aca="false">INDEX($G$16967:$K$16967,C17202)*CHOOSE($C$16950,Assumptions!$C$76,Assumptions!$C$95,Assumptions!$C$114)+MAX(0,INDEX($G$17079:$K$17079,C17202))</f>
        <v>1024.40052</v>
      </c>
    </row>
    <row r="17210" customFormat="false" ht="15" hidden="false" customHeight="false" outlineLevel="0" collapsed="false">
      <c r="A17210" s="23" t="s">
        <v>491</v>
      </c>
      <c r="B17210" s="24"/>
      <c r="C17210" s="24"/>
      <c r="D17210" s="24"/>
      <c r="E17210" s="24"/>
      <c r="F17210" s="24"/>
      <c r="G17210" s="24"/>
      <c r="H17210" s="24"/>
      <c r="I17210" s="24"/>
      <c r="J17210" s="24"/>
      <c r="K17210" s="24"/>
    </row>
    <row r="17211" customFormat="false" ht="15" hidden="false" customHeight="false" outlineLevel="0" collapsed="false">
      <c r="A17211" s="5" t="s">
        <v>457</v>
      </c>
      <c r="C17211" s="25" t="n">
        <f aca="false">INDEX($G$17004:$K$17004,C17202)</f>
        <v>149.44</v>
      </c>
    </row>
    <row r="17212" customFormat="false" ht="15" hidden="false" customHeight="false" outlineLevel="0" collapsed="false">
      <c r="A17212" s="5" t="s">
        <v>458</v>
      </c>
      <c r="C17212" s="25" t="n">
        <f aca="false">INDEX($G$17017:$K$17017,C17202)</f>
        <v>509.6</v>
      </c>
    </row>
    <row r="17213" customFormat="false" ht="15" hidden="false" customHeight="false" outlineLevel="0" collapsed="false">
      <c r="A17213" s="5" t="s">
        <v>459</v>
      </c>
      <c r="C17213" s="25" t="n">
        <f aca="false">INDEX($G$17030:$K$17030,C17202)</f>
        <v>250</v>
      </c>
    </row>
    <row r="17214" customFormat="false" ht="15" hidden="false" customHeight="false" outlineLevel="0" collapsed="false">
      <c r="A17214" s="5" t="s">
        <v>460</v>
      </c>
      <c r="C17214" s="25" t="n">
        <f aca="false">INDEX($G$17043:$K$17043,C17202)</f>
        <v>300</v>
      </c>
    </row>
    <row r="17215" customFormat="false" ht="15" hidden="false" customHeight="false" outlineLevel="0" collapsed="false">
      <c r="A17215" s="23" t="s">
        <v>461</v>
      </c>
      <c r="B17215" s="24"/>
      <c r="C17215" s="24"/>
      <c r="D17215" s="24"/>
      <c r="E17215" s="24"/>
      <c r="F17215" s="24"/>
      <c r="G17215" s="24"/>
      <c r="H17215" s="24"/>
      <c r="I17215" s="24"/>
      <c r="J17215" s="24"/>
      <c r="K17215" s="24"/>
    </row>
    <row r="17216" customFormat="false" ht="15" hidden="false" customHeight="false" outlineLevel="0" collapsed="false">
      <c r="A17216" s="5" t="s">
        <v>457</v>
      </c>
      <c r="C17216" s="26" t="n">
        <f aca="false">Assumptions!$M$53</f>
        <v>1</v>
      </c>
    </row>
    <row r="17217" customFormat="false" ht="15" hidden="false" customHeight="false" outlineLevel="0" collapsed="false">
      <c r="A17217" s="5" t="s">
        <v>458</v>
      </c>
      <c r="C17217" s="26" t="n">
        <f aca="false">Assumptions!$M$54</f>
        <v>2</v>
      </c>
    </row>
    <row r="17218" customFormat="false" ht="15" hidden="false" customHeight="false" outlineLevel="0" collapsed="false">
      <c r="A17218" s="5" t="s">
        <v>459</v>
      </c>
      <c r="C17218" s="26" t="n">
        <f aca="false">Assumptions!$M$55</f>
        <v>3</v>
      </c>
    </row>
    <row r="17219" customFormat="false" ht="15" hidden="false" customHeight="false" outlineLevel="0" collapsed="false">
      <c r="A17219" s="5" t="s">
        <v>460</v>
      </c>
      <c r="C17219" s="26" t="n">
        <f aca="false">Assumptions!$M$56</f>
        <v>4</v>
      </c>
    </row>
    <row r="17220" customFormat="false" ht="15" hidden="false" customHeight="false" outlineLevel="0" collapsed="false">
      <c r="A17220" s="23" t="s">
        <v>462</v>
      </c>
      <c r="B17220" s="24"/>
      <c r="C17220" s="24"/>
      <c r="D17220" s="24"/>
      <c r="E17220" s="24"/>
      <c r="F17220" s="24"/>
      <c r="G17220" s="24"/>
      <c r="H17220" s="24"/>
      <c r="I17220" s="24"/>
      <c r="J17220" s="24"/>
      <c r="K17220" s="24"/>
    </row>
    <row r="17221" customFormat="false" ht="15" hidden="false" customHeight="false" outlineLevel="0" collapsed="false">
      <c r="A17221" s="5" t="s">
        <v>457</v>
      </c>
      <c r="C17221" s="34" t="n">
        <f aca="false">Assumptions!$Q$53</f>
        <v>0</v>
      </c>
    </row>
    <row r="17222" customFormat="false" ht="15" hidden="false" customHeight="false" outlineLevel="0" collapsed="false">
      <c r="A17222" s="5" t="s">
        <v>458</v>
      </c>
      <c r="C17222" s="34" t="n">
        <f aca="false">Assumptions!$Q$54</f>
        <v>0</v>
      </c>
    </row>
    <row r="17223" customFormat="false" ht="15" hidden="false" customHeight="false" outlineLevel="0" collapsed="false">
      <c r="A17223" s="5" t="s">
        <v>459</v>
      </c>
      <c r="C17223" s="34" t="n">
        <f aca="false">Assumptions!$Q$55</f>
        <v>0</v>
      </c>
    </row>
    <row r="17224" customFormat="false" ht="15" hidden="false" customHeight="false" outlineLevel="0" collapsed="false">
      <c r="A17224" s="5" t="s">
        <v>460</v>
      </c>
      <c r="C17224" s="34" t="n">
        <f aca="false">Assumptions!$Q$56</f>
        <v>0</v>
      </c>
    </row>
    <row r="17225" customFormat="false" ht="15" hidden="false" customHeight="false" outlineLevel="0" collapsed="false">
      <c r="A17225" s="23" t="s">
        <v>463</v>
      </c>
      <c r="B17225" s="24"/>
      <c r="C17225" s="24"/>
      <c r="D17225" s="24"/>
      <c r="E17225" s="24"/>
      <c r="F17225" s="24"/>
      <c r="G17225" s="24"/>
      <c r="H17225" s="24"/>
      <c r="I17225" s="24"/>
      <c r="J17225" s="24"/>
      <c r="K17225" s="24"/>
    </row>
    <row r="17226" customFormat="false" ht="15" hidden="false" customHeight="false" outlineLevel="0" collapsed="false">
      <c r="A17226" s="5" t="s">
        <v>457</v>
      </c>
      <c r="C17226" s="25" t="n">
        <f aca="false">IF(C17221&gt;0,MIN(C17211,C17221*$C$17209),0)</f>
        <v>0</v>
      </c>
    </row>
    <row r="17227" customFormat="false" ht="15" hidden="false" customHeight="false" outlineLevel="0" collapsed="false">
      <c r="A17227" s="5" t="s">
        <v>458</v>
      </c>
      <c r="C17227" s="25" t="n">
        <f aca="false">IF(C17222&gt;0,MIN(C17212,C17222*$C$17209),0)</f>
        <v>0</v>
      </c>
    </row>
    <row r="17228" customFormat="false" ht="15" hidden="false" customHeight="false" outlineLevel="0" collapsed="false">
      <c r="A17228" s="5" t="s">
        <v>459</v>
      </c>
      <c r="C17228" s="25" t="n">
        <f aca="false">IF(C17223&gt;0,MIN(C17213,C17223*$C$17209),0)</f>
        <v>0</v>
      </c>
    </row>
    <row r="17229" customFormat="false" ht="15" hidden="false" customHeight="false" outlineLevel="0" collapsed="false">
      <c r="A17229" s="5" t="s">
        <v>460</v>
      </c>
      <c r="C17229" s="25" t="n">
        <f aca="false">IF(C17224&gt;0,MIN(C17214,C17224*$C$17209),0)</f>
        <v>0</v>
      </c>
    </row>
    <row r="17230" customFormat="false" ht="15" hidden="false" customHeight="false" outlineLevel="0" collapsed="false">
      <c r="A17230" s="23" t="s">
        <v>464</v>
      </c>
      <c r="B17230" s="24"/>
      <c r="C17230" s="24"/>
      <c r="D17230" s="24"/>
      <c r="E17230" s="24"/>
      <c r="F17230" s="24"/>
      <c r="G17230" s="24"/>
      <c r="H17230" s="24"/>
      <c r="I17230" s="24"/>
      <c r="J17230" s="24"/>
      <c r="K17230" s="24"/>
    </row>
    <row r="17231" customFormat="false" ht="15" hidden="false" customHeight="false" outlineLevel="0" collapsed="false">
      <c r="A17231" s="5" t="s">
        <v>457</v>
      </c>
      <c r="C17231" s="25" t="n">
        <f aca="false">IF(C17221&gt;0,C17211-C17226,0)</f>
        <v>0</v>
      </c>
    </row>
    <row r="17232" customFormat="false" ht="15" hidden="false" customHeight="false" outlineLevel="0" collapsed="false">
      <c r="A17232" s="5" t="s">
        <v>458</v>
      </c>
      <c r="C17232" s="25" t="n">
        <f aca="false">IF(C17222&gt;0,C17212-C17227,0)</f>
        <v>0</v>
      </c>
    </row>
    <row r="17233" customFormat="false" ht="15" hidden="false" customHeight="false" outlineLevel="0" collapsed="false">
      <c r="A17233" s="5" t="s">
        <v>459</v>
      </c>
      <c r="C17233" s="25" t="n">
        <f aca="false">IF(C17223&gt;0,C17213-C17228,0)</f>
        <v>0</v>
      </c>
    </row>
    <row r="17234" customFormat="false" ht="15" hidden="false" customHeight="false" outlineLevel="0" collapsed="false">
      <c r="A17234" s="5" t="s">
        <v>460</v>
      </c>
      <c r="C17234" s="25" t="n">
        <f aca="false">IF(C17224&gt;0,C17214-C17229,0)</f>
        <v>0</v>
      </c>
    </row>
    <row r="17235" customFormat="false" ht="15" hidden="false" customHeight="false" outlineLevel="0" collapsed="false">
      <c r="A17235" s="23" t="s">
        <v>465</v>
      </c>
      <c r="B17235" s="24"/>
      <c r="C17235" s="24"/>
      <c r="D17235" s="24"/>
      <c r="E17235" s="24"/>
      <c r="F17235" s="24"/>
      <c r="G17235" s="24"/>
      <c r="H17235" s="24"/>
      <c r="I17235" s="24"/>
      <c r="J17235" s="24"/>
      <c r="K17235" s="24"/>
    </row>
    <row r="17236" customFormat="false" ht="15" hidden="false" customHeight="false" outlineLevel="0" collapsed="false">
      <c r="A17236" s="5" t="s">
        <v>457</v>
      </c>
      <c r="C17236" s="25" t="n">
        <f aca="false">IF(C17221&gt;0,C17231,C17211)</f>
        <v>149.44</v>
      </c>
    </row>
    <row r="17237" customFormat="false" ht="15" hidden="false" customHeight="false" outlineLevel="0" collapsed="false">
      <c r="A17237" s="5" t="s">
        <v>458</v>
      </c>
      <c r="C17237" s="25" t="n">
        <f aca="false">IF(C17222&gt;0,C17232,C17212)</f>
        <v>509.6</v>
      </c>
    </row>
    <row r="17238" customFormat="false" ht="15" hidden="false" customHeight="false" outlineLevel="0" collapsed="false">
      <c r="A17238" s="5" t="s">
        <v>459</v>
      </c>
      <c r="C17238" s="25" t="n">
        <f aca="false">IF(C17223&gt;0,C17233,C17213)</f>
        <v>250</v>
      </c>
    </row>
    <row r="17239" customFormat="false" ht="15" hidden="false" customHeight="false" outlineLevel="0" collapsed="false">
      <c r="A17239" s="5" t="s">
        <v>460</v>
      </c>
      <c r="C17239" s="25" t="n">
        <f aca="false">IF(C17224&gt;0,C17234,C17214)</f>
        <v>300</v>
      </c>
    </row>
    <row r="17240" customFormat="false" ht="15" hidden="false" customHeight="false" outlineLevel="0" collapsed="false">
      <c r="A17240" s="23" t="s">
        <v>466</v>
      </c>
      <c r="B17240" s="24"/>
      <c r="C17240" s="24"/>
      <c r="D17240" s="24"/>
      <c r="E17240" s="24"/>
      <c r="F17240" s="24"/>
      <c r="G17240" s="24"/>
      <c r="H17240" s="24"/>
      <c r="I17240" s="24"/>
      <c r="J17240" s="24"/>
      <c r="K17240" s="24"/>
    </row>
    <row r="17241" customFormat="false" ht="15" hidden="false" customHeight="false" outlineLevel="0" collapsed="false">
      <c r="A17241" s="5" t="s">
        <v>457</v>
      </c>
      <c r="C17241" s="20" t="n">
        <f aca="false">IF(C17221&gt;0,Assumptions!$C$17,C17216)</f>
        <v>1</v>
      </c>
    </row>
    <row r="17242" customFormat="false" ht="15" hidden="false" customHeight="false" outlineLevel="0" collapsed="false">
      <c r="A17242" s="5" t="s">
        <v>458</v>
      </c>
      <c r="C17242" s="20" t="n">
        <f aca="false">IF(C17222&gt;0,Assumptions!$C$17,C17217)</f>
        <v>2</v>
      </c>
    </row>
    <row r="17243" customFormat="false" ht="15" hidden="false" customHeight="false" outlineLevel="0" collapsed="false">
      <c r="A17243" s="5" t="s">
        <v>459</v>
      </c>
      <c r="C17243" s="20" t="n">
        <f aca="false">IF(C17223&gt;0,Assumptions!$C$17,C17218)</f>
        <v>3</v>
      </c>
    </row>
    <row r="17244" customFormat="false" ht="15" hidden="false" customHeight="false" outlineLevel="0" collapsed="false">
      <c r="A17244" s="5" t="s">
        <v>460</v>
      </c>
      <c r="C17244" s="20" t="n">
        <f aca="false">IF(C17224&gt;0,Assumptions!$C$17,C17219)</f>
        <v>4</v>
      </c>
    </row>
    <row r="17245" customFormat="false" ht="15" hidden="false" customHeight="false" outlineLevel="0" collapsed="false">
      <c r="A17245" s="23" t="s">
        <v>467</v>
      </c>
      <c r="B17245" s="24"/>
      <c r="C17245" s="24"/>
      <c r="D17245" s="24"/>
      <c r="E17245" s="24"/>
      <c r="F17245" s="24"/>
      <c r="G17245" s="24"/>
      <c r="H17245" s="24"/>
      <c r="I17245" s="24"/>
      <c r="J17245" s="24"/>
      <c r="K17245" s="24"/>
    </row>
    <row r="17246" customFormat="false" ht="15" hidden="false" customHeight="false" outlineLevel="0" collapsed="false">
      <c r="A17246" s="5" t="s">
        <v>457</v>
      </c>
      <c r="C17246" s="25" t="n">
        <f aca="false">SUMPRODUCT(($C$17241:$C$17244&lt;C17241)*$C$17236:$C$17239)</f>
        <v>0</v>
      </c>
    </row>
    <row r="17247" customFormat="false" ht="15" hidden="false" customHeight="false" outlineLevel="0" collapsed="false">
      <c r="A17247" s="5" t="s">
        <v>458</v>
      </c>
      <c r="C17247" s="25" t="n">
        <f aca="false">SUMPRODUCT(($C$17241:$C$17244&lt;C17242)*$C$17236:$C$17239)</f>
        <v>149.44</v>
      </c>
    </row>
    <row r="17248" customFormat="false" ht="15" hidden="false" customHeight="false" outlineLevel="0" collapsed="false">
      <c r="A17248" s="5" t="s">
        <v>459</v>
      </c>
      <c r="C17248" s="25" t="n">
        <f aca="false">SUMPRODUCT(($C$17241:$C$17244&lt;C17243)*$C$17236:$C$17239)</f>
        <v>659.04</v>
      </c>
    </row>
    <row r="17249" customFormat="false" ht="15" hidden="false" customHeight="false" outlineLevel="0" collapsed="false">
      <c r="A17249" s="5" t="s">
        <v>460</v>
      </c>
      <c r="C17249" s="25" t="n">
        <f aca="false">SUMPRODUCT(($C$17241:$C$17244&lt;C17244)*$C$17236:$C$17239)</f>
        <v>909.04</v>
      </c>
    </row>
    <row r="17250" customFormat="false" ht="15" hidden="false" customHeight="false" outlineLevel="0" collapsed="false">
      <c r="A17250" s="23" t="s">
        <v>468</v>
      </c>
      <c r="B17250" s="24"/>
      <c r="C17250" s="24"/>
      <c r="D17250" s="24"/>
      <c r="E17250" s="24"/>
      <c r="F17250" s="24"/>
      <c r="G17250" s="24"/>
      <c r="H17250" s="24"/>
      <c r="I17250" s="24"/>
      <c r="J17250" s="24"/>
      <c r="K17250" s="24"/>
    </row>
    <row r="17251" customFormat="false" ht="15" hidden="false" customHeight="false" outlineLevel="0" collapsed="false">
      <c r="A17251" s="5" t="s">
        <v>457</v>
      </c>
      <c r="C17251" s="25" t="n">
        <f aca="false">SUMPRODUCT(($C$17241:$C$17244=C17241)*$C$17236:$C$17239)</f>
        <v>149.44</v>
      </c>
    </row>
    <row r="17252" customFormat="false" ht="15" hidden="false" customHeight="false" outlineLevel="0" collapsed="false">
      <c r="A17252" s="5" t="s">
        <v>458</v>
      </c>
      <c r="C17252" s="25" t="n">
        <f aca="false">SUMPRODUCT(($C$17241:$C$17244=C17242)*$C$17236:$C$17239)</f>
        <v>509.6</v>
      </c>
    </row>
    <row r="17253" customFormat="false" ht="15" hidden="false" customHeight="false" outlineLevel="0" collapsed="false">
      <c r="A17253" s="5" t="s">
        <v>459</v>
      </c>
      <c r="C17253" s="25" t="n">
        <f aca="false">SUMPRODUCT(($C$17241:$C$17244=C17243)*$C$17236:$C$17239)</f>
        <v>250</v>
      </c>
    </row>
    <row r="17254" customFormat="false" ht="15" hidden="false" customHeight="false" outlineLevel="0" collapsed="false">
      <c r="A17254" s="5" t="s">
        <v>460</v>
      </c>
      <c r="C17254" s="25" t="n">
        <f aca="false">SUMPRODUCT(($C$17241:$C$17244=C17244)*$C$17236:$C$17239)</f>
        <v>300</v>
      </c>
    </row>
    <row r="17255" customFormat="false" ht="15" hidden="false" customHeight="false" outlineLevel="0" collapsed="false">
      <c r="A17255" s="23" t="s">
        <v>469</v>
      </c>
      <c r="B17255" s="24"/>
      <c r="C17255" s="24"/>
      <c r="D17255" s="24"/>
      <c r="E17255" s="24"/>
      <c r="F17255" s="24"/>
      <c r="G17255" s="24"/>
      <c r="H17255" s="24"/>
      <c r="I17255" s="24"/>
      <c r="J17255" s="24"/>
      <c r="K17255" s="24"/>
    </row>
    <row r="17256" customFormat="false" ht="15" hidden="false" customHeight="false" outlineLevel="0" collapsed="false">
      <c r="A17256" s="5" t="s">
        <v>457</v>
      </c>
      <c r="C17256" s="25" t="n">
        <f aca="false">IF(C17251=0,0,C17236/C17251*MAX(0,MIN(C17251,$C$17209-SUM($C$17226:$C$17229)-C17246)))</f>
        <v>149.44</v>
      </c>
    </row>
    <row r="17257" customFormat="false" ht="15" hidden="false" customHeight="false" outlineLevel="0" collapsed="false">
      <c r="A17257" s="5" t="s">
        <v>458</v>
      </c>
      <c r="C17257" s="25" t="n">
        <f aca="false">IF(C17252=0,0,C17237/C17252*MAX(0,MIN(C17252,$C$17209-SUM($C$17226:$C$17229)-C17247)))</f>
        <v>509.6</v>
      </c>
    </row>
    <row r="17258" customFormat="false" ht="15" hidden="false" customHeight="false" outlineLevel="0" collapsed="false">
      <c r="A17258" s="5" t="s">
        <v>459</v>
      </c>
      <c r="C17258" s="25" t="n">
        <f aca="false">IF(C17253=0,0,C17238/C17253*MAX(0,MIN(C17253,$C$17209-SUM($C$17226:$C$17229)-C17248)))</f>
        <v>250</v>
      </c>
    </row>
    <row r="17259" customFormat="false" ht="15" hidden="false" customHeight="false" outlineLevel="0" collapsed="false">
      <c r="A17259" s="5" t="s">
        <v>460</v>
      </c>
      <c r="C17259" s="25" t="n">
        <f aca="false">IF(C17254=0,0,C17239/C17254*MAX(0,MIN(C17254,$C$17209-SUM($C$17226:$C$17229)-C17249)))</f>
        <v>115.36052</v>
      </c>
    </row>
    <row r="17260" customFormat="false" ht="15" hidden="false" customHeight="false" outlineLevel="0" collapsed="false">
      <c r="A17260" s="23" t="s">
        <v>470</v>
      </c>
      <c r="B17260" s="24"/>
      <c r="C17260" s="24"/>
      <c r="D17260" s="24"/>
      <c r="E17260" s="24"/>
      <c r="F17260" s="24"/>
      <c r="G17260" s="24"/>
      <c r="H17260" s="24"/>
      <c r="I17260" s="24"/>
      <c r="J17260" s="24"/>
      <c r="K17260" s="24"/>
    </row>
    <row r="17261" customFormat="false" ht="15" hidden="false" customHeight="false" outlineLevel="0" collapsed="false">
      <c r="A17261" s="2" t="s">
        <v>457</v>
      </c>
      <c r="C17261" s="16" t="n">
        <f aca="false">C17226+C17256</f>
        <v>149.44</v>
      </c>
    </row>
    <row r="17262" customFormat="false" ht="15" hidden="false" customHeight="false" outlineLevel="0" collapsed="false">
      <c r="A17262" s="2" t="s">
        <v>458</v>
      </c>
      <c r="C17262" s="16" t="n">
        <f aca="false">C17227+C17257</f>
        <v>509.6</v>
      </c>
    </row>
    <row r="17263" customFormat="false" ht="15" hidden="false" customHeight="false" outlineLevel="0" collapsed="false">
      <c r="A17263" s="2" t="s">
        <v>459</v>
      </c>
      <c r="C17263" s="16" t="n">
        <f aca="false">C17228+C17258</f>
        <v>250</v>
      </c>
    </row>
    <row r="17264" customFormat="false" ht="15" hidden="false" customHeight="false" outlineLevel="0" collapsed="false">
      <c r="A17264" s="2" t="s">
        <v>460</v>
      </c>
      <c r="C17264" s="16" t="n">
        <f aca="false">C17229+C17259</f>
        <v>115.36052</v>
      </c>
    </row>
    <row r="17265" customFormat="false" ht="15" hidden="false" customHeight="false" outlineLevel="0" collapsed="false">
      <c r="A17265" s="23" t="s">
        <v>471</v>
      </c>
      <c r="B17265" s="24"/>
      <c r="C17265" s="24"/>
      <c r="D17265" s="24"/>
      <c r="E17265" s="24"/>
      <c r="F17265" s="24"/>
      <c r="G17265" s="24"/>
      <c r="H17265" s="24"/>
      <c r="I17265" s="24"/>
      <c r="J17265" s="24"/>
      <c r="K17265" s="24"/>
    </row>
    <row r="17266" customFormat="false" ht="15" hidden="false" customHeight="false" outlineLevel="0" collapsed="false">
      <c r="A17266" s="5" t="s">
        <v>457</v>
      </c>
      <c r="C17266" s="21" t="n">
        <f aca="false">IF(C17211=0,1,C17261/C17211)</f>
        <v>1</v>
      </c>
    </row>
    <row r="17267" customFormat="false" ht="15" hidden="false" customHeight="false" outlineLevel="0" collapsed="false">
      <c r="A17267" s="5" t="s">
        <v>458</v>
      </c>
      <c r="C17267" s="21" t="n">
        <f aca="false">IF(C17212=0,1,C17262/C17212)</f>
        <v>1</v>
      </c>
    </row>
    <row r="17268" customFormat="false" ht="15" hidden="false" customHeight="false" outlineLevel="0" collapsed="false">
      <c r="A17268" s="5" t="s">
        <v>459</v>
      </c>
      <c r="C17268" s="21" t="n">
        <f aca="false">IF(C17213=0,1,C17263/C17213)</f>
        <v>1</v>
      </c>
    </row>
    <row r="17269" customFormat="false" ht="15" hidden="false" customHeight="false" outlineLevel="0" collapsed="false">
      <c r="A17269" s="5" t="s">
        <v>460</v>
      </c>
      <c r="C17269" s="21" t="n">
        <f aca="false">IF(C17214=0,1,C17264/C17214)</f>
        <v>0.384535066666667</v>
      </c>
    </row>
    <row r="17270" customFormat="false" ht="15" hidden="false" customHeight="false" outlineLevel="0" collapsed="false">
      <c r="A17270" s="23" t="s">
        <v>472</v>
      </c>
      <c r="B17270" s="24"/>
      <c r="C17270" s="24"/>
      <c r="D17270" s="24"/>
      <c r="E17270" s="24"/>
      <c r="F17270" s="24"/>
      <c r="G17270" s="24"/>
      <c r="H17270" s="24"/>
      <c r="I17270" s="24"/>
      <c r="J17270" s="24"/>
      <c r="K17270" s="24"/>
    </row>
    <row r="17271" customFormat="false" ht="15" hidden="false" customHeight="false" outlineLevel="0" collapsed="false">
      <c r="A17271" s="5" t="s">
        <v>457</v>
      </c>
      <c r="C17271" s="25" t="n">
        <f aca="false">C17211-C17261</f>
        <v>0</v>
      </c>
    </row>
    <row r="17272" customFormat="false" ht="15" hidden="false" customHeight="false" outlineLevel="0" collapsed="false">
      <c r="A17272" s="5" t="s">
        <v>458</v>
      </c>
      <c r="C17272" s="25" t="n">
        <f aca="false">C17212-C17262</f>
        <v>0</v>
      </c>
    </row>
    <row r="17273" customFormat="false" ht="15" hidden="false" customHeight="false" outlineLevel="0" collapsed="false">
      <c r="A17273" s="5" t="s">
        <v>459</v>
      </c>
      <c r="C17273" s="25" t="n">
        <f aca="false">C17213-C17263</f>
        <v>0</v>
      </c>
    </row>
    <row r="17274" customFormat="false" ht="15" hidden="false" customHeight="false" outlineLevel="0" collapsed="false">
      <c r="A17274" s="5" t="s">
        <v>460</v>
      </c>
      <c r="C17274" s="25" t="n">
        <f aca="false">C17214-C17264</f>
        <v>184.63948</v>
      </c>
    </row>
    <row r="17275" customFormat="false" ht="15" hidden="false" customHeight="false" outlineLevel="0" collapsed="false">
      <c r="A17275" s="23" t="s">
        <v>473</v>
      </c>
      <c r="B17275" s="24"/>
      <c r="C17275" s="24"/>
      <c r="D17275" s="24"/>
      <c r="E17275" s="24"/>
      <c r="F17275" s="24"/>
      <c r="G17275" s="24"/>
      <c r="H17275" s="24"/>
      <c r="I17275" s="24"/>
      <c r="J17275" s="24"/>
      <c r="K17275" s="24"/>
    </row>
    <row r="17276" customFormat="false" ht="15" hidden="false" customHeight="false" outlineLevel="0" collapsed="false">
      <c r="A17276" s="5" t="s">
        <v>457</v>
      </c>
      <c r="C17276" s="21" t="n">
        <f aca="false">IF(C17211=0,0,C17271/C17211)</f>
        <v>0</v>
      </c>
    </row>
    <row r="17277" customFormat="false" ht="15" hidden="false" customHeight="false" outlineLevel="0" collapsed="false">
      <c r="A17277" s="5" t="s">
        <v>458</v>
      </c>
      <c r="C17277" s="21" t="n">
        <f aca="false">IF(C17212=0,0,C17272/C17212)</f>
        <v>0</v>
      </c>
    </row>
    <row r="17278" customFormat="false" ht="15" hidden="false" customHeight="false" outlineLevel="0" collapsed="false">
      <c r="A17278" s="5" t="s">
        <v>459</v>
      </c>
      <c r="C17278" s="21" t="n">
        <f aca="false">IF(C17213=0,0,C17273/C17213)</f>
        <v>0</v>
      </c>
    </row>
    <row r="17279" customFormat="false" ht="15" hidden="false" customHeight="false" outlineLevel="0" collapsed="false">
      <c r="A17279" s="5" t="s">
        <v>460</v>
      </c>
      <c r="C17279" s="21" t="n">
        <f aca="false">IF(C17214=0,0,C17274/C17214)</f>
        <v>0.615464933333334</v>
      </c>
    </row>
    <row r="17280" customFormat="false" ht="15" hidden="false" customHeight="false" outlineLevel="0" collapsed="false">
      <c r="A17280" s="2" t="s">
        <v>474</v>
      </c>
      <c r="C17280" s="16" t="n">
        <f aca="false">MAX(0,$C$17209-SUM($C$17226:$C$17229)-SUM($C$17236:$C$17239))</f>
        <v>0</v>
      </c>
    </row>
    <row r="17281" customFormat="false" ht="15" hidden="false" customHeight="false" outlineLevel="0" collapsed="false">
      <c r="A17281" s="5" t="s">
        <v>492</v>
      </c>
      <c r="C17281" s="33" t="n">
        <f aca="false">MIN(C17208,100*CHOOSE(C17198,C17266,C17267,C17268,C17269))</f>
        <v>100</v>
      </c>
    </row>
    <row r="17282" customFormat="false" ht="15" hidden="false" customHeight="false" outlineLevel="0" collapsed="false">
      <c r="A17282" s="5" t="s">
        <v>493</v>
      </c>
      <c r="C17282" s="20" t="n">
        <f aca="false">IF(C17114=1,C17203+Assumptions!$C$36,C17202)</f>
        <v>3</v>
      </c>
    </row>
    <row r="17283" customFormat="false" ht="15" hidden="false" customHeight="false" outlineLevel="0" collapsed="false">
      <c r="A17283" s="23" t="s">
        <v>494</v>
      </c>
      <c r="B17283" s="24"/>
      <c r="C17283" s="24"/>
      <c r="D17283" s="24"/>
      <c r="E17283" s="24"/>
      <c r="F17283" s="24"/>
      <c r="G17283" s="24"/>
      <c r="H17283" s="24"/>
      <c r="I17283" s="24"/>
      <c r="J17283" s="24"/>
      <c r="K17283" s="24"/>
    </row>
    <row r="17284" customFormat="false" ht="15" hidden="false" customHeight="false" outlineLevel="0" collapsed="false">
      <c r="A17284" s="5" t="s">
        <v>495</v>
      </c>
      <c r="C17284" s="20" t="n">
        <f aca="false">COLUMN()-COLUMN($C$1)</f>
        <v>0</v>
      </c>
      <c r="D17284" s="20" t="n">
        <f aca="false">COLUMN()-COLUMN($C$1)</f>
        <v>1</v>
      </c>
      <c r="E17284" s="20" t="n">
        <f aca="false">COLUMN()-COLUMN($C$1)</f>
        <v>2</v>
      </c>
      <c r="F17284" s="20" t="n">
        <f aca="false">COLUMN()-COLUMN($C$1)</f>
        <v>3</v>
      </c>
      <c r="G17284" s="20" t="n">
        <f aca="false">COLUMN()-COLUMN($C$1)</f>
        <v>4</v>
      </c>
      <c r="H17284" s="20" t="n">
        <f aca="false">COLUMN()-COLUMN($C$1)</f>
        <v>5</v>
      </c>
      <c r="I17284" s="20" t="n">
        <f aca="false">COLUMN()-COLUMN($C$1)</f>
        <v>6</v>
      </c>
    </row>
    <row r="17285" customFormat="false" ht="15" hidden="false" customHeight="false" outlineLevel="0" collapsed="false">
      <c r="A17285" s="5" t="s">
        <v>496</v>
      </c>
      <c r="D17285" s="30" t="n">
        <f aca="false">CHOOSE($C$17198,G16996,G17009,G17022,G17035)</f>
        <v>0.103</v>
      </c>
      <c r="E17285" s="30" t="n">
        <f aca="false">CHOOSE($C$17198,H16996,H17009,H17022,H17035)</f>
        <v>0.1005</v>
      </c>
      <c r="F17285" s="30" t="n">
        <f aca="false">CHOOSE($C$17198,I16996,I17009,I17022,I17035)</f>
        <v>0.098</v>
      </c>
      <c r="G17285" s="30" t="n">
        <f aca="false">CHOOSE($C$17198,J16996,J17009,J17022,J17035)</f>
        <v>0.11</v>
      </c>
      <c r="H17285" s="30" t="n">
        <f aca="false">CHOOSE($C$17198,K16996,K17009,K17022,K17035)</f>
        <v>0.11</v>
      </c>
    </row>
    <row r="17286" customFormat="false" ht="15" hidden="false" customHeight="false" outlineLevel="0" collapsed="false">
      <c r="A17286" s="5" t="s">
        <v>497</v>
      </c>
      <c r="D17286" s="25" t="n">
        <f aca="false">IF(D17284&lt;=$C$17207,$C$17199*D17285,0)</f>
        <v>10.3</v>
      </c>
      <c r="E17286" s="25" t="n">
        <f aca="false">IF(E17284&lt;=$C$17207,$C$17199*E17285,0)</f>
        <v>10.05</v>
      </c>
      <c r="F17286" s="25" t="n">
        <f aca="false">IF(F17284&lt;=$C$17207,$C$17199*F17285,0)</f>
        <v>0</v>
      </c>
      <c r="G17286" s="25" t="n">
        <f aca="false">IF(G17284&lt;=$C$17207,$C$17199*G17285,0)</f>
        <v>0</v>
      </c>
      <c r="H17286" s="25" t="n">
        <f aca="false">IF(H17284&lt;=$C$17207,$C$17199*H17285,0)</f>
        <v>0</v>
      </c>
    </row>
    <row r="17287" customFormat="false" ht="15" hidden="false" customHeight="false" outlineLevel="0" collapsed="false">
      <c r="A17287" s="5" t="s">
        <v>498</v>
      </c>
      <c r="D17287" s="25" t="n">
        <f aca="false">IF(AND($C$17114=0,D17284=$C$17202),$C$17199*$C$17281/100,0)+IF(AND($C$17114=1,D17284=$C$17282),$C$17205,0)</f>
        <v>0</v>
      </c>
      <c r="E17287" s="25" t="n">
        <f aca="false">IF(AND($C$17114=0,E17284=$C$17202),$C$17199*$C$17281/100,0)+IF(AND($C$17114=1,E17284=$C$17282),$C$17205,0)</f>
        <v>0</v>
      </c>
      <c r="F17287" s="25" t="n">
        <f aca="false">IF(AND($C$17114=0,F17284=$C$17202),$C$17199*$C$17281/100,0)+IF(AND($C$17114=1,F17284=$C$17282),$C$17205,0)</f>
        <v>87.6139010989011</v>
      </c>
      <c r="G17287" s="25" t="n">
        <f aca="false">IF(AND($C$17114=0,G17284=$C$17202),$C$17199*$C$17281/100,0)+IF(AND($C$17114=1,G17284=$C$17282),$C$17205,0)</f>
        <v>0</v>
      </c>
      <c r="H17287" s="25" t="n">
        <f aca="false">IF(AND($C$17114=0,H17284=$C$17202),$C$17199*$C$17281/100,0)+IF(AND($C$17114=1,H17284=$C$17282),$C$17205,0)</f>
        <v>0</v>
      </c>
      <c r="I17287" s="25" t="n">
        <f aca="false">IF(AND($C$17114=0,I17284=$C$17202),$C$17199*$C$17281/100,0)+IF(AND($C$17114=1,I17284=$C$17282),$C$17205,0)</f>
        <v>0</v>
      </c>
    </row>
    <row r="17288" customFormat="false" ht="15" hidden="false" customHeight="false" outlineLevel="0" collapsed="false">
      <c r="A17288" s="2" t="s">
        <v>499</v>
      </c>
      <c r="C17288" s="16" t="n">
        <f aca="false">-$C$17201</f>
        <v>-78.39</v>
      </c>
      <c r="D17288" s="16" t="n">
        <f aca="false">D17286+D17287</f>
        <v>10.3</v>
      </c>
      <c r="E17288" s="16" t="n">
        <f aca="false">E17286+E17287</f>
        <v>10.05</v>
      </c>
      <c r="F17288" s="16" t="n">
        <f aca="false">F17286+F17287</f>
        <v>87.6139010989011</v>
      </c>
      <c r="G17288" s="16" t="n">
        <f aca="false">G17286+G17287</f>
        <v>0</v>
      </c>
      <c r="H17288" s="16" t="n">
        <f aca="false">H17286+H17287</f>
        <v>0</v>
      </c>
      <c r="I17288" s="16" t="n">
        <f aca="false">I17286+I17287</f>
        <v>0</v>
      </c>
    </row>
    <row r="17289" customFormat="false" ht="15" hidden="false" customHeight="false" outlineLevel="0" collapsed="false">
      <c r="A17289" s="5" t="s">
        <v>500</v>
      </c>
      <c r="C17289" s="25" t="n">
        <f aca="false">SUM($C$17286:$I$17286)</f>
        <v>20.35</v>
      </c>
    </row>
    <row r="17290" customFormat="false" ht="15" hidden="false" customHeight="false" outlineLevel="0" collapsed="false">
      <c r="A17290" s="5" t="s">
        <v>501</v>
      </c>
      <c r="C17290" s="25" t="n">
        <f aca="false">SUM($C$17287:$I$17287)</f>
        <v>87.6139010989011</v>
      </c>
    </row>
    <row r="17291" customFormat="false" ht="15" hidden="false" customHeight="false" outlineLevel="0" collapsed="false">
      <c r="A17291" s="5" t="s">
        <v>502</v>
      </c>
      <c r="C17291" s="25" t="n">
        <f aca="false">C17289+C17290</f>
        <v>107.963901098901</v>
      </c>
    </row>
    <row r="17292" customFormat="false" ht="15" hidden="false" customHeight="false" outlineLevel="0" collapsed="false">
      <c r="A17292" s="5" t="s">
        <v>503</v>
      </c>
      <c r="C17292" s="25" t="n">
        <f aca="false">C17290-C17199*C17200/100</f>
        <v>9.6139010989011</v>
      </c>
    </row>
    <row r="17293" customFormat="false" ht="15" hidden="false" customHeight="false" outlineLevel="0" collapsed="false">
      <c r="A17293" s="5" t="s">
        <v>504</v>
      </c>
      <c r="C17293" s="25" t="n">
        <f aca="false">C17291-C17201</f>
        <v>29.5739010989011</v>
      </c>
    </row>
    <row r="17294" customFormat="false" ht="15" hidden="false" customHeight="false" outlineLevel="0" collapsed="false">
      <c r="A17294" s="2" t="s">
        <v>385</v>
      </c>
      <c r="C17294" s="43" t="n">
        <f aca="false">C17291/C17201</f>
        <v>1.37726624695626</v>
      </c>
    </row>
    <row r="17295" customFormat="false" ht="15" hidden="false" customHeight="false" outlineLevel="0" collapsed="false">
      <c r="A17295" s="2" t="s">
        <v>384</v>
      </c>
      <c r="C17295" s="41" t="n">
        <f aca="false">IF(C17291&lt;=0,-1,IFERROR(IRR($C$17288:$I$17288,MAX(-0.9,C17294^(1/C17282)-1)),IRR($C$17288:$I$17288,0.1)))</f>
        <v>0.126292592030231</v>
      </c>
    </row>
    <row r="17296" customFormat="false" ht="15" hidden="false" customHeight="false" outlineLevel="0" collapsed="false">
      <c r="A17296" s="5" t="s">
        <v>505</v>
      </c>
      <c r="C17296" s="31" t="n">
        <f aca="false">MAX($G$17090:$K$17090)</f>
        <v>7.86221186221186</v>
      </c>
    </row>
    <row r="17297" customFormat="false" ht="15" hidden="false" customHeight="false" outlineLevel="0" collapsed="false">
      <c r="A17297" s="5" t="s">
        <v>506</v>
      </c>
      <c r="C17297" s="31" t="n">
        <f aca="false">MIN($G$17091:$K$17091)</f>
        <v>1.21473661783139</v>
      </c>
    </row>
    <row r="17298" customFormat="false" ht="15" hidden="false" customHeight="false" outlineLevel="0" collapsed="false">
      <c r="A17298" s="5" t="s">
        <v>507</v>
      </c>
      <c r="C17298" s="25" t="n">
        <f aca="false">SUM($G$16980:$K$16980)</f>
        <v>-46.97594467624</v>
      </c>
    </row>
    <row r="17302" customFormat="false" ht="15" hidden="false" customHeight="false" outlineLevel="0" collapsed="false">
      <c r="A17302" s="9" t="s">
        <v>675</v>
      </c>
      <c r="B17302" s="10"/>
      <c r="C17302" s="10"/>
      <c r="D17302" s="10"/>
      <c r="E17302" s="10"/>
      <c r="F17302" s="10"/>
      <c r="G17302" s="10"/>
      <c r="H17302" s="10"/>
      <c r="I17302" s="10"/>
      <c r="J17302" s="10"/>
      <c r="K17302" s="10"/>
    </row>
    <row r="17303" customFormat="false" ht="15" hidden="false" customHeight="false" outlineLevel="0" collapsed="false">
      <c r="A17303" s="5" t="s">
        <v>622</v>
      </c>
      <c r="C17303" s="11" t="n">
        <v>1</v>
      </c>
    </row>
    <row r="17304" customFormat="false" ht="15" hidden="false" customHeight="false" outlineLevel="0" collapsed="false">
      <c r="A17304" s="5" t="s">
        <v>623</v>
      </c>
      <c r="C17304" s="18" t="n">
        <v>0</v>
      </c>
    </row>
    <row r="17305" customFormat="false" ht="15" hidden="false" customHeight="false" outlineLevel="0" collapsed="false">
      <c r="A17305" s="5" t="s">
        <v>624</v>
      </c>
      <c r="C17305" s="18" t="n">
        <v>0</v>
      </c>
    </row>
    <row r="17306" customFormat="false" ht="15" hidden="false" customHeight="false" outlineLevel="0" collapsed="false">
      <c r="A17306" s="5" t="s">
        <v>625</v>
      </c>
      <c r="C17306" s="18" t="n">
        <v>0</v>
      </c>
    </row>
    <row r="17307" customFormat="false" ht="15" hidden="false" customHeight="false" outlineLevel="0" collapsed="false">
      <c r="A17307" s="5" t="s">
        <v>626</v>
      </c>
      <c r="C17307" s="32" t="n">
        <f aca="false">Sensitivities!$A$61</f>
        <v>-1</v>
      </c>
    </row>
    <row r="17309" customFormat="false" ht="15" hidden="false" customHeight="false" outlineLevel="0" collapsed="false">
      <c r="A17309" s="23" t="s">
        <v>237</v>
      </c>
      <c r="B17309" s="24"/>
      <c r="C17309" s="24"/>
      <c r="D17309" s="24"/>
      <c r="E17309" s="24"/>
      <c r="F17309" s="24"/>
      <c r="G17309" s="24"/>
      <c r="H17309" s="24"/>
      <c r="I17309" s="24"/>
      <c r="J17309" s="24"/>
      <c r="K17309" s="24"/>
    </row>
    <row r="17310" customFormat="false" ht="15" hidden="false" customHeight="false" outlineLevel="0" collapsed="false">
      <c r="A17310" s="5" t="s">
        <v>238</v>
      </c>
      <c r="F17310" s="26" t="n">
        <f aca="false">Assumptions!$C$6</f>
        <v>2025</v>
      </c>
      <c r="G17310" s="20" t="n">
        <f aca="false">F17310+1</f>
        <v>2026</v>
      </c>
      <c r="H17310" s="20" t="n">
        <f aca="false">G17310+1</f>
        <v>2027</v>
      </c>
      <c r="I17310" s="20" t="n">
        <f aca="false">H17310+1</f>
        <v>2028</v>
      </c>
      <c r="J17310" s="20" t="n">
        <f aca="false">I17310+1</f>
        <v>2029</v>
      </c>
      <c r="K17310" s="20" t="n">
        <f aca="false">J17310+1</f>
        <v>2030</v>
      </c>
    </row>
    <row r="17311" customFormat="false" ht="15" hidden="false" customHeight="false" outlineLevel="0" collapsed="false">
      <c r="A17311" s="5" t="s">
        <v>239</v>
      </c>
      <c r="G17311" s="20" t="n">
        <f aca="false">G17310-Assumptions!$C$6</f>
        <v>1</v>
      </c>
      <c r="H17311" s="20" t="n">
        <f aca="false">H17310-Assumptions!$C$6</f>
        <v>2</v>
      </c>
      <c r="I17311" s="20" t="n">
        <f aca="false">I17310-Assumptions!$C$6</f>
        <v>3</v>
      </c>
      <c r="J17311" s="20" t="n">
        <f aca="false">J17310-Assumptions!$C$6</f>
        <v>4</v>
      </c>
      <c r="K17311" s="20" t="n">
        <f aca="false">K17310-Assumptions!$C$6</f>
        <v>5</v>
      </c>
    </row>
    <row r="17312" customFormat="false" ht="15" hidden="false" customHeight="false" outlineLevel="0" collapsed="false">
      <c r="A17312" s="5" t="s">
        <v>149</v>
      </c>
      <c r="G17312" s="21" t="n">
        <f aca="false">CHOOSE($C$17303,Assumptions!$G$65,Assumptions!$G$84,Assumptions!$G$103)+$C$17304</f>
        <v>-0.01</v>
      </c>
      <c r="H17312" s="21" t="n">
        <f aca="false">CHOOSE($C$17303,Assumptions!$H$65,Assumptions!$H$84,Assumptions!$H$103)+$C$17304</f>
        <v>-0.01</v>
      </c>
      <c r="I17312" s="21" t="n">
        <f aca="false">CHOOSE($C$17303,Assumptions!$I$65,Assumptions!$I$84,Assumptions!$I$103)+$C$17304</f>
        <v>-0.01</v>
      </c>
      <c r="J17312" s="21" t="n">
        <f aca="false">CHOOSE($C$17303,Assumptions!$J$65,Assumptions!$J$84,Assumptions!$J$103)+$C$17304</f>
        <v>-0.01</v>
      </c>
      <c r="K17312" s="21" t="n">
        <f aca="false">CHOOSE($C$17303,Assumptions!$K$65,Assumptions!$K$84,Assumptions!$K$103)+$C$17304</f>
        <v>-0.01</v>
      </c>
    </row>
    <row r="17313" customFormat="false" ht="15" hidden="false" customHeight="false" outlineLevel="0" collapsed="false">
      <c r="A17313" s="5" t="s">
        <v>150</v>
      </c>
      <c r="G17313" s="21" t="n">
        <f aca="false">CHOOSE($C$17303,Assumptions!$G$66,Assumptions!$G$85,Assumptions!$G$104)</f>
        <v>0.36</v>
      </c>
      <c r="H17313" s="21" t="n">
        <f aca="false">CHOOSE($C$17303,Assumptions!$H$66,Assumptions!$H$85,Assumptions!$H$104)</f>
        <v>0.362</v>
      </c>
      <c r="I17313" s="21" t="n">
        <f aca="false">CHOOSE($C$17303,Assumptions!$I$66,Assumptions!$I$85,Assumptions!$I$104)</f>
        <v>0.364</v>
      </c>
      <c r="J17313" s="21" t="n">
        <f aca="false">CHOOSE($C$17303,Assumptions!$J$66,Assumptions!$J$85,Assumptions!$J$104)</f>
        <v>0.366</v>
      </c>
      <c r="K17313" s="21" t="n">
        <f aca="false">CHOOSE($C$17303,Assumptions!$K$66,Assumptions!$K$85,Assumptions!$K$104)</f>
        <v>0.368</v>
      </c>
    </row>
    <row r="17314" customFormat="false" ht="15" hidden="false" customHeight="false" outlineLevel="0" collapsed="false">
      <c r="A17314" s="5" t="s">
        <v>151</v>
      </c>
      <c r="G17314" s="21" t="n">
        <f aca="false">CHOOSE($C$17303,Assumptions!$G$67,Assumptions!$G$86,Assumptions!$G$105)+$C$17305</f>
        <v>0.065</v>
      </c>
      <c r="H17314" s="21" t="n">
        <f aca="false">CHOOSE($C$17303,Assumptions!$H$67,Assumptions!$H$86,Assumptions!$H$105)+$C$17305</f>
        <v>0.067</v>
      </c>
      <c r="I17314" s="21" t="n">
        <f aca="false">CHOOSE($C$17303,Assumptions!$I$67,Assumptions!$I$86,Assumptions!$I$105)+$C$17305</f>
        <v>0.069</v>
      </c>
      <c r="J17314" s="21" t="n">
        <f aca="false">CHOOSE($C$17303,Assumptions!$J$67,Assumptions!$J$86,Assumptions!$J$105)+$C$17305</f>
        <v>0.071</v>
      </c>
      <c r="K17314" s="21" t="n">
        <f aca="false">CHOOSE($C$17303,Assumptions!$K$67,Assumptions!$K$86,Assumptions!$K$105)+$C$17305</f>
        <v>0.073</v>
      </c>
    </row>
    <row r="17315" customFormat="false" ht="15" hidden="false" customHeight="false" outlineLevel="0" collapsed="false">
      <c r="A17315" s="23" t="s">
        <v>240</v>
      </c>
      <c r="B17315" s="24"/>
      <c r="C17315" s="24"/>
      <c r="D17315" s="24"/>
      <c r="E17315" s="24"/>
      <c r="F17315" s="24"/>
      <c r="G17315" s="24"/>
      <c r="H17315" s="24"/>
      <c r="I17315" s="24"/>
      <c r="J17315" s="24"/>
      <c r="K17315" s="24"/>
    </row>
    <row r="17316" customFormat="false" ht="15" hidden="false" customHeight="false" outlineLevel="0" collapsed="false">
      <c r="A17316" s="2" t="s">
        <v>207</v>
      </c>
      <c r="F17316" s="27" t="n">
        <f aca="false">'Historical Financials'!E17</f>
        <v>2400</v>
      </c>
      <c r="G17316" s="16" t="n">
        <f aca="false">F17316*(1+G17312)</f>
        <v>2376</v>
      </c>
      <c r="H17316" s="16" t="n">
        <f aca="false">G17316*(1+H17312)</f>
        <v>2352.24</v>
      </c>
      <c r="I17316" s="16" t="n">
        <f aca="false">H17316*(1+I17312)</f>
        <v>2328.7176</v>
      </c>
      <c r="J17316" s="16" t="n">
        <f aca="false">I17316*(1+J17312)</f>
        <v>2305.430424</v>
      </c>
      <c r="K17316" s="16" t="n">
        <f aca="false">J17316*(1+K17312)</f>
        <v>2282.37611976</v>
      </c>
    </row>
    <row r="17317" customFormat="false" ht="15" hidden="false" customHeight="false" outlineLevel="0" collapsed="false">
      <c r="A17317" s="5" t="s">
        <v>217</v>
      </c>
      <c r="G17317" s="25" t="n">
        <f aca="false">G17316*(1-G17313)</f>
        <v>1520.64</v>
      </c>
      <c r="H17317" s="25" t="n">
        <f aca="false">H17316*(1-H17313)</f>
        <v>1500.72912</v>
      </c>
      <c r="I17317" s="25" t="n">
        <f aca="false">I17316*(1-I17313)</f>
        <v>1481.0643936</v>
      </c>
      <c r="J17317" s="25" t="n">
        <f aca="false">J17316*(1-J17313)</f>
        <v>1461.642888816</v>
      </c>
      <c r="K17317" s="25" t="n">
        <f aca="false">K17316*(1-K17313)</f>
        <v>1442.46170768832</v>
      </c>
    </row>
    <row r="17318" customFormat="false" ht="15" hidden="false" customHeight="false" outlineLevel="0" collapsed="false">
      <c r="A17318" s="2" t="s">
        <v>218</v>
      </c>
      <c r="G17318" s="16" t="n">
        <f aca="false">G17316-G17317</f>
        <v>855.36</v>
      </c>
      <c r="H17318" s="16" t="n">
        <f aca="false">H17316-H17317</f>
        <v>851.51088</v>
      </c>
      <c r="I17318" s="16" t="n">
        <f aca="false">I17316-I17317</f>
        <v>847.6532064</v>
      </c>
      <c r="J17318" s="16" t="n">
        <f aca="false">J17316-J17317</f>
        <v>843.787535184</v>
      </c>
      <c r="K17318" s="16" t="n">
        <f aca="false">K17316-K17317</f>
        <v>839.91441207168</v>
      </c>
    </row>
    <row r="17319" customFormat="false" ht="15" hidden="false" customHeight="false" outlineLevel="0" collapsed="false">
      <c r="A17319" s="5" t="s">
        <v>241</v>
      </c>
      <c r="G17319" s="25" t="n">
        <f aca="false">G17318-G17320</f>
        <v>700.92</v>
      </c>
      <c r="H17319" s="25" t="n">
        <f aca="false">H17318-H17320</f>
        <v>693.9108</v>
      </c>
      <c r="I17319" s="25" t="n">
        <f aca="false">I17318-I17320</f>
        <v>686.971692</v>
      </c>
      <c r="J17319" s="25" t="n">
        <f aca="false">J17318-J17320</f>
        <v>680.10197508</v>
      </c>
      <c r="K17319" s="25" t="n">
        <f aca="false">K17318-K17320</f>
        <v>673.3009553292</v>
      </c>
    </row>
    <row r="17320" customFormat="false" ht="15" hidden="false" customHeight="false" outlineLevel="0" collapsed="false">
      <c r="A17320" s="2" t="s">
        <v>242</v>
      </c>
      <c r="G17320" s="16" t="n">
        <f aca="false">G17316*G17314</f>
        <v>154.44</v>
      </c>
      <c r="H17320" s="16" t="n">
        <f aca="false">H17316*H17314</f>
        <v>157.60008</v>
      </c>
      <c r="I17320" s="16" t="n">
        <f aca="false">I17316*I17314</f>
        <v>160.6815144</v>
      </c>
      <c r="J17320" s="16" t="n">
        <f aca="false">J17316*J17314</f>
        <v>163.685560104</v>
      </c>
      <c r="K17320" s="16" t="n">
        <f aca="false">K17316*K17314</f>
        <v>166.61345674248</v>
      </c>
    </row>
    <row r="17321" customFormat="false" ht="15" hidden="false" customHeight="false" outlineLevel="0" collapsed="false">
      <c r="A17321" s="5" t="s">
        <v>243</v>
      </c>
      <c r="G17321" s="25" t="n">
        <f aca="false">G17316*'Historical Financials'!E22/'Historical Financials'!E17</f>
        <v>52.272</v>
      </c>
      <c r="H17321" s="25" t="n">
        <f aca="false">H17316*'Historical Financials'!E22/'Historical Financials'!E17</f>
        <v>51.74928</v>
      </c>
      <c r="I17321" s="25" t="n">
        <f aca="false">I17316*'Historical Financials'!E22/'Historical Financials'!E17</f>
        <v>51.2317872</v>
      </c>
      <c r="J17321" s="25" t="n">
        <f aca="false">J17316*'Historical Financials'!E22/'Historical Financials'!E17</f>
        <v>50.719469328</v>
      </c>
      <c r="K17321" s="25" t="n">
        <f aca="false">K17316*'Historical Financials'!E22/'Historical Financials'!E17</f>
        <v>50.21227463472</v>
      </c>
    </row>
    <row r="17322" customFormat="false" ht="15" hidden="false" customHeight="false" outlineLevel="0" collapsed="false">
      <c r="A17322" s="5" t="s">
        <v>244</v>
      </c>
      <c r="G17322" s="25" t="n">
        <f aca="false">G17316*'Historical Financials'!E23/'Historical Financials'!E17</f>
        <v>0</v>
      </c>
      <c r="H17322" s="25" t="n">
        <f aca="false">H17316*'Historical Financials'!E23/'Historical Financials'!E17</f>
        <v>0</v>
      </c>
      <c r="I17322" s="25" t="n">
        <f aca="false">I17316*'Historical Financials'!E23/'Historical Financials'!E17</f>
        <v>0</v>
      </c>
      <c r="J17322" s="25" t="n">
        <f aca="false">J17316*'Historical Financials'!E23/'Historical Financials'!E17</f>
        <v>0</v>
      </c>
      <c r="K17322" s="25" t="n">
        <f aca="false">K17316*'Historical Financials'!E23/'Historical Financials'!E17</f>
        <v>0</v>
      </c>
    </row>
    <row r="17323" customFormat="false" ht="15" hidden="false" customHeight="false" outlineLevel="0" collapsed="false">
      <c r="A17323" s="2" t="s">
        <v>245</v>
      </c>
      <c r="G17323" s="16" t="n">
        <f aca="false">G17320-G17321-G17322</f>
        <v>102.168</v>
      </c>
      <c r="H17323" s="16" t="n">
        <f aca="false">H17320-H17321-H17322</f>
        <v>105.8508</v>
      </c>
      <c r="I17323" s="16" t="n">
        <f aca="false">I17320-I17321-I17322</f>
        <v>109.4497272</v>
      </c>
      <c r="J17323" s="16" t="n">
        <f aca="false">J17320-J17321-J17322</f>
        <v>112.966090776</v>
      </c>
      <c r="K17323" s="16" t="n">
        <f aca="false">K17320-K17321-K17322</f>
        <v>116.40118210776</v>
      </c>
    </row>
    <row r="17324" customFormat="false" ht="15" hidden="false" customHeight="false" outlineLevel="0" collapsed="false">
      <c r="A17324" s="5" t="s">
        <v>246</v>
      </c>
      <c r="G17324" s="25" t="n">
        <f aca="false">G17350+G17363+G17376+G17389</f>
        <v>119.04</v>
      </c>
      <c r="H17324" s="25" t="n">
        <f aca="false">H17350+H17363+H17376+H17389</f>
        <v>114.21564</v>
      </c>
      <c r="I17324" s="25" t="n">
        <f aca="false">I17350+I17363+I17376+I17389</f>
        <v>126.8792</v>
      </c>
      <c r="J17324" s="25" t="n">
        <f aca="false">J17350+J17363+J17376+J17389</f>
        <v>134.749836056</v>
      </c>
      <c r="K17324" s="25" t="n">
        <f aca="false">K17350+K17363+K17376+K17389</f>
        <v>136.33146262032</v>
      </c>
    </row>
    <row r="17325" customFormat="false" ht="15" hidden="false" customHeight="false" outlineLevel="0" collapsed="false">
      <c r="A17325" s="5" t="s">
        <v>247</v>
      </c>
      <c r="G17325" s="25" t="n">
        <f aca="false">G17351+G17364+G17377+G17390</f>
        <v>0</v>
      </c>
      <c r="H17325" s="25" t="n">
        <f aca="false">H17351+H17364+H17377+H17390</f>
        <v>0</v>
      </c>
      <c r="I17325" s="25" t="n">
        <f aca="false">I17351+I17364+I17377+I17390</f>
        <v>0</v>
      </c>
      <c r="J17325" s="25" t="n">
        <f aca="false">J17351+J17364+J17377+J17390</f>
        <v>0</v>
      </c>
      <c r="K17325" s="25" t="n">
        <f aca="false">K17351+K17364+K17377+K17390</f>
        <v>0</v>
      </c>
    </row>
    <row r="17326" customFormat="false" ht="15" hidden="false" customHeight="false" outlineLevel="0" collapsed="false">
      <c r="A17326" s="5" t="s">
        <v>212</v>
      </c>
      <c r="G17326" s="25" t="n">
        <f aca="false">G17324+G17325</f>
        <v>119.04</v>
      </c>
      <c r="H17326" s="25" t="n">
        <f aca="false">H17324+H17325</f>
        <v>114.21564</v>
      </c>
      <c r="I17326" s="25" t="n">
        <f aca="false">I17324+I17325</f>
        <v>126.8792</v>
      </c>
      <c r="J17326" s="25" t="n">
        <f aca="false">J17324+J17325</f>
        <v>134.749836056</v>
      </c>
      <c r="K17326" s="25" t="n">
        <f aca="false">K17324+K17325</f>
        <v>136.33146262032</v>
      </c>
    </row>
    <row r="17327" customFormat="false" ht="15" hidden="false" customHeight="false" outlineLevel="0" collapsed="false">
      <c r="A17327" s="2" t="s">
        <v>223</v>
      </c>
      <c r="G17327" s="16" t="n">
        <f aca="false">G17323-G17326</f>
        <v>-16.872</v>
      </c>
      <c r="H17327" s="16" t="n">
        <f aca="false">H17323-H17326</f>
        <v>-8.36484</v>
      </c>
      <c r="I17327" s="16" t="n">
        <f aca="false">I17323-I17326</f>
        <v>-17.4294728</v>
      </c>
      <c r="J17327" s="16" t="n">
        <f aca="false">J17323-J17326</f>
        <v>-21.78374528</v>
      </c>
      <c r="K17327" s="16" t="n">
        <f aca="false">K17323-K17326</f>
        <v>-19.93028051256</v>
      </c>
    </row>
    <row r="17328" customFormat="false" ht="15" hidden="false" customHeight="false" outlineLevel="0" collapsed="false">
      <c r="A17328" s="5" t="s">
        <v>213</v>
      </c>
      <c r="G17328" s="25" t="n">
        <f aca="false">MAX(0,G17327)*Assumptions!$C$9</f>
        <v>0</v>
      </c>
      <c r="H17328" s="25" t="n">
        <f aca="false">MAX(0,H17327)*Assumptions!$C$9</f>
        <v>0</v>
      </c>
      <c r="I17328" s="25" t="n">
        <f aca="false">MAX(0,I17327)*Assumptions!$C$9</f>
        <v>0</v>
      </c>
      <c r="J17328" s="25" t="n">
        <f aca="false">MAX(0,J17327)*Assumptions!$C$9</f>
        <v>0</v>
      </c>
      <c r="K17328" s="25" t="n">
        <f aca="false">MAX(0,K17327)*Assumptions!$C$9</f>
        <v>0</v>
      </c>
    </row>
    <row r="17329" customFormat="false" ht="15" hidden="false" customHeight="false" outlineLevel="0" collapsed="false">
      <c r="A17329" s="2" t="s">
        <v>248</v>
      </c>
      <c r="G17329" s="16" t="n">
        <f aca="false">G17327-G17328</f>
        <v>-16.872</v>
      </c>
      <c r="H17329" s="16" t="n">
        <f aca="false">H17327-H17328</f>
        <v>-8.36484</v>
      </c>
      <c r="I17329" s="16" t="n">
        <f aca="false">I17327-I17328</f>
        <v>-17.4294728</v>
      </c>
      <c r="J17329" s="16" t="n">
        <f aca="false">J17327-J17328</f>
        <v>-21.78374528</v>
      </c>
      <c r="K17329" s="16" t="n">
        <f aca="false">K17327-K17328</f>
        <v>-19.93028051256</v>
      </c>
    </row>
    <row r="17330" customFormat="false" ht="15" hidden="false" customHeight="false" outlineLevel="0" collapsed="false">
      <c r="A17330" s="23" t="s">
        <v>249</v>
      </c>
      <c r="B17330" s="24"/>
      <c r="C17330" s="24"/>
      <c r="D17330" s="24"/>
      <c r="E17330" s="24"/>
      <c r="F17330" s="24"/>
      <c r="G17330" s="24"/>
      <c r="H17330" s="24"/>
      <c r="I17330" s="24"/>
      <c r="J17330" s="24"/>
      <c r="K17330" s="24"/>
    </row>
    <row r="17331" customFormat="false" ht="15" hidden="false" customHeight="false" outlineLevel="0" collapsed="false">
      <c r="A17331" s="5" t="s">
        <v>153</v>
      </c>
      <c r="G17331" s="25" t="n">
        <f aca="false">G17316*CHOOSE($C$17303,Assumptions!$C$69,Assumptions!$C$88,Assumptions!$C$107)</f>
        <v>47.52</v>
      </c>
      <c r="H17331" s="25" t="n">
        <f aca="false">H17316*CHOOSE($C$17303,Assumptions!$C$69,Assumptions!$C$88,Assumptions!$C$107)</f>
        <v>47.0448</v>
      </c>
      <c r="I17331" s="25" t="n">
        <f aca="false">I17316*CHOOSE($C$17303,Assumptions!$C$69,Assumptions!$C$88,Assumptions!$C$107)</f>
        <v>46.574352</v>
      </c>
      <c r="J17331" s="25" t="n">
        <f aca="false">J17316*CHOOSE($C$17303,Assumptions!$C$69,Assumptions!$C$88,Assumptions!$C$107)</f>
        <v>46.10860848</v>
      </c>
      <c r="K17331" s="25" t="n">
        <f aca="false">K17316*CHOOSE($C$17303,Assumptions!$C$69,Assumptions!$C$88,Assumptions!$C$107)</f>
        <v>45.6475223952</v>
      </c>
    </row>
    <row r="17332" customFormat="false" ht="15" hidden="false" customHeight="false" outlineLevel="0" collapsed="false">
      <c r="A17332" s="5" t="s">
        <v>250</v>
      </c>
      <c r="G17332" s="25" t="n">
        <f aca="false">CHOOSE($C$17303,Assumptions!$C$70,Assumptions!$C$89,Assumptions!$C$108)*(G17316-F17316)+CHOOSE($C$17303,Assumptions!$C$71,Assumptions!$C$90,Assumptions!$C$109)*G17316</f>
        <v>-2.88</v>
      </c>
      <c r="H17332" s="25" t="n">
        <f aca="false">CHOOSE($C$17303,Assumptions!$C$70,Assumptions!$C$89,Assumptions!$C$108)*(H17316-G17316)+CHOOSE($C$17303,Assumptions!$C$71,Assumptions!$C$90,Assumptions!$C$109)*H17316</f>
        <v>-2.85120000000003</v>
      </c>
      <c r="I17332" s="25" t="n">
        <f aca="false">CHOOSE($C$17303,Assumptions!$C$70,Assumptions!$C$89,Assumptions!$C$108)*(I17316-H17316)+CHOOSE($C$17303,Assumptions!$C$71,Assumptions!$C$90,Assumptions!$C$109)*I17316</f>
        <v>-2.82268799999998</v>
      </c>
      <c r="J17332" s="25" t="n">
        <f aca="false">CHOOSE($C$17303,Assumptions!$C$70,Assumptions!$C$89,Assumptions!$C$108)*(J17316-I17316)+CHOOSE($C$17303,Assumptions!$C$71,Assumptions!$C$90,Assumptions!$C$109)*J17316</f>
        <v>-2.79446111999998</v>
      </c>
      <c r="K17332" s="25" t="n">
        <f aca="false">CHOOSE($C$17303,Assumptions!$C$70,Assumptions!$C$89,Assumptions!$C$108)*(K17316-J17316)+CHOOSE($C$17303,Assumptions!$C$71,Assumptions!$C$90,Assumptions!$C$109)*K17316</f>
        <v>-2.7665165088</v>
      </c>
    </row>
    <row r="17333" customFormat="false" ht="15" hidden="false" customHeight="false" outlineLevel="0" collapsed="false">
      <c r="A17333" s="2" t="s">
        <v>251</v>
      </c>
      <c r="G17333" s="16" t="n">
        <f aca="false">G17329+G17321+G17322+G17325-G17331-G17332</f>
        <v>-9.24000000000001</v>
      </c>
      <c r="H17333" s="16" t="n">
        <f aca="false">H17329+H17321+H17322+H17325-H17331-H17332</f>
        <v>-0.809159999999978</v>
      </c>
      <c r="I17333" s="16" t="n">
        <f aca="false">I17329+I17321+I17322+I17325-I17331-I17332</f>
        <v>-9.94934960000002</v>
      </c>
      <c r="J17333" s="16" t="n">
        <f aca="false">J17329+J17321+J17322+J17325-J17331-J17332</f>
        <v>-14.378423312</v>
      </c>
      <c r="K17333" s="16" t="n">
        <f aca="false">K17329+K17321+K17322+K17325-K17331-K17332</f>
        <v>-12.59901176424</v>
      </c>
    </row>
    <row r="17335" customFormat="false" ht="15" hidden="false" customHeight="false" outlineLevel="0" collapsed="false">
      <c r="A17335" s="23" t="s">
        <v>253</v>
      </c>
      <c r="B17335" s="24"/>
      <c r="C17335" s="24"/>
      <c r="D17335" s="24"/>
      <c r="E17335" s="24"/>
      <c r="F17335" s="24"/>
      <c r="G17335" s="24"/>
      <c r="H17335" s="24"/>
      <c r="I17335" s="24"/>
      <c r="J17335" s="24"/>
      <c r="K17335" s="24"/>
    </row>
    <row r="17336" customFormat="false" ht="15" hidden="false" customHeight="false" outlineLevel="0" collapsed="false">
      <c r="A17336" s="5" t="s">
        <v>254</v>
      </c>
      <c r="G17336" s="29" t="n">
        <f aca="false">Assumptions!$G$49</f>
        <v>0.0425</v>
      </c>
      <c r="H17336" s="29" t="n">
        <f aca="false">Assumptions!$H$49</f>
        <v>0.04</v>
      </c>
      <c r="I17336" s="29" t="n">
        <f aca="false">Assumptions!$I$49</f>
        <v>0.0375</v>
      </c>
      <c r="J17336" s="29" t="n">
        <f aca="false">Assumptions!$J$49</f>
        <v>0.0375</v>
      </c>
      <c r="K17336" s="29" t="n">
        <f aca="false">Assumptions!$K$49</f>
        <v>0.0375</v>
      </c>
    </row>
    <row r="17337" customFormat="false" ht="15" hidden="false" customHeight="false" outlineLevel="0" collapsed="false">
      <c r="A17337" s="5" t="s">
        <v>255</v>
      </c>
      <c r="C17337" s="30" t="n">
        <f aca="false">CHOOSE($C$17303,Assumptions!$C$72,Assumptions!$C$91,Assumptions!$C$110)+$C$17306</f>
        <v>0</v>
      </c>
    </row>
    <row r="17338" customFormat="false" ht="15" hidden="false" customHeight="false" outlineLevel="0" collapsed="false">
      <c r="A17338" s="5" t="s">
        <v>256</v>
      </c>
      <c r="C17338" s="30" t="n">
        <f aca="false">CHOOSE($C$17303,Assumptions!$C$73,Assumptions!$C$92,Assumptions!$C$111)</f>
        <v>0.11</v>
      </c>
    </row>
    <row r="17339" customFormat="false" ht="15" hidden="false" customHeight="false" outlineLevel="0" collapsed="false">
      <c r="A17339" s="5" t="s">
        <v>257</v>
      </c>
      <c r="C17339" s="31" t="n">
        <f aca="false">CHOOSE($C$17303,Assumptions!$C$74,Assumptions!$C$93,Assumptions!$C$112)</f>
        <v>8.5</v>
      </c>
    </row>
    <row r="17340" customFormat="false" ht="15" hidden="false" customHeight="false" outlineLevel="0" collapsed="false">
      <c r="A17340" s="5" t="s">
        <v>258</v>
      </c>
      <c r="C17340" s="31" t="n">
        <f aca="false">CHOOSE($C$17303,Assumptions!$C$75,Assumptions!$C$94,Assumptions!$C$113)</f>
        <v>1.2</v>
      </c>
    </row>
    <row r="17341" customFormat="false" ht="15" hidden="false" customHeight="false" outlineLevel="0" collapsed="false">
      <c r="A17341" s="5" t="s">
        <v>259</v>
      </c>
      <c r="G17341" s="25" t="n">
        <f aca="false">G17346+G17359+G17372+G17385</f>
        <v>1250</v>
      </c>
      <c r="H17341" s="25" t="n">
        <f aca="false">H17346+H17359+H17372+H17385</f>
        <v>1214.24</v>
      </c>
      <c r="I17341" s="25" t="n">
        <f aca="false">I17346+I17359+I17372+I17385</f>
        <v>1209.04</v>
      </c>
      <c r="J17341" s="25" t="n">
        <f aca="false">J17346+J17359+J17372+J17385</f>
        <v>1224.9985096</v>
      </c>
      <c r="K17341" s="25" t="n">
        <f aca="false">K17346+K17359+K17372+K17385</f>
        <v>1239.376932912</v>
      </c>
    </row>
    <row r="17342" customFormat="false" ht="15" hidden="false" customHeight="false" outlineLevel="0" collapsed="false">
      <c r="A17342" s="5" t="s">
        <v>260</v>
      </c>
      <c r="G17342" s="25" t="n">
        <f aca="false">F17432</f>
        <v>45</v>
      </c>
      <c r="H17342" s="25" t="n">
        <f aca="false">G17432</f>
        <v>0</v>
      </c>
      <c r="I17342" s="25" t="n">
        <f aca="false">H17432</f>
        <v>-6.00915999999998</v>
      </c>
      <c r="J17342" s="25" t="n">
        <f aca="false">I17432</f>
        <v>0</v>
      </c>
      <c r="K17342" s="25" t="n">
        <f aca="false">J17432</f>
        <v>0</v>
      </c>
    </row>
    <row r="17343" customFormat="false" ht="15" hidden="false" customHeight="false" outlineLevel="0" collapsed="false">
      <c r="A17343" s="5" t="s">
        <v>261</v>
      </c>
      <c r="G17343" s="25" t="n">
        <f aca="false">G17346*IF(G17347=1,$C$17338,IF(Assumptions!$I$53=1,MAX(G17336,Assumptions!$G$53)+Assumptions!$F$53+$C$17337,Assumptions!$E$53))+G17359*IF(G17360=1,$C$17338,IF(Assumptions!$I$54=1,MAX(G17336,Assumptions!$G$54)+Assumptions!$F$54+$C$17337,Assumptions!$E$54))+G17372*IF(G17373=1,$C$17338,IF(Assumptions!$I$55=1,MAX(G17336,Assumptions!$G$55)+Assumptions!$F$55+$C$17337,Assumptions!$E$55))+G17385*IF(G17386=1,$C$17338,IF(Assumptions!$I$56=1,MAX(G17336,Assumptions!$G$56)+Assumptions!$F$56+$C$17337,Assumptions!$E$56))</f>
        <v>119.04</v>
      </c>
      <c r="H17343" s="25" t="n">
        <f aca="false">H17346*IF(OR(H17347=1,G17498=1),$C$17338,IF(Assumptions!$I$53=1,MAX(H17336,Assumptions!$G$53)+Assumptions!$F$53+$C$17337,Assumptions!$E$53))+H17359*IF(OR(H17360=1,G17499=1),$C$17338,IF(Assumptions!$I$54=1,MAX(H17336,Assumptions!$G$54)+Assumptions!$F$54+$C$17337,Assumptions!$E$54))+H17372*IF(OR(H17373=1,G17500=1),$C$17338,IF(Assumptions!$I$55=1,MAX(H17336,Assumptions!$G$55)+Assumptions!$F$55+$C$17337,Assumptions!$E$55))+H17385*IF(OR(H17386=1,G17501=1),$C$17338,IF(Assumptions!$I$56=1,MAX(H17336,Assumptions!$G$56)+Assumptions!$F$56+$C$17337,Assumptions!$E$56))</f>
        <v>128.6758</v>
      </c>
      <c r="I17343" s="25" t="n">
        <f aca="false">I17346*IF(OR(I17347=1,H17498=1),$C$17338,IF(Assumptions!$I$53=1,MAX(I17336,Assumptions!$G$53)+Assumptions!$F$53+$C$17337,Assumptions!$E$53))+I17359*IF(OR(I17360=1,H17499=1),$C$17338,IF(Assumptions!$I$54=1,MAX(I17336,Assumptions!$G$54)+Assumptions!$F$54+$C$17337,Assumptions!$E$54))+I17372*IF(OR(I17373=1,H17500=1),$C$17338,IF(Assumptions!$I$55=1,MAX(I17336,Assumptions!$G$55)+Assumptions!$F$55+$C$17337,Assumptions!$E$55))+I17385*IF(OR(I17386=1,H17501=1),$C$17338,IF(Assumptions!$I$56=1,MAX(I17336,Assumptions!$G$56)+Assumptions!$F$56+$C$17337,Assumptions!$E$56))</f>
        <v>132.9944</v>
      </c>
      <c r="J17343" s="25" t="n">
        <f aca="false">J17346*IF(OR(J17347=1,I17498=1),$C$17338,IF(Assumptions!$I$53=1,MAX(J17336,Assumptions!$G$53)+Assumptions!$F$53+$C$17337,Assumptions!$E$53))+J17359*IF(OR(J17360=1,I17499=1),$C$17338,IF(Assumptions!$I$54=1,MAX(J17336,Assumptions!$G$54)+Assumptions!$F$54+$C$17337,Assumptions!$E$54))+J17372*IF(OR(J17373=1,I17500=1),$C$17338,IF(Assumptions!$I$55=1,MAX(J17336,Assumptions!$G$55)+Assumptions!$F$55+$C$17337,Assumptions!$E$55))+J17385*IF(OR(J17386=1,I17501=1),$C$17338,IF(Assumptions!$I$56=1,MAX(J17336,Assumptions!$G$56)+Assumptions!$F$56+$C$17337,Assumptions!$E$56))</f>
        <v>134.749836056</v>
      </c>
      <c r="K17343" s="25" t="n">
        <f aca="false">K17346*IF(OR(K17347=1,J17498=1),$C$17338,IF(Assumptions!$I$53=1,MAX(K17336,Assumptions!$G$53)+Assumptions!$F$53+$C$17337,Assumptions!$E$53))+K17359*IF(OR(K17360=1,J17499=1),$C$17338,IF(Assumptions!$I$54=1,MAX(K17336,Assumptions!$G$54)+Assumptions!$F$54+$C$17337,Assumptions!$E$54))+K17372*IF(OR(K17373=1,J17500=1),$C$17338,IF(Assumptions!$I$55=1,MAX(K17336,Assumptions!$G$55)+Assumptions!$F$55+$C$17337,Assumptions!$E$55))+K17385*IF(OR(K17386=1,J17501=1),$C$17338,IF(Assumptions!$I$56=1,MAX(K17336,Assumptions!$G$56)+Assumptions!$F$56+$C$17337,Assumptions!$E$56))</f>
        <v>136.33146262032</v>
      </c>
    </row>
    <row r="17344" customFormat="false" ht="15" hidden="false" customHeight="false" outlineLevel="0" collapsed="false">
      <c r="A17344" s="5" t="s">
        <v>262</v>
      </c>
      <c r="G17344" s="20" t="n">
        <f aca="false">IF(G17320&lt;=0,0,IF(AND((G17341-G17342)/G17320&lt;=$C$17339,G17320/G17343&gt;=$C$17340),1,0))</f>
        <v>1</v>
      </c>
      <c r="H17344" s="20" t="n">
        <f aca="false">IF(H17320&lt;=0,0,IF(AND((H17341-H17342)/H17320&lt;=$C$17339,H17320/H17343&gt;=$C$17340),1,0))</f>
        <v>1</v>
      </c>
      <c r="I17344" s="20" t="n">
        <f aca="false">IF(I17320&lt;=0,0,IF(AND((I17341-I17342)/I17320&lt;=$C$17339,I17320/I17343&gt;=$C$17340),1,0))</f>
        <v>1</v>
      </c>
      <c r="J17344" s="20" t="n">
        <f aca="false">IF(J17320&lt;=0,0,IF(AND((J17341-J17342)/J17320&lt;=$C$17339,J17320/J17343&gt;=$C$17340),1,0))</f>
        <v>1</v>
      </c>
      <c r="K17344" s="20" t="n">
        <f aca="false">IF(K17320&lt;=0,0,IF(AND((K17341-K17342)/K17320&lt;=$C$17339,K17320/K17343&gt;=$C$17340),1,0))</f>
        <v>1</v>
      </c>
    </row>
    <row r="17345" customFormat="false" ht="15" hidden="false" customHeight="false" outlineLevel="0" collapsed="false">
      <c r="A17345" s="23" t="s">
        <v>263</v>
      </c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</row>
    <row r="17346" customFormat="false" ht="15" hidden="false" customHeight="false" outlineLevel="0" collapsed="false">
      <c r="A17346" s="5" t="s">
        <v>264</v>
      </c>
      <c r="G17346" s="25" t="n">
        <f aca="false">F17357</f>
        <v>180</v>
      </c>
      <c r="H17346" s="25" t="n">
        <f aca="false">G17357</f>
        <v>149.44</v>
      </c>
      <c r="I17346" s="25" t="n">
        <f aca="false">H17357</f>
        <v>149.44</v>
      </c>
      <c r="J17346" s="25" t="n">
        <f aca="false">I17357</f>
        <v>170.5985096</v>
      </c>
      <c r="K17346" s="25" t="n">
        <f aca="false">J17357</f>
        <v>190.176932912</v>
      </c>
    </row>
    <row r="17347" customFormat="false" ht="15" hidden="false" customHeight="false" outlineLevel="0" collapsed="false">
      <c r="A17347" s="5" t="s">
        <v>265</v>
      </c>
      <c r="G17347" s="20" t="n">
        <f aca="false">IF(G17310=Assumptions!$K$53,1,0)</f>
        <v>0</v>
      </c>
      <c r="H17347" s="20" t="n">
        <f aca="false">IF(H17310=Assumptions!$K$53,1,0)</f>
        <v>1</v>
      </c>
      <c r="I17347" s="20" t="n">
        <f aca="false">IF(I17310=Assumptions!$K$53,1,0)</f>
        <v>0</v>
      </c>
      <c r="J17347" s="20" t="n">
        <f aca="false">IF(J17310=Assumptions!$K$53,1,0)</f>
        <v>0</v>
      </c>
      <c r="K17347" s="20" t="n">
        <f aca="false">IF(K17310=Assumptions!$K$53,1,0)</f>
        <v>0</v>
      </c>
    </row>
    <row r="17349" customFormat="false" ht="15" hidden="false" customHeight="false" outlineLevel="0" collapsed="false">
      <c r="A17349" s="5" t="s">
        <v>266</v>
      </c>
      <c r="G17349" s="30" t="n">
        <f aca="false">IF(Assumptions!$I$53=1,MAX(G17336,Assumptions!$G$53)+Assumptions!$F$53+$C$17337,Assumptions!$E$53)</f>
        <v>0.086</v>
      </c>
      <c r="H17349" s="30" t="n">
        <f aca="false">IF(G17498=1,$C$17338,IF(Assumptions!$I$53=1,MAX(H17336,Assumptions!$G$53)+Assumptions!$F$53+$C$17337,Assumptions!$E$53))</f>
        <v>0.0835</v>
      </c>
      <c r="I17349" s="30" t="n">
        <f aca="false">IF(H17498=1,$C$17338,IF(Assumptions!$I$53=1,MAX(I17336,Assumptions!$G$53)+Assumptions!$F$53+$C$17337,Assumptions!$E$53))</f>
        <v>0.11</v>
      </c>
      <c r="J17349" s="30" t="n">
        <f aca="false">IF(I17498=1,$C$17338,IF(Assumptions!$I$53=1,MAX(J17336,Assumptions!$G$53)+Assumptions!$F$53+$C$17337,Assumptions!$E$53))</f>
        <v>0.11</v>
      </c>
      <c r="K17349" s="30" t="n">
        <f aca="false">IF(J17498=1,$C$17338,IF(Assumptions!$I$53=1,MAX(K17336,Assumptions!$G$53)+Assumptions!$F$53+$C$17337,Assumptions!$E$53))</f>
        <v>0.11</v>
      </c>
    </row>
    <row r="17350" customFormat="false" ht="15" hidden="false" customHeight="false" outlineLevel="0" collapsed="false">
      <c r="A17350" s="5" t="s">
        <v>267</v>
      </c>
      <c r="G17350" s="25" t="n">
        <f aca="false">G17346*G17349</f>
        <v>15.48</v>
      </c>
      <c r="H17350" s="25" t="n">
        <f aca="false">H17346*H17349</f>
        <v>12.47824</v>
      </c>
      <c r="I17350" s="25" t="n">
        <f aca="false">I17346*I17349</f>
        <v>16.4384</v>
      </c>
      <c r="J17350" s="25" t="n">
        <f aca="false">J17346*J17349</f>
        <v>18.765836056</v>
      </c>
      <c r="K17350" s="25" t="n">
        <f aca="false">K17346*K17349</f>
        <v>20.91946262032</v>
      </c>
    </row>
    <row r="17351" customFormat="false" ht="15" hidden="false" customHeight="false" outlineLevel="0" collapsed="false">
      <c r="A17351" s="5" t="s">
        <v>268</v>
      </c>
      <c r="G17351" s="25" t="n">
        <f aca="false">G17346*Assumptions!$H$53</f>
        <v>0</v>
      </c>
      <c r="H17351" s="25" t="n">
        <f aca="false">H17346*Assumptions!$H$53</f>
        <v>0</v>
      </c>
      <c r="I17351" s="25" t="n">
        <f aca="false">I17346*Assumptions!$H$53</f>
        <v>0</v>
      </c>
      <c r="J17351" s="25" t="n">
        <f aca="false">J17346*Assumptions!$H$53</f>
        <v>0</v>
      </c>
      <c r="K17351" s="25" t="n">
        <f aca="false">K17346*Assumptions!$H$53</f>
        <v>0</v>
      </c>
    </row>
    <row r="17352" customFormat="false" ht="15" hidden="false" customHeight="false" outlineLevel="0" collapsed="false">
      <c r="A17352" s="5" t="s">
        <v>269</v>
      </c>
      <c r="G17352" s="25" t="n">
        <f aca="false">MIN(G17346,Assumptions!$L$53*Assumptions!$C$53)</f>
        <v>0</v>
      </c>
      <c r="H17352" s="25" t="n">
        <f aca="false">MIN(H17346,Assumptions!$L$53*Assumptions!$C$53)</f>
        <v>0</v>
      </c>
      <c r="I17352" s="25" t="n">
        <f aca="false">MIN(I17346,Assumptions!$L$53*Assumptions!$C$53)</f>
        <v>0</v>
      </c>
      <c r="J17352" s="25" t="n">
        <f aca="false">MIN(J17346,Assumptions!$L$53*Assumptions!$C$53)</f>
        <v>0</v>
      </c>
      <c r="K17352" s="25" t="n">
        <f aca="false">MIN(K17346,Assumptions!$L$53*Assumptions!$C$53)</f>
        <v>0</v>
      </c>
    </row>
    <row r="17353" customFormat="false" ht="15" hidden="false" customHeight="false" outlineLevel="0" collapsed="false">
      <c r="A17353" s="5" t="s">
        <v>270</v>
      </c>
      <c r="G17353" s="25" t="n">
        <f aca="false">IF(AND(Assumptions!$P$53=1,G17310&lt;Assumptions!$K$53),MIN(MAX(0,-G17424),MAX(0,Assumptions!$D$53-G17346)),0)</f>
        <v>0</v>
      </c>
      <c r="H17353" s="25" t="n">
        <f aca="false">IF(AND(Assumptions!$P$53=1,OR(H17310&lt;Assumptions!$K$53,G17498=1)),MIN(MAX(0,-H17424),MAX(0,Assumptions!$D$53-H17346)),0)</f>
        <v>0</v>
      </c>
      <c r="I17353" s="25" t="n">
        <f aca="false">IF(AND(Assumptions!$P$53=1,OR(I17310&lt;Assumptions!$K$53,H17498=1)),MIN(MAX(0,-I17424),MAX(0,Assumptions!$D$53-I17346)),0)</f>
        <v>21.1585096</v>
      </c>
      <c r="J17353" s="25" t="n">
        <f aca="false">IF(AND(Assumptions!$P$53=1,OR(J17310&lt;Assumptions!$K$53,I17498=1)),MIN(MAX(0,-J17424),MAX(0,Assumptions!$D$53-J17346)),0)</f>
        <v>19.578423312</v>
      </c>
      <c r="K17353" s="25" t="n">
        <f aca="false">IF(AND(Assumptions!$P$53=1,OR(K17310&lt;Assumptions!$K$53,J17498=1)),MIN(MAX(0,-K17424),MAX(0,Assumptions!$D$53-K17346)),0)</f>
        <v>17.79901176424</v>
      </c>
    </row>
    <row r="17354" customFormat="false" ht="15" hidden="false" customHeight="false" outlineLevel="0" collapsed="false">
      <c r="A17354" s="5" t="s">
        <v>271</v>
      </c>
      <c r="G17354" s="25" t="n">
        <f aca="false">G17347*MIN(G17346-G17352+G17351,MAX(0,G17426-Assumptions!$C$12*G17344))</f>
        <v>0</v>
      </c>
      <c r="H17354" s="25" t="n">
        <f aca="false">H17347*MIN(H17346-H17352+H17351,MAX(0,H17426-Assumptions!$C$12*H17344))</f>
        <v>0</v>
      </c>
      <c r="I17354" s="25" t="n">
        <f aca="false">I17347*MIN(I17346-I17352+I17351,MAX(0,I17426-Assumptions!$C$12*I17344))</f>
        <v>0</v>
      </c>
      <c r="J17354" s="25" t="n">
        <f aca="false">J17347*MIN(J17346-J17352+J17351,MAX(0,J17426-Assumptions!$C$12*J17344))</f>
        <v>0</v>
      </c>
      <c r="K17354" s="25" t="n">
        <f aca="false">K17347*MIN(K17346-K17352+K17351,MAX(0,K17426-Assumptions!$C$12*K17344))</f>
        <v>0</v>
      </c>
    </row>
    <row r="17355" customFormat="false" ht="15" hidden="false" customHeight="false" outlineLevel="0" collapsed="false">
      <c r="A17355" s="5" t="s">
        <v>272</v>
      </c>
      <c r="G17355" s="25" t="n">
        <f aca="false">Assumptions!$N$53*MIN(G17346+G17353+G17351-G17352-G17354,MAX(0,G17430))</f>
        <v>30.56</v>
      </c>
      <c r="H17355" s="25" t="n">
        <f aca="false">Assumptions!$N$53*MIN(H17346+H17353+H17351-H17352-H17354,MAX(0,H17430))</f>
        <v>0</v>
      </c>
      <c r="I17355" s="25" t="n">
        <f aca="false">Assumptions!$N$53*MIN(I17346+I17353+I17351-I17352-I17354,MAX(0,I17430))</f>
        <v>0</v>
      </c>
      <c r="J17355" s="25" t="n">
        <f aca="false">Assumptions!$N$53*MIN(J17346+J17353+J17351-J17352-J17354,MAX(0,J17430))</f>
        <v>0</v>
      </c>
      <c r="K17355" s="25" t="n">
        <f aca="false">Assumptions!$N$53*MIN(K17346+K17353+K17351-K17352-K17354,MAX(0,K17430))</f>
        <v>0</v>
      </c>
    </row>
    <row r="17356" customFormat="false" ht="15" hidden="false" customHeight="false" outlineLevel="0" collapsed="false">
      <c r="A17356" s="5" t="s">
        <v>273</v>
      </c>
      <c r="G17356" s="25" t="n">
        <f aca="false">G17347*(1-G17344)*(G17346-G17352+G17351-G17354)</f>
        <v>0</v>
      </c>
      <c r="H17356" s="25" t="n">
        <f aca="false">H17347*(1-H17344)*(H17346-H17352+H17351-H17354)</f>
        <v>0</v>
      </c>
      <c r="I17356" s="25" t="n">
        <f aca="false">I17347*(1-I17344)*(I17346-I17352+I17351-I17354)</f>
        <v>0</v>
      </c>
      <c r="J17356" s="25" t="n">
        <f aca="false">J17347*(1-J17344)*(J17346-J17352+J17351-J17354)</f>
        <v>0</v>
      </c>
      <c r="K17356" s="25" t="n">
        <f aca="false">K17347*(1-K17344)*(K17346-K17352+K17351-K17354)</f>
        <v>0</v>
      </c>
    </row>
    <row r="17357" customFormat="false" ht="15" hidden="false" customHeight="false" outlineLevel="0" collapsed="false">
      <c r="A17357" s="2" t="s">
        <v>274</v>
      </c>
      <c r="F17357" s="27" t="n">
        <f aca="false">Assumptions!$C$53</f>
        <v>180</v>
      </c>
      <c r="G17357" s="16" t="n">
        <f aca="false">G17346+G17353+G17351-G17352-G17354-G17355</f>
        <v>149.44</v>
      </c>
      <c r="H17357" s="16" t="n">
        <f aca="false">H17346+H17353+H17351-H17352-H17354-H17355</f>
        <v>149.44</v>
      </c>
      <c r="I17357" s="16" t="n">
        <f aca="false">I17346+I17353+I17351-I17352-I17354-I17355</f>
        <v>170.5985096</v>
      </c>
      <c r="J17357" s="16" t="n">
        <f aca="false">J17346+J17353+J17351-J17352-J17354-J17355</f>
        <v>190.176932912</v>
      </c>
      <c r="K17357" s="16" t="n">
        <f aca="false">K17346+K17353+K17351-K17352-K17354-K17355</f>
        <v>207.97594467624</v>
      </c>
    </row>
    <row r="17358" customFormat="false" ht="15" hidden="false" customHeight="false" outlineLevel="0" collapsed="false">
      <c r="A17358" s="23" t="s">
        <v>275</v>
      </c>
      <c r="B17358" s="24"/>
      <c r="C17358" s="24"/>
      <c r="D17358" s="24"/>
      <c r="E17358" s="24"/>
      <c r="F17358" s="24"/>
      <c r="G17358" s="24"/>
      <c r="H17358" s="24"/>
      <c r="I17358" s="24"/>
      <c r="J17358" s="24"/>
      <c r="K17358" s="24"/>
    </row>
    <row r="17359" customFormat="false" ht="15" hidden="false" customHeight="false" outlineLevel="0" collapsed="false">
      <c r="A17359" s="5" t="s">
        <v>264</v>
      </c>
      <c r="G17359" s="25" t="n">
        <f aca="false">F17370</f>
        <v>520</v>
      </c>
      <c r="H17359" s="25" t="n">
        <f aca="false">G17370</f>
        <v>514.8</v>
      </c>
      <c r="I17359" s="25" t="n">
        <f aca="false">H17370</f>
        <v>509.6</v>
      </c>
      <c r="J17359" s="25" t="n">
        <f aca="false">I17370</f>
        <v>504.4</v>
      </c>
      <c r="K17359" s="25" t="n">
        <f aca="false">J17370</f>
        <v>499.2</v>
      </c>
    </row>
    <row r="17360" customFormat="false" ht="15" hidden="false" customHeight="false" outlineLevel="0" collapsed="false">
      <c r="A17360" s="5" t="s">
        <v>265</v>
      </c>
      <c r="G17360" s="20" t="n">
        <f aca="false">IF(G17310=Assumptions!$K$54,1,0)</f>
        <v>0</v>
      </c>
      <c r="H17360" s="20" t="n">
        <f aca="false">IF(H17310=Assumptions!$K$54,1,0)</f>
        <v>0</v>
      </c>
      <c r="I17360" s="20" t="n">
        <f aca="false">IF(I17310=Assumptions!$K$54,1,0)</f>
        <v>1</v>
      </c>
      <c r="J17360" s="20" t="n">
        <f aca="false">IF(J17310=Assumptions!$K$54,1,0)</f>
        <v>0</v>
      </c>
      <c r="K17360" s="20" t="n">
        <f aca="false">IF(K17310=Assumptions!$K$54,1,0)</f>
        <v>0</v>
      </c>
    </row>
    <row r="17362" customFormat="false" ht="15" hidden="false" customHeight="false" outlineLevel="0" collapsed="false">
      <c r="A17362" s="5" t="s">
        <v>266</v>
      </c>
      <c r="G17362" s="30" t="n">
        <f aca="false">IF(Assumptions!$I$54=1,MAX(G17336,Assumptions!$G$54)+Assumptions!$F$54+$C$17337,Assumptions!$E$54)</f>
        <v>0.103</v>
      </c>
      <c r="H17362" s="30" t="n">
        <f aca="false">IF(G17499=1,$C$17338,IF(Assumptions!$I$54=1,MAX(H17336,Assumptions!$G$54)+Assumptions!$F$54+$C$17337,Assumptions!$E$54))</f>
        <v>0.1005</v>
      </c>
      <c r="I17362" s="30" t="n">
        <f aca="false">IF(H17499=1,$C$17338,IF(Assumptions!$I$54=1,MAX(I17336,Assumptions!$G$54)+Assumptions!$F$54+$C$17337,Assumptions!$E$54))</f>
        <v>0.098</v>
      </c>
      <c r="J17362" s="30" t="n">
        <f aca="false">IF(I17499=1,$C$17338,IF(Assumptions!$I$54=1,MAX(J17336,Assumptions!$G$54)+Assumptions!$F$54+$C$17337,Assumptions!$E$54))</f>
        <v>0.11</v>
      </c>
      <c r="K17362" s="30" t="n">
        <f aca="false">IF(J17499=1,$C$17338,IF(Assumptions!$I$54=1,MAX(K17336,Assumptions!$G$54)+Assumptions!$F$54+$C$17337,Assumptions!$E$54))</f>
        <v>0.11</v>
      </c>
    </row>
    <row r="17363" customFormat="false" ht="15" hidden="false" customHeight="false" outlineLevel="0" collapsed="false">
      <c r="A17363" s="5" t="s">
        <v>267</v>
      </c>
      <c r="G17363" s="25" t="n">
        <f aca="false">G17359*G17362</f>
        <v>53.56</v>
      </c>
      <c r="H17363" s="25" t="n">
        <f aca="false">H17359*H17362</f>
        <v>51.7374</v>
      </c>
      <c r="I17363" s="25" t="n">
        <f aca="false">I17359*I17362</f>
        <v>49.9408</v>
      </c>
      <c r="J17363" s="25" t="n">
        <f aca="false">J17359*J17362</f>
        <v>55.484</v>
      </c>
      <c r="K17363" s="25" t="n">
        <f aca="false">K17359*K17362</f>
        <v>54.912</v>
      </c>
    </row>
    <row r="17364" customFormat="false" ht="15" hidden="false" customHeight="false" outlineLevel="0" collapsed="false">
      <c r="A17364" s="5" t="s">
        <v>268</v>
      </c>
      <c r="G17364" s="25" t="n">
        <f aca="false">G17359*Assumptions!$H$54</f>
        <v>0</v>
      </c>
      <c r="H17364" s="25" t="n">
        <f aca="false">H17359*Assumptions!$H$54</f>
        <v>0</v>
      </c>
      <c r="I17364" s="25" t="n">
        <f aca="false">I17359*Assumptions!$H$54</f>
        <v>0</v>
      </c>
      <c r="J17364" s="25" t="n">
        <f aca="false">J17359*Assumptions!$H$54</f>
        <v>0</v>
      </c>
      <c r="K17364" s="25" t="n">
        <f aca="false">K17359*Assumptions!$H$54</f>
        <v>0</v>
      </c>
    </row>
    <row r="17365" customFormat="false" ht="15" hidden="false" customHeight="false" outlineLevel="0" collapsed="false">
      <c r="A17365" s="5" t="s">
        <v>269</v>
      </c>
      <c r="G17365" s="25" t="n">
        <f aca="false">MIN(G17359,Assumptions!$L$54*Assumptions!$C$54)</f>
        <v>5.2</v>
      </c>
      <c r="H17365" s="25" t="n">
        <f aca="false">MIN(H17359,Assumptions!$L$54*Assumptions!$C$54)</f>
        <v>5.2</v>
      </c>
      <c r="I17365" s="25" t="n">
        <f aca="false">MIN(I17359,Assumptions!$L$54*Assumptions!$C$54)</f>
        <v>5.2</v>
      </c>
      <c r="J17365" s="25" t="n">
        <f aca="false">MIN(J17359,Assumptions!$L$54*Assumptions!$C$54)</f>
        <v>5.2</v>
      </c>
      <c r="K17365" s="25" t="n">
        <f aca="false">MIN(K17359,Assumptions!$L$54*Assumptions!$C$54)</f>
        <v>5.2</v>
      </c>
    </row>
    <row r="17366" customFormat="false" ht="15" hidden="false" customHeight="false" outlineLevel="0" collapsed="false">
      <c r="A17366" s="5" t="s">
        <v>270</v>
      </c>
      <c r="G17366" s="25" t="n">
        <f aca="false">IF(AND(Assumptions!$P$54=1,G17310&lt;Assumptions!$K$54),MIN(MAX(0,-G17424),MAX(0,Assumptions!$D$54-G17359)),0)</f>
        <v>0</v>
      </c>
      <c r="H17366" s="25" t="n">
        <f aca="false">IF(AND(Assumptions!$P$54=1,OR(H17310&lt;Assumptions!$K$54,G17499=1)),MIN(MAX(0,-H17424),MAX(0,Assumptions!$D$54-H17359)),0)</f>
        <v>0</v>
      </c>
      <c r="I17366" s="25" t="n">
        <f aca="false">IF(AND(Assumptions!$P$54=1,OR(I17310&lt;Assumptions!$K$54,H17499=1)),MIN(MAX(0,-I17424),MAX(0,Assumptions!$D$54-I17359)),0)</f>
        <v>0</v>
      </c>
      <c r="J17366" s="25" t="n">
        <f aca="false">IF(AND(Assumptions!$P$54=1,OR(J17310&lt;Assumptions!$K$54,I17499=1)),MIN(MAX(0,-J17424),MAX(0,Assumptions!$D$54-J17359)),0)</f>
        <v>0</v>
      </c>
      <c r="K17366" s="25" t="n">
        <f aca="false">IF(AND(Assumptions!$P$54=1,OR(K17310&lt;Assumptions!$K$54,J17499=1)),MIN(MAX(0,-K17424),MAX(0,Assumptions!$D$54-K17359)),0)</f>
        <v>0</v>
      </c>
    </row>
    <row r="17367" customFormat="false" ht="15" hidden="false" customHeight="false" outlineLevel="0" collapsed="false">
      <c r="A17367" s="5" t="s">
        <v>271</v>
      </c>
      <c r="G17367" s="25" t="n">
        <f aca="false">G17360*MIN(G17359-G17365+G17364,MAX(0,G17426-Assumptions!$C$12*G17344-G17354))</f>
        <v>0</v>
      </c>
      <c r="H17367" s="25" t="n">
        <f aca="false">H17360*MIN(H17359-H17365+H17364,MAX(0,H17426-Assumptions!$C$12*H17344-H17354))</f>
        <v>0</v>
      </c>
      <c r="I17367" s="25" t="n">
        <f aca="false">I17360*MIN(I17359-I17365+I17364,MAX(0,I17426-Assumptions!$C$12*I17344-I17354))</f>
        <v>0</v>
      </c>
      <c r="J17367" s="25" t="n">
        <f aca="false">J17360*MIN(J17359-J17365+J17364,MAX(0,J17426-Assumptions!$C$12*J17344-J17354))</f>
        <v>0</v>
      </c>
      <c r="K17367" s="25" t="n">
        <f aca="false">K17360*MIN(K17359-K17365+K17364,MAX(0,K17426-Assumptions!$C$12*K17344-K17354))</f>
        <v>0</v>
      </c>
    </row>
    <row r="17368" customFormat="false" ht="15" hidden="false" customHeight="false" outlineLevel="0" collapsed="false">
      <c r="A17368" s="5" t="s">
        <v>272</v>
      </c>
      <c r="G17368" s="25" t="n">
        <f aca="false">Assumptions!$N$54*MIN(G17359+G17366+G17364-G17365-G17367,MAX(0,G17430-G17355))</f>
        <v>0</v>
      </c>
      <c r="H17368" s="25" t="n">
        <f aca="false">Assumptions!$N$54*MIN(H17359+H17366+H17364-H17365-H17367,MAX(0,H17430-H17355))</f>
        <v>0</v>
      </c>
      <c r="I17368" s="25" t="n">
        <f aca="false">Assumptions!$N$54*MIN(I17359+I17366+I17364-I17365-I17367,MAX(0,I17430-I17355))</f>
        <v>0</v>
      </c>
      <c r="J17368" s="25" t="n">
        <f aca="false">Assumptions!$N$54*MIN(J17359+J17366+J17364-J17365-J17367,MAX(0,J17430-J17355))</f>
        <v>0</v>
      </c>
      <c r="K17368" s="25" t="n">
        <f aca="false">Assumptions!$N$54*MIN(K17359+K17366+K17364-K17365-K17367,MAX(0,K17430-K17355))</f>
        <v>0</v>
      </c>
    </row>
    <row r="17369" customFormat="false" ht="15" hidden="false" customHeight="false" outlineLevel="0" collapsed="false">
      <c r="A17369" s="5" t="s">
        <v>273</v>
      </c>
      <c r="G17369" s="25" t="n">
        <f aca="false">G17360*(1-G17344)*(G17359-G17365+G17364-G17367)</f>
        <v>0</v>
      </c>
      <c r="H17369" s="25" t="n">
        <f aca="false">H17360*(1-H17344)*(H17359-H17365+H17364-H17367)</f>
        <v>0</v>
      </c>
      <c r="I17369" s="25" t="n">
        <f aca="false">I17360*(1-I17344)*(I17359-I17365+I17364-I17367)</f>
        <v>0</v>
      </c>
      <c r="J17369" s="25" t="n">
        <f aca="false">J17360*(1-J17344)*(J17359-J17365+J17364-J17367)</f>
        <v>0</v>
      </c>
      <c r="K17369" s="25" t="n">
        <f aca="false">K17360*(1-K17344)*(K17359-K17365+K17364-K17367)</f>
        <v>0</v>
      </c>
    </row>
    <row r="17370" customFormat="false" ht="15" hidden="false" customHeight="false" outlineLevel="0" collapsed="false">
      <c r="A17370" s="2" t="s">
        <v>274</v>
      </c>
      <c r="F17370" s="27" t="n">
        <f aca="false">Assumptions!$C$54</f>
        <v>520</v>
      </c>
      <c r="G17370" s="16" t="n">
        <f aca="false">G17359+G17366+G17364-G17365-G17367-G17368</f>
        <v>514.8</v>
      </c>
      <c r="H17370" s="16" t="n">
        <f aca="false">H17359+H17366+H17364-H17365-H17367-H17368</f>
        <v>509.6</v>
      </c>
      <c r="I17370" s="16" t="n">
        <f aca="false">I17359+I17366+I17364-I17365-I17367-I17368</f>
        <v>504.4</v>
      </c>
      <c r="J17370" s="16" t="n">
        <f aca="false">J17359+J17366+J17364-J17365-J17367-J17368</f>
        <v>499.2</v>
      </c>
      <c r="K17370" s="16" t="n">
        <f aca="false">K17359+K17366+K17364-K17365-K17367-K17368</f>
        <v>494</v>
      </c>
    </row>
    <row r="17371" customFormat="false" ht="15" hidden="false" customHeight="false" outlineLevel="0" collapsed="false">
      <c r="A17371" s="23" t="s">
        <v>276</v>
      </c>
      <c r="B17371" s="24"/>
      <c r="C17371" s="24"/>
      <c r="D17371" s="24"/>
      <c r="E17371" s="24"/>
      <c r="F17371" s="24"/>
      <c r="G17371" s="24"/>
      <c r="H17371" s="24"/>
      <c r="I17371" s="24"/>
      <c r="J17371" s="24"/>
      <c r="K17371" s="24"/>
    </row>
    <row r="17372" customFormat="false" ht="15" hidden="false" customHeight="false" outlineLevel="0" collapsed="false">
      <c r="A17372" s="5" t="s">
        <v>264</v>
      </c>
      <c r="G17372" s="25" t="n">
        <f aca="false">F17383</f>
        <v>250</v>
      </c>
      <c r="H17372" s="25" t="n">
        <f aca="false">G17383</f>
        <v>250</v>
      </c>
      <c r="I17372" s="25" t="n">
        <f aca="false">H17383</f>
        <v>250</v>
      </c>
      <c r="J17372" s="25" t="n">
        <f aca="false">I17383</f>
        <v>250</v>
      </c>
      <c r="K17372" s="25" t="n">
        <f aca="false">J17383</f>
        <v>250</v>
      </c>
    </row>
    <row r="17373" customFormat="false" ht="15" hidden="false" customHeight="false" outlineLevel="0" collapsed="false">
      <c r="A17373" s="5" t="s">
        <v>265</v>
      </c>
      <c r="G17373" s="20" t="n">
        <f aca="false">IF(G17310=Assumptions!$K$55,1,0)</f>
        <v>0</v>
      </c>
      <c r="H17373" s="20" t="n">
        <f aca="false">IF(H17310=Assumptions!$K$55,1,0)</f>
        <v>0</v>
      </c>
      <c r="I17373" s="20" t="n">
        <f aca="false">IF(I17310=Assumptions!$K$55,1,0)</f>
        <v>0</v>
      </c>
      <c r="J17373" s="20" t="n">
        <f aca="false">IF(J17310=Assumptions!$K$55,1,0)</f>
        <v>1</v>
      </c>
      <c r="K17373" s="20" t="n">
        <f aca="false">IF(K17310=Assumptions!$K$55,1,0)</f>
        <v>0</v>
      </c>
    </row>
    <row r="17375" customFormat="false" ht="15" hidden="false" customHeight="false" outlineLevel="0" collapsed="false">
      <c r="A17375" s="5" t="s">
        <v>266</v>
      </c>
      <c r="G17375" s="30" t="n">
        <f aca="false">IF(Assumptions!$I$55=1,MAX(G17336,Assumptions!$G$55)+Assumptions!$F$55+$C$17337,Assumptions!$E$55)</f>
        <v>0.11</v>
      </c>
      <c r="H17375" s="30" t="n">
        <f aca="false">IF(G17500=1,$C$17338,IF(Assumptions!$I$55=1,MAX(H17336,Assumptions!$G$55)+Assumptions!$F$55+$C$17337,Assumptions!$E$55))</f>
        <v>0.11</v>
      </c>
      <c r="I17375" s="30" t="n">
        <f aca="false">IF(H17500=1,$C$17338,IF(Assumptions!$I$55=1,MAX(I17336,Assumptions!$G$55)+Assumptions!$F$55+$C$17337,Assumptions!$E$55))</f>
        <v>0.11</v>
      </c>
      <c r="J17375" s="30" t="n">
        <f aca="false">IF(I17500=1,$C$17338,IF(Assumptions!$I$55=1,MAX(J17336,Assumptions!$G$55)+Assumptions!$F$55+$C$17337,Assumptions!$E$55))</f>
        <v>0.11</v>
      </c>
      <c r="K17375" s="30" t="n">
        <f aca="false">IF(J17500=1,$C$17338,IF(Assumptions!$I$55=1,MAX(K17336,Assumptions!$G$55)+Assumptions!$F$55+$C$17337,Assumptions!$E$55))</f>
        <v>0.11</v>
      </c>
    </row>
    <row r="17376" customFormat="false" ht="15" hidden="false" customHeight="false" outlineLevel="0" collapsed="false">
      <c r="A17376" s="5" t="s">
        <v>267</v>
      </c>
      <c r="G17376" s="25" t="n">
        <f aca="false">G17372*G17375</f>
        <v>27.5</v>
      </c>
      <c r="H17376" s="25" t="n">
        <f aca="false">H17372*H17375</f>
        <v>27.5</v>
      </c>
      <c r="I17376" s="25" t="n">
        <f aca="false">I17372*I17375</f>
        <v>27.5</v>
      </c>
      <c r="J17376" s="25" t="n">
        <f aca="false">J17372*J17375</f>
        <v>27.5</v>
      </c>
      <c r="K17376" s="25" t="n">
        <f aca="false">K17372*K17375</f>
        <v>27.5</v>
      </c>
    </row>
    <row r="17377" customFormat="false" ht="15" hidden="false" customHeight="false" outlineLevel="0" collapsed="false">
      <c r="A17377" s="5" t="s">
        <v>268</v>
      </c>
      <c r="G17377" s="25" t="n">
        <f aca="false">G17372*Assumptions!$H$55</f>
        <v>0</v>
      </c>
      <c r="H17377" s="25" t="n">
        <f aca="false">H17372*Assumptions!$H$55</f>
        <v>0</v>
      </c>
      <c r="I17377" s="25" t="n">
        <f aca="false">I17372*Assumptions!$H$55</f>
        <v>0</v>
      </c>
      <c r="J17377" s="25" t="n">
        <f aca="false">J17372*Assumptions!$H$55</f>
        <v>0</v>
      </c>
      <c r="K17377" s="25" t="n">
        <f aca="false">K17372*Assumptions!$H$55</f>
        <v>0</v>
      </c>
    </row>
    <row r="17378" customFormat="false" ht="15" hidden="false" customHeight="false" outlineLevel="0" collapsed="false">
      <c r="A17378" s="5" t="s">
        <v>269</v>
      </c>
      <c r="G17378" s="25" t="n">
        <f aca="false">MIN(G17372,Assumptions!$L$55*Assumptions!$C$55)</f>
        <v>0</v>
      </c>
      <c r="H17378" s="25" t="n">
        <f aca="false">MIN(H17372,Assumptions!$L$55*Assumptions!$C$55)</f>
        <v>0</v>
      </c>
      <c r="I17378" s="25" t="n">
        <f aca="false">MIN(I17372,Assumptions!$L$55*Assumptions!$C$55)</f>
        <v>0</v>
      </c>
      <c r="J17378" s="25" t="n">
        <f aca="false">MIN(J17372,Assumptions!$L$55*Assumptions!$C$55)</f>
        <v>0</v>
      </c>
      <c r="K17378" s="25" t="n">
        <f aca="false">MIN(K17372,Assumptions!$L$55*Assumptions!$C$55)</f>
        <v>0</v>
      </c>
    </row>
    <row r="17379" customFormat="false" ht="15" hidden="false" customHeight="false" outlineLevel="0" collapsed="false">
      <c r="A17379" s="5" t="s">
        <v>270</v>
      </c>
      <c r="G17379" s="25" t="n">
        <f aca="false">IF(AND(Assumptions!$P$55=1,G17310&lt;Assumptions!$K$55),MIN(MAX(0,-G17424),MAX(0,Assumptions!$D$55-G17372)),0)</f>
        <v>0</v>
      </c>
      <c r="H17379" s="25" t="n">
        <f aca="false">IF(AND(Assumptions!$P$55=1,OR(H17310&lt;Assumptions!$K$55,G17500=1)),MIN(MAX(0,-H17424),MAX(0,Assumptions!$D$55-H17372)),0)</f>
        <v>0</v>
      </c>
      <c r="I17379" s="25" t="n">
        <f aca="false">IF(AND(Assumptions!$P$55=1,OR(I17310&lt;Assumptions!$K$55,H17500=1)),MIN(MAX(0,-I17424),MAX(0,Assumptions!$D$55-I17372)),0)</f>
        <v>0</v>
      </c>
      <c r="J17379" s="25" t="n">
        <f aca="false">IF(AND(Assumptions!$P$55=1,OR(J17310&lt;Assumptions!$K$55,I17500=1)),MIN(MAX(0,-J17424),MAX(0,Assumptions!$D$55-J17372)),0)</f>
        <v>0</v>
      </c>
      <c r="K17379" s="25" t="n">
        <f aca="false">IF(AND(Assumptions!$P$55=1,OR(K17310&lt;Assumptions!$K$55,J17500=1)),MIN(MAX(0,-K17424),MAX(0,Assumptions!$D$55-K17372)),0)</f>
        <v>0</v>
      </c>
    </row>
    <row r="17380" customFormat="false" ht="15" hidden="false" customHeight="false" outlineLevel="0" collapsed="false">
      <c r="A17380" s="5" t="s">
        <v>271</v>
      </c>
      <c r="G17380" s="25" t="n">
        <f aca="false">G17373*MIN(G17372-G17378+G17377,MAX(0,G17426-Assumptions!$C$12*G17344-G17354-G17367))</f>
        <v>0</v>
      </c>
      <c r="H17380" s="25" t="n">
        <f aca="false">H17373*MIN(H17372-H17378+H17377,MAX(0,H17426-Assumptions!$C$12*H17344-H17354-H17367))</f>
        <v>0</v>
      </c>
      <c r="I17380" s="25" t="n">
        <f aca="false">I17373*MIN(I17372-I17378+I17377,MAX(0,I17426-Assumptions!$C$12*I17344-I17354-I17367))</f>
        <v>0</v>
      </c>
      <c r="J17380" s="25" t="n">
        <f aca="false">J17373*MIN(J17372-J17378+J17377,MAX(0,J17426-Assumptions!$C$12*J17344-J17354-J17367))</f>
        <v>0</v>
      </c>
      <c r="K17380" s="25" t="n">
        <f aca="false">K17373*MIN(K17372-K17378+K17377,MAX(0,K17426-Assumptions!$C$12*K17344-K17354-K17367))</f>
        <v>0</v>
      </c>
    </row>
    <row r="17381" customFormat="false" ht="15" hidden="false" customHeight="false" outlineLevel="0" collapsed="false">
      <c r="A17381" s="5" t="s">
        <v>272</v>
      </c>
      <c r="G17381" s="25" t="n">
        <f aca="false">Assumptions!$N$55*MIN(G17372+G17379+G17377-G17378-G17380,MAX(0,G17430-G17355-G17368))</f>
        <v>0</v>
      </c>
      <c r="H17381" s="25" t="n">
        <f aca="false">Assumptions!$N$55*MIN(H17372+H17379+H17377-H17378-H17380,MAX(0,H17430-H17355-H17368))</f>
        <v>0</v>
      </c>
      <c r="I17381" s="25" t="n">
        <f aca="false">Assumptions!$N$55*MIN(I17372+I17379+I17377-I17378-I17380,MAX(0,I17430-I17355-I17368))</f>
        <v>0</v>
      </c>
      <c r="J17381" s="25" t="n">
        <f aca="false">Assumptions!$N$55*MIN(J17372+J17379+J17377-J17378-J17380,MAX(0,J17430-J17355-J17368))</f>
        <v>0</v>
      </c>
      <c r="K17381" s="25" t="n">
        <f aca="false">Assumptions!$N$55*MIN(K17372+K17379+K17377-K17378-K17380,MAX(0,K17430-K17355-K17368))</f>
        <v>0</v>
      </c>
    </row>
    <row r="17382" customFormat="false" ht="15" hidden="false" customHeight="false" outlineLevel="0" collapsed="false">
      <c r="A17382" s="5" t="s">
        <v>273</v>
      </c>
      <c r="G17382" s="25" t="n">
        <f aca="false">G17373*(1-G17344)*(G17372-G17378+G17377-G17380)</f>
        <v>0</v>
      </c>
      <c r="H17382" s="25" t="n">
        <f aca="false">H17373*(1-H17344)*(H17372-H17378+H17377-H17380)</f>
        <v>0</v>
      </c>
      <c r="I17382" s="25" t="n">
        <f aca="false">I17373*(1-I17344)*(I17372-I17378+I17377-I17380)</f>
        <v>0</v>
      </c>
      <c r="J17382" s="25" t="n">
        <f aca="false">J17373*(1-J17344)*(J17372-J17378+J17377-J17380)</f>
        <v>0</v>
      </c>
      <c r="K17382" s="25" t="n">
        <f aca="false">K17373*(1-K17344)*(K17372-K17378+K17377-K17380)</f>
        <v>0</v>
      </c>
    </row>
    <row r="17383" customFormat="false" ht="15" hidden="false" customHeight="false" outlineLevel="0" collapsed="false">
      <c r="A17383" s="2" t="s">
        <v>274</v>
      </c>
      <c r="F17383" s="27" t="n">
        <f aca="false">Assumptions!$C$55</f>
        <v>250</v>
      </c>
      <c r="G17383" s="16" t="n">
        <f aca="false">G17372+G17379+G17377-G17378-G17380-G17381</f>
        <v>250</v>
      </c>
      <c r="H17383" s="16" t="n">
        <f aca="false">H17372+H17379+H17377-H17378-H17380-H17381</f>
        <v>250</v>
      </c>
      <c r="I17383" s="16" t="n">
        <f aca="false">I17372+I17379+I17377-I17378-I17380-I17381</f>
        <v>250</v>
      </c>
      <c r="J17383" s="16" t="n">
        <f aca="false">J17372+J17379+J17377-J17378-J17380-J17381</f>
        <v>250</v>
      </c>
      <c r="K17383" s="16" t="n">
        <f aca="false">K17372+K17379+K17377-K17378-K17380-K17381</f>
        <v>250</v>
      </c>
    </row>
    <row r="17384" customFormat="false" ht="15" hidden="false" customHeight="false" outlineLevel="0" collapsed="false">
      <c r="A17384" s="23" t="s">
        <v>277</v>
      </c>
      <c r="B17384" s="24"/>
      <c r="C17384" s="24"/>
      <c r="D17384" s="24"/>
      <c r="E17384" s="24"/>
      <c r="F17384" s="24"/>
      <c r="G17384" s="24"/>
      <c r="H17384" s="24"/>
      <c r="I17384" s="24"/>
      <c r="J17384" s="24"/>
      <c r="K17384" s="24"/>
    </row>
    <row r="17385" customFormat="false" ht="15" hidden="false" customHeight="false" outlineLevel="0" collapsed="false">
      <c r="A17385" s="5" t="s">
        <v>264</v>
      </c>
      <c r="G17385" s="25" t="n">
        <f aca="false">F17396</f>
        <v>300</v>
      </c>
      <c r="H17385" s="25" t="n">
        <f aca="false">G17396</f>
        <v>300</v>
      </c>
      <c r="I17385" s="25" t="n">
        <f aca="false">H17396</f>
        <v>300</v>
      </c>
      <c r="J17385" s="25" t="n">
        <f aca="false">I17396</f>
        <v>300</v>
      </c>
      <c r="K17385" s="25" t="n">
        <f aca="false">J17396</f>
        <v>300</v>
      </c>
    </row>
    <row r="17386" customFormat="false" ht="15" hidden="false" customHeight="false" outlineLevel="0" collapsed="false">
      <c r="A17386" s="5" t="s">
        <v>265</v>
      </c>
      <c r="G17386" s="20" t="n">
        <f aca="false">IF(G17310=Assumptions!$K$56,1,0)</f>
        <v>0</v>
      </c>
      <c r="H17386" s="20" t="n">
        <f aca="false">IF(H17310=Assumptions!$K$56,1,0)</f>
        <v>1</v>
      </c>
      <c r="I17386" s="20" t="n">
        <f aca="false">IF(I17310=Assumptions!$K$56,1,0)</f>
        <v>0</v>
      </c>
      <c r="J17386" s="20" t="n">
        <f aca="false">IF(J17310=Assumptions!$K$56,1,0)</f>
        <v>0</v>
      </c>
      <c r="K17386" s="20" t="n">
        <f aca="false">IF(K17310=Assumptions!$K$56,1,0)</f>
        <v>0</v>
      </c>
    </row>
    <row r="17388" customFormat="false" ht="15" hidden="false" customHeight="false" outlineLevel="0" collapsed="false">
      <c r="A17388" s="5" t="s">
        <v>266</v>
      </c>
      <c r="G17388" s="30" t="n">
        <f aca="false">IF(Assumptions!$I$56=1,MAX(G17336,Assumptions!$G$56)+Assumptions!$F$56+$C$17337,Assumptions!$E$56)</f>
        <v>0.075</v>
      </c>
      <c r="H17388" s="30" t="n">
        <f aca="false">IF(G17501=1,$C$17338,IF(Assumptions!$I$56=1,MAX(H17336,Assumptions!$G$56)+Assumptions!$F$56+$C$17337,Assumptions!$E$56))</f>
        <v>0.075</v>
      </c>
      <c r="I17388" s="30" t="n">
        <f aca="false">IF(H17501=1,$C$17338,IF(Assumptions!$I$56=1,MAX(I17336,Assumptions!$G$56)+Assumptions!$F$56+$C$17337,Assumptions!$E$56))</f>
        <v>0.11</v>
      </c>
      <c r="J17388" s="30" t="n">
        <f aca="false">IF(I17501=1,$C$17338,IF(Assumptions!$I$56=1,MAX(J17336,Assumptions!$G$56)+Assumptions!$F$56+$C$17337,Assumptions!$E$56))</f>
        <v>0.11</v>
      </c>
      <c r="K17388" s="30" t="n">
        <f aca="false">IF(J17501=1,$C$17338,IF(Assumptions!$I$56=1,MAX(K17336,Assumptions!$G$56)+Assumptions!$F$56+$C$17337,Assumptions!$E$56))</f>
        <v>0.11</v>
      </c>
    </row>
    <row r="17389" customFormat="false" ht="15" hidden="false" customHeight="false" outlineLevel="0" collapsed="false">
      <c r="A17389" s="5" t="s">
        <v>267</v>
      </c>
      <c r="G17389" s="25" t="n">
        <f aca="false">G17385*G17388</f>
        <v>22.5</v>
      </c>
      <c r="H17389" s="25" t="n">
        <f aca="false">H17385*H17388</f>
        <v>22.5</v>
      </c>
      <c r="I17389" s="25" t="n">
        <f aca="false">I17385*I17388</f>
        <v>33</v>
      </c>
      <c r="J17389" s="25" t="n">
        <f aca="false">J17385*J17388</f>
        <v>33</v>
      </c>
      <c r="K17389" s="25" t="n">
        <f aca="false">K17385*K17388</f>
        <v>33</v>
      </c>
    </row>
    <row r="17390" customFormat="false" ht="15" hidden="false" customHeight="false" outlineLevel="0" collapsed="false">
      <c r="A17390" s="5" t="s">
        <v>268</v>
      </c>
      <c r="G17390" s="25" t="n">
        <f aca="false">G17385*Assumptions!$H$56</f>
        <v>0</v>
      </c>
      <c r="H17390" s="25" t="n">
        <f aca="false">H17385*Assumptions!$H$56</f>
        <v>0</v>
      </c>
      <c r="I17390" s="25" t="n">
        <f aca="false">I17385*Assumptions!$H$56</f>
        <v>0</v>
      </c>
      <c r="J17390" s="25" t="n">
        <f aca="false">J17385*Assumptions!$H$56</f>
        <v>0</v>
      </c>
      <c r="K17390" s="25" t="n">
        <f aca="false">K17385*Assumptions!$H$56</f>
        <v>0</v>
      </c>
    </row>
    <row r="17391" customFormat="false" ht="15" hidden="false" customHeight="false" outlineLevel="0" collapsed="false">
      <c r="A17391" s="5" t="s">
        <v>269</v>
      </c>
      <c r="G17391" s="25" t="n">
        <f aca="false">MIN(G17385,Assumptions!$L$56*Assumptions!$C$56)</f>
        <v>0</v>
      </c>
      <c r="H17391" s="25" t="n">
        <f aca="false">MIN(H17385,Assumptions!$L$56*Assumptions!$C$56)</f>
        <v>0</v>
      </c>
      <c r="I17391" s="25" t="n">
        <f aca="false">MIN(I17385,Assumptions!$L$56*Assumptions!$C$56)</f>
        <v>0</v>
      </c>
      <c r="J17391" s="25" t="n">
        <f aca="false">MIN(J17385,Assumptions!$L$56*Assumptions!$C$56)</f>
        <v>0</v>
      </c>
      <c r="K17391" s="25" t="n">
        <f aca="false">MIN(K17385,Assumptions!$L$56*Assumptions!$C$56)</f>
        <v>0</v>
      </c>
    </row>
    <row r="17392" customFormat="false" ht="15" hidden="false" customHeight="false" outlineLevel="0" collapsed="false">
      <c r="A17392" s="5" t="s">
        <v>270</v>
      </c>
      <c r="G17392" s="25" t="n">
        <f aca="false">IF(AND(Assumptions!$P$56=1,G17310&lt;Assumptions!$K$56),MIN(MAX(0,-G17424),MAX(0,Assumptions!$D$56-G17385)),0)</f>
        <v>0</v>
      </c>
      <c r="H17392" s="25" t="n">
        <f aca="false">IF(AND(Assumptions!$P$56=1,OR(H17310&lt;Assumptions!$K$56,G17501=1)),MIN(MAX(0,-H17424),MAX(0,Assumptions!$D$56-H17385)),0)</f>
        <v>0</v>
      </c>
      <c r="I17392" s="25" t="n">
        <f aca="false">IF(AND(Assumptions!$P$56=1,OR(I17310&lt;Assumptions!$K$56,H17501=1)),MIN(MAX(0,-I17424),MAX(0,Assumptions!$D$56-I17385)),0)</f>
        <v>0</v>
      </c>
      <c r="J17392" s="25" t="n">
        <f aca="false">IF(AND(Assumptions!$P$56=1,OR(J17310&lt;Assumptions!$K$56,I17501=1)),MIN(MAX(0,-J17424),MAX(0,Assumptions!$D$56-J17385)),0)</f>
        <v>0</v>
      </c>
      <c r="K17392" s="25" t="n">
        <f aca="false">IF(AND(Assumptions!$P$56=1,OR(K17310&lt;Assumptions!$K$56,J17501=1)),MIN(MAX(0,-K17424),MAX(0,Assumptions!$D$56-K17385)),0)</f>
        <v>0</v>
      </c>
    </row>
    <row r="17393" customFormat="false" ht="15" hidden="false" customHeight="false" outlineLevel="0" collapsed="false">
      <c r="A17393" s="5" t="s">
        <v>271</v>
      </c>
      <c r="G17393" s="25" t="n">
        <f aca="false">G17386*MIN(G17385-G17391+G17390,MAX(0,G17426-Assumptions!$C$12*G17344-G17354-G17367-G17380))</f>
        <v>0</v>
      </c>
      <c r="H17393" s="25" t="n">
        <f aca="false">H17386*MIN(H17385-H17391+H17390,MAX(0,H17426-Assumptions!$C$12*H17344-H17354-H17367-H17380))</f>
        <v>0</v>
      </c>
      <c r="I17393" s="25" t="n">
        <f aca="false">I17386*MIN(I17385-I17391+I17390,MAX(0,I17426-Assumptions!$C$12*I17344-I17354-I17367-I17380))</f>
        <v>0</v>
      </c>
      <c r="J17393" s="25" t="n">
        <f aca="false">J17386*MIN(J17385-J17391+J17390,MAX(0,J17426-Assumptions!$C$12*J17344-J17354-J17367-J17380))</f>
        <v>0</v>
      </c>
      <c r="K17393" s="25" t="n">
        <f aca="false">K17386*MIN(K17385-K17391+K17390,MAX(0,K17426-Assumptions!$C$12*K17344-K17354-K17367-K17380))</f>
        <v>0</v>
      </c>
    </row>
    <row r="17394" customFormat="false" ht="15" hidden="false" customHeight="false" outlineLevel="0" collapsed="false">
      <c r="A17394" s="5" t="s">
        <v>272</v>
      </c>
      <c r="G17394" s="25" t="n">
        <f aca="false">Assumptions!$N$56*MIN(G17385+G17392+G17390-G17391-G17393,MAX(0,G17430-G17355-G17368-G17381))</f>
        <v>0</v>
      </c>
      <c r="H17394" s="25" t="n">
        <f aca="false">Assumptions!$N$56*MIN(H17385+H17392+H17390-H17391-H17393,MAX(0,H17430-H17355-H17368-H17381))</f>
        <v>0</v>
      </c>
      <c r="I17394" s="25" t="n">
        <f aca="false">Assumptions!$N$56*MIN(I17385+I17392+I17390-I17391-I17393,MAX(0,I17430-I17355-I17368-I17381))</f>
        <v>0</v>
      </c>
      <c r="J17394" s="25" t="n">
        <f aca="false">Assumptions!$N$56*MIN(J17385+J17392+J17390-J17391-J17393,MAX(0,J17430-J17355-J17368-J17381))</f>
        <v>0</v>
      </c>
      <c r="K17394" s="25" t="n">
        <f aca="false">Assumptions!$N$56*MIN(K17385+K17392+K17390-K17391-K17393,MAX(0,K17430-K17355-K17368-K17381))</f>
        <v>0</v>
      </c>
    </row>
    <row r="17395" customFormat="false" ht="15" hidden="false" customHeight="false" outlineLevel="0" collapsed="false">
      <c r="A17395" s="5" t="s">
        <v>273</v>
      </c>
      <c r="G17395" s="25" t="n">
        <f aca="false">G17386*(1-G17344)*(G17385-G17391+G17390-G17393)</f>
        <v>0</v>
      </c>
      <c r="H17395" s="25" t="n">
        <f aca="false">H17386*(1-H17344)*(H17385-H17391+H17390-H17393)</f>
        <v>0</v>
      </c>
      <c r="I17395" s="25" t="n">
        <f aca="false">I17386*(1-I17344)*(I17385-I17391+I17390-I17393)</f>
        <v>0</v>
      </c>
      <c r="J17395" s="25" t="n">
        <f aca="false">J17386*(1-J17344)*(J17385-J17391+J17390-J17393)</f>
        <v>0</v>
      </c>
      <c r="K17395" s="25" t="n">
        <f aca="false">K17386*(1-K17344)*(K17385-K17391+K17390-K17393)</f>
        <v>0</v>
      </c>
    </row>
    <row r="17396" customFormat="false" ht="15" hidden="false" customHeight="false" outlineLevel="0" collapsed="false">
      <c r="A17396" s="2" t="s">
        <v>274</v>
      </c>
      <c r="F17396" s="27" t="n">
        <f aca="false">Assumptions!$C$56</f>
        <v>300</v>
      </c>
      <c r="G17396" s="16" t="n">
        <f aca="false">G17385+G17392+G17390-G17391-G17393-G17394</f>
        <v>300</v>
      </c>
      <c r="H17396" s="16" t="n">
        <f aca="false">H17385+H17392+H17390-H17391-H17393-H17394</f>
        <v>300</v>
      </c>
      <c r="I17396" s="16" t="n">
        <f aca="false">I17385+I17392+I17390-I17391-I17393-I17394</f>
        <v>300</v>
      </c>
      <c r="J17396" s="16" t="n">
        <f aca="false">J17385+J17392+J17390-J17391-J17393-J17394</f>
        <v>300</v>
      </c>
      <c r="K17396" s="16" t="n">
        <f aca="false">K17385+K17392+K17390-K17391-K17393-K17394</f>
        <v>300</v>
      </c>
    </row>
    <row r="17397" customFormat="false" ht="15" hidden="false" customHeight="false" outlineLevel="0" collapsed="false">
      <c r="A17397" s="23" t="s">
        <v>278</v>
      </c>
      <c r="B17397" s="24"/>
      <c r="C17397" s="24"/>
      <c r="D17397" s="24"/>
      <c r="E17397" s="24"/>
      <c r="F17397" s="24"/>
      <c r="G17397" s="24"/>
      <c r="H17397" s="24"/>
      <c r="I17397" s="24"/>
      <c r="J17397" s="24"/>
      <c r="K17397" s="24"/>
    </row>
    <row r="17398" customFormat="false" ht="15" hidden="false" customHeight="false" outlineLevel="0" collapsed="false">
      <c r="A17398" s="2" t="s">
        <v>279</v>
      </c>
      <c r="F17398" s="16" t="n">
        <f aca="false">F17357+F17370+F17383+F17396</f>
        <v>1250</v>
      </c>
      <c r="G17398" s="16" t="n">
        <f aca="false">G17357+G17370+G17383+G17396</f>
        <v>1214.24</v>
      </c>
      <c r="H17398" s="16" t="n">
        <f aca="false">H17357+H17370+H17383+H17396</f>
        <v>1209.04</v>
      </c>
      <c r="I17398" s="16" t="n">
        <f aca="false">I17357+I17370+I17383+I17396</f>
        <v>1224.9985096</v>
      </c>
      <c r="J17398" s="16" t="n">
        <f aca="false">J17357+J17370+J17383+J17396</f>
        <v>1239.376932912</v>
      </c>
      <c r="K17398" s="16" t="n">
        <f aca="false">K17357+K17370+K17383+K17396</f>
        <v>1251.97594467624</v>
      </c>
    </row>
    <row r="17399" customFormat="false" ht="15" hidden="false" customHeight="false" outlineLevel="0" collapsed="false">
      <c r="A17399" s="5" t="s">
        <v>280</v>
      </c>
      <c r="G17399" s="25" t="n">
        <f aca="false">G17347*Assumptions!$C$53+G17360*Assumptions!$C$54+G17373*Assumptions!$C$55+G17386*Assumptions!$C$56</f>
        <v>0</v>
      </c>
      <c r="H17399" s="25" t="n">
        <f aca="false">H17347*Assumptions!$C$53+H17360*Assumptions!$C$54+H17373*Assumptions!$C$55+H17386*Assumptions!$C$56</f>
        <v>480</v>
      </c>
      <c r="I17399" s="25" t="n">
        <f aca="false">I17347*Assumptions!$C$53+I17360*Assumptions!$C$54+I17373*Assumptions!$C$55+I17386*Assumptions!$C$56</f>
        <v>520</v>
      </c>
      <c r="J17399" s="25" t="n">
        <f aca="false">J17347*Assumptions!$C$53+J17360*Assumptions!$C$54+J17373*Assumptions!$C$55+J17386*Assumptions!$C$56</f>
        <v>250</v>
      </c>
      <c r="K17399" s="25" t="n">
        <f aca="false">K17347*Assumptions!$C$53+K17360*Assumptions!$C$54+K17373*Assumptions!$C$55+K17386*Assumptions!$C$56</f>
        <v>0</v>
      </c>
    </row>
    <row r="17400" customFormat="false" ht="15" hidden="false" customHeight="false" outlineLevel="0" collapsed="false">
      <c r="A17400" s="23" t="s">
        <v>281</v>
      </c>
      <c r="B17400" s="24"/>
      <c r="C17400" s="24"/>
      <c r="D17400" s="24"/>
      <c r="E17400" s="24"/>
      <c r="F17400" s="24"/>
      <c r="G17400" s="24"/>
      <c r="H17400" s="24"/>
      <c r="I17400" s="24"/>
      <c r="J17400" s="24"/>
      <c r="K17400" s="24"/>
    </row>
    <row r="17401" customFormat="false" ht="15" hidden="false" customHeight="false" outlineLevel="0" collapsed="false">
      <c r="A17401" s="5" t="s">
        <v>282</v>
      </c>
      <c r="C17401" s="25" t="n">
        <f aca="false">SUMPRODUCT($G$17347:$K$17347,$G$17346:$K$17346-$G$17352:$K$17352+$G$17351:$K$17351)</f>
        <v>149.44</v>
      </c>
    </row>
    <row r="17402" customFormat="false" ht="15" hidden="false" customHeight="false" outlineLevel="0" collapsed="false">
      <c r="A17402" s="5" t="s">
        <v>283</v>
      </c>
      <c r="C17402" s="25" t="n">
        <f aca="false">SUMPRODUCT($G$17347:$K$17347,$G$17354:$K$17354)</f>
        <v>0</v>
      </c>
    </row>
    <row r="17403" customFormat="false" ht="15" hidden="false" customHeight="false" outlineLevel="0" collapsed="false">
      <c r="A17403" s="5" t="s">
        <v>284</v>
      </c>
      <c r="C17403" s="5" t="str">
        <f aca="false">IF(SUM($G$17347:$K$17347)=0,"n/a (beyond horizon)",IF(SUMPRODUCT($G$17347:$K$17347,$G$17344:$K$17344)&gt;0,"REFINANCING PASS","REFINANCING FAILURE"))</f>
        <v>REFINANCING PASS</v>
      </c>
    </row>
    <row r="17404" customFormat="false" ht="15" hidden="false" customHeight="false" outlineLevel="0" collapsed="false">
      <c r="A17404" s="5" t="s">
        <v>285</v>
      </c>
      <c r="C17404" s="5" t="str">
        <f aca="false">IF(SUM($G$17347:$K$17347)=0,"n/a",IF(C17402&gt;=C17401-0.001,"Repaid from cash",IF(SUMPRODUCT($G$17347:$K$17347,$G$17344:$K$17344)&gt;0,IF(C17402&gt;0,"Partly repaid; remainder refinanced","Refinanced"),IF(SUM($G$17356:$K$17356)&gt;0.001,IF(C17402&gt;0,"Partial repayment; PAYMENT DEFAULT","PAYMENT DEFAULT"),"Repaid from cash"))))</f>
        <v>Refinanced</v>
      </c>
    </row>
    <row r="17405" customFormat="false" ht="15" hidden="false" customHeight="false" outlineLevel="0" collapsed="false">
      <c r="A17405" s="5" t="s">
        <v>286</v>
      </c>
      <c r="C17405" s="25" t="n">
        <f aca="false">SUMPRODUCT($G$17360:$K$17360,$G$17359:$K$17359-$G$17365:$K$17365+$G$17364:$K$17364)</f>
        <v>504.4</v>
      </c>
    </row>
    <row r="17406" customFormat="false" ht="15" hidden="false" customHeight="false" outlineLevel="0" collapsed="false">
      <c r="A17406" s="5" t="s">
        <v>287</v>
      </c>
      <c r="C17406" s="25" t="n">
        <f aca="false">SUMPRODUCT($G$17360:$K$17360,$G$17367:$K$17367)</f>
        <v>0</v>
      </c>
    </row>
    <row r="17407" customFormat="false" ht="15" hidden="false" customHeight="false" outlineLevel="0" collapsed="false">
      <c r="A17407" s="5" t="s">
        <v>288</v>
      </c>
      <c r="C17407" s="5" t="str">
        <f aca="false">IF(SUM($G$17360:$K$17360)=0,"n/a (beyond horizon)",IF(SUMPRODUCT($G$17360:$K$17360,$G$17344:$K$17344)&gt;0,"REFINANCING PASS","REFINANCING FAILURE"))</f>
        <v>REFINANCING PASS</v>
      </c>
    </row>
    <row r="17408" customFormat="false" ht="15" hidden="false" customHeight="false" outlineLevel="0" collapsed="false">
      <c r="A17408" s="5" t="s">
        <v>289</v>
      </c>
      <c r="C17408" s="5" t="str">
        <f aca="false">IF(SUM($G$17360:$K$17360)=0,"n/a",IF(C17406&gt;=C17405-0.001,"Repaid from cash",IF(SUMPRODUCT($G$17360:$K$17360,$G$17344:$K$17344)&gt;0,IF(C17406&gt;0,"Partly repaid; remainder refinanced","Refinanced"),IF(SUM($G$17369:$K$17369)&gt;0.001,IF(C17406&gt;0,"Partial repayment; PAYMENT DEFAULT","PAYMENT DEFAULT"),"Repaid from cash"))))</f>
        <v>Refinanced</v>
      </c>
    </row>
    <row r="17409" customFormat="false" ht="15" hidden="false" customHeight="false" outlineLevel="0" collapsed="false">
      <c r="A17409" s="5" t="s">
        <v>290</v>
      </c>
      <c r="C17409" s="25" t="n">
        <f aca="false">SUMPRODUCT($G$17373:$K$17373,$G$17372:$K$17372-$G$17378:$K$17378+$G$17377:$K$17377)</f>
        <v>250</v>
      </c>
    </row>
    <row r="17410" customFormat="false" ht="15" hidden="false" customHeight="false" outlineLevel="0" collapsed="false">
      <c r="A17410" s="5" t="s">
        <v>291</v>
      </c>
      <c r="C17410" s="25" t="n">
        <f aca="false">SUMPRODUCT($G$17373:$K$17373,$G$17380:$K$17380)</f>
        <v>0</v>
      </c>
    </row>
    <row r="17411" customFormat="false" ht="15" hidden="false" customHeight="false" outlineLevel="0" collapsed="false">
      <c r="A17411" s="5" t="s">
        <v>292</v>
      </c>
      <c r="C17411" s="5" t="str">
        <f aca="false">IF(SUM($G$17373:$K$17373)=0,"n/a (beyond horizon)",IF(SUMPRODUCT($G$17373:$K$17373,$G$17344:$K$17344)&gt;0,"REFINANCING PASS","REFINANCING FAILURE"))</f>
        <v>REFINANCING PASS</v>
      </c>
    </row>
    <row r="17412" customFormat="false" ht="15" hidden="false" customHeight="false" outlineLevel="0" collapsed="false">
      <c r="A17412" s="5" t="s">
        <v>293</v>
      </c>
      <c r="C17412" s="5" t="str">
        <f aca="false">IF(SUM($G$17373:$K$17373)=0,"n/a",IF(C17410&gt;=C17409-0.001,"Repaid from cash",IF(SUMPRODUCT($G$17373:$K$17373,$G$17344:$K$17344)&gt;0,IF(C17410&gt;0,"Partly repaid; remainder refinanced","Refinanced"),IF(SUM($G$17382:$K$17382)&gt;0.001,IF(C17410&gt;0,"Partial repayment; PAYMENT DEFAULT","PAYMENT DEFAULT"),"Repaid from cash"))))</f>
        <v>Refinanced</v>
      </c>
    </row>
    <row r="17413" customFormat="false" ht="15" hidden="false" customHeight="false" outlineLevel="0" collapsed="false">
      <c r="A17413" s="5" t="s">
        <v>294</v>
      </c>
      <c r="C17413" s="25" t="n">
        <f aca="false">SUMPRODUCT($G$17386:$K$17386,$G$17385:$K$17385-$G$17391:$K$17391+$G$17390:$K$17390)</f>
        <v>300</v>
      </c>
    </row>
    <row r="17414" customFormat="false" ht="15" hidden="false" customHeight="false" outlineLevel="0" collapsed="false">
      <c r="A17414" s="5" t="s">
        <v>295</v>
      </c>
      <c r="C17414" s="25" t="n">
        <f aca="false">SUMPRODUCT($G$17386:$K$17386,$G$17393:$K$17393)</f>
        <v>0</v>
      </c>
    </row>
    <row r="17415" customFormat="false" ht="15" hidden="false" customHeight="false" outlineLevel="0" collapsed="false">
      <c r="A17415" s="5" t="s">
        <v>296</v>
      </c>
      <c r="C17415" s="5" t="str">
        <f aca="false">IF(SUM($G$17386:$K$17386)=0,"n/a (beyond horizon)",IF(SUMPRODUCT($G$17386:$K$17386,$G$17344:$K$17344)&gt;0,"REFINANCING PASS","REFINANCING FAILURE"))</f>
        <v>REFINANCING PASS</v>
      </c>
    </row>
    <row r="17416" customFormat="false" ht="15" hidden="false" customHeight="false" outlineLevel="0" collapsed="false">
      <c r="A17416" s="5" t="s">
        <v>297</v>
      </c>
      <c r="C17416" s="5" t="str">
        <f aca="false">IF(SUM($G$17386:$K$17386)=0,"n/a",IF(C17414&gt;=C17413-0.001,"Repaid from cash",IF(SUMPRODUCT($G$17386:$K$17386,$G$17344:$K$17344)&gt;0,IF(C17414&gt;0,"Partly repaid; remainder refinanced","Refinanced"),IF(SUM($G$17395:$K$17395)&gt;0.001,IF(C17414&gt;0,"Partial repayment; PAYMENT DEFAULT","PAYMENT DEFAULT"),"Repaid from cash"))))</f>
        <v>Refinanced</v>
      </c>
    </row>
    <row r="17417" customFormat="false" ht="15" hidden="false" customHeight="false" outlineLevel="0" collapsed="false">
      <c r="A17417" s="5" t="s">
        <v>298</v>
      </c>
      <c r="C17417" s="20" t="n">
        <f aca="false">IF(C17403="REFINANCING FAILURE",1,0)+IF(C17407="REFINANCING FAILURE",1,0)+IF(C17411="REFINANCING FAILURE",1,0)+IF(C17415="REFINANCING FAILURE",1,0)</f>
        <v>0</v>
      </c>
    </row>
    <row r="17419" customFormat="false" ht="15" hidden="false" customHeight="false" outlineLevel="0" collapsed="false">
      <c r="A17419" s="23" t="s">
        <v>300</v>
      </c>
      <c r="B17419" s="24"/>
      <c r="C17419" s="24"/>
      <c r="D17419" s="24"/>
      <c r="E17419" s="24"/>
      <c r="F17419" s="24"/>
      <c r="G17419" s="24"/>
      <c r="H17419" s="24"/>
      <c r="I17419" s="24"/>
      <c r="J17419" s="24"/>
      <c r="K17419" s="24"/>
    </row>
    <row r="17420" customFormat="false" ht="15" hidden="false" customHeight="false" outlineLevel="0" collapsed="false">
      <c r="A17420" s="5" t="s">
        <v>260</v>
      </c>
      <c r="G17420" s="25" t="n">
        <f aca="false">F17432</f>
        <v>45</v>
      </c>
      <c r="H17420" s="25" t="n">
        <f aca="false">G17432</f>
        <v>0</v>
      </c>
      <c r="I17420" s="25" t="n">
        <f aca="false">H17432</f>
        <v>-6.00915999999998</v>
      </c>
      <c r="J17420" s="25" t="n">
        <f aca="false">I17432</f>
        <v>0</v>
      </c>
      <c r="K17420" s="25" t="n">
        <f aca="false">J17432</f>
        <v>0</v>
      </c>
    </row>
    <row r="17421" customFormat="false" ht="15" hidden="false" customHeight="false" outlineLevel="0" collapsed="false">
      <c r="A17421" s="5" t="s">
        <v>301</v>
      </c>
      <c r="G17421" s="25" t="n">
        <f aca="false">G17333</f>
        <v>-9.24000000000001</v>
      </c>
      <c r="H17421" s="25" t="n">
        <f aca="false">H17333</f>
        <v>-0.809159999999978</v>
      </c>
      <c r="I17421" s="25" t="n">
        <f aca="false">I17333</f>
        <v>-9.94934960000002</v>
      </c>
      <c r="J17421" s="25" t="n">
        <f aca="false">J17333</f>
        <v>-14.378423312</v>
      </c>
      <c r="K17421" s="25" t="n">
        <f aca="false">K17333</f>
        <v>-12.59901176424</v>
      </c>
    </row>
    <row r="17422" customFormat="false" ht="15" hidden="false" customHeight="false" outlineLevel="0" collapsed="false">
      <c r="A17422" s="5" t="s">
        <v>302</v>
      </c>
      <c r="G17422" s="25" t="n">
        <f aca="false">CHOOSE($C$17303,Assumptions!$G$68,Assumptions!$G$87,Assumptions!$G$106)</f>
        <v>0</v>
      </c>
      <c r="H17422" s="25" t="n">
        <f aca="false">CHOOSE($C$17303,Assumptions!$H$68,Assumptions!$H$87,Assumptions!$H$106)</f>
        <v>0</v>
      </c>
      <c r="I17422" s="25" t="n">
        <f aca="false">CHOOSE($C$17303,Assumptions!$I$68,Assumptions!$I$87,Assumptions!$I$106)</f>
        <v>0</v>
      </c>
      <c r="J17422" s="25" t="n">
        <f aca="false">CHOOSE($C$17303,Assumptions!$J$68,Assumptions!$J$87,Assumptions!$J$106)</f>
        <v>0</v>
      </c>
      <c r="K17422" s="25" t="n">
        <f aca="false">CHOOSE($C$17303,Assumptions!$K$68,Assumptions!$K$87,Assumptions!$K$106)</f>
        <v>0</v>
      </c>
    </row>
    <row r="17423" customFormat="false" ht="15" hidden="false" customHeight="false" outlineLevel="0" collapsed="false">
      <c r="A17423" s="5" t="s">
        <v>303</v>
      </c>
      <c r="G17423" s="25" t="n">
        <f aca="false">G17352+G17365+G17378+G17391</f>
        <v>5.2</v>
      </c>
      <c r="H17423" s="25" t="n">
        <f aca="false">H17352+H17365+H17378+H17391</f>
        <v>5.2</v>
      </c>
      <c r="I17423" s="25" t="n">
        <f aca="false">I17352+I17365+I17378+I17391</f>
        <v>5.2</v>
      </c>
      <c r="J17423" s="25" t="n">
        <f aca="false">J17352+J17365+J17378+J17391</f>
        <v>5.2</v>
      </c>
      <c r="K17423" s="25" t="n">
        <f aca="false">K17352+K17365+K17378+K17391</f>
        <v>5.2</v>
      </c>
    </row>
    <row r="17424" customFormat="false" ht="15" hidden="false" customHeight="false" outlineLevel="0" collapsed="false">
      <c r="A17424" s="2" t="s">
        <v>304</v>
      </c>
      <c r="G17424" s="16" t="n">
        <f aca="false">G17420+G17421+G17422-G17423</f>
        <v>30.56</v>
      </c>
      <c r="H17424" s="16" t="n">
        <f aca="false">H17420+H17421+H17422-H17423</f>
        <v>-6.00915999999998</v>
      </c>
      <c r="I17424" s="16" t="n">
        <f aca="false">I17420+I17421+I17422-I17423</f>
        <v>-21.1585096</v>
      </c>
      <c r="J17424" s="16" t="n">
        <f aca="false">J17420+J17421+J17422-J17423</f>
        <v>-19.578423312</v>
      </c>
      <c r="K17424" s="16" t="n">
        <f aca="false">K17420+K17421+K17422-K17423</f>
        <v>-17.79901176424</v>
      </c>
    </row>
    <row r="17425" customFormat="false" ht="15" hidden="false" customHeight="false" outlineLevel="0" collapsed="false">
      <c r="A17425" s="5" t="s">
        <v>305</v>
      </c>
      <c r="G17425" s="25" t="n">
        <f aca="false">G17353+G17366+G17379+G17392</f>
        <v>0</v>
      </c>
      <c r="H17425" s="25" t="n">
        <f aca="false">H17353+H17366+H17379+H17392</f>
        <v>0</v>
      </c>
      <c r="I17425" s="25" t="n">
        <f aca="false">I17353+I17366+I17379+I17392</f>
        <v>21.1585096</v>
      </c>
      <c r="J17425" s="25" t="n">
        <f aca="false">J17353+J17366+J17379+J17392</f>
        <v>19.578423312</v>
      </c>
      <c r="K17425" s="25" t="n">
        <f aca="false">K17353+K17366+K17379+K17392</f>
        <v>17.79901176424</v>
      </c>
    </row>
    <row r="17426" customFormat="false" ht="15" hidden="false" customHeight="false" outlineLevel="0" collapsed="false">
      <c r="A17426" s="2" t="s">
        <v>306</v>
      </c>
      <c r="G17426" s="16" t="n">
        <f aca="false">G17424+G17425</f>
        <v>30.56</v>
      </c>
      <c r="H17426" s="16" t="n">
        <f aca="false">H17424+H17425</f>
        <v>-6.00915999999998</v>
      </c>
      <c r="I17426" s="16" t="n">
        <f aca="false">I17424+I17425</f>
        <v>0</v>
      </c>
      <c r="J17426" s="16" t="n">
        <f aca="false">J17424+J17425</f>
        <v>0</v>
      </c>
      <c r="K17426" s="16" t="n">
        <f aca="false">K17424+K17425</f>
        <v>0</v>
      </c>
    </row>
    <row r="17427" customFormat="false" ht="15" hidden="false" customHeight="false" outlineLevel="0" collapsed="false">
      <c r="A17427" s="5" t="s">
        <v>307</v>
      </c>
      <c r="G17427" s="25" t="n">
        <f aca="false">G17354+G17367+G17380+G17393</f>
        <v>0</v>
      </c>
      <c r="H17427" s="25" t="n">
        <f aca="false">H17354+H17367+H17380+H17393</f>
        <v>0</v>
      </c>
      <c r="I17427" s="25" t="n">
        <f aca="false">I17354+I17367+I17380+I17393</f>
        <v>0</v>
      </c>
      <c r="J17427" s="25" t="n">
        <f aca="false">J17354+J17367+J17380+J17393</f>
        <v>0</v>
      </c>
      <c r="K17427" s="25" t="n">
        <f aca="false">K17354+K17367+K17380+K17393</f>
        <v>0</v>
      </c>
    </row>
    <row r="17428" customFormat="false" ht="15" hidden="false" customHeight="false" outlineLevel="0" collapsed="false">
      <c r="A17428" s="2" t="s">
        <v>308</v>
      </c>
      <c r="G17428" s="16" t="n">
        <f aca="false">G17426-G17427</f>
        <v>30.56</v>
      </c>
      <c r="H17428" s="16" t="n">
        <f aca="false">H17426-H17427</f>
        <v>-6.00915999999998</v>
      </c>
      <c r="I17428" s="16" t="n">
        <f aca="false">I17426-I17427</f>
        <v>0</v>
      </c>
      <c r="J17428" s="16" t="n">
        <f aca="false">J17426-J17427</f>
        <v>0</v>
      </c>
      <c r="K17428" s="16" t="n">
        <f aca="false">K17426-K17427</f>
        <v>0</v>
      </c>
    </row>
    <row r="17429" customFormat="false" ht="15" hidden="false" customHeight="false" outlineLevel="0" collapsed="false">
      <c r="A17429" s="5" t="s">
        <v>309</v>
      </c>
      <c r="G17429" s="25" t="n">
        <f aca="false">MAX(0,-G17428)</f>
        <v>0</v>
      </c>
      <c r="H17429" s="25" t="n">
        <f aca="false">MAX(0,-H17428)</f>
        <v>6.00915999999998</v>
      </c>
      <c r="I17429" s="25" t="n">
        <f aca="false">MAX(0,-I17428)</f>
        <v>-0</v>
      </c>
      <c r="J17429" s="25" t="n">
        <f aca="false">MAX(0,-J17428)</f>
        <v>-0</v>
      </c>
      <c r="K17429" s="25" t="n">
        <f aca="false">MAX(0,-K17428)</f>
        <v>-0</v>
      </c>
    </row>
    <row r="17430" customFormat="false" ht="15" hidden="false" customHeight="false" outlineLevel="0" collapsed="false">
      <c r="A17430" s="5" t="s">
        <v>310</v>
      </c>
      <c r="G17430" s="25" t="n">
        <f aca="false">MAX(0,G17428-Assumptions!$C$12)*Assumptions!$C$13</f>
        <v>30.56</v>
      </c>
      <c r="H17430" s="25" t="n">
        <f aca="false">MAX(0,H17428-Assumptions!$C$12)*Assumptions!$C$13</f>
        <v>0</v>
      </c>
      <c r="I17430" s="25" t="n">
        <f aca="false">MAX(0,I17428-Assumptions!$C$12)*Assumptions!$C$13</f>
        <v>0</v>
      </c>
      <c r="J17430" s="25" t="n">
        <f aca="false">MAX(0,J17428-Assumptions!$C$12)*Assumptions!$C$13</f>
        <v>0</v>
      </c>
      <c r="K17430" s="25" t="n">
        <f aca="false">MAX(0,K17428-Assumptions!$C$12)*Assumptions!$C$13</f>
        <v>0</v>
      </c>
    </row>
    <row r="17431" customFormat="false" ht="15" hidden="false" customHeight="false" outlineLevel="0" collapsed="false">
      <c r="A17431" s="5" t="s">
        <v>311</v>
      </c>
      <c r="G17431" s="25" t="n">
        <f aca="false">G17355+G17368+G17381+G17394</f>
        <v>30.56</v>
      </c>
      <c r="H17431" s="25" t="n">
        <f aca="false">H17355+H17368+H17381+H17394</f>
        <v>0</v>
      </c>
      <c r="I17431" s="25" t="n">
        <f aca="false">I17355+I17368+I17381+I17394</f>
        <v>0</v>
      </c>
      <c r="J17431" s="25" t="n">
        <f aca="false">J17355+J17368+J17381+J17394</f>
        <v>0</v>
      </c>
      <c r="K17431" s="25" t="n">
        <f aca="false">K17355+K17368+K17381+K17394</f>
        <v>0</v>
      </c>
    </row>
    <row r="17432" customFormat="false" ht="15" hidden="false" customHeight="false" outlineLevel="0" collapsed="false">
      <c r="A17432" s="2" t="s">
        <v>312</v>
      </c>
      <c r="F17432" s="27" t="n">
        <f aca="false">Assumptions!$C$11</f>
        <v>45</v>
      </c>
      <c r="G17432" s="16" t="n">
        <f aca="false">G17428-G17431</f>
        <v>0</v>
      </c>
      <c r="H17432" s="16" t="n">
        <f aca="false">H17428-H17431</f>
        <v>-6.00915999999998</v>
      </c>
      <c r="I17432" s="16" t="n">
        <f aca="false">I17428-I17431</f>
        <v>0</v>
      </c>
      <c r="J17432" s="16" t="n">
        <f aca="false">J17428-J17431</f>
        <v>0</v>
      </c>
      <c r="K17432" s="16" t="n">
        <f aca="false">K17428-K17431</f>
        <v>0</v>
      </c>
    </row>
    <row r="17433" customFormat="false" ht="15" hidden="false" customHeight="false" outlineLevel="0" collapsed="false">
      <c r="A17433" s="5" t="s">
        <v>313</v>
      </c>
      <c r="G17433" s="25" t="n">
        <f aca="false">G17356+G17369+G17382+G17395</f>
        <v>0</v>
      </c>
      <c r="H17433" s="25" t="n">
        <f aca="false">H17356+H17369+H17382+H17395</f>
        <v>0</v>
      </c>
      <c r="I17433" s="25" t="n">
        <f aca="false">I17356+I17369+I17382+I17395</f>
        <v>0</v>
      </c>
      <c r="J17433" s="25" t="n">
        <f aca="false">J17356+J17369+J17382+J17395</f>
        <v>0</v>
      </c>
      <c r="K17433" s="25" t="n">
        <f aca="false">K17356+K17369+K17382+K17395</f>
        <v>0</v>
      </c>
    </row>
    <row r="17434" customFormat="false" ht="15" hidden="false" customHeight="false" outlineLevel="0" collapsed="false">
      <c r="A17434" s="5" t="s">
        <v>314</v>
      </c>
      <c r="G17434" s="20" t="n">
        <f aca="false">IF(OR(G17429&gt;0.001,G17433&gt;0.001),1,0)</f>
        <v>0</v>
      </c>
      <c r="H17434" s="20" t="n">
        <f aca="false">IF(OR(H17429&gt;0.001,H17433&gt;0.001),1,0)</f>
        <v>1</v>
      </c>
      <c r="I17434" s="20" t="n">
        <f aca="false">IF(OR(I17429&gt;0.001,I17433&gt;0.001),1,0)</f>
        <v>0</v>
      </c>
      <c r="J17434" s="20" t="n">
        <f aca="false">IF(OR(J17429&gt;0.001,J17433&gt;0.001),1,0)</f>
        <v>0</v>
      </c>
      <c r="K17434" s="20" t="n">
        <f aca="false">IF(OR(K17429&gt;0.001,K17433&gt;0.001),1,0)</f>
        <v>0</v>
      </c>
    </row>
    <row r="17435" customFormat="false" ht="15" hidden="false" customHeight="false" outlineLevel="0" collapsed="false">
      <c r="A17435" s="5" t="s">
        <v>315</v>
      </c>
      <c r="G17435" s="20" t="n">
        <f aca="false">IF(G17434=1,1,0)</f>
        <v>0</v>
      </c>
      <c r="H17435" s="20" t="n">
        <f aca="false">IF(AND(H17434=1,SUM($G$17434:G17434)=0),1,0)</f>
        <v>1</v>
      </c>
      <c r="I17435" s="20" t="n">
        <f aca="false">IF(AND(I17434=1,SUM($G$17434:H17434)=0),1,0)</f>
        <v>0</v>
      </c>
      <c r="J17435" s="20" t="n">
        <f aca="false">IF(AND(J17434=1,SUM($G$17434:I17434)=0),1,0)</f>
        <v>0</v>
      </c>
      <c r="K17435" s="20" t="n">
        <f aca="false">IF(AND(K17434=1,SUM($G$17434:J17434)=0),1,0)</f>
        <v>0</v>
      </c>
    </row>
    <row r="17436" customFormat="false" ht="15" hidden="false" customHeight="false" outlineLevel="0" collapsed="false">
      <c r="A17436" s="5" t="s">
        <v>316</v>
      </c>
      <c r="G17436" s="25" t="n">
        <f aca="false">(G17398-F17398)-(G17425+G17325-G17423-G17427-G17431)</f>
        <v>0</v>
      </c>
      <c r="H17436" s="25" t="n">
        <f aca="false">(H17398-G17398)-(H17425+H17325-H17423-H17427-H17431)</f>
        <v>-4.52970994047064E-014</v>
      </c>
      <c r="I17436" s="25" t="n">
        <f aca="false">(I17398-H17398)-(I17425+I17325-I17423-I17427-I17431)</f>
        <v>7.46069872548105E-014</v>
      </c>
      <c r="J17436" s="25" t="n">
        <f aca="false">(J17398-I17398)-(J17425+J17325-J17423-J17427-J17431)</f>
        <v>0</v>
      </c>
      <c r="K17436" s="25" t="n">
        <f aca="false">(K17398-J17398)-(K17425+K17325-K17423-K17427-K17431)</f>
        <v>0</v>
      </c>
    </row>
    <row r="17438" customFormat="false" ht="15" hidden="false" customHeight="false" outlineLevel="0" collapsed="false">
      <c r="A17438" s="23" t="s">
        <v>318</v>
      </c>
      <c r="B17438" s="24"/>
      <c r="C17438" s="24"/>
      <c r="D17438" s="24"/>
      <c r="E17438" s="24"/>
      <c r="F17438" s="24"/>
      <c r="G17438" s="24"/>
      <c r="H17438" s="24"/>
      <c r="I17438" s="24"/>
      <c r="J17438" s="24"/>
      <c r="K17438" s="24"/>
    </row>
    <row r="17439" customFormat="false" ht="15" hidden="false" customHeight="false" outlineLevel="0" collapsed="false">
      <c r="A17439" s="5" t="s">
        <v>319</v>
      </c>
      <c r="G17439" s="25" t="n">
        <f aca="false">G17398</f>
        <v>1214.24</v>
      </c>
      <c r="H17439" s="25" t="n">
        <f aca="false">H17398</f>
        <v>1209.04</v>
      </c>
      <c r="I17439" s="25" t="n">
        <f aca="false">I17398</f>
        <v>1224.9985096</v>
      </c>
      <c r="J17439" s="25" t="n">
        <f aca="false">J17398</f>
        <v>1239.376932912</v>
      </c>
      <c r="K17439" s="25" t="n">
        <f aca="false">K17398</f>
        <v>1251.97594467624</v>
      </c>
    </row>
    <row r="17440" customFormat="false" ht="15" hidden="false" customHeight="false" outlineLevel="0" collapsed="false">
      <c r="A17440" s="5" t="s">
        <v>320</v>
      </c>
      <c r="G17440" s="25" t="n">
        <f aca="false">Assumptions!$O$53*G17357+Assumptions!$O$54*G17370+Assumptions!$O$55*G17383+Assumptions!$O$56*G17396</f>
        <v>914.24</v>
      </c>
      <c r="H17440" s="25" t="n">
        <f aca="false">Assumptions!$O$53*H17357+Assumptions!$O$54*H17370+Assumptions!$O$55*H17383+Assumptions!$O$56*H17396</f>
        <v>909.04</v>
      </c>
      <c r="I17440" s="25" t="n">
        <f aca="false">Assumptions!$O$53*I17357+Assumptions!$O$54*I17370+Assumptions!$O$55*I17383+Assumptions!$O$56*I17396</f>
        <v>924.9985096</v>
      </c>
      <c r="J17440" s="25" t="n">
        <f aca="false">Assumptions!$O$53*J17357+Assumptions!$O$54*J17370+Assumptions!$O$55*J17383+Assumptions!$O$56*J17396</f>
        <v>939.376932912</v>
      </c>
      <c r="K17440" s="25" t="n">
        <f aca="false">Assumptions!$O$53*K17357+Assumptions!$O$54*K17370+Assumptions!$O$55*K17383+Assumptions!$O$56*K17396</f>
        <v>951.97594467624</v>
      </c>
    </row>
    <row r="17441" customFormat="false" ht="15" hidden="false" customHeight="false" outlineLevel="0" collapsed="false">
      <c r="A17441" s="5" t="s">
        <v>321</v>
      </c>
      <c r="G17441" s="25" t="n">
        <f aca="false">G17439-G17432</f>
        <v>1214.24</v>
      </c>
      <c r="H17441" s="25" t="n">
        <f aca="false">H17439-H17432</f>
        <v>1215.04916</v>
      </c>
      <c r="I17441" s="25" t="n">
        <f aca="false">I17439-I17432</f>
        <v>1224.9985096</v>
      </c>
      <c r="J17441" s="25" t="n">
        <f aca="false">J17439-J17432</f>
        <v>1239.376932912</v>
      </c>
      <c r="K17441" s="25" t="n">
        <f aca="false">K17439-K17432</f>
        <v>1251.97594467624</v>
      </c>
    </row>
    <row r="17442" customFormat="false" ht="15" hidden="false" customHeight="false" outlineLevel="0" collapsed="false">
      <c r="A17442" s="5" t="s">
        <v>322</v>
      </c>
      <c r="G17442" s="31" t="n">
        <f aca="false">IF(G17320&gt;0,G17439/G17320,0)</f>
        <v>7.86221186221186</v>
      </c>
      <c r="H17442" s="31" t="n">
        <f aca="false">IF(H17320&gt;0,H17439/H17320,0)</f>
        <v>7.67156970986309</v>
      </c>
      <c r="I17442" s="31" t="n">
        <f aca="false">IF(I17320&gt;0,I17439/I17320,0)</f>
        <v>7.62376751410553</v>
      </c>
      <c r="J17442" s="31" t="n">
        <f aca="false">IF(J17320&gt;0,J17439/J17320,0)</f>
        <v>7.5716937530992</v>
      </c>
      <c r="K17442" s="31" t="n">
        <f aca="false">IF(K17320&gt;0,K17439/K17320,0)</f>
        <v>7.51425466558389</v>
      </c>
    </row>
    <row r="17443" customFormat="false" ht="15" hidden="false" customHeight="false" outlineLevel="0" collapsed="false">
      <c r="A17443" s="5" t="s">
        <v>323</v>
      </c>
      <c r="G17443" s="31" t="n">
        <f aca="false">IF(G17320&gt;0,G17441/G17320,0)</f>
        <v>7.86221186221186</v>
      </c>
      <c r="H17443" s="31" t="n">
        <f aca="false">IF(H17320&gt;0,H17441/H17320,0)</f>
        <v>7.70969887832544</v>
      </c>
      <c r="I17443" s="31" t="n">
        <f aca="false">IF(I17320&gt;0,I17441/I17320,0)</f>
        <v>7.62376751410553</v>
      </c>
      <c r="J17443" s="31" t="n">
        <f aca="false">IF(J17320&gt;0,J17441/J17320,0)</f>
        <v>7.5716937530992</v>
      </c>
      <c r="K17443" s="31" t="n">
        <f aca="false">IF(K17320&gt;0,K17441/K17320,0)</f>
        <v>7.51425466558389</v>
      </c>
    </row>
    <row r="17444" customFormat="false" ht="15" hidden="false" customHeight="false" outlineLevel="0" collapsed="false">
      <c r="A17444" s="5" t="s">
        <v>324</v>
      </c>
      <c r="G17444" s="31" t="n">
        <f aca="false">IF(G17324&gt;0,G17320/G17324,0)</f>
        <v>1.29737903225806</v>
      </c>
      <c r="H17444" s="31" t="n">
        <f aca="false">IF(H17324&gt;0,H17320/H17324,0)</f>
        <v>1.37984675303662</v>
      </c>
      <c r="I17444" s="31" t="n">
        <f aca="false">IF(I17324&gt;0,I17320/I17324,0)</f>
        <v>1.26641336326206</v>
      </c>
      <c r="J17444" s="31" t="n">
        <f aca="false">IF(J17324&gt;0,J17320/J17324,0)</f>
        <v>1.21473661783139</v>
      </c>
      <c r="K17444" s="31" t="n">
        <f aca="false">IF(K17324&gt;0,K17320/K17324,0)</f>
        <v>1.22212036414877</v>
      </c>
    </row>
    <row r="17445" customFormat="false" ht="15" hidden="false" customHeight="false" outlineLevel="0" collapsed="false">
      <c r="A17445" s="5" t="s">
        <v>325</v>
      </c>
      <c r="G17445" s="31" t="n">
        <f aca="false">IF(G17324&gt;0,G17323/G17324,0)</f>
        <v>0.858266129032258</v>
      </c>
      <c r="H17445" s="31" t="n">
        <f aca="false">IF(H17324&gt;0,H17323/H17324,0)</f>
        <v>0.926762744576837</v>
      </c>
      <c r="I17445" s="31" t="n">
        <f aca="false">IF(I17324&gt;0,I17323/I17324,0)</f>
        <v>0.862629392366913</v>
      </c>
      <c r="J17445" s="31" t="n">
        <f aca="false">IF(J17324&gt;0,J17323/J17324,0)</f>
        <v>0.838339355968144</v>
      </c>
      <c r="K17445" s="31" t="n">
        <f aca="false">IF(K17324&gt;0,K17323/K17324,0)</f>
        <v>0.853810117419004</v>
      </c>
    </row>
    <row r="17446" customFormat="false" ht="15" hidden="false" customHeight="false" outlineLevel="0" collapsed="false">
      <c r="A17446" s="5" t="s">
        <v>182</v>
      </c>
      <c r="G17446" s="21" t="n">
        <f aca="false">IF(G17439&gt;0,G17333/G17439,0)</f>
        <v>-0.00760969824746344</v>
      </c>
      <c r="H17446" s="21" t="n">
        <f aca="false">IF(H17439&gt;0,H17333/H17439,0)</f>
        <v>-0.000669258254482877</v>
      </c>
      <c r="I17446" s="21" t="n">
        <f aca="false">IF(I17439&gt;0,I17333/I17439,0)</f>
        <v>-0.00812192792238481</v>
      </c>
      <c r="J17446" s="21" t="n">
        <f aca="false">IF(J17439&gt;0,J17333/J17439,0)</f>
        <v>-0.0116013320323922</v>
      </c>
      <c r="K17446" s="21" t="n">
        <f aca="false">IF(K17439&gt;0,K17333/K17439,0)</f>
        <v>-0.0100633017893152</v>
      </c>
    </row>
    <row r="17447" customFormat="false" ht="15" hidden="false" customHeight="false" outlineLevel="0" collapsed="false">
      <c r="A17447" s="5" t="s">
        <v>326</v>
      </c>
      <c r="G17447" s="31" t="n">
        <f aca="false">IF(G17324+G17423&gt;0,(G17320-G17331-G17328)/(G17324+G17423),0)</f>
        <v>0.860592401802962</v>
      </c>
      <c r="H17447" s="31" t="n">
        <f aca="false">IF(H17324+H17423&gt;0,(H17320-H17331-H17328)/(H17324+H17423),0)</f>
        <v>0.925802348838058</v>
      </c>
      <c r="I17447" s="31" t="n">
        <f aca="false">IF(I17324+I17423&gt;0,(I17320-I17331-I17328)/(I17324+I17423),0)</f>
        <v>0.863929842094743</v>
      </c>
      <c r="J17447" s="31" t="n">
        <f aca="false">IF(J17324+J17423&gt;0,(J17320-J17331-J17328)/(J17324+J17423),0)</f>
        <v>0.840136401281331</v>
      </c>
      <c r="K17447" s="31" t="n">
        <f aca="false">IF(K17324+K17423&gt;0,(K17320-K17331-K17328)/(K17324+K17423),0)</f>
        <v>0.854692886710214</v>
      </c>
    </row>
    <row r="17448" customFormat="false" ht="15" hidden="false" customHeight="false" outlineLevel="0" collapsed="false">
      <c r="A17448" s="5" t="s">
        <v>327</v>
      </c>
      <c r="G17448" s="25" t="n">
        <f aca="false">MAX(0,G17432)+Assumptions!$P$53*MAX(0,Assumptions!$D$53-G17357)+Assumptions!$P$54*MAX(0,Assumptions!$D$54-G17370)+Assumptions!$P$55*MAX(0,Assumptions!$D$55-G17383)+Assumptions!$P$56*MAX(0,Assumptions!$D$56-G17396)</f>
        <v>150.56</v>
      </c>
      <c r="H17448" s="25" t="n">
        <f aca="false">MAX(0,H17432)+Assumptions!$P$53*MAX(0,Assumptions!$D$53-H17357)+Assumptions!$P$54*MAX(0,Assumptions!$D$54-H17370)+Assumptions!$P$55*MAX(0,Assumptions!$D$55-H17383)+Assumptions!$P$56*MAX(0,Assumptions!$D$56-H17396)</f>
        <v>150.56</v>
      </c>
      <c r="I17448" s="25" t="n">
        <f aca="false">MAX(0,I17432)+Assumptions!$P$53*MAX(0,Assumptions!$D$53-I17357)+Assumptions!$P$54*MAX(0,Assumptions!$D$54-I17370)+Assumptions!$P$55*MAX(0,Assumptions!$D$55-I17383)+Assumptions!$P$56*MAX(0,Assumptions!$D$56-I17396)</f>
        <v>129.4014904</v>
      </c>
      <c r="J17448" s="25" t="n">
        <f aca="false">MAX(0,J17432)+Assumptions!$P$53*MAX(0,Assumptions!$D$53-J17357)+Assumptions!$P$54*MAX(0,Assumptions!$D$54-J17370)+Assumptions!$P$55*MAX(0,Assumptions!$D$55-J17383)+Assumptions!$P$56*MAX(0,Assumptions!$D$56-J17396)</f>
        <v>109.823067088</v>
      </c>
      <c r="K17448" s="25" t="n">
        <f aca="false">MAX(0,K17432)+Assumptions!$P$53*MAX(0,Assumptions!$D$53-K17357)+Assumptions!$P$54*MAX(0,Assumptions!$D$54-K17370)+Assumptions!$P$55*MAX(0,Assumptions!$D$55-K17383)+Assumptions!$P$56*MAX(0,Assumptions!$D$56-K17396)</f>
        <v>92.02405532376</v>
      </c>
    </row>
    <row r="17449" customFormat="false" ht="15" hidden="false" customHeight="false" outlineLevel="0" collapsed="false">
      <c r="A17449" s="5" t="s">
        <v>328</v>
      </c>
      <c r="G17449" s="21" t="n">
        <f aca="false">IF(G17439&gt;0,G17439/(G17439+MAX(0,G17320*CHOOSE($C$17303,Assumptions!$C$76,Assumptions!$C$95,Assumptions!$C$114)-G17441)),0)</f>
        <v>1</v>
      </c>
      <c r="H17449" s="21" t="n">
        <f aca="false">IF(H17439&gt;0,H17439/(H17439+MAX(0,H17320*CHOOSE($C$17303,Assumptions!$C$76,Assumptions!$C$95,Assumptions!$C$114)-H17441)),0)</f>
        <v>1</v>
      </c>
      <c r="I17449" s="21" t="n">
        <f aca="false">IF(I17439&gt;0,I17439/(I17439+MAX(0,I17320*CHOOSE($C$17303,Assumptions!$C$76,Assumptions!$C$95,Assumptions!$C$114)-I17441)),0)</f>
        <v>1</v>
      </c>
      <c r="J17449" s="21" t="n">
        <f aca="false">IF(J17439&gt;0,J17439/(J17439+MAX(0,J17320*CHOOSE($C$17303,Assumptions!$C$76,Assumptions!$C$95,Assumptions!$C$114)-J17441)),0)</f>
        <v>1</v>
      </c>
      <c r="K17449" s="21" t="n">
        <f aca="false">IF(K17439&gt;0,K17439/(K17439+MAX(0,K17320*CHOOSE($C$17303,Assumptions!$C$76,Assumptions!$C$95,Assumptions!$C$114)-K17441)),0)</f>
        <v>1</v>
      </c>
    </row>
    <row r="17450" customFormat="false" ht="15" hidden="false" customHeight="false" outlineLevel="0" collapsed="false">
      <c r="A17450" s="5" t="s">
        <v>329</v>
      </c>
      <c r="G17450" s="21" t="n">
        <f aca="false">IF(G17439&gt;0,MAX(0,G17432)/G17439,0)</f>
        <v>0</v>
      </c>
      <c r="H17450" s="21" t="n">
        <f aca="false">IF(H17439&gt;0,MAX(0,H17432)/H17439,0)</f>
        <v>0</v>
      </c>
      <c r="I17450" s="21" t="n">
        <f aca="false">IF(I17439&gt;0,MAX(0,I17432)/I17439,0)</f>
        <v>0</v>
      </c>
      <c r="J17450" s="21" t="n">
        <f aca="false">IF(J17439&gt;0,MAX(0,J17432)/J17439,0)</f>
        <v>0</v>
      </c>
      <c r="K17450" s="21" t="n">
        <f aca="false">IF(K17439&gt;0,MAX(0,K17432)/K17439,0)</f>
        <v>0</v>
      </c>
    </row>
    <row r="17451" customFormat="false" ht="15" hidden="false" customHeight="false" outlineLevel="0" collapsed="false">
      <c r="A17451" s="5" t="s">
        <v>330</v>
      </c>
      <c r="G17451" s="25" t="n">
        <f aca="false">Assumptions!$C$27*(1-CHOOSE($C$17303,Assumptions!$C$79,Assumptions!$C$98,Assumptions!$C$117))</f>
        <v>1040</v>
      </c>
      <c r="H17451" s="25" t="n">
        <f aca="false">Assumptions!$C$27*(1-CHOOSE($C$17303,Assumptions!$C$79,Assumptions!$C$98,Assumptions!$C$117))</f>
        <v>1040</v>
      </c>
      <c r="I17451" s="25" t="n">
        <f aca="false">Assumptions!$C$27*(1-CHOOSE($C$17303,Assumptions!$C$79,Assumptions!$C$98,Assumptions!$C$117))</f>
        <v>1040</v>
      </c>
      <c r="J17451" s="25" t="n">
        <f aca="false">Assumptions!$C$27*(1-CHOOSE($C$17303,Assumptions!$C$79,Assumptions!$C$98,Assumptions!$C$117))</f>
        <v>1040</v>
      </c>
      <c r="K17451" s="25" t="n">
        <f aca="false">Assumptions!$C$27*(1-CHOOSE($C$17303,Assumptions!$C$79,Assumptions!$C$98,Assumptions!$C$117))</f>
        <v>1040</v>
      </c>
    </row>
    <row r="17452" customFormat="false" ht="15" hidden="false" customHeight="false" outlineLevel="0" collapsed="false">
      <c r="A17452" s="23" t="s">
        <v>331</v>
      </c>
      <c r="B17452" s="24"/>
      <c r="C17452" s="24"/>
      <c r="D17452" s="24"/>
      <c r="E17452" s="24"/>
      <c r="F17452" s="24"/>
      <c r="G17452" s="24"/>
      <c r="H17452" s="24"/>
      <c r="I17452" s="24"/>
      <c r="J17452" s="24"/>
      <c r="K17452" s="24"/>
    </row>
    <row r="17453" customFormat="false" ht="15" hidden="false" customHeight="false" outlineLevel="0" collapsed="false">
      <c r="A17453" s="23" t="s">
        <v>332</v>
      </c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</row>
    <row r="17454" customFormat="false" ht="15" hidden="false" customHeight="false" outlineLevel="0" collapsed="false">
      <c r="A17454" s="5" t="s">
        <v>333</v>
      </c>
      <c r="G17454" s="31" t="n">
        <f aca="false">IF(G17320&gt;0,G17441/G17320,99)</f>
        <v>7.86221186221186</v>
      </c>
      <c r="H17454" s="31" t="n">
        <f aca="false">IF(H17320&gt;0,H17441/H17320,99)</f>
        <v>7.70969887832544</v>
      </c>
      <c r="I17454" s="31" t="n">
        <f aca="false">IF(I17320&gt;0,I17441/I17320,99)</f>
        <v>7.62376751410553</v>
      </c>
      <c r="J17454" s="31" t="n">
        <f aca="false">IF(J17320&gt;0,J17441/J17320,99)</f>
        <v>7.5716937530992</v>
      </c>
      <c r="K17454" s="31" t="n">
        <f aca="false">IF(K17320&gt;0,K17441/K17320,99)</f>
        <v>7.51425466558389</v>
      </c>
    </row>
    <row r="17455" customFormat="false" ht="15" hidden="false" customHeight="false" outlineLevel="0" collapsed="false">
      <c r="A17455" s="5" t="s">
        <v>334</v>
      </c>
      <c r="G17455" s="32" t="n">
        <f aca="false">Assumptions!$G$61</f>
        <v>8.5</v>
      </c>
      <c r="H17455" s="32" t="n">
        <f aca="false">Assumptions!$H$61</f>
        <v>8.5</v>
      </c>
      <c r="I17455" s="32" t="n">
        <f aca="false">Assumptions!$I$61</f>
        <v>8.5</v>
      </c>
      <c r="J17455" s="32" t="n">
        <f aca="false">Assumptions!$J$61</f>
        <v>8.5</v>
      </c>
      <c r="K17455" s="32" t="n">
        <f aca="false">Assumptions!$K$61</f>
        <v>8.5</v>
      </c>
    </row>
    <row r="17456" customFormat="false" ht="15" hidden="false" customHeight="false" outlineLevel="0" collapsed="false">
      <c r="A17456" s="5" t="s">
        <v>335</v>
      </c>
      <c r="G17456" s="31" t="n">
        <f aca="false">G17455-G17454</f>
        <v>0.637788137788138</v>
      </c>
      <c r="H17456" s="31" t="n">
        <f aca="false">H17455-H17454</f>
        <v>0.790301121674557</v>
      </c>
      <c r="I17456" s="31" t="n">
        <f aca="false">I17455-I17454</f>
        <v>0.876232485894469</v>
      </c>
      <c r="J17456" s="31" t="n">
        <f aca="false">J17455-J17454</f>
        <v>0.928306246900803</v>
      </c>
      <c r="K17456" s="31" t="n">
        <f aca="false">K17455-K17454</f>
        <v>0.985745334416111</v>
      </c>
    </row>
    <row r="17457" customFormat="false" ht="15" hidden="false" customHeight="false" outlineLevel="0" collapsed="false">
      <c r="A17457" s="5" t="s">
        <v>336</v>
      </c>
      <c r="G17457" s="21" t="n">
        <f aca="false">IF(G17455=0,0,G17456/ABS(G17455))</f>
        <v>0.0750338985633103</v>
      </c>
      <c r="H17457" s="21" t="n">
        <f aca="false">IF(H17455=0,0,H17456/ABS(H17455))</f>
        <v>0.0929766025499479</v>
      </c>
      <c r="I17457" s="21" t="n">
        <f aca="false">IF(I17455=0,0,I17456/ABS(I17455))</f>
        <v>0.103086174811114</v>
      </c>
      <c r="J17457" s="21" t="n">
        <f aca="false">IF(J17455=0,0,J17456/ABS(J17455))</f>
        <v>0.109212499635389</v>
      </c>
      <c r="K17457" s="21" t="n">
        <f aca="false">IF(K17455=0,0,K17456/ABS(K17455))</f>
        <v>0.115970039343072</v>
      </c>
    </row>
    <row r="17458" customFormat="false" ht="15" hidden="false" customHeight="false" outlineLevel="0" collapsed="false">
      <c r="A17458" s="5" t="s">
        <v>337</v>
      </c>
      <c r="G17458" s="20" t="n">
        <f aca="false">IF(G17456&lt;0,1,0)</f>
        <v>0</v>
      </c>
      <c r="H17458" s="20" t="n">
        <f aca="false">IF(H17456&lt;0,1,0)</f>
        <v>0</v>
      </c>
      <c r="I17458" s="20" t="n">
        <f aca="false">IF(I17456&lt;0,1,0)</f>
        <v>0</v>
      </c>
      <c r="J17458" s="20" t="n">
        <f aca="false">IF(J17456&lt;0,1,0)</f>
        <v>0</v>
      </c>
      <c r="K17458" s="20" t="n">
        <f aca="false">IF(K17456&lt;0,1,0)</f>
        <v>0</v>
      </c>
    </row>
    <row r="17459" customFormat="false" ht="15" hidden="false" customHeight="false" outlineLevel="0" collapsed="false">
      <c r="A17459" s="5" t="s">
        <v>338</v>
      </c>
      <c r="C17459" s="20" t="n">
        <f aca="false">IFERROR(INDEX($G$17310:$K$17310,MATCH(1,$G$17458:$K$17458,0)),0)</f>
        <v>0</v>
      </c>
    </row>
    <row r="17460" customFormat="false" ht="15" hidden="false" customHeight="false" outlineLevel="0" collapsed="false">
      <c r="A17460" s="5" t="s">
        <v>339</v>
      </c>
      <c r="C17460" s="21" t="n">
        <f aca="false">MIN($G$17457:$K$17457)</f>
        <v>0.0750338985633103</v>
      </c>
    </row>
    <row r="17461" customFormat="false" ht="15" hidden="false" customHeight="false" outlineLevel="0" collapsed="false">
      <c r="A17461" s="5" t="s">
        <v>340</v>
      </c>
      <c r="G17461" s="20" t="n">
        <f aca="false">G17458</f>
        <v>0</v>
      </c>
      <c r="H17461" s="20" t="n">
        <f aca="false">H17458</f>
        <v>0</v>
      </c>
      <c r="I17461" s="20" t="n">
        <f aca="false">I17458</f>
        <v>0</v>
      </c>
      <c r="J17461" s="20" t="n">
        <f aca="false">J17458</f>
        <v>0</v>
      </c>
      <c r="K17461" s="20" t="n">
        <f aca="false">K17458</f>
        <v>0</v>
      </c>
    </row>
    <row r="17462" customFormat="false" ht="15" hidden="false" customHeight="false" outlineLevel="0" collapsed="false">
      <c r="A17462" s="5" t="s">
        <v>341</v>
      </c>
      <c r="C17462" s="20" t="n">
        <f aca="false">SUM($G$17461:$K$17461)</f>
        <v>0</v>
      </c>
    </row>
    <row r="17463" customFormat="false" ht="15" hidden="false" customHeight="false" outlineLevel="0" collapsed="false">
      <c r="A17463" s="5" t="s">
        <v>342</v>
      </c>
      <c r="C17463" s="21" t="n">
        <f aca="false">MIN(C17460)</f>
        <v>0.0750338985633103</v>
      </c>
    </row>
    <row r="17465" customFormat="false" ht="15" hidden="false" customHeight="false" outlineLevel="0" collapsed="false">
      <c r="A17465" s="23" t="s">
        <v>444</v>
      </c>
      <c r="B17465" s="24"/>
      <c r="C17465" s="24"/>
      <c r="D17465" s="24"/>
      <c r="E17465" s="24"/>
      <c r="F17465" s="24"/>
      <c r="G17465" s="24"/>
      <c r="H17465" s="24"/>
      <c r="I17465" s="24"/>
      <c r="J17465" s="24"/>
      <c r="K17465" s="24"/>
    </row>
    <row r="17466" customFormat="false" ht="15" hidden="false" customHeight="false" outlineLevel="0" collapsed="false">
      <c r="A17466" s="5" t="s">
        <v>445</v>
      </c>
      <c r="G17466" s="20" t="n">
        <f aca="false">IF($C$17467=1,G17435,IF(G17320=MIN($G$17320:$K$17320),1,0))</f>
        <v>0</v>
      </c>
      <c r="H17466" s="20" t="n">
        <f aca="false">IF($C$17467=1,H17435,IF(AND(H17320=MIN($G$17320:$K$17320),SUM($G$17466:G17466)=0),1,0))</f>
        <v>1</v>
      </c>
      <c r="I17466" s="20" t="n">
        <f aca="false">IF($C$17467=1,I17435,IF(AND(I17320=MIN($G$17320:$K$17320),SUM($G$17466:H17466)=0),1,0))</f>
        <v>0</v>
      </c>
      <c r="J17466" s="20" t="n">
        <f aca="false">IF($C$17467=1,J17435,IF(AND(J17320=MIN($G$17320:$K$17320),SUM($G$17466:I17466)=0),1,0))</f>
        <v>0</v>
      </c>
      <c r="K17466" s="20" t="n">
        <f aca="false">IF($C$17467=1,K17435,IF(AND(K17320=MIN($G$17320:$K$17320),SUM($G$17466:J17466)=0),1,0))</f>
        <v>0</v>
      </c>
    </row>
    <row r="17467" customFormat="false" ht="15" hidden="false" customHeight="false" outlineLevel="0" collapsed="false">
      <c r="A17467" s="5" t="s">
        <v>446</v>
      </c>
      <c r="C17467" s="20" t="n">
        <f aca="false">IF(SUM($G$17435:$K$17435)&gt;0,1,0)</f>
        <v>1</v>
      </c>
    </row>
    <row r="17468" customFormat="false" ht="15" hidden="false" customHeight="false" outlineLevel="0" collapsed="false">
      <c r="A17468" s="5" t="s">
        <v>447</v>
      </c>
      <c r="C17468" s="20" t="n">
        <f aca="false">SUMPRODUCT($G$17466:$K$17466,$G$17310:$K$17310)</f>
        <v>2027</v>
      </c>
    </row>
    <row r="17469" customFormat="false" ht="15" hidden="false" customHeight="false" outlineLevel="0" collapsed="false">
      <c r="A17469" s="5" t="s">
        <v>448</v>
      </c>
      <c r="C17469" s="25" t="n">
        <f aca="false">SUMPRODUCT($G$17466:$K$17466,$G$17320:$K$17320)</f>
        <v>157.60008</v>
      </c>
    </row>
    <row r="17470" customFormat="false" ht="15" hidden="false" customHeight="false" outlineLevel="0" collapsed="false">
      <c r="A17470" s="5" t="s">
        <v>449</v>
      </c>
      <c r="C17470" s="25" t="n">
        <f aca="false">MAX(0,SUMPRODUCT($G$17466:$K$17466,$G$17432:$K$17432))</f>
        <v>0</v>
      </c>
    </row>
    <row r="17471" customFormat="false" ht="15" hidden="false" customHeight="false" outlineLevel="0" collapsed="false">
      <c r="A17471" s="5" t="s">
        <v>450</v>
      </c>
      <c r="C17471" s="25" t="n">
        <f aca="false">(CHOOSE($C$17303,Assumptions!$C$78,Assumptions!$C$97,Assumptions!$C$116)+$C$17307)*C17469</f>
        <v>472.80024</v>
      </c>
    </row>
    <row r="17472" customFormat="false" ht="15" hidden="false" customHeight="false" outlineLevel="0" collapsed="false">
      <c r="A17472" s="5" t="s">
        <v>451</v>
      </c>
      <c r="C17472" s="25" t="n">
        <f aca="false">Assumptions!$C$27*(1-CHOOSE($C$17303,Assumptions!$C$79,Assumptions!$C$98,Assumptions!$C$117))*CHOOSE($C$17303,Assumptions!$C$80,Assumptions!$C$99,Assumptions!$C$118)</f>
        <v>624</v>
      </c>
    </row>
    <row r="17473" customFormat="false" ht="15" hidden="false" customHeight="false" outlineLevel="0" collapsed="false">
      <c r="A17473" s="5" t="s">
        <v>452</v>
      </c>
      <c r="C17473" s="25" t="n">
        <f aca="false">MAX(C17471,C17472)+C17470</f>
        <v>624</v>
      </c>
    </row>
    <row r="17474" customFormat="false" ht="15" hidden="false" customHeight="false" outlineLevel="0" collapsed="false">
      <c r="A17474" s="2" t="s">
        <v>453</v>
      </c>
      <c r="C17474" s="16" t="n">
        <f aca="false">IF(ISNUMBER(Assumptions!$C$14),Assumptions!$C$14,C17473)</f>
        <v>624</v>
      </c>
    </row>
    <row r="17475" customFormat="false" ht="15" hidden="false" customHeight="false" outlineLevel="0" collapsed="false">
      <c r="A17475" s="5" t="s">
        <v>454</v>
      </c>
      <c r="C17475" s="25" t="n">
        <f aca="false">C17474*Assumptions!$C$15</f>
        <v>24.96</v>
      </c>
    </row>
    <row r="17476" customFormat="false" ht="15" hidden="false" customHeight="false" outlineLevel="0" collapsed="false">
      <c r="A17476" s="2" t="s">
        <v>455</v>
      </c>
      <c r="C17476" s="16" t="n">
        <f aca="false">C17474-C17475</f>
        <v>599.04</v>
      </c>
    </row>
    <row r="17477" customFormat="false" ht="15" hidden="false" customHeight="false" outlineLevel="0" collapsed="false">
      <c r="A17477" s="23" t="s">
        <v>456</v>
      </c>
      <c r="B17477" s="24"/>
      <c r="C17477" s="24"/>
      <c r="D17477" s="24"/>
      <c r="E17477" s="24"/>
      <c r="F17477" s="24"/>
      <c r="G17477" s="24"/>
      <c r="H17477" s="24"/>
      <c r="I17477" s="24"/>
      <c r="J17477" s="24"/>
      <c r="K17477" s="24"/>
    </row>
    <row r="17478" customFormat="false" ht="15" hidden="false" customHeight="false" outlineLevel="0" collapsed="false">
      <c r="A17478" s="5" t="s">
        <v>457</v>
      </c>
      <c r="C17478" s="25" t="n">
        <f aca="false">SUMPRODUCT($G$17466:$K$17466,$G$17357:$K$17357)*(1+SUMPRODUCT($G$17466:$K$17466,$G$17349:$K$17349)*Assumptions!$C$16/12)</f>
        <v>152.55956</v>
      </c>
    </row>
    <row r="17479" customFormat="false" ht="15" hidden="false" customHeight="false" outlineLevel="0" collapsed="false">
      <c r="A17479" s="5" t="s">
        <v>458</v>
      </c>
      <c r="C17479" s="25" t="n">
        <f aca="false">SUMPRODUCT($G$17466:$K$17466,$G$17370:$K$17370)*(1+SUMPRODUCT($G$17466:$K$17466,$G$17362:$K$17362)*Assumptions!$C$16/12)</f>
        <v>522.4037</v>
      </c>
    </row>
    <row r="17480" customFormat="false" ht="15" hidden="false" customHeight="false" outlineLevel="0" collapsed="false">
      <c r="A17480" s="5" t="s">
        <v>459</v>
      </c>
      <c r="C17480" s="25" t="n">
        <f aca="false">SUMPRODUCT($G$17466:$K$17466,$G$17383:$K$17383)*(1+SUMPRODUCT($G$17466:$K$17466,$G$17375:$K$17375)*Assumptions!$C$16/12)</f>
        <v>256.875</v>
      </c>
    </row>
    <row r="17481" customFormat="false" ht="15" hidden="false" customHeight="false" outlineLevel="0" collapsed="false">
      <c r="A17481" s="5" t="s">
        <v>460</v>
      </c>
      <c r="C17481" s="25" t="n">
        <f aca="false">SUMPRODUCT($G$17466:$K$17466,$G$17396:$K$17396)*(1+SUMPRODUCT($G$17466:$K$17466,$G$17388:$K$17388)*Assumptions!$C$16/12)</f>
        <v>305.625</v>
      </c>
    </row>
    <row r="17482" customFormat="false" ht="15" hidden="false" customHeight="false" outlineLevel="0" collapsed="false">
      <c r="A17482" s="23" t="s">
        <v>461</v>
      </c>
      <c r="B17482" s="24"/>
      <c r="C17482" s="24"/>
      <c r="D17482" s="24"/>
      <c r="E17482" s="24"/>
      <c r="F17482" s="24"/>
      <c r="G17482" s="24"/>
      <c r="H17482" s="24"/>
      <c r="I17482" s="24"/>
      <c r="J17482" s="24"/>
      <c r="K17482" s="24"/>
    </row>
    <row r="17483" customFormat="false" ht="15" hidden="false" customHeight="false" outlineLevel="0" collapsed="false">
      <c r="A17483" s="5" t="s">
        <v>457</v>
      </c>
      <c r="C17483" s="26" t="n">
        <f aca="false">Assumptions!$M$53</f>
        <v>1</v>
      </c>
    </row>
    <row r="17484" customFormat="false" ht="15" hidden="false" customHeight="false" outlineLevel="0" collapsed="false">
      <c r="A17484" s="5" t="s">
        <v>458</v>
      </c>
      <c r="C17484" s="26" t="n">
        <f aca="false">Assumptions!$M$54</f>
        <v>2</v>
      </c>
    </row>
    <row r="17485" customFormat="false" ht="15" hidden="false" customHeight="false" outlineLevel="0" collapsed="false">
      <c r="A17485" s="5" t="s">
        <v>459</v>
      </c>
      <c r="C17485" s="26" t="n">
        <f aca="false">Assumptions!$M$55</f>
        <v>3</v>
      </c>
    </row>
    <row r="17486" customFormat="false" ht="15" hidden="false" customHeight="false" outlineLevel="0" collapsed="false">
      <c r="A17486" s="5" t="s">
        <v>460</v>
      </c>
      <c r="C17486" s="26" t="n">
        <f aca="false">Assumptions!$M$56</f>
        <v>4</v>
      </c>
    </row>
    <row r="17487" customFormat="false" ht="15" hidden="false" customHeight="false" outlineLevel="0" collapsed="false">
      <c r="A17487" s="23" t="s">
        <v>462</v>
      </c>
      <c r="B17487" s="24"/>
      <c r="C17487" s="24"/>
      <c r="D17487" s="24"/>
      <c r="E17487" s="24"/>
      <c r="F17487" s="24"/>
      <c r="G17487" s="24"/>
      <c r="H17487" s="24"/>
      <c r="I17487" s="24"/>
      <c r="J17487" s="24"/>
      <c r="K17487" s="24"/>
    </row>
    <row r="17488" customFormat="false" ht="15" hidden="false" customHeight="false" outlineLevel="0" collapsed="false">
      <c r="A17488" s="5" t="s">
        <v>457</v>
      </c>
      <c r="C17488" s="34" t="n">
        <f aca="false">Assumptions!$Q$53</f>
        <v>0</v>
      </c>
    </row>
    <row r="17489" customFormat="false" ht="15" hidden="false" customHeight="false" outlineLevel="0" collapsed="false">
      <c r="A17489" s="5" t="s">
        <v>458</v>
      </c>
      <c r="C17489" s="34" t="n">
        <f aca="false">Assumptions!$Q$54</f>
        <v>0</v>
      </c>
    </row>
    <row r="17490" customFormat="false" ht="15" hidden="false" customHeight="false" outlineLevel="0" collapsed="false">
      <c r="A17490" s="5" t="s">
        <v>459</v>
      </c>
      <c r="C17490" s="34" t="n">
        <f aca="false">Assumptions!$Q$55</f>
        <v>0</v>
      </c>
    </row>
    <row r="17491" customFormat="false" ht="15" hidden="false" customHeight="false" outlineLevel="0" collapsed="false">
      <c r="A17491" s="5" t="s">
        <v>460</v>
      </c>
      <c r="C17491" s="34" t="n">
        <f aca="false">Assumptions!$Q$56</f>
        <v>0</v>
      </c>
    </row>
    <row r="17492" customFormat="false" ht="15" hidden="false" customHeight="false" outlineLevel="0" collapsed="false">
      <c r="A17492" s="23" t="s">
        <v>463</v>
      </c>
      <c r="B17492" s="24"/>
      <c r="C17492" s="24"/>
      <c r="D17492" s="24"/>
      <c r="E17492" s="24"/>
      <c r="F17492" s="24"/>
      <c r="G17492" s="24"/>
      <c r="H17492" s="24"/>
      <c r="I17492" s="24"/>
      <c r="J17492" s="24"/>
      <c r="K17492" s="24"/>
    </row>
    <row r="17493" customFormat="false" ht="15" hidden="false" customHeight="false" outlineLevel="0" collapsed="false">
      <c r="A17493" s="5" t="s">
        <v>457</v>
      </c>
      <c r="C17493" s="25" t="n">
        <f aca="false">IF(C17488&gt;0,MIN(C17478,C17488*$C$17476),0)</f>
        <v>0</v>
      </c>
    </row>
    <row r="17494" customFormat="false" ht="15" hidden="false" customHeight="false" outlineLevel="0" collapsed="false">
      <c r="A17494" s="5" t="s">
        <v>458</v>
      </c>
      <c r="C17494" s="25" t="n">
        <f aca="false">IF(C17489&gt;0,MIN(C17479,C17489*$C$17476),0)</f>
        <v>0</v>
      </c>
    </row>
    <row r="17495" customFormat="false" ht="15" hidden="false" customHeight="false" outlineLevel="0" collapsed="false">
      <c r="A17495" s="5" t="s">
        <v>459</v>
      </c>
      <c r="C17495" s="25" t="n">
        <f aca="false">IF(C17490&gt;0,MIN(C17480,C17490*$C$17476),0)</f>
        <v>0</v>
      </c>
    </row>
    <row r="17496" customFormat="false" ht="15" hidden="false" customHeight="false" outlineLevel="0" collapsed="false">
      <c r="A17496" s="5" t="s">
        <v>460</v>
      </c>
      <c r="C17496" s="25" t="n">
        <f aca="false">IF(C17491&gt;0,MIN(C17481,C17491*$C$17476),0)</f>
        <v>0</v>
      </c>
    </row>
    <row r="17497" customFormat="false" ht="15" hidden="false" customHeight="false" outlineLevel="0" collapsed="false">
      <c r="A17497" s="23" t="s">
        <v>464</v>
      </c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</row>
    <row r="17498" customFormat="false" ht="15" hidden="false" customHeight="false" outlineLevel="0" collapsed="false">
      <c r="A17498" s="5" t="s">
        <v>457</v>
      </c>
      <c r="C17498" s="25" t="n">
        <f aca="false">IF(C17488&gt;0,C17478-C17493,0)</f>
        <v>0</v>
      </c>
      <c r="G17498" s="20" t="n">
        <f aca="false">IF(AND(G17347=1,G17344=1),1,0)</f>
        <v>0</v>
      </c>
      <c r="H17498" s="20" t="n">
        <f aca="false">IF(G17498=1,1,IF(AND(H17347=1,H17344=1),1,0))</f>
        <v>1</v>
      </c>
      <c r="I17498" s="20" t="n">
        <f aca="false">IF(H17498=1,1,IF(AND(I17347=1,I17344=1),1,0))</f>
        <v>1</v>
      </c>
      <c r="J17498" s="20" t="n">
        <f aca="false">IF(I17498=1,1,IF(AND(J17347=1,J17344=1),1,0))</f>
        <v>1</v>
      </c>
      <c r="K17498" s="20" t="n">
        <f aca="false">IF(J17498=1,1,IF(AND(K17347=1,K17344=1),1,0))</f>
        <v>1</v>
      </c>
    </row>
    <row r="17499" customFormat="false" ht="15" hidden="false" customHeight="false" outlineLevel="0" collapsed="false">
      <c r="A17499" s="5" t="s">
        <v>458</v>
      </c>
      <c r="C17499" s="25" t="n">
        <f aca="false">IF(C17489&gt;0,C17479-C17494,0)</f>
        <v>0</v>
      </c>
      <c r="G17499" s="20" t="n">
        <f aca="false">IF(AND(G17360=1,G17344=1),1,0)</f>
        <v>0</v>
      </c>
      <c r="H17499" s="20" t="n">
        <f aca="false">IF(G17499=1,1,IF(AND(H17360=1,H17344=1),1,0))</f>
        <v>0</v>
      </c>
      <c r="I17499" s="20" t="n">
        <f aca="false">IF(H17499=1,1,IF(AND(I17360=1,I17344=1),1,0))</f>
        <v>1</v>
      </c>
      <c r="J17499" s="20" t="n">
        <f aca="false">IF(I17499=1,1,IF(AND(J17360=1,J17344=1),1,0))</f>
        <v>1</v>
      </c>
      <c r="K17499" s="20" t="n">
        <f aca="false">IF(J17499=1,1,IF(AND(K17360=1,K17344=1),1,0))</f>
        <v>1</v>
      </c>
    </row>
    <row r="17500" customFormat="false" ht="15" hidden="false" customHeight="false" outlineLevel="0" collapsed="false">
      <c r="A17500" s="5" t="s">
        <v>459</v>
      </c>
      <c r="C17500" s="25" t="n">
        <f aca="false">IF(C17490&gt;0,C17480-C17495,0)</f>
        <v>0</v>
      </c>
      <c r="G17500" s="20" t="n">
        <f aca="false">IF(AND(G17373=1,G17344=1),1,0)</f>
        <v>0</v>
      </c>
      <c r="H17500" s="20" t="n">
        <f aca="false">IF(G17500=1,1,IF(AND(H17373=1,H17344=1),1,0))</f>
        <v>0</v>
      </c>
      <c r="I17500" s="20" t="n">
        <f aca="false">IF(H17500=1,1,IF(AND(I17373=1,I17344=1),1,0))</f>
        <v>0</v>
      </c>
      <c r="J17500" s="20" t="n">
        <f aca="false">IF(I17500=1,1,IF(AND(J17373=1,J17344=1),1,0))</f>
        <v>1</v>
      </c>
      <c r="K17500" s="20" t="n">
        <f aca="false">IF(J17500=1,1,IF(AND(K17373=1,K17344=1),1,0))</f>
        <v>1</v>
      </c>
    </row>
    <row r="17501" customFormat="false" ht="15" hidden="false" customHeight="false" outlineLevel="0" collapsed="false">
      <c r="A17501" s="5" t="s">
        <v>460</v>
      </c>
      <c r="C17501" s="25" t="n">
        <f aca="false">IF(C17491&gt;0,C17481-C17496,0)</f>
        <v>0</v>
      </c>
      <c r="G17501" s="20" t="n">
        <f aca="false">IF(AND(G17386=1,G17344=1),1,0)</f>
        <v>0</v>
      </c>
      <c r="H17501" s="20" t="n">
        <f aca="false">IF(G17501=1,1,IF(AND(H17386=1,H17344=1),1,0))</f>
        <v>1</v>
      </c>
      <c r="I17501" s="20" t="n">
        <f aca="false">IF(H17501=1,1,IF(AND(I17386=1,I17344=1),1,0))</f>
        <v>1</v>
      </c>
      <c r="J17501" s="20" t="n">
        <f aca="false">IF(I17501=1,1,IF(AND(J17386=1,J17344=1),1,0))</f>
        <v>1</v>
      </c>
      <c r="K17501" s="20" t="n">
        <f aca="false">IF(J17501=1,1,IF(AND(K17386=1,K17344=1),1,0))</f>
        <v>1</v>
      </c>
    </row>
    <row r="17502" customFormat="false" ht="15" hidden="false" customHeight="false" outlineLevel="0" collapsed="false">
      <c r="A17502" s="23" t="s">
        <v>465</v>
      </c>
      <c r="B17502" s="24"/>
      <c r="C17502" s="24"/>
      <c r="D17502" s="24"/>
      <c r="E17502" s="24"/>
      <c r="F17502" s="24"/>
      <c r="G17502" s="24"/>
      <c r="H17502" s="24"/>
      <c r="I17502" s="24"/>
      <c r="J17502" s="24"/>
      <c r="K17502" s="24"/>
    </row>
    <row r="17503" customFormat="false" ht="15" hidden="false" customHeight="false" outlineLevel="0" collapsed="false">
      <c r="A17503" s="5" t="s">
        <v>457</v>
      </c>
      <c r="C17503" s="25" t="n">
        <f aca="false">IF(C17488&gt;0,C17498,C17478)</f>
        <v>152.55956</v>
      </c>
    </row>
    <row r="17504" customFormat="false" ht="15" hidden="false" customHeight="false" outlineLevel="0" collapsed="false">
      <c r="A17504" s="5" t="s">
        <v>458</v>
      </c>
      <c r="C17504" s="25" t="n">
        <f aca="false">IF(C17489&gt;0,C17499,C17479)</f>
        <v>522.4037</v>
      </c>
    </row>
    <row r="17505" customFormat="false" ht="15" hidden="false" customHeight="false" outlineLevel="0" collapsed="false">
      <c r="A17505" s="5" t="s">
        <v>459</v>
      </c>
      <c r="C17505" s="25" t="n">
        <f aca="false">IF(C17490&gt;0,C17500,C17480)</f>
        <v>256.875</v>
      </c>
    </row>
    <row r="17506" customFormat="false" ht="15" hidden="false" customHeight="false" outlineLevel="0" collapsed="false">
      <c r="A17506" s="5" t="s">
        <v>460</v>
      </c>
      <c r="C17506" s="25" t="n">
        <f aca="false">IF(C17491&gt;0,C17501,C17481)</f>
        <v>305.625</v>
      </c>
    </row>
    <row r="17507" customFormat="false" ht="15" hidden="false" customHeight="false" outlineLevel="0" collapsed="false">
      <c r="A17507" s="23" t="s">
        <v>466</v>
      </c>
      <c r="B17507" s="24"/>
      <c r="C17507" s="24"/>
      <c r="D17507" s="24"/>
      <c r="E17507" s="24"/>
      <c r="F17507" s="24"/>
      <c r="G17507" s="24"/>
      <c r="H17507" s="24"/>
      <c r="I17507" s="24"/>
      <c r="J17507" s="24"/>
      <c r="K17507" s="24"/>
    </row>
    <row r="17508" customFormat="false" ht="15" hidden="false" customHeight="false" outlineLevel="0" collapsed="false">
      <c r="A17508" s="5" t="s">
        <v>457</v>
      </c>
      <c r="C17508" s="20" t="n">
        <f aca="false">IF(C17488&gt;0,Assumptions!$C$17,C17483)</f>
        <v>1</v>
      </c>
    </row>
    <row r="17509" customFormat="false" ht="15" hidden="false" customHeight="false" outlineLevel="0" collapsed="false">
      <c r="A17509" s="5" t="s">
        <v>458</v>
      </c>
      <c r="C17509" s="20" t="n">
        <f aca="false">IF(C17489&gt;0,Assumptions!$C$17,C17484)</f>
        <v>2</v>
      </c>
    </row>
    <row r="17510" customFormat="false" ht="15" hidden="false" customHeight="false" outlineLevel="0" collapsed="false">
      <c r="A17510" s="5" t="s">
        <v>459</v>
      </c>
      <c r="C17510" s="20" t="n">
        <f aca="false">IF(C17490&gt;0,Assumptions!$C$17,C17485)</f>
        <v>3</v>
      </c>
    </row>
    <row r="17511" customFormat="false" ht="15" hidden="false" customHeight="false" outlineLevel="0" collapsed="false">
      <c r="A17511" s="5" t="s">
        <v>460</v>
      </c>
      <c r="C17511" s="20" t="n">
        <f aca="false">IF(C17491&gt;0,Assumptions!$C$17,C17486)</f>
        <v>4</v>
      </c>
    </row>
    <row r="17512" customFormat="false" ht="15" hidden="false" customHeight="false" outlineLevel="0" collapsed="false">
      <c r="A17512" s="23" t="s">
        <v>467</v>
      </c>
      <c r="B17512" s="24"/>
      <c r="C17512" s="24"/>
      <c r="D17512" s="24"/>
      <c r="E17512" s="24"/>
      <c r="F17512" s="24"/>
      <c r="G17512" s="24"/>
      <c r="H17512" s="24"/>
      <c r="I17512" s="24"/>
      <c r="J17512" s="24"/>
      <c r="K17512" s="24"/>
    </row>
    <row r="17513" customFormat="false" ht="15" hidden="false" customHeight="false" outlineLevel="0" collapsed="false">
      <c r="A17513" s="5" t="s">
        <v>457</v>
      </c>
      <c r="C17513" s="25" t="n">
        <f aca="false">SUMPRODUCT(($C$17508:$C$17511&lt;C17508)*$C$17503:$C$17506)</f>
        <v>0</v>
      </c>
    </row>
    <row r="17514" customFormat="false" ht="15" hidden="false" customHeight="false" outlineLevel="0" collapsed="false">
      <c r="A17514" s="5" t="s">
        <v>458</v>
      </c>
      <c r="C17514" s="25" t="n">
        <f aca="false">SUMPRODUCT(($C$17508:$C$17511&lt;C17509)*$C$17503:$C$17506)</f>
        <v>152.55956</v>
      </c>
    </row>
    <row r="17515" customFormat="false" ht="15" hidden="false" customHeight="false" outlineLevel="0" collapsed="false">
      <c r="A17515" s="5" t="s">
        <v>459</v>
      </c>
      <c r="C17515" s="25" t="n">
        <f aca="false">SUMPRODUCT(($C$17508:$C$17511&lt;C17510)*$C$17503:$C$17506)</f>
        <v>674.96326</v>
      </c>
    </row>
    <row r="17516" customFormat="false" ht="15" hidden="false" customHeight="false" outlineLevel="0" collapsed="false">
      <c r="A17516" s="5" t="s">
        <v>460</v>
      </c>
      <c r="C17516" s="25" t="n">
        <f aca="false">SUMPRODUCT(($C$17508:$C$17511&lt;C17511)*$C$17503:$C$17506)</f>
        <v>931.83826</v>
      </c>
    </row>
    <row r="17517" customFormat="false" ht="15" hidden="false" customHeight="false" outlineLevel="0" collapsed="false">
      <c r="A17517" s="23" t="s">
        <v>468</v>
      </c>
      <c r="B17517" s="24"/>
      <c r="C17517" s="24"/>
      <c r="D17517" s="24"/>
      <c r="E17517" s="24"/>
      <c r="F17517" s="24"/>
      <c r="G17517" s="24"/>
      <c r="H17517" s="24"/>
      <c r="I17517" s="24"/>
      <c r="J17517" s="24"/>
      <c r="K17517" s="24"/>
    </row>
    <row r="17518" customFormat="false" ht="15" hidden="false" customHeight="false" outlineLevel="0" collapsed="false">
      <c r="A17518" s="5" t="s">
        <v>457</v>
      </c>
      <c r="C17518" s="25" t="n">
        <f aca="false">SUMPRODUCT(($C$17508:$C$17511=C17508)*$C$17503:$C$17506)</f>
        <v>152.55956</v>
      </c>
    </row>
    <row r="17519" customFormat="false" ht="15" hidden="false" customHeight="false" outlineLevel="0" collapsed="false">
      <c r="A17519" s="5" t="s">
        <v>458</v>
      </c>
      <c r="C17519" s="25" t="n">
        <f aca="false">SUMPRODUCT(($C$17508:$C$17511=C17509)*$C$17503:$C$17506)</f>
        <v>522.4037</v>
      </c>
    </row>
    <row r="17520" customFormat="false" ht="15" hidden="false" customHeight="false" outlineLevel="0" collapsed="false">
      <c r="A17520" s="5" t="s">
        <v>459</v>
      </c>
      <c r="C17520" s="25" t="n">
        <f aca="false">SUMPRODUCT(($C$17508:$C$17511=C17510)*$C$17503:$C$17506)</f>
        <v>256.875</v>
      </c>
    </row>
    <row r="17521" customFormat="false" ht="15" hidden="false" customHeight="false" outlineLevel="0" collapsed="false">
      <c r="A17521" s="5" t="s">
        <v>460</v>
      </c>
      <c r="C17521" s="25" t="n">
        <f aca="false">SUMPRODUCT(($C$17508:$C$17511=C17511)*$C$17503:$C$17506)</f>
        <v>305.625</v>
      </c>
    </row>
    <row r="17522" customFormat="false" ht="15" hidden="false" customHeight="false" outlineLevel="0" collapsed="false">
      <c r="A17522" s="23" t="s">
        <v>469</v>
      </c>
      <c r="B17522" s="24"/>
      <c r="C17522" s="24"/>
      <c r="D17522" s="24"/>
      <c r="E17522" s="24"/>
      <c r="F17522" s="24"/>
      <c r="G17522" s="24"/>
      <c r="H17522" s="24"/>
      <c r="I17522" s="24"/>
      <c r="J17522" s="24"/>
      <c r="K17522" s="24"/>
    </row>
    <row r="17523" customFormat="false" ht="15" hidden="false" customHeight="false" outlineLevel="0" collapsed="false">
      <c r="A17523" s="5" t="s">
        <v>457</v>
      </c>
      <c r="C17523" s="25" t="n">
        <f aca="false">IF(C17518=0,0,C17503/C17518*MAX(0,MIN(C17518,$C$17476-SUM($C$17493:$C$17496)-C17513)))</f>
        <v>152.55956</v>
      </c>
    </row>
    <row r="17524" customFormat="false" ht="15" hidden="false" customHeight="false" outlineLevel="0" collapsed="false">
      <c r="A17524" s="5" t="s">
        <v>458</v>
      </c>
      <c r="C17524" s="25" t="n">
        <f aca="false">IF(C17519=0,0,C17504/C17519*MAX(0,MIN(C17519,$C$17476-SUM($C$17493:$C$17496)-C17514)))</f>
        <v>446.48044</v>
      </c>
    </row>
    <row r="17525" customFormat="false" ht="15" hidden="false" customHeight="false" outlineLevel="0" collapsed="false">
      <c r="A17525" s="5" t="s">
        <v>459</v>
      </c>
      <c r="C17525" s="25" t="n">
        <f aca="false">IF(C17520=0,0,C17505/C17520*MAX(0,MIN(C17520,$C$17476-SUM($C$17493:$C$17496)-C17515)))</f>
        <v>0</v>
      </c>
    </row>
    <row r="17526" customFormat="false" ht="15" hidden="false" customHeight="false" outlineLevel="0" collapsed="false">
      <c r="A17526" s="5" t="s">
        <v>460</v>
      </c>
      <c r="C17526" s="25" t="n">
        <f aca="false">IF(C17521=0,0,C17506/C17521*MAX(0,MIN(C17521,$C$17476-SUM($C$17493:$C$17496)-C17516)))</f>
        <v>0</v>
      </c>
    </row>
    <row r="17527" customFormat="false" ht="15" hidden="false" customHeight="false" outlineLevel="0" collapsed="false">
      <c r="A17527" s="23" t="s">
        <v>470</v>
      </c>
      <c r="B17527" s="24"/>
      <c r="C17527" s="24"/>
      <c r="D17527" s="24"/>
      <c r="E17527" s="24"/>
      <c r="F17527" s="24"/>
      <c r="G17527" s="24"/>
      <c r="H17527" s="24"/>
      <c r="I17527" s="24"/>
      <c r="J17527" s="24"/>
      <c r="K17527" s="24"/>
    </row>
    <row r="17528" customFormat="false" ht="15" hidden="false" customHeight="false" outlineLevel="0" collapsed="false">
      <c r="A17528" s="2" t="s">
        <v>457</v>
      </c>
      <c r="C17528" s="16" t="n">
        <f aca="false">C17493+C17523</f>
        <v>152.55956</v>
      </c>
    </row>
    <row r="17529" customFormat="false" ht="15" hidden="false" customHeight="false" outlineLevel="0" collapsed="false">
      <c r="A17529" s="2" t="s">
        <v>458</v>
      </c>
      <c r="C17529" s="16" t="n">
        <f aca="false">C17494+C17524</f>
        <v>446.48044</v>
      </c>
    </row>
    <row r="17530" customFormat="false" ht="15" hidden="false" customHeight="false" outlineLevel="0" collapsed="false">
      <c r="A17530" s="2" t="s">
        <v>459</v>
      </c>
      <c r="C17530" s="16" t="n">
        <f aca="false">C17495+C17525</f>
        <v>0</v>
      </c>
    </row>
    <row r="17531" customFormat="false" ht="15" hidden="false" customHeight="false" outlineLevel="0" collapsed="false">
      <c r="A17531" s="2" t="s">
        <v>460</v>
      </c>
      <c r="C17531" s="16" t="n">
        <f aca="false">C17496+C17526</f>
        <v>0</v>
      </c>
    </row>
    <row r="17532" customFormat="false" ht="15" hidden="false" customHeight="false" outlineLevel="0" collapsed="false">
      <c r="A17532" s="23" t="s">
        <v>471</v>
      </c>
      <c r="B17532" s="24"/>
      <c r="C17532" s="24"/>
      <c r="D17532" s="24"/>
      <c r="E17532" s="24"/>
      <c r="F17532" s="24"/>
      <c r="G17532" s="24"/>
      <c r="H17532" s="24"/>
      <c r="I17532" s="24"/>
      <c r="J17532" s="24"/>
      <c r="K17532" s="24"/>
    </row>
    <row r="17533" customFormat="false" ht="15" hidden="false" customHeight="false" outlineLevel="0" collapsed="false">
      <c r="A17533" s="5" t="s">
        <v>457</v>
      </c>
      <c r="C17533" s="21" t="n">
        <f aca="false">IF(C17478=0,1,C17528/C17478)</f>
        <v>1</v>
      </c>
    </row>
    <row r="17534" customFormat="false" ht="15" hidden="false" customHeight="false" outlineLevel="0" collapsed="false">
      <c r="A17534" s="5" t="s">
        <v>458</v>
      </c>
      <c r="C17534" s="21" t="n">
        <f aca="false">IF(C17479=0,1,C17529/C17479)</f>
        <v>0.854665539313753</v>
      </c>
    </row>
    <row r="17535" customFormat="false" ht="15" hidden="false" customHeight="false" outlineLevel="0" collapsed="false">
      <c r="A17535" s="5" t="s">
        <v>459</v>
      </c>
      <c r="C17535" s="21" t="n">
        <f aca="false">IF(C17480=0,1,C17530/C17480)</f>
        <v>0</v>
      </c>
    </row>
    <row r="17536" customFormat="false" ht="15" hidden="false" customHeight="false" outlineLevel="0" collapsed="false">
      <c r="A17536" s="5" t="s">
        <v>460</v>
      </c>
      <c r="C17536" s="21" t="n">
        <f aca="false">IF(C17481=0,1,C17531/C17481)</f>
        <v>0</v>
      </c>
    </row>
    <row r="17537" customFormat="false" ht="15" hidden="false" customHeight="false" outlineLevel="0" collapsed="false">
      <c r="A17537" s="23" t="s">
        <v>472</v>
      </c>
      <c r="B17537" s="24"/>
      <c r="C17537" s="24"/>
      <c r="D17537" s="24"/>
      <c r="E17537" s="24"/>
      <c r="F17537" s="24"/>
      <c r="G17537" s="24"/>
      <c r="H17537" s="24"/>
      <c r="I17537" s="24"/>
      <c r="J17537" s="24"/>
      <c r="K17537" s="24"/>
    </row>
    <row r="17538" customFormat="false" ht="15" hidden="false" customHeight="false" outlineLevel="0" collapsed="false">
      <c r="A17538" s="5" t="s">
        <v>457</v>
      </c>
      <c r="C17538" s="25" t="n">
        <f aca="false">C17478-C17528</f>
        <v>0</v>
      </c>
    </row>
    <row r="17539" customFormat="false" ht="15" hidden="false" customHeight="false" outlineLevel="0" collapsed="false">
      <c r="A17539" s="5" t="s">
        <v>458</v>
      </c>
      <c r="C17539" s="25" t="n">
        <f aca="false">C17479-C17529</f>
        <v>75.92326</v>
      </c>
    </row>
    <row r="17540" customFormat="false" ht="15" hidden="false" customHeight="false" outlineLevel="0" collapsed="false">
      <c r="A17540" s="5" t="s">
        <v>459</v>
      </c>
      <c r="C17540" s="25" t="n">
        <f aca="false">C17480-C17530</f>
        <v>256.875</v>
      </c>
    </row>
    <row r="17541" customFormat="false" ht="15" hidden="false" customHeight="false" outlineLevel="0" collapsed="false">
      <c r="A17541" s="5" t="s">
        <v>460</v>
      </c>
      <c r="C17541" s="25" t="n">
        <f aca="false">C17481-C17531</f>
        <v>305.625</v>
      </c>
    </row>
    <row r="17542" customFormat="false" ht="15" hidden="false" customHeight="false" outlineLevel="0" collapsed="false">
      <c r="A17542" s="23" t="s">
        <v>473</v>
      </c>
      <c r="B17542" s="24"/>
      <c r="C17542" s="24"/>
      <c r="D17542" s="24"/>
      <c r="E17542" s="24"/>
      <c r="F17542" s="24"/>
      <c r="G17542" s="24"/>
      <c r="H17542" s="24"/>
      <c r="I17542" s="24"/>
      <c r="J17542" s="24"/>
      <c r="K17542" s="24"/>
    </row>
    <row r="17543" customFormat="false" ht="15" hidden="false" customHeight="false" outlineLevel="0" collapsed="false">
      <c r="A17543" s="5" t="s">
        <v>457</v>
      </c>
      <c r="C17543" s="21" t="n">
        <f aca="false">IF(C17478=0,0,C17538/C17478)</f>
        <v>0</v>
      </c>
    </row>
    <row r="17544" customFormat="false" ht="15" hidden="false" customHeight="false" outlineLevel="0" collapsed="false">
      <c r="A17544" s="5" t="s">
        <v>458</v>
      </c>
      <c r="C17544" s="21" t="n">
        <f aca="false">IF(C17479=0,0,C17539/C17479)</f>
        <v>0.145334460686247</v>
      </c>
    </row>
    <row r="17545" customFormat="false" ht="15" hidden="false" customHeight="false" outlineLevel="0" collapsed="false">
      <c r="A17545" s="5" t="s">
        <v>459</v>
      </c>
      <c r="C17545" s="21" t="n">
        <f aca="false">IF(C17480=0,0,C17540/C17480)</f>
        <v>1</v>
      </c>
    </row>
    <row r="17546" customFormat="false" ht="15" hidden="false" customHeight="false" outlineLevel="0" collapsed="false">
      <c r="A17546" s="5" t="s">
        <v>460</v>
      </c>
      <c r="C17546" s="21" t="n">
        <f aca="false">IF(C17481=0,0,C17541/C17481)</f>
        <v>1</v>
      </c>
    </row>
    <row r="17547" customFormat="false" ht="15" hidden="false" customHeight="false" outlineLevel="0" collapsed="false">
      <c r="A17547" s="2" t="s">
        <v>474</v>
      </c>
      <c r="C17547" s="16" t="n">
        <f aca="false">MAX(0,$C$17476-SUM($C$17493:$C$17496)-SUM($C$17503:$C$17506))</f>
        <v>0</v>
      </c>
    </row>
    <row r="17548" customFormat="false" ht="15" hidden="false" customHeight="false" outlineLevel="0" collapsed="false">
      <c r="A17548" s="5" t="s">
        <v>475</v>
      </c>
      <c r="C17548" s="25" t="n">
        <f aca="false">SUM($C$17528:$C$17531)+C17547+C17475-C17474</f>
        <v>0</v>
      </c>
    </row>
    <row r="17550" customFormat="false" ht="15" hidden="false" customHeight="false" outlineLevel="0" collapsed="false">
      <c r="A17550" s="23" t="s">
        <v>478</v>
      </c>
      <c r="B17550" s="24"/>
      <c r="C17550" s="24"/>
      <c r="D17550" s="24"/>
      <c r="E17550" s="24"/>
      <c r="F17550" s="24"/>
      <c r="G17550" s="24"/>
      <c r="H17550" s="24"/>
      <c r="I17550" s="24"/>
      <c r="J17550" s="24"/>
      <c r="K17550" s="24"/>
    </row>
    <row r="17551" customFormat="false" ht="15" hidden="false" customHeight="false" outlineLevel="0" collapsed="false">
      <c r="A17551" s="5" t="s">
        <v>479</v>
      </c>
      <c r="C17551" s="26" t="n">
        <f aca="false">Assumptions!$C$30</f>
        <v>2</v>
      </c>
    </row>
    <row r="17552" customFormat="false" ht="15" hidden="false" customHeight="false" outlineLevel="0" collapsed="false">
      <c r="A17552" s="5" t="s">
        <v>480</v>
      </c>
      <c r="C17552" s="28" t="n">
        <f aca="false">Assumptions!$C$31</f>
        <v>100</v>
      </c>
    </row>
    <row r="17553" customFormat="false" ht="15" hidden="false" customHeight="false" outlineLevel="0" collapsed="false">
      <c r="A17553" s="5" t="s">
        <v>481</v>
      </c>
      <c r="C17553" s="39" t="n">
        <f aca="false">Assumptions!$C$32</f>
        <v>78</v>
      </c>
    </row>
    <row r="17554" customFormat="false" ht="15" hidden="false" customHeight="false" outlineLevel="0" collapsed="false">
      <c r="A17554" s="5" t="s">
        <v>482</v>
      </c>
      <c r="C17554" s="25" t="n">
        <f aca="false">C17552*C17553/100*(1+Assumptions!$C$33)</f>
        <v>78.39</v>
      </c>
    </row>
    <row r="17555" customFormat="false" ht="15" hidden="false" customHeight="false" outlineLevel="0" collapsed="false">
      <c r="A17555" s="5" t="s">
        <v>483</v>
      </c>
      <c r="C17555" s="26" t="n">
        <f aca="false">Assumptions!$C$34</f>
        <v>2</v>
      </c>
    </row>
    <row r="17556" customFormat="false" ht="15" hidden="false" customHeight="false" outlineLevel="0" collapsed="false">
      <c r="A17556" s="5" t="s">
        <v>484</v>
      </c>
      <c r="C17556" s="20" t="n">
        <f aca="false">IF(C17467=1,SUMPRODUCT($G$17435:$K$17435,$G$17311:$K$17311),0)</f>
        <v>2</v>
      </c>
    </row>
    <row r="17557" customFormat="false" ht="15" hidden="false" customHeight="false" outlineLevel="0" collapsed="false">
      <c r="A17557" s="5" t="s">
        <v>485</v>
      </c>
      <c r="C17557" s="21" t="n">
        <f aca="false">IFERROR(C17552/CHOOSE(C17551,SUMPRODUCT($G$17466:$K$17466,$G$17357:$K$17357),SUMPRODUCT($G$17466:$K$17466,$G$17370:$K$17370),SUMPRODUCT($G$17466:$K$17466,$G$17383:$K$17383),SUMPRODUCT($G$17466:$K$17466,$G$17396:$K$17396)),0)</f>
        <v>0.196232339089482</v>
      </c>
    </row>
    <row r="17558" customFormat="false" ht="15" hidden="false" customHeight="false" outlineLevel="0" collapsed="false">
      <c r="A17558" s="5" t="s">
        <v>486</v>
      </c>
      <c r="C17558" s="25" t="n">
        <f aca="false">CHOOSE(C17551,C17528,C17529,C17530,C17531)*C17557</f>
        <v>87.6139010989011</v>
      </c>
    </row>
    <row r="17559" customFormat="false" ht="15" hidden="false" customHeight="false" outlineLevel="0" collapsed="false">
      <c r="A17559" s="5" t="s">
        <v>487</v>
      </c>
      <c r="C17559" s="21" t="n">
        <f aca="false">CHOOSE(C17551,C17533,C17534,C17535,C17536)</f>
        <v>0.854665539313753</v>
      </c>
    </row>
    <row r="17560" customFormat="false" ht="15" hidden="false" customHeight="false" outlineLevel="0" collapsed="false">
      <c r="A17560" s="5" t="s">
        <v>488</v>
      </c>
      <c r="C17560" s="20" t="n">
        <f aca="false">IF(C17467=1,C17556,C17555)</f>
        <v>2</v>
      </c>
    </row>
    <row r="17561" customFormat="false" ht="15" hidden="false" customHeight="false" outlineLevel="0" collapsed="false">
      <c r="A17561" s="5" t="s">
        <v>489</v>
      </c>
      <c r="C17561" s="33" t="n">
        <f aca="false">CHOOSE($C$17303,Assumptions!$C$77,Assumptions!$C$96,Assumptions!$C$115)</f>
        <v>100</v>
      </c>
    </row>
    <row r="17562" customFormat="false" ht="15" hidden="false" customHeight="false" outlineLevel="0" collapsed="false">
      <c r="A17562" s="5" t="s">
        <v>490</v>
      </c>
      <c r="C17562" s="25" t="n">
        <f aca="false">INDEX($G$17320:$K$17320,C17555)*CHOOSE($C$17303,Assumptions!$C$76,Assumptions!$C$95,Assumptions!$C$114)+MAX(0,INDEX($G$17432:$K$17432,C17555))</f>
        <v>1024.40052</v>
      </c>
    </row>
    <row r="17563" customFormat="false" ht="15" hidden="false" customHeight="false" outlineLevel="0" collapsed="false">
      <c r="A17563" s="23" t="s">
        <v>491</v>
      </c>
      <c r="B17563" s="24"/>
      <c r="C17563" s="24"/>
      <c r="D17563" s="24"/>
      <c r="E17563" s="24"/>
      <c r="F17563" s="24"/>
      <c r="G17563" s="24"/>
      <c r="H17563" s="24"/>
      <c r="I17563" s="24"/>
      <c r="J17563" s="24"/>
      <c r="K17563" s="24"/>
    </row>
    <row r="17564" customFormat="false" ht="15" hidden="false" customHeight="false" outlineLevel="0" collapsed="false">
      <c r="A17564" s="5" t="s">
        <v>457</v>
      </c>
      <c r="C17564" s="25" t="n">
        <f aca="false">INDEX($G$17357:$K$17357,C17555)</f>
        <v>149.44</v>
      </c>
    </row>
    <row r="17565" customFormat="false" ht="15" hidden="false" customHeight="false" outlineLevel="0" collapsed="false">
      <c r="A17565" s="5" t="s">
        <v>458</v>
      </c>
      <c r="C17565" s="25" t="n">
        <f aca="false">INDEX($G$17370:$K$17370,C17555)</f>
        <v>509.6</v>
      </c>
    </row>
    <row r="17566" customFormat="false" ht="15" hidden="false" customHeight="false" outlineLevel="0" collapsed="false">
      <c r="A17566" s="5" t="s">
        <v>459</v>
      </c>
      <c r="C17566" s="25" t="n">
        <f aca="false">INDEX($G$17383:$K$17383,C17555)</f>
        <v>250</v>
      </c>
    </row>
    <row r="17567" customFormat="false" ht="15" hidden="false" customHeight="false" outlineLevel="0" collapsed="false">
      <c r="A17567" s="5" t="s">
        <v>460</v>
      </c>
      <c r="C17567" s="25" t="n">
        <f aca="false">INDEX($G$17396:$K$17396,C17555)</f>
        <v>300</v>
      </c>
    </row>
    <row r="17568" customFormat="false" ht="15" hidden="false" customHeight="false" outlineLevel="0" collapsed="false">
      <c r="A17568" s="23" t="s">
        <v>461</v>
      </c>
      <c r="B17568" s="24"/>
      <c r="C17568" s="24"/>
      <c r="D17568" s="24"/>
      <c r="E17568" s="24"/>
      <c r="F17568" s="24"/>
      <c r="G17568" s="24"/>
      <c r="H17568" s="24"/>
      <c r="I17568" s="24"/>
      <c r="J17568" s="24"/>
      <c r="K17568" s="24"/>
    </row>
    <row r="17569" customFormat="false" ht="15" hidden="false" customHeight="false" outlineLevel="0" collapsed="false">
      <c r="A17569" s="5" t="s">
        <v>457</v>
      </c>
      <c r="C17569" s="26" t="n">
        <f aca="false">Assumptions!$M$53</f>
        <v>1</v>
      </c>
    </row>
    <row r="17570" customFormat="false" ht="15" hidden="false" customHeight="false" outlineLevel="0" collapsed="false">
      <c r="A17570" s="5" t="s">
        <v>458</v>
      </c>
      <c r="C17570" s="26" t="n">
        <f aca="false">Assumptions!$M$54</f>
        <v>2</v>
      </c>
    </row>
    <row r="17571" customFormat="false" ht="15" hidden="false" customHeight="false" outlineLevel="0" collapsed="false">
      <c r="A17571" s="5" t="s">
        <v>459</v>
      </c>
      <c r="C17571" s="26" t="n">
        <f aca="false">Assumptions!$M$55</f>
        <v>3</v>
      </c>
    </row>
    <row r="17572" customFormat="false" ht="15" hidden="false" customHeight="false" outlineLevel="0" collapsed="false">
      <c r="A17572" s="5" t="s">
        <v>460</v>
      </c>
      <c r="C17572" s="26" t="n">
        <f aca="false">Assumptions!$M$56</f>
        <v>4</v>
      </c>
    </row>
    <row r="17573" customFormat="false" ht="15" hidden="false" customHeight="false" outlineLevel="0" collapsed="false">
      <c r="A17573" s="23" t="s">
        <v>462</v>
      </c>
      <c r="B17573" s="24"/>
      <c r="C17573" s="24"/>
      <c r="D17573" s="24"/>
      <c r="E17573" s="24"/>
      <c r="F17573" s="24"/>
      <c r="G17573" s="24"/>
      <c r="H17573" s="24"/>
      <c r="I17573" s="24"/>
      <c r="J17573" s="24"/>
      <c r="K17573" s="24"/>
    </row>
    <row r="17574" customFormat="false" ht="15" hidden="false" customHeight="false" outlineLevel="0" collapsed="false">
      <c r="A17574" s="5" t="s">
        <v>457</v>
      </c>
      <c r="C17574" s="34" t="n">
        <f aca="false">Assumptions!$Q$53</f>
        <v>0</v>
      </c>
    </row>
    <row r="17575" customFormat="false" ht="15" hidden="false" customHeight="false" outlineLevel="0" collapsed="false">
      <c r="A17575" s="5" t="s">
        <v>458</v>
      </c>
      <c r="C17575" s="34" t="n">
        <f aca="false">Assumptions!$Q$54</f>
        <v>0</v>
      </c>
    </row>
    <row r="17576" customFormat="false" ht="15" hidden="false" customHeight="false" outlineLevel="0" collapsed="false">
      <c r="A17576" s="5" t="s">
        <v>459</v>
      </c>
      <c r="C17576" s="34" t="n">
        <f aca="false">Assumptions!$Q$55</f>
        <v>0</v>
      </c>
    </row>
    <row r="17577" customFormat="false" ht="15" hidden="false" customHeight="false" outlineLevel="0" collapsed="false">
      <c r="A17577" s="5" t="s">
        <v>460</v>
      </c>
      <c r="C17577" s="34" t="n">
        <f aca="false">Assumptions!$Q$56</f>
        <v>0</v>
      </c>
    </row>
    <row r="17578" customFormat="false" ht="15" hidden="false" customHeight="false" outlineLevel="0" collapsed="false">
      <c r="A17578" s="23" t="s">
        <v>463</v>
      </c>
      <c r="B17578" s="24"/>
      <c r="C17578" s="24"/>
      <c r="D17578" s="24"/>
      <c r="E17578" s="24"/>
      <c r="F17578" s="24"/>
      <c r="G17578" s="24"/>
      <c r="H17578" s="24"/>
      <c r="I17578" s="24"/>
      <c r="J17578" s="24"/>
      <c r="K17578" s="24"/>
    </row>
    <row r="17579" customFormat="false" ht="15" hidden="false" customHeight="false" outlineLevel="0" collapsed="false">
      <c r="A17579" s="5" t="s">
        <v>457</v>
      </c>
      <c r="C17579" s="25" t="n">
        <f aca="false">IF(C17574&gt;0,MIN(C17564,C17574*$C$17562),0)</f>
        <v>0</v>
      </c>
    </row>
    <row r="17580" customFormat="false" ht="15" hidden="false" customHeight="false" outlineLevel="0" collapsed="false">
      <c r="A17580" s="5" t="s">
        <v>458</v>
      </c>
      <c r="C17580" s="25" t="n">
        <f aca="false">IF(C17575&gt;0,MIN(C17565,C17575*$C$17562),0)</f>
        <v>0</v>
      </c>
    </row>
    <row r="17581" customFormat="false" ht="15" hidden="false" customHeight="false" outlineLevel="0" collapsed="false">
      <c r="A17581" s="5" t="s">
        <v>459</v>
      </c>
      <c r="C17581" s="25" t="n">
        <f aca="false">IF(C17576&gt;0,MIN(C17566,C17576*$C$17562),0)</f>
        <v>0</v>
      </c>
    </row>
    <row r="17582" customFormat="false" ht="15" hidden="false" customHeight="false" outlineLevel="0" collapsed="false">
      <c r="A17582" s="5" t="s">
        <v>460</v>
      </c>
      <c r="C17582" s="25" t="n">
        <f aca="false">IF(C17577&gt;0,MIN(C17567,C17577*$C$17562),0)</f>
        <v>0</v>
      </c>
    </row>
    <row r="17583" customFormat="false" ht="15" hidden="false" customHeight="false" outlineLevel="0" collapsed="false">
      <c r="A17583" s="23" t="s">
        <v>464</v>
      </c>
      <c r="B17583" s="24"/>
      <c r="C17583" s="24"/>
      <c r="D17583" s="24"/>
      <c r="E17583" s="24"/>
      <c r="F17583" s="24"/>
      <c r="G17583" s="24"/>
      <c r="H17583" s="24"/>
      <c r="I17583" s="24"/>
      <c r="J17583" s="24"/>
      <c r="K17583" s="24"/>
    </row>
    <row r="17584" customFormat="false" ht="15" hidden="false" customHeight="false" outlineLevel="0" collapsed="false">
      <c r="A17584" s="5" t="s">
        <v>457</v>
      </c>
      <c r="C17584" s="25" t="n">
        <f aca="false">IF(C17574&gt;0,C17564-C17579,0)</f>
        <v>0</v>
      </c>
    </row>
    <row r="17585" customFormat="false" ht="15" hidden="false" customHeight="false" outlineLevel="0" collapsed="false">
      <c r="A17585" s="5" t="s">
        <v>458</v>
      </c>
      <c r="C17585" s="25" t="n">
        <f aca="false">IF(C17575&gt;0,C17565-C17580,0)</f>
        <v>0</v>
      </c>
    </row>
    <row r="17586" customFormat="false" ht="15" hidden="false" customHeight="false" outlineLevel="0" collapsed="false">
      <c r="A17586" s="5" t="s">
        <v>459</v>
      </c>
      <c r="C17586" s="25" t="n">
        <f aca="false">IF(C17576&gt;0,C17566-C17581,0)</f>
        <v>0</v>
      </c>
    </row>
    <row r="17587" customFormat="false" ht="15" hidden="false" customHeight="false" outlineLevel="0" collapsed="false">
      <c r="A17587" s="5" t="s">
        <v>460</v>
      </c>
      <c r="C17587" s="25" t="n">
        <f aca="false">IF(C17577&gt;0,C17567-C17582,0)</f>
        <v>0</v>
      </c>
    </row>
    <row r="17588" customFormat="false" ht="15" hidden="false" customHeight="false" outlineLevel="0" collapsed="false">
      <c r="A17588" s="23" t="s">
        <v>465</v>
      </c>
      <c r="B17588" s="24"/>
      <c r="C17588" s="24"/>
      <c r="D17588" s="24"/>
      <c r="E17588" s="24"/>
      <c r="F17588" s="24"/>
      <c r="G17588" s="24"/>
      <c r="H17588" s="24"/>
      <c r="I17588" s="24"/>
      <c r="J17588" s="24"/>
      <c r="K17588" s="24"/>
    </row>
    <row r="17589" customFormat="false" ht="15" hidden="false" customHeight="false" outlineLevel="0" collapsed="false">
      <c r="A17589" s="5" t="s">
        <v>457</v>
      </c>
      <c r="C17589" s="25" t="n">
        <f aca="false">IF(C17574&gt;0,C17584,C17564)</f>
        <v>149.44</v>
      </c>
    </row>
    <row r="17590" customFormat="false" ht="15" hidden="false" customHeight="false" outlineLevel="0" collapsed="false">
      <c r="A17590" s="5" t="s">
        <v>458</v>
      </c>
      <c r="C17590" s="25" t="n">
        <f aca="false">IF(C17575&gt;0,C17585,C17565)</f>
        <v>509.6</v>
      </c>
    </row>
    <row r="17591" customFormat="false" ht="15" hidden="false" customHeight="false" outlineLevel="0" collapsed="false">
      <c r="A17591" s="5" t="s">
        <v>459</v>
      </c>
      <c r="C17591" s="25" t="n">
        <f aca="false">IF(C17576&gt;0,C17586,C17566)</f>
        <v>250</v>
      </c>
    </row>
    <row r="17592" customFormat="false" ht="15" hidden="false" customHeight="false" outlineLevel="0" collapsed="false">
      <c r="A17592" s="5" t="s">
        <v>460</v>
      </c>
      <c r="C17592" s="25" t="n">
        <f aca="false">IF(C17577&gt;0,C17587,C17567)</f>
        <v>300</v>
      </c>
    </row>
    <row r="17593" customFormat="false" ht="15" hidden="false" customHeight="false" outlineLevel="0" collapsed="false">
      <c r="A17593" s="23" t="s">
        <v>466</v>
      </c>
      <c r="B17593" s="24"/>
      <c r="C17593" s="24"/>
      <c r="D17593" s="24"/>
      <c r="E17593" s="24"/>
      <c r="F17593" s="24"/>
      <c r="G17593" s="24"/>
      <c r="H17593" s="24"/>
      <c r="I17593" s="24"/>
      <c r="J17593" s="24"/>
      <c r="K17593" s="24"/>
    </row>
    <row r="17594" customFormat="false" ht="15" hidden="false" customHeight="false" outlineLevel="0" collapsed="false">
      <c r="A17594" s="5" t="s">
        <v>457</v>
      </c>
      <c r="C17594" s="20" t="n">
        <f aca="false">IF(C17574&gt;0,Assumptions!$C$17,C17569)</f>
        <v>1</v>
      </c>
    </row>
    <row r="17595" customFormat="false" ht="15" hidden="false" customHeight="false" outlineLevel="0" collapsed="false">
      <c r="A17595" s="5" t="s">
        <v>458</v>
      </c>
      <c r="C17595" s="20" t="n">
        <f aca="false">IF(C17575&gt;0,Assumptions!$C$17,C17570)</f>
        <v>2</v>
      </c>
    </row>
    <row r="17596" customFormat="false" ht="15" hidden="false" customHeight="false" outlineLevel="0" collapsed="false">
      <c r="A17596" s="5" t="s">
        <v>459</v>
      </c>
      <c r="C17596" s="20" t="n">
        <f aca="false">IF(C17576&gt;0,Assumptions!$C$17,C17571)</f>
        <v>3</v>
      </c>
    </row>
    <row r="17597" customFormat="false" ht="15" hidden="false" customHeight="false" outlineLevel="0" collapsed="false">
      <c r="A17597" s="5" t="s">
        <v>460</v>
      </c>
      <c r="C17597" s="20" t="n">
        <f aca="false">IF(C17577&gt;0,Assumptions!$C$17,C17572)</f>
        <v>4</v>
      </c>
    </row>
    <row r="17598" customFormat="false" ht="15" hidden="false" customHeight="false" outlineLevel="0" collapsed="false">
      <c r="A17598" s="23" t="s">
        <v>467</v>
      </c>
      <c r="B17598" s="24"/>
      <c r="C17598" s="24"/>
      <c r="D17598" s="24"/>
      <c r="E17598" s="24"/>
      <c r="F17598" s="24"/>
      <c r="G17598" s="24"/>
      <c r="H17598" s="24"/>
      <c r="I17598" s="24"/>
      <c r="J17598" s="24"/>
      <c r="K17598" s="24"/>
    </row>
    <row r="17599" customFormat="false" ht="15" hidden="false" customHeight="false" outlineLevel="0" collapsed="false">
      <c r="A17599" s="5" t="s">
        <v>457</v>
      </c>
      <c r="C17599" s="25" t="n">
        <f aca="false">SUMPRODUCT(($C$17594:$C$17597&lt;C17594)*$C$17589:$C$17592)</f>
        <v>0</v>
      </c>
    </row>
    <row r="17600" customFormat="false" ht="15" hidden="false" customHeight="false" outlineLevel="0" collapsed="false">
      <c r="A17600" s="5" t="s">
        <v>458</v>
      </c>
      <c r="C17600" s="25" t="n">
        <f aca="false">SUMPRODUCT(($C$17594:$C$17597&lt;C17595)*$C$17589:$C$17592)</f>
        <v>149.44</v>
      </c>
    </row>
    <row r="17601" customFormat="false" ht="15" hidden="false" customHeight="false" outlineLevel="0" collapsed="false">
      <c r="A17601" s="5" t="s">
        <v>459</v>
      </c>
      <c r="C17601" s="25" t="n">
        <f aca="false">SUMPRODUCT(($C$17594:$C$17597&lt;C17596)*$C$17589:$C$17592)</f>
        <v>659.04</v>
      </c>
    </row>
    <row r="17602" customFormat="false" ht="15" hidden="false" customHeight="false" outlineLevel="0" collapsed="false">
      <c r="A17602" s="5" t="s">
        <v>460</v>
      </c>
      <c r="C17602" s="25" t="n">
        <f aca="false">SUMPRODUCT(($C$17594:$C$17597&lt;C17597)*$C$17589:$C$17592)</f>
        <v>909.04</v>
      </c>
    </row>
    <row r="17603" customFormat="false" ht="15" hidden="false" customHeight="false" outlineLevel="0" collapsed="false">
      <c r="A17603" s="23" t="s">
        <v>468</v>
      </c>
      <c r="B17603" s="24"/>
      <c r="C17603" s="24"/>
      <c r="D17603" s="24"/>
      <c r="E17603" s="24"/>
      <c r="F17603" s="24"/>
      <c r="G17603" s="24"/>
      <c r="H17603" s="24"/>
      <c r="I17603" s="24"/>
      <c r="J17603" s="24"/>
      <c r="K17603" s="24"/>
    </row>
    <row r="17604" customFormat="false" ht="15" hidden="false" customHeight="false" outlineLevel="0" collapsed="false">
      <c r="A17604" s="5" t="s">
        <v>457</v>
      </c>
      <c r="C17604" s="25" t="n">
        <f aca="false">SUMPRODUCT(($C$17594:$C$17597=C17594)*$C$17589:$C$17592)</f>
        <v>149.44</v>
      </c>
    </row>
    <row r="17605" customFormat="false" ht="15" hidden="false" customHeight="false" outlineLevel="0" collapsed="false">
      <c r="A17605" s="5" t="s">
        <v>458</v>
      </c>
      <c r="C17605" s="25" t="n">
        <f aca="false">SUMPRODUCT(($C$17594:$C$17597=C17595)*$C$17589:$C$17592)</f>
        <v>509.6</v>
      </c>
    </row>
    <row r="17606" customFormat="false" ht="15" hidden="false" customHeight="false" outlineLevel="0" collapsed="false">
      <c r="A17606" s="5" t="s">
        <v>459</v>
      </c>
      <c r="C17606" s="25" t="n">
        <f aca="false">SUMPRODUCT(($C$17594:$C$17597=C17596)*$C$17589:$C$17592)</f>
        <v>250</v>
      </c>
    </row>
    <row r="17607" customFormat="false" ht="15" hidden="false" customHeight="false" outlineLevel="0" collapsed="false">
      <c r="A17607" s="5" t="s">
        <v>460</v>
      </c>
      <c r="C17607" s="25" t="n">
        <f aca="false">SUMPRODUCT(($C$17594:$C$17597=C17597)*$C$17589:$C$17592)</f>
        <v>300</v>
      </c>
    </row>
    <row r="17608" customFormat="false" ht="15" hidden="false" customHeight="false" outlineLevel="0" collapsed="false">
      <c r="A17608" s="23" t="s">
        <v>469</v>
      </c>
      <c r="B17608" s="24"/>
      <c r="C17608" s="24"/>
      <c r="D17608" s="24"/>
      <c r="E17608" s="24"/>
      <c r="F17608" s="24"/>
      <c r="G17608" s="24"/>
      <c r="H17608" s="24"/>
      <c r="I17608" s="24"/>
      <c r="J17608" s="24"/>
      <c r="K17608" s="24"/>
    </row>
    <row r="17609" customFormat="false" ht="15" hidden="false" customHeight="false" outlineLevel="0" collapsed="false">
      <c r="A17609" s="5" t="s">
        <v>457</v>
      </c>
      <c r="C17609" s="25" t="n">
        <f aca="false">IF(C17604=0,0,C17589/C17604*MAX(0,MIN(C17604,$C$17562-SUM($C$17579:$C$17582)-C17599)))</f>
        <v>149.44</v>
      </c>
    </row>
    <row r="17610" customFormat="false" ht="15" hidden="false" customHeight="false" outlineLevel="0" collapsed="false">
      <c r="A17610" s="5" t="s">
        <v>458</v>
      </c>
      <c r="C17610" s="25" t="n">
        <f aca="false">IF(C17605=0,0,C17590/C17605*MAX(0,MIN(C17605,$C$17562-SUM($C$17579:$C$17582)-C17600)))</f>
        <v>509.6</v>
      </c>
    </row>
    <row r="17611" customFormat="false" ht="15" hidden="false" customHeight="false" outlineLevel="0" collapsed="false">
      <c r="A17611" s="5" t="s">
        <v>459</v>
      </c>
      <c r="C17611" s="25" t="n">
        <f aca="false">IF(C17606=0,0,C17591/C17606*MAX(0,MIN(C17606,$C$17562-SUM($C$17579:$C$17582)-C17601)))</f>
        <v>250</v>
      </c>
    </row>
    <row r="17612" customFormat="false" ht="15" hidden="false" customHeight="false" outlineLevel="0" collapsed="false">
      <c r="A17612" s="5" t="s">
        <v>460</v>
      </c>
      <c r="C17612" s="25" t="n">
        <f aca="false">IF(C17607=0,0,C17592/C17607*MAX(0,MIN(C17607,$C$17562-SUM($C$17579:$C$17582)-C17602)))</f>
        <v>115.36052</v>
      </c>
    </row>
    <row r="17613" customFormat="false" ht="15" hidden="false" customHeight="false" outlineLevel="0" collapsed="false">
      <c r="A17613" s="23" t="s">
        <v>470</v>
      </c>
      <c r="B17613" s="24"/>
      <c r="C17613" s="24"/>
      <c r="D17613" s="24"/>
      <c r="E17613" s="24"/>
      <c r="F17613" s="24"/>
      <c r="G17613" s="24"/>
      <c r="H17613" s="24"/>
      <c r="I17613" s="24"/>
      <c r="J17613" s="24"/>
      <c r="K17613" s="24"/>
    </row>
    <row r="17614" customFormat="false" ht="15" hidden="false" customHeight="false" outlineLevel="0" collapsed="false">
      <c r="A17614" s="2" t="s">
        <v>457</v>
      </c>
      <c r="C17614" s="16" t="n">
        <f aca="false">C17579+C17609</f>
        <v>149.44</v>
      </c>
    </row>
    <row r="17615" customFormat="false" ht="15" hidden="false" customHeight="false" outlineLevel="0" collapsed="false">
      <c r="A17615" s="2" t="s">
        <v>458</v>
      </c>
      <c r="C17615" s="16" t="n">
        <f aca="false">C17580+C17610</f>
        <v>509.6</v>
      </c>
    </row>
    <row r="17616" customFormat="false" ht="15" hidden="false" customHeight="false" outlineLevel="0" collapsed="false">
      <c r="A17616" s="2" t="s">
        <v>459</v>
      </c>
      <c r="C17616" s="16" t="n">
        <f aca="false">C17581+C17611</f>
        <v>250</v>
      </c>
    </row>
    <row r="17617" customFormat="false" ht="15" hidden="false" customHeight="false" outlineLevel="0" collapsed="false">
      <c r="A17617" s="2" t="s">
        <v>460</v>
      </c>
      <c r="C17617" s="16" t="n">
        <f aca="false">C17582+C17612</f>
        <v>115.36052</v>
      </c>
    </row>
    <row r="17618" customFormat="false" ht="15" hidden="false" customHeight="false" outlineLevel="0" collapsed="false">
      <c r="A17618" s="23" t="s">
        <v>471</v>
      </c>
      <c r="B17618" s="24"/>
      <c r="C17618" s="24"/>
      <c r="D17618" s="24"/>
      <c r="E17618" s="24"/>
      <c r="F17618" s="24"/>
      <c r="G17618" s="24"/>
      <c r="H17618" s="24"/>
      <c r="I17618" s="24"/>
      <c r="J17618" s="24"/>
      <c r="K17618" s="24"/>
    </row>
    <row r="17619" customFormat="false" ht="15" hidden="false" customHeight="false" outlineLevel="0" collapsed="false">
      <c r="A17619" s="5" t="s">
        <v>457</v>
      </c>
      <c r="C17619" s="21" t="n">
        <f aca="false">IF(C17564=0,1,C17614/C17564)</f>
        <v>1</v>
      </c>
    </row>
    <row r="17620" customFormat="false" ht="15" hidden="false" customHeight="false" outlineLevel="0" collapsed="false">
      <c r="A17620" s="5" t="s">
        <v>458</v>
      </c>
      <c r="C17620" s="21" t="n">
        <f aca="false">IF(C17565=0,1,C17615/C17565)</f>
        <v>1</v>
      </c>
    </row>
    <row r="17621" customFormat="false" ht="15" hidden="false" customHeight="false" outlineLevel="0" collapsed="false">
      <c r="A17621" s="5" t="s">
        <v>459</v>
      </c>
      <c r="C17621" s="21" t="n">
        <f aca="false">IF(C17566=0,1,C17616/C17566)</f>
        <v>1</v>
      </c>
    </row>
    <row r="17622" customFormat="false" ht="15" hidden="false" customHeight="false" outlineLevel="0" collapsed="false">
      <c r="A17622" s="5" t="s">
        <v>460</v>
      </c>
      <c r="C17622" s="21" t="n">
        <f aca="false">IF(C17567=0,1,C17617/C17567)</f>
        <v>0.384535066666667</v>
      </c>
    </row>
    <row r="17623" customFormat="false" ht="15" hidden="false" customHeight="false" outlineLevel="0" collapsed="false">
      <c r="A17623" s="23" t="s">
        <v>472</v>
      </c>
      <c r="B17623" s="24"/>
      <c r="C17623" s="24"/>
      <c r="D17623" s="24"/>
      <c r="E17623" s="24"/>
      <c r="F17623" s="24"/>
      <c r="G17623" s="24"/>
      <c r="H17623" s="24"/>
      <c r="I17623" s="24"/>
      <c r="J17623" s="24"/>
      <c r="K17623" s="24"/>
    </row>
    <row r="17624" customFormat="false" ht="15" hidden="false" customHeight="false" outlineLevel="0" collapsed="false">
      <c r="A17624" s="5" t="s">
        <v>457</v>
      </c>
      <c r="C17624" s="25" t="n">
        <f aca="false">C17564-C17614</f>
        <v>0</v>
      </c>
    </row>
    <row r="17625" customFormat="false" ht="15" hidden="false" customHeight="false" outlineLevel="0" collapsed="false">
      <c r="A17625" s="5" t="s">
        <v>458</v>
      </c>
      <c r="C17625" s="25" t="n">
        <f aca="false">C17565-C17615</f>
        <v>0</v>
      </c>
    </row>
    <row r="17626" customFormat="false" ht="15" hidden="false" customHeight="false" outlineLevel="0" collapsed="false">
      <c r="A17626" s="5" t="s">
        <v>459</v>
      </c>
      <c r="C17626" s="25" t="n">
        <f aca="false">C17566-C17616</f>
        <v>0</v>
      </c>
    </row>
    <row r="17627" customFormat="false" ht="15" hidden="false" customHeight="false" outlineLevel="0" collapsed="false">
      <c r="A17627" s="5" t="s">
        <v>460</v>
      </c>
      <c r="C17627" s="25" t="n">
        <f aca="false">C17567-C17617</f>
        <v>184.63948</v>
      </c>
    </row>
    <row r="17628" customFormat="false" ht="15" hidden="false" customHeight="false" outlineLevel="0" collapsed="false">
      <c r="A17628" s="23" t="s">
        <v>473</v>
      </c>
      <c r="B17628" s="24"/>
      <c r="C17628" s="24"/>
      <c r="D17628" s="24"/>
      <c r="E17628" s="24"/>
      <c r="F17628" s="24"/>
      <c r="G17628" s="24"/>
      <c r="H17628" s="24"/>
      <c r="I17628" s="24"/>
      <c r="J17628" s="24"/>
      <c r="K17628" s="24"/>
    </row>
    <row r="17629" customFormat="false" ht="15" hidden="false" customHeight="false" outlineLevel="0" collapsed="false">
      <c r="A17629" s="5" t="s">
        <v>457</v>
      </c>
      <c r="C17629" s="21" t="n">
        <f aca="false">IF(C17564=0,0,C17624/C17564)</f>
        <v>0</v>
      </c>
    </row>
    <row r="17630" customFormat="false" ht="15" hidden="false" customHeight="false" outlineLevel="0" collapsed="false">
      <c r="A17630" s="5" t="s">
        <v>458</v>
      </c>
      <c r="C17630" s="21" t="n">
        <f aca="false">IF(C17565=0,0,C17625/C17565)</f>
        <v>0</v>
      </c>
    </row>
    <row r="17631" customFormat="false" ht="15" hidden="false" customHeight="false" outlineLevel="0" collapsed="false">
      <c r="A17631" s="5" t="s">
        <v>459</v>
      </c>
      <c r="C17631" s="21" t="n">
        <f aca="false">IF(C17566=0,0,C17626/C17566)</f>
        <v>0</v>
      </c>
    </row>
    <row r="17632" customFormat="false" ht="15" hidden="false" customHeight="false" outlineLevel="0" collapsed="false">
      <c r="A17632" s="5" t="s">
        <v>460</v>
      </c>
      <c r="C17632" s="21" t="n">
        <f aca="false">IF(C17567=0,0,C17627/C17567)</f>
        <v>0.615464933333334</v>
      </c>
    </row>
    <row r="17633" customFormat="false" ht="15" hidden="false" customHeight="false" outlineLevel="0" collapsed="false">
      <c r="A17633" s="2" t="s">
        <v>474</v>
      </c>
      <c r="C17633" s="16" t="n">
        <f aca="false">MAX(0,$C$17562-SUM($C$17579:$C$17582)-SUM($C$17589:$C$17592))</f>
        <v>0</v>
      </c>
    </row>
    <row r="17634" customFormat="false" ht="15" hidden="false" customHeight="false" outlineLevel="0" collapsed="false">
      <c r="A17634" s="5" t="s">
        <v>492</v>
      </c>
      <c r="C17634" s="33" t="n">
        <f aca="false">MIN(C17561,100*CHOOSE(C17551,C17619,C17620,C17621,C17622))</f>
        <v>100</v>
      </c>
    </row>
    <row r="17635" customFormat="false" ht="15" hidden="false" customHeight="false" outlineLevel="0" collapsed="false">
      <c r="A17635" s="5" t="s">
        <v>493</v>
      </c>
      <c r="C17635" s="20" t="n">
        <f aca="false">IF(C17467=1,C17556+Assumptions!$C$36,C17555)</f>
        <v>3</v>
      </c>
    </row>
    <row r="17636" customFormat="false" ht="15" hidden="false" customHeight="false" outlineLevel="0" collapsed="false">
      <c r="A17636" s="23" t="s">
        <v>494</v>
      </c>
      <c r="B17636" s="24"/>
      <c r="C17636" s="24"/>
      <c r="D17636" s="24"/>
      <c r="E17636" s="24"/>
      <c r="F17636" s="24"/>
      <c r="G17636" s="24"/>
      <c r="H17636" s="24"/>
      <c r="I17636" s="24"/>
      <c r="J17636" s="24"/>
      <c r="K17636" s="24"/>
    </row>
    <row r="17637" customFormat="false" ht="15" hidden="false" customHeight="false" outlineLevel="0" collapsed="false">
      <c r="A17637" s="5" t="s">
        <v>495</v>
      </c>
      <c r="C17637" s="20" t="n">
        <f aca="false">COLUMN()-COLUMN($C$1)</f>
        <v>0</v>
      </c>
      <c r="D17637" s="20" t="n">
        <f aca="false">COLUMN()-COLUMN($C$1)</f>
        <v>1</v>
      </c>
      <c r="E17637" s="20" t="n">
        <f aca="false">COLUMN()-COLUMN($C$1)</f>
        <v>2</v>
      </c>
      <c r="F17637" s="20" t="n">
        <f aca="false">COLUMN()-COLUMN($C$1)</f>
        <v>3</v>
      </c>
      <c r="G17637" s="20" t="n">
        <f aca="false">COLUMN()-COLUMN($C$1)</f>
        <v>4</v>
      </c>
      <c r="H17637" s="20" t="n">
        <f aca="false">COLUMN()-COLUMN($C$1)</f>
        <v>5</v>
      </c>
      <c r="I17637" s="20" t="n">
        <f aca="false">COLUMN()-COLUMN($C$1)</f>
        <v>6</v>
      </c>
    </row>
    <row r="17638" customFormat="false" ht="15" hidden="false" customHeight="false" outlineLevel="0" collapsed="false">
      <c r="A17638" s="5" t="s">
        <v>496</v>
      </c>
      <c r="D17638" s="30" t="n">
        <f aca="false">CHOOSE($C$17551,G17349,G17362,G17375,G17388)</f>
        <v>0.103</v>
      </c>
      <c r="E17638" s="30" t="n">
        <f aca="false">CHOOSE($C$17551,H17349,H17362,H17375,H17388)</f>
        <v>0.1005</v>
      </c>
      <c r="F17638" s="30" t="n">
        <f aca="false">CHOOSE($C$17551,I17349,I17362,I17375,I17388)</f>
        <v>0.098</v>
      </c>
      <c r="G17638" s="30" t="n">
        <f aca="false">CHOOSE($C$17551,J17349,J17362,J17375,J17388)</f>
        <v>0.11</v>
      </c>
      <c r="H17638" s="30" t="n">
        <f aca="false">CHOOSE($C$17551,K17349,K17362,K17375,K17388)</f>
        <v>0.11</v>
      </c>
    </row>
    <row r="17639" customFormat="false" ht="15" hidden="false" customHeight="false" outlineLevel="0" collapsed="false">
      <c r="A17639" s="5" t="s">
        <v>497</v>
      </c>
      <c r="D17639" s="25" t="n">
        <f aca="false">IF(D17637&lt;=$C$17560,$C$17552*D17638,0)</f>
        <v>10.3</v>
      </c>
      <c r="E17639" s="25" t="n">
        <f aca="false">IF(E17637&lt;=$C$17560,$C$17552*E17638,0)</f>
        <v>10.05</v>
      </c>
      <c r="F17639" s="25" t="n">
        <f aca="false">IF(F17637&lt;=$C$17560,$C$17552*F17638,0)</f>
        <v>0</v>
      </c>
      <c r="G17639" s="25" t="n">
        <f aca="false">IF(G17637&lt;=$C$17560,$C$17552*G17638,0)</f>
        <v>0</v>
      </c>
      <c r="H17639" s="25" t="n">
        <f aca="false">IF(H17637&lt;=$C$17560,$C$17552*H17638,0)</f>
        <v>0</v>
      </c>
    </row>
    <row r="17640" customFormat="false" ht="15" hidden="false" customHeight="false" outlineLevel="0" collapsed="false">
      <c r="A17640" s="5" t="s">
        <v>498</v>
      </c>
      <c r="D17640" s="25" t="n">
        <f aca="false">IF(AND($C$17467=0,D17637=$C$17555),$C$17552*$C$17634/100,0)+IF(AND($C$17467=1,D17637=$C$17635),$C$17558,0)</f>
        <v>0</v>
      </c>
      <c r="E17640" s="25" t="n">
        <f aca="false">IF(AND($C$17467=0,E17637=$C$17555),$C$17552*$C$17634/100,0)+IF(AND($C$17467=1,E17637=$C$17635),$C$17558,0)</f>
        <v>0</v>
      </c>
      <c r="F17640" s="25" t="n">
        <f aca="false">IF(AND($C$17467=0,F17637=$C$17555),$C$17552*$C$17634/100,0)+IF(AND($C$17467=1,F17637=$C$17635),$C$17558,0)</f>
        <v>87.6139010989011</v>
      </c>
      <c r="G17640" s="25" t="n">
        <f aca="false">IF(AND($C$17467=0,G17637=$C$17555),$C$17552*$C$17634/100,0)+IF(AND($C$17467=1,G17637=$C$17635),$C$17558,0)</f>
        <v>0</v>
      </c>
      <c r="H17640" s="25" t="n">
        <f aca="false">IF(AND($C$17467=0,H17637=$C$17555),$C$17552*$C$17634/100,0)+IF(AND($C$17467=1,H17637=$C$17635),$C$17558,0)</f>
        <v>0</v>
      </c>
      <c r="I17640" s="25" t="n">
        <f aca="false">IF(AND($C$17467=0,I17637=$C$17555),$C$17552*$C$17634/100,0)+IF(AND($C$17467=1,I17637=$C$17635),$C$17558,0)</f>
        <v>0</v>
      </c>
    </row>
    <row r="17641" customFormat="false" ht="15" hidden="false" customHeight="false" outlineLevel="0" collapsed="false">
      <c r="A17641" s="2" t="s">
        <v>499</v>
      </c>
      <c r="C17641" s="16" t="n">
        <f aca="false">-$C$17554</f>
        <v>-78.39</v>
      </c>
      <c r="D17641" s="16" t="n">
        <f aca="false">D17639+D17640</f>
        <v>10.3</v>
      </c>
      <c r="E17641" s="16" t="n">
        <f aca="false">E17639+E17640</f>
        <v>10.05</v>
      </c>
      <c r="F17641" s="16" t="n">
        <f aca="false">F17639+F17640</f>
        <v>87.6139010989011</v>
      </c>
      <c r="G17641" s="16" t="n">
        <f aca="false">G17639+G17640</f>
        <v>0</v>
      </c>
      <c r="H17641" s="16" t="n">
        <f aca="false">H17639+H17640</f>
        <v>0</v>
      </c>
      <c r="I17641" s="16" t="n">
        <f aca="false">I17639+I17640</f>
        <v>0</v>
      </c>
    </row>
    <row r="17642" customFormat="false" ht="15" hidden="false" customHeight="false" outlineLevel="0" collapsed="false">
      <c r="A17642" s="5" t="s">
        <v>500</v>
      </c>
      <c r="C17642" s="25" t="n">
        <f aca="false">SUM($C$17639:$I$17639)</f>
        <v>20.35</v>
      </c>
    </row>
    <row r="17643" customFormat="false" ht="15" hidden="false" customHeight="false" outlineLevel="0" collapsed="false">
      <c r="A17643" s="5" t="s">
        <v>501</v>
      </c>
      <c r="C17643" s="25" t="n">
        <f aca="false">SUM($C$17640:$I$17640)</f>
        <v>87.6139010989011</v>
      </c>
    </row>
    <row r="17644" customFormat="false" ht="15" hidden="false" customHeight="false" outlineLevel="0" collapsed="false">
      <c r="A17644" s="5" t="s">
        <v>502</v>
      </c>
      <c r="C17644" s="25" t="n">
        <f aca="false">C17642+C17643</f>
        <v>107.963901098901</v>
      </c>
    </row>
    <row r="17645" customFormat="false" ht="15" hidden="false" customHeight="false" outlineLevel="0" collapsed="false">
      <c r="A17645" s="5" t="s">
        <v>503</v>
      </c>
      <c r="C17645" s="25" t="n">
        <f aca="false">C17643-C17552*C17553/100</f>
        <v>9.6139010989011</v>
      </c>
    </row>
    <row r="17646" customFormat="false" ht="15" hidden="false" customHeight="false" outlineLevel="0" collapsed="false">
      <c r="A17646" s="5" t="s">
        <v>504</v>
      </c>
      <c r="C17646" s="25" t="n">
        <f aca="false">C17644-C17554</f>
        <v>29.5739010989011</v>
      </c>
    </row>
    <row r="17647" customFormat="false" ht="15" hidden="false" customHeight="false" outlineLevel="0" collapsed="false">
      <c r="A17647" s="2" t="s">
        <v>385</v>
      </c>
      <c r="C17647" s="43" t="n">
        <f aca="false">C17644/C17554</f>
        <v>1.37726624695626</v>
      </c>
    </row>
    <row r="17648" customFormat="false" ht="15" hidden="false" customHeight="false" outlineLevel="0" collapsed="false">
      <c r="A17648" s="2" t="s">
        <v>384</v>
      </c>
      <c r="C17648" s="41" t="n">
        <f aca="false">IF(C17644&lt;=0,-1,IFERROR(IRR($C$17641:$I$17641,MAX(-0.9,C17647^(1/C17635)-1)),IRR($C$17641:$I$17641,0.1)))</f>
        <v>0.126292592030231</v>
      </c>
    </row>
    <row r="17649" customFormat="false" ht="15" hidden="false" customHeight="false" outlineLevel="0" collapsed="false">
      <c r="A17649" s="5" t="s">
        <v>505</v>
      </c>
      <c r="C17649" s="31" t="n">
        <f aca="false">MAX($G$17443:$K$17443)</f>
        <v>7.86221186221186</v>
      </c>
    </row>
    <row r="17650" customFormat="false" ht="15" hidden="false" customHeight="false" outlineLevel="0" collapsed="false">
      <c r="A17650" s="5" t="s">
        <v>506</v>
      </c>
      <c r="C17650" s="31" t="n">
        <f aca="false">MIN($G$17444:$K$17444)</f>
        <v>1.21473661783139</v>
      </c>
    </row>
    <row r="17651" customFormat="false" ht="15" hidden="false" customHeight="false" outlineLevel="0" collapsed="false">
      <c r="A17651" s="5" t="s">
        <v>507</v>
      </c>
      <c r="C17651" s="25" t="n">
        <f aca="false">SUM($G$17333:$K$17333)</f>
        <v>-46.97594467624</v>
      </c>
    </row>
    <row r="17655" customFormat="false" ht="15" hidden="false" customHeight="false" outlineLevel="0" collapsed="false">
      <c r="A17655" s="9" t="s">
        <v>676</v>
      </c>
      <c r="B17655" s="10"/>
      <c r="C17655" s="10"/>
      <c r="D17655" s="10"/>
      <c r="E17655" s="10"/>
      <c r="F17655" s="10"/>
      <c r="G17655" s="10"/>
      <c r="H17655" s="10"/>
      <c r="I17655" s="10"/>
      <c r="J17655" s="10"/>
      <c r="K17655" s="10"/>
    </row>
    <row r="17656" customFormat="false" ht="15" hidden="false" customHeight="false" outlineLevel="0" collapsed="false">
      <c r="A17656" s="5" t="s">
        <v>622</v>
      </c>
      <c r="C17656" s="11" t="n">
        <v>1</v>
      </c>
    </row>
    <row r="17657" customFormat="false" ht="15" hidden="false" customHeight="false" outlineLevel="0" collapsed="false">
      <c r="A17657" s="5" t="s">
        <v>623</v>
      </c>
      <c r="C17657" s="18" t="n">
        <v>0</v>
      </c>
    </row>
    <row r="17658" customFormat="false" ht="15" hidden="false" customHeight="false" outlineLevel="0" collapsed="false">
      <c r="A17658" s="5" t="s">
        <v>624</v>
      </c>
      <c r="C17658" s="18" t="n">
        <v>0</v>
      </c>
    </row>
    <row r="17659" customFormat="false" ht="15" hidden="false" customHeight="false" outlineLevel="0" collapsed="false">
      <c r="A17659" s="5" t="s">
        <v>625</v>
      </c>
      <c r="C17659" s="18" t="n">
        <v>0</v>
      </c>
    </row>
    <row r="17660" customFormat="false" ht="15" hidden="false" customHeight="false" outlineLevel="0" collapsed="false">
      <c r="A17660" s="5" t="s">
        <v>626</v>
      </c>
      <c r="C17660" s="32" t="n">
        <f aca="false">Sensitivities!$A$62</f>
        <v>0</v>
      </c>
    </row>
    <row r="17662" customFormat="false" ht="15" hidden="false" customHeight="false" outlineLevel="0" collapsed="false">
      <c r="A17662" s="23" t="s">
        <v>237</v>
      </c>
      <c r="B17662" s="24"/>
      <c r="C17662" s="24"/>
      <c r="D17662" s="24"/>
      <c r="E17662" s="24"/>
      <c r="F17662" s="24"/>
      <c r="G17662" s="24"/>
      <c r="H17662" s="24"/>
      <c r="I17662" s="24"/>
      <c r="J17662" s="24"/>
      <c r="K17662" s="24"/>
    </row>
    <row r="17663" customFormat="false" ht="15" hidden="false" customHeight="false" outlineLevel="0" collapsed="false">
      <c r="A17663" s="5" t="s">
        <v>238</v>
      </c>
      <c r="F17663" s="26" t="n">
        <f aca="false">Assumptions!$C$6</f>
        <v>2025</v>
      </c>
      <c r="G17663" s="20" t="n">
        <f aca="false">F17663+1</f>
        <v>2026</v>
      </c>
      <c r="H17663" s="20" t="n">
        <f aca="false">G17663+1</f>
        <v>2027</v>
      </c>
      <c r="I17663" s="20" t="n">
        <f aca="false">H17663+1</f>
        <v>2028</v>
      </c>
      <c r="J17663" s="20" t="n">
        <f aca="false">I17663+1</f>
        <v>2029</v>
      </c>
      <c r="K17663" s="20" t="n">
        <f aca="false">J17663+1</f>
        <v>2030</v>
      </c>
    </row>
    <row r="17664" customFormat="false" ht="15" hidden="false" customHeight="false" outlineLevel="0" collapsed="false">
      <c r="A17664" s="5" t="s">
        <v>239</v>
      </c>
      <c r="G17664" s="20" t="n">
        <f aca="false">G17663-Assumptions!$C$6</f>
        <v>1</v>
      </c>
      <c r="H17664" s="20" t="n">
        <f aca="false">H17663-Assumptions!$C$6</f>
        <v>2</v>
      </c>
      <c r="I17664" s="20" t="n">
        <f aca="false">I17663-Assumptions!$C$6</f>
        <v>3</v>
      </c>
      <c r="J17664" s="20" t="n">
        <f aca="false">J17663-Assumptions!$C$6</f>
        <v>4</v>
      </c>
      <c r="K17664" s="20" t="n">
        <f aca="false">K17663-Assumptions!$C$6</f>
        <v>5</v>
      </c>
    </row>
    <row r="17665" customFormat="false" ht="15" hidden="false" customHeight="false" outlineLevel="0" collapsed="false">
      <c r="A17665" s="5" t="s">
        <v>149</v>
      </c>
      <c r="G17665" s="21" t="n">
        <f aca="false">CHOOSE($C$17656,Assumptions!$G$65,Assumptions!$G$84,Assumptions!$G$103)+$C$17657</f>
        <v>-0.01</v>
      </c>
      <c r="H17665" s="21" t="n">
        <f aca="false">CHOOSE($C$17656,Assumptions!$H$65,Assumptions!$H$84,Assumptions!$H$103)+$C$17657</f>
        <v>-0.01</v>
      </c>
      <c r="I17665" s="21" t="n">
        <f aca="false">CHOOSE($C$17656,Assumptions!$I$65,Assumptions!$I$84,Assumptions!$I$103)+$C$17657</f>
        <v>-0.01</v>
      </c>
      <c r="J17665" s="21" t="n">
        <f aca="false">CHOOSE($C$17656,Assumptions!$J$65,Assumptions!$J$84,Assumptions!$J$103)+$C$17657</f>
        <v>-0.01</v>
      </c>
      <c r="K17665" s="21" t="n">
        <f aca="false">CHOOSE($C$17656,Assumptions!$K$65,Assumptions!$K$84,Assumptions!$K$103)+$C$17657</f>
        <v>-0.01</v>
      </c>
    </row>
    <row r="17666" customFormat="false" ht="15" hidden="false" customHeight="false" outlineLevel="0" collapsed="false">
      <c r="A17666" s="5" t="s">
        <v>150</v>
      </c>
      <c r="G17666" s="21" t="n">
        <f aca="false">CHOOSE($C$17656,Assumptions!$G$66,Assumptions!$G$85,Assumptions!$G$104)</f>
        <v>0.36</v>
      </c>
      <c r="H17666" s="21" t="n">
        <f aca="false">CHOOSE($C$17656,Assumptions!$H$66,Assumptions!$H$85,Assumptions!$H$104)</f>
        <v>0.362</v>
      </c>
      <c r="I17666" s="21" t="n">
        <f aca="false">CHOOSE($C$17656,Assumptions!$I$66,Assumptions!$I$85,Assumptions!$I$104)</f>
        <v>0.364</v>
      </c>
      <c r="J17666" s="21" t="n">
        <f aca="false">CHOOSE($C$17656,Assumptions!$J$66,Assumptions!$J$85,Assumptions!$J$104)</f>
        <v>0.366</v>
      </c>
      <c r="K17666" s="21" t="n">
        <f aca="false">CHOOSE($C$17656,Assumptions!$K$66,Assumptions!$K$85,Assumptions!$K$104)</f>
        <v>0.368</v>
      </c>
    </row>
    <row r="17667" customFormat="false" ht="15" hidden="false" customHeight="false" outlineLevel="0" collapsed="false">
      <c r="A17667" s="5" t="s">
        <v>151</v>
      </c>
      <c r="G17667" s="21" t="n">
        <f aca="false">CHOOSE($C$17656,Assumptions!$G$67,Assumptions!$G$86,Assumptions!$G$105)+$C$17658</f>
        <v>0.065</v>
      </c>
      <c r="H17667" s="21" t="n">
        <f aca="false">CHOOSE($C$17656,Assumptions!$H$67,Assumptions!$H$86,Assumptions!$H$105)+$C$17658</f>
        <v>0.067</v>
      </c>
      <c r="I17667" s="21" t="n">
        <f aca="false">CHOOSE($C$17656,Assumptions!$I$67,Assumptions!$I$86,Assumptions!$I$105)+$C$17658</f>
        <v>0.069</v>
      </c>
      <c r="J17667" s="21" t="n">
        <f aca="false">CHOOSE($C$17656,Assumptions!$J$67,Assumptions!$J$86,Assumptions!$J$105)+$C$17658</f>
        <v>0.071</v>
      </c>
      <c r="K17667" s="21" t="n">
        <f aca="false">CHOOSE($C$17656,Assumptions!$K$67,Assumptions!$K$86,Assumptions!$K$105)+$C$17658</f>
        <v>0.073</v>
      </c>
    </row>
    <row r="17668" customFormat="false" ht="15" hidden="false" customHeight="false" outlineLevel="0" collapsed="false">
      <c r="A17668" s="23" t="s">
        <v>240</v>
      </c>
      <c r="B17668" s="24"/>
      <c r="C17668" s="24"/>
      <c r="D17668" s="24"/>
      <c r="E17668" s="24"/>
      <c r="F17668" s="24"/>
      <c r="G17668" s="24"/>
      <c r="H17668" s="24"/>
      <c r="I17668" s="24"/>
      <c r="J17668" s="24"/>
      <c r="K17668" s="24"/>
    </row>
    <row r="17669" customFormat="false" ht="15" hidden="false" customHeight="false" outlineLevel="0" collapsed="false">
      <c r="A17669" s="2" t="s">
        <v>207</v>
      </c>
      <c r="F17669" s="27" t="n">
        <f aca="false">'Historical Financials'!E17</f>
        <v>2400</v>
      </c>
      <c r="G17669" s="16" t="n">
        <f aca="false">F17669*(1+G17665)</f>
        <v>2376</v>
      </c>
      <c r="H17669" s="16" t="n">
        <f aca="false">G17669*(1+H17665)</f>
        <v>2352.24</v>
      </c>
      <c r="I17669" s="16" t="n">
        <f aca="false">H17669*(1+I17665)</f>
        <v>2328.7176</v>
      </c>
      <c r="J17669" s="16" t="n">
        <f aca="false">I17669*(1+J17665)</f>
        <v>2305.430424</v>
      </c>
      <c r="K17669" s="16" t="n">
        <f aca="false">J17669*(1+K17665)</f>
        <v>2282.37611976</v>
      </c>
    </row>
    <row r="17670" customFormat="false" ht="15" hidden="false" customHeight="false" outlineLevel="0" collapsed="false">
      <c r="A17670" s="5" t="s">
        <v>217</v>
      </c>
      <c r="G17670" s="25" t="n">
        <f aca="false">G17669*(1-G17666)</f>
        <v>1520.64</v>
      </c>
      <c r="H17670" s="25" t="n">
        <f aca="false">H17669*(1-H17666)</f>
        <v>1500.72912</v>
      </c>
      <c r="I17670" s="25" t="n">
        <f aca="false">I17669*(1-I17666)</f>
        <v>1481.0643936</v>
      </c>
      <c r="J17670" s="25" t="n">
        <f aca="false">J17669*(1-J17666)</f>
        <v>1461.642888816</v>
      </c>
      <c r="K17670" s="25" t="n">
        <f aca="false">K17669*(1-K17666)</f>
        <v>1442.46170768832</v>
      </c>
    </row>
    <row r="17671" customFormat="false" ht="15" hidden="false" customHeight="false" outlineLevel="0" collapsed="false">
      <c r="A17671" s="2" t="s">
        <v>218</v>
      </c>
      <c r="G17671" s="16" t="n">
        <f aca="false">G17669-G17670</f>
        <v>855.36</v>
      </c>
      <c r="H17671" s="16" t="n">
        <f aca="false">H17669-H17670</f>
        <v>851.51088</v>
      </c>
      <c r="I17671" s="16" t="n">
        <f aca="false">I17669-I17670</f>
        <v>847.6532064</v>
      </c>
      <c r="J17671" s="16" t="n">
        <f aca="false">J17669-J17670</f>
        <v>843.787535184</v>
      </c>
      <c r="K17671" s="16" t="n">
        <f aca="false">K17669-K17670</f>
        <v>839.91441207168</v>
      </c>
    </row>
    <row r="17672" customFormat="false" ht="15" hidden="false" customHeight="false" outlineLevel="0" collapsed="false">
      <c r="A17672" s="5" t="s">
        <v>241</v>
      </c>
      <c r="G17672" s="25" t="n">
        <f aca="false">G17671-G17673</f>
        <v>700.92</v>
      </c>
      <c r="H17672" s="25" t="n">
        <f aca="false">H17671-H17673</f>
        <v>693.9108</v>
      </c>
      <c r="I17672" s="25" t="n">
        <f aca="false">I17671-I17673</f>
        <v>686.971692</v>
      </c>
      <c r="J17672" s="25" t="n">
        <f aca="false">J17671-J17673</f>
        <v>680.10197508</v>
      </c>
      <c r="K17672" s="25" t="n">
        <f aca="false">K17671-K17673</f>
        <v>673.3009553292</v>
      </c>
    </row>
    <row r="17673" customFormat="false" ht="15" hidden="false" customHeight="false" outlineLevel="0" collapsed="false">
      <c r="A17673" s="2" t="s">
        <v>242</v>
      </c>
      <c r="G17673" s="16" t="n">
        <f aca="false">G17669*G17667</f>
        <v>154.44</v>
      </c>
      <c r="H17673" s="16" t="n">
        <f aca="false">H17669*H17667</f>
        <v>157.60008</v>
      </c>
      <c r="I17673" s="16" t="n">
        <f aca="false">I17669*I17667</f>
        <v>160.6815144</v>
      </c>
      <c r="J17673" s="16" t="n">
        <f aca="false">J17669*J17667</f>
        <v>163.685560104</v>
      </c>
      <c r="K17673" s="16" t="n">
        <f aca="false">K17669*K17667</f>
        <v>166.61345674248</v>
      </c>
    </row>
    <row r="17674" customFormat="false" ht="15" hidden="false" customHeight="false" outlineLevel="0" collapsed="false">
      <c r="A17674" s="5" t="s">
        <v>243</v>
      </c>
      <c r="G17674" s="25" t="n">
        <f aca="false">G17669*'Historical Financials'!E22/'Historical Financials'!E17</f>
        <v>52.272</v>
      </c>
      <c r="H17674" s="25" t="n">
        <f aca="false">H17669*'Historical Financials'!E22/'Historical Financials'!E17</f>
        <v>51.74928</v>
      </c>
      <c r="I17674" s="25" t="n">
        <f aca="false">I17669*'Historical Financials'!E22/'Historical Financials'!E17</f>
        <v>51.2317872</v>
      </c>
      <c r="J17674" s="25" t="n">
        <f aca="false">J17669*'Historical Financials'!E22/'Historical Financials'!E17</f>
        <v>50.719469328</v>
      </c>
      <c r="K17674" s="25" t="n">
        <f aca="false">K17669*'Historical Financials'!E22/'Historical Financials'!E17</f>
        <v>50.21227463472</v>
      </c>
    </row>
    <row r="17675" customFormat="false" ht="15" hidden="false" customHeight="false" outlineLevel="0" collapsed="false">
      <c r="A17675" s="5" t="s">
        <v>244</v>
      </c>
      <c r="G17675" s="25" t="n">
        <f aca="false">G17669*'Historical Financials'!E23/'Historical Financials'!E17</f>
        <v>0</v>
      </c>
      <c r="H17675" s="25" t="n">
        <f aca="false">H17669*'Historical Financials'!E23/'Historical Financials'!E17</f>
        <v>0</v>
      </c>
      <c r="I17675" s="25" t="n">
        <f aca="false">I17669*'Historical Financials'!E23/'Historical Financials'!E17</f>
        <v>0</v>
      </c>
      <c r="J17675" s="25" t="n">
        <f aca="false">J17669*'Historical Financials'!E23/'Historical Financials'!E17</f>
        <v>0</v>
      </c>
      <c r="K17675" s="25" t="n">
        <f aca="false">K17669*'Historical Financials'!E23/'Historical Financials'!E17</f>
        <v>0</v>
      </c>
    </row>
    <row r="17676" customFormat="false" ht="15" hidden="false" customHeight="false" outlineLevel="0" collapsed="false">
      <c r="A17676" s="2" t="s">
        <v>245</v>
      </c>
      <c r="G17676" s="16" t="n">
        <f aca="false">G17673-G17674-G17675</f>
        <v>102.168</v>
      </c>
      <c r="H17676" s="16" t="n">
        <f aca="false">H17673-H17674-H17675</f>
        <v>105.8508</v>
      </c>
      <c r="I17676" s="16" t="n">
        <f aca="false">I17673-I17674-I17675</f>
        <v>109.4497272</v>
      </c>
      <c r="J17676" s="16" t="n">
        <f aca="false">J17673-J17674-J17675</f>
        <v>112.966090776</v>
      </c>
      <c r="K17676" s="16" t="n">
        <f aca="false">K17673-K17674-K17675</f>
        <v>116.40118210776</v>
      </c>
    </row>
    <row r="17677" customFormat="false" ht="15" hidden="false" customHeight="false" outlineLevel="0" collapsed="false">
      <c r="A17677" s="5" t="s">
        <v>246</v>
      </c>
      <c r="G17677" s="25" t="n">
        <f aca="false">G17703+G17716+G17729+G17742</f>
        <v>119.04</v>
      </c>
      <c r="H17677" s="25" t="n">
        <f aca="false">H17703+H17716+H17729+H17742</f>
        <v>114.21564</v>
      </c>
      <c r="I17677" s="25" t="n">
        <f aca="false">I17703+I17716+I17729+I17742</f>
        <v>126.8792</v>
      </c>
      <c r="J17677" s="25" t="n">
        <f aca="false">J17703+J17716+J17729+J17742</f>
        <v>134.749836056</v>
      </c>
      <c r="K17677" s="25" t="n">
        <f aca="false">K17703+K17716+K17729+K17742</f>
        <v>136.33146262032</v>
      </c>
    </row>
    <row r="17678" customFormat="false" ht="15" hidden="false" customHeight="false" outlineLevel="0" collapsed="false">
      <c r="A17678" s="5" t="s">
        <v>247</v>
      </c>
      <c r="G17678" s="25" t="n">
        <f aca="false">G17704+G17717+G17730+G17743</f>
        <v>0</v>
      </c>
      <c r="H17678" s="25" t="n">
        <f aca="false">H17704+H17717+H17730+H17743</f>
        <v>0</v>
      </c>
      <c r="I17678" s="25" t="n">
        <f aca="false">I17704+I17717+I17730+I17743</f>
        <v>0</v>
      </c>
      <c r="J17678" s="25" t="n">
        <f aca="false">J17704+J17717+J17730+J17743</f>
        <v>0</v>
      </c>
      <c r="K17678" s="25" t="n">
        <f aca="false">K17704+K17717+K17730+K17743</f>
        <v>0</v>
      </c>
    </row>
    <row r="17679" customFormat="false" ht="15" hidden="false" customHeight="false" outlineLevel="0" collapsed="false">
      <c r="A17679" s="5" t="s">
        <v>212</v>
      </c>
      <c r="G17679" s="25" t="n">
        <f aca="false">G17677+G17678</f>
        <v>119.04</v>
      </c>
      <c r="H17679" s="25" t="n">
        <f aca="false">H17677+H17678</f>
        <v>114.21564</v>
      </c>
      <c r="I17679" s="25" t="n">
        <f aca="false">I17677+I17678</f>
        <v>126.8792</v>
      </c>
      <c r="J17679" s="25" t="n">
        <f aca="false">J17677+J17678</f>
        <v>134.749836056</v>
      </c>
      <c r="K17679" s="25" t="n">
        <f aca="false">K17677+K17678</f>
        <v>136.33146262032</v>
      </c>
    </row>
    <row r="17680" customFormat="false" ht="15" hidden="false" customHeight="false" outlineLevel="0" collapsed="false">
      <c r="A17680" s="2" t="s">
        <v>223</v>
      </c>
      <c r="G17680" s="16" t="n">
        <f aca="false">G17676-G17679</f>
        <v>-16.872</v>
      </c>
      <c r="H17680" s="16" t="n">
        <f aca="false">H17676-H17679</f>
        <v>-8.36484</v>
      </c>
      <c r="I17680" s="16" t="n">
        <f aca="false">I17676-I17679</f>
        <v>-17.4294728</v>
      </c>
      <c r="J17680" s="16" t="n">
        <f aca="false">J17676-J17679</f>
        <v>-21.78374528</v>
      </c>
      <c r="K17680" s="16" t="n">
        <f aca="false">K17676-K17679</f>
        <v>-19.93028051256</v>
      </c>
    </row>
    <row r="17681" customFormat="false" ht="15" hidden="false" customHeight="false" outlineLevel="0" collapsed="false">
      <c r="A17681" s="5" t="s">
        <v>213</v>
      </c>
      <c r="G17681" s="25" t="n">
        <f aca="false">MAX(0,G17680)*Assumptions!$C$9</f>
        <v>0</v>
      </c>
      <c r="H17681" s="25" t="n">
        <f aca="false">MAX(0,H17680)*Assumptions!$C$9</f>
        <v>0</v>
      </c>
      <c r="I17681" s="25" t="n">
        <f aca="false">MAX(0,I17680)*Assumptions!$C$9</f>
        <v>0</v>
      </c>
      <c r="J17681" s="25" t="n">
        <f aca="false">MAX(0,J17680)*Assumptions!$C$9</f>
        <v>0</v>
      </c>
      <c r="K17681" s="25" t="n">
        <f aca="false">MAX(0,K17680)*Assumptions!$C$9</f>
        <v>0</v>
      </c>
    </row>
    <row r="17682" customFormat="false" ht="15" hidden="false" customHeight="false" outlineLevel="0" collapsed="false">
      <c r="A17682" s="2" t="s">
        <v>248</v>
      </c>
      <c r="G17682" s="16" t="n">
        <f aca="false">G17680-G17681</f>
        <v>-16.872</v>
      </c>
      <c r="H17682" s="16" t="n">
        <f aca="false">H17680-H17681</f>
        <v>-8.36484</v>
      </c>
      <c r="I17682" s="16" t="n">
        <f aca="false">I17680-I17681</f>
        <v>-17.4294728</v>
      </c>
      <c r="J17682" s="16" t="n">
        <f aca="false">J17680-J17681</f>
        <v>-21.78374528</v>
      </c>
      <c r="K17682" s="16" t="n">
        <f aca="false">K17680-K17681</f>
        <v>-19.93028051256</v>
      </c>
    </row>
    <row r="17683" customFormat="false" ht="15" hidden="false" customHeight="false" outlineLevel="0" collapsed="false">
      <c r="A17683" s="23" t="s">
        <v>249</v>
      </c>
      <c r="B17683" s="24"/>
      <c r="C17683" s="24"/>
      <c r="D17683" s="24"/>
      <c r="E17683" s="24"/>
      <c r="F17683" s="24"/>
      <c r="G17683" s="24"/>
      <c r="H17683" s="24"/>
      <c r="I17683" s="24"/>
      <c r="J17683" s="24"/>
      <c r="K17683" s="24"/>
    </row>
    <row r="17684" customFormat="false" ht="15" hidden="false" customHeight="false" outlineLevel="0" collapsed="false">
      <c r="A17684" s="5" t="s">
        <v>153</v>
      </c>
      <c r="G17684" s="25" t="n">
        <f aca="false">G17669*CHOOSE($C$17656,Assumptions!$C$69,Assumptions!$C$88,Assumptions!$C$107)</f>
        <v>47.52</v>
      </c>
      <c r="H17684" s="25" t="n">
        <f aca="false">H17669*CHOOSE($C$17656,Assumptions!$C$69,Assumptions!$C$88,Assumptions!$C$107)</f>
        <v>47.0448</v>
      </c>
      <c r="I17684" s="25" t="n">
        <f aca="false">I17669*CHOOSE($C$17656,Assumptions!$C$69,Assumptions!$C$88,Assumptions!$C$107)</f>
        <v>46.574352</v>
      </c>
      <c r="J17684" s="25" t="n">
        <f aca="false">J17669*CHOOSE($C$17656,Assumptions!$C$69,Assumptions!$C$88,Assumptions!$C$107)</f>
        <v>46.10860848</v>
      </c>
      <c r="K17684" s="25" t="n">
        <f aca="false">K17669*CHOOSE($C$17656,Assumptions!$C$69,Assumptions!$C$88,Assumptions!$C$107)</f>
        <v>45.6475223952</v>
      </c>
    </row>
    <row r="17685" customFormat="false" ht="15" hidden="false" customHeight="false" outlineLevel="0" collapsed="false">
      <c r="A17685" s="5" t="s">
        <v>250</v>
      </c>
      <c r="G17685" s="25" t="n">
        <f aca="false">CHOOSE($C$17656,Assumptions!$C$70,Assumptions!$C$89,Assumptions!$C$108)*(G17669-F17669)+CHOOSE($C$17656,Assumptions!$C$71,Assumptions!$C$90,Assumptions!$C$109)*G17669</f>
        <v>-2.88</v>
      </c>
      <c r="H17685" s="25" t="n">
        <f aca="false">CHOOSE($C$17656,Assumptions!$C$70,Assumptions!$C$89,Assumptions!$C$108)*(H17669-G17669)+CHOOSE($C$17656,Assumptions!$C$71,Assumptions!$C$90,Assumptions!$C$109)*H17669</f>
        <v>-2.85120000000003</v>
      </c>
      <c r="I17685" s="25" t="n">
        <f aca="false">CHOOSE($C$17656,Assumptions!$C$70,Assumptions!$C$89,Assumptions!$C$108)*(I17669-H17669)+CHOOSE($C$17656,Assumptions!$C$71,Assumptions!$C$90,Assumptions!$C$109)*I17669</f>
        <v>-2.82268799999998</v>
      </c>
      <c r="J17685" s="25" t="n">
        <f aca="false">CHOOSE($C$17656,Assumptions!$C$70,Assumptions!$C$89,Assumptions!$C$108)*(J17669-I17669)+CHOOSE($C$17656,Assumptions!$C$71,Assumptions!$C$90,Assumptions!$C$109)*J17669</f>
        <v>-2.79446111999998</v>
      </c>
      <c r="K17685" s="25" t="n">
        <f aca="false">CHOOSE($C$17656,Assumptions!$C$70,Assumptions!$C$89,Assumptions!$C$108)*(K17669-J17669)+CHOOSE($C$17656,Assumptions!$C$71,Assumptions!$C$90,Assumptions!$C$109)*K17669</f>
        <v>-2.7665165088</v>
      </c>
    </row>
    <row r="17686" customFormat="false" ht="15" hidden="false" customHeight="false" outlineLevel="0" collapsed="false">
      <c r="A17686" s="2" t="s">
        <v>251</v>
      </c>
      <c r="G17686" s="16" t="n">
        <f aca="false">G17682+G17674+G17675+G17678-G17684-G17685</f>
        <v>-9.24000000000001</v>
      </c>
      <c r="H17686" s="16" t="n">
        <f aca="false">H17682+H17674+H17675+H17678-H17684-H17685</f>
        <v>-0.809159999999978</v>
      </c>
      <c r="I17686" s="16" t="n">
        <f aca="false">I17682+I17674+I17675+I17678-I17684-I17685</f>
        <v>-9.94934960000002</v>
      </c>
      <c r="J17686" s="16" t="n">
        <f aca="false">J17682+J17674+J17675+J17678-J17684-J17685</f>
        <v>-14.378423312</v>
      </c>
      <c r="K17686" s="16" t="n">
        <f aca="false">K17682+K17674+K17675+K17678-K17684-K17685</f>
        <v>-12.59901176424</v>
      </c>
    </row>
    <row r="17688" customFormat="false" ht="15" hidden="false" customHeight="false" outlineLevel="0" collapsed="false">
      <c r="A17688" s="23" t="s">
        <v>253</v>
      </c>
      <c r="B17688" s="24"/>
      <c r="C17688" s="24"/>
      <c r="D17688" s="24"/>
      <c r="E17688" s="24"/>
      <c r="F17688" s="24"/>
      <c r="G17688" s="24"/>
      <c r="H17688" s="24"/>
      <c r="I17688" s="24"/>
      <c r="J17688" s="24"/>
      <c r="K17688" s="24"/>
    </row>
    <row r="17689" customFormat="false" ht="15" hidden="false" customHeight="false" outlineLevel="0" collapsed="false">
      <c r="A17689" s="5" t="s">
        <v>254</v>
      </c>
      <c r="G17689" s="29" t="n">
        <f aca="false">Assumptions!$G$49</f>
        <v>0.0425</v>
      </c>
      <c r="H17689" s="29" t="n">
        <f aca="false">Assumptions!$H$49</f>
        <v>0.04</v>
      </c>
      <c r="I17689" s="29" t="n">
        <f aca="false">Assumptions!$I$49</f>
        <v>0.0375</v>
      </c>
      <c r="J17689" s="29" t="n">
        <f aca="false">Assumptions!$J$49</f>
        <v>0.0375</v>
      </c>
      <c r="K17689" s="29" t="n">
        <f aca="false">Assumptions!$K$49</f>
        <v>0.0375</v>
      </c>
    </row>
    <row r="17690" customFormat="false" ht="15" hidden="false" customHeight="false" outlineLevel="0" collapsed="false">
      <c r="A17690" s="5" t="s">
        <v>255</v>
      </c>
      <c r="C17690" s="30" t="n">
        <f aca="false">CHOOSE($C$17656,Assumptions!$C$72,Assumptions!$C$91,Assumptions!$C$110)+$C$17659</f>
        <v>0</v>
      </c>
    </row>
    <row r="17691" customFormat="false" ht="15" hidden="false" customHeight="false" outlineLevel="0" collapsed="false">
      <c r="A17691" s="5" t="s">
        <v>256</v>
      </c>
      <c r="C17691" s="30" t="n">
        <f aca="false">CHOOSE($C$17656,Assumptions!$C$73,Assumptions!$C$92,Assumptions!$C$111)</f>
        <v>0.11</v>
      </c>
    </row>
    <row r="17692" customFormat="false" ht="15" hidden="false" customHeight="false" outlineLevel="0" collapsed="false">
      <c r="A17692" s="5" t="s">
        <v>257</v>
      </c>
      <c r="C17692" s="31" t="n">
        <f aca="false">CHOOSE($C$17656,Assumptions!$C$74,Assumptions!$C$93,Assumptions!$C$112)</f>
        <v>8.5</v>
      </c>
    </row>
    <row r="17693" customFormat="false" ht="15" hidden="false" customHeight="false" outlineLevel="0" collapsed="false">
      <c r="A17693" s="5" t="s">
        <v>258</v>
      </c>
      <c r="C17693" s="31" t="n">
        <f aca="false">CHOOSE($C$17656,Assumptions!$C$75,Assumptions!$C$94,Assumptions!$C$113)</f>
        <v>1.2</v>
      </c>
    </row>
    <row r="17694" customFormat="false" ht="15" hidden="false" customHeight="false" outlineLevel="0" collapsed="false">
      <c r="A17694" s="5" t="s">
        <v>259</v>
      </c>
      <c r="G17694" s="25" t="n">
        <f aca="false">G17699+G17712+G17725+G17738</f>
        <v>1250</v>
      </c>
      <c r="H17694" s="25" t="n">
        <f aca="false">H17699+H17712+H17725+H17738</f>
        <v>1214.24</v>
      </c>
      <c r="I17694" s="25" t="n">
        <f aca="false">I17699+I17712+I17725+I17738</f>
        <v>1209.04</v>
      </c>
      <c r="J17694" s="25" t="n">
        <f aca="false">J17699+J17712+J17725+J17738</f>
        <v>1224.9985096</v>
      </c>
      <c r="K17694" s="25" t="n">
        <f aca="false">K17699+K17712+K17725+K17738</f>
        <v>1239.376932912</v>
      </c>
    </row>
    <row r="17695" customFormat="false" ht="15" hidden="false" customHeight="false" outlineLevel="0" collapsed="false">
      <c r="A17695" s="5" t="s">
        <v>260</v>
      </c>
      <c r="G17695" s="25" t="n">
        <f aca="false">F17785</f>
        <v>45</v>
      </c>
      <c r="H17695" s="25" t="n">
        <f aca="false">G17785</f>
        <v>0</v>
      </c>
      <c r="I17695" s="25" t="n">
        <f aca="false">H17785</f>
        <v>-6.00915999999998</v>
      </c>
      <c r="J17695" s="25" t="n">
        <f aca="false">I17785</f>
        <v>0</v>
      </c>
      <c r="K17695" s="25" t="n">
        <f aca="false">J17785</f>
        <v>0</v>
      </c>
    </row>
    <row r="17696" customFormat="false" ht="15" hidden="false" customHeight="false" outlineLevel="0" collapsed="false">
      <c r="A17696" s="5" t="s">
        <v>261</v>
      </c>
      <c r="G17696" s="25" t="n">
        <f aca="false">G17699*IF(G17700=1,$C$17691,IF(Assumptions!$I$53=1,MAX(G17689,Assumptions!$G$53)+Assumptions!$F$53+$C$17690,Assumptions!$E$53))+G17712*IF(G17713=1,$C$17691,IF(Assumptions!$I$54=1,MAX(G17689,Assumptions!$G$54)+Assumptions!$F$54+$C$17690,Assumptions!$E$54))+G17725*IF(G17726=1,$C$17691,IF(Assumptions!$I$55=1,MAX(G17689,Assumptions!$G$55)+Assumptions!$F$55+$C$17690,Assumptions!$E$55))+G17738*IF(G17739=1,$C$17691,IF(Assumptions!$I$56=1,MAX(G17689,Assumptions!$G$56)+Assumptions!$F$56+$C$17690,Assumptions!$E$56))</f>
        <v>119.04</v>
      </c>
      <c r="H17696" s="25" t="n">
        <f aca="false">H17699*IF(OR(H17700=1,G17851=1),$C$17691,IF(Assumptions!$I$53=1,MAX(H17689,Assumptions!$G$53)+Assumptions!$F$53+$C$17690,Assumptions!$E$53))+H17712*IF(OR(H17713=1,G17852=1),$C$17691,IF(Assumptions!$I$54=1,MAX(H17689,Assumptions!$G$54)+Assumptions!$F$54+$C$17690,Assumptions!$E$54))+H17725*IF(OR(H17726=1,G17853=1),$C$17691,IF(Assumptions!$I$55=1,MAX(H17689,Assumptions!$G$55)+Assumptions!$F$55+$C$17690,Assumptions!$E$55))+H17738*IF(OR(H17739=1,G17854=1),$C$17691,IF(Assumptions!$I$56=1,MAX(H17689,Assumptions!$G$56)+Assumptions!$F$56+$C$17690,Assumptions!$E$56))</f>
        <v>128.6758</v>
      </c>
      <c r="I17696" s="25" t="n">
        <f aca="false">I17699*IF(OR(I17700=1,H17851=1),$C$17691,IF(Assumptions!$I$53=1,MAX(I17689,Assumptions!$G$53)+Assumptions!$F$53+$C$17690,Assumptions!$E$53))+I17712*IF(OR(I17713=1,H17852=1),$C$17691,IF(Assumptions!$I$54=1,MAX(I17689,Assumptions!$G$54)+Assumptions!$F$54+$C$17690,Assumptions!$E$54))+I17725*IF(OR(I17726=1,H17853=1),$C$17691,IF(Assumptions!$I$55=1,MAX(I17689,Assumptions!$G$55)+Assumptions!$F$55+$C$17690,Assumptions!$E$55))+I17738*IF(OR(I17739=1,H17854=1),$C$17691,IF(Assumptions!$I$56=1,MAX(I17689,Assumptions!$G$56)+Assumptions!$F$56+$C$17690,Assumptions!$E$56))</f>
        <v>132.9944</v>
      </c>
      <c r="J17696" s="25" t="n">
        <f aca="false">J17699*IF(OR(J17700=1,I17851=1),$C$17691,IF(Assumptions!$I$53=1,MAX(J17689,Assumptions!$G$53)+Assumptions!$F$53+$C$17690,Assumptions!$E$53))+J17712*IF(OR(J17713=1,I17852=1),$C$17691,IF(Assumptions!$I$54=1,MAX(J17689,Assumptions!$G$54)+Assumptions!$F$54+$C$17690,Assumptions!$E$54))+J17725*IF(OR(J17726=1,I17853=1),$C$17691,IF(Assumptions!$I$55=1,MAX(J17689,Assumptions!$G$55)+Assumptions!$F$55+$C$17690,Assumptions!$E$55))+J17738*IF(OR(J17739=1,I17854=1),$C$17691,IF(Assumptions!$I$56=1,MAX(J17689,Assumptions!$G$56)+Assumptions!$F$56+$C$17690,Assumptions!$E$56))</f>
        <v>134.749836056</v>
      </c>
      <c r="K17696" s="25" t="n">
        <f aca="false">K17699*IF(OR(K17700=1,J17851=1),$C$17691,IF(Assumptions!$I$53=1,MAX(K17689,Assumptions!$G$53)+Assumptions!$F$53+$C$17690,Assumptions!$E$53))+K17712*IF(OR(K17713=1,J17852=1),$C$17691,IF(Assumptions!$I$54=1,MAX(K17689,Assumptions!$G$54)+Assumptions!$F$54+$C$17690,Assumptions!$E$54))+K17725*IF(OR(K17726=1,J17853=1),$C$17691,IF(Assumptions!$I$55=1,MAX(K17689,Assumptions!$G$55)+Assumptions!$F$55+$C$17690,Assumptions!$E$55))+K17738*IF(OR(K17739=1,J17854=1),$C$17691,IF(Assumptions!$I$56=1,MAX(K17689,Assumptions!$G$56)+Assumptions!$F$56+$C$17690,Assumptions!$E$56))</f>
        <v>136.33146262032</v>
      </c>
    </row>
    <row r="17697" customFormat="false" ht="15" hidden="false" customHeight="false" outlineLevel="0" collapsed="false">
      <c r="A17697" s="5" t="s">
        <v>262</v>
      </c>
      <c r="G17697" s="20" t="n">
        <f aca="false">IF(G17673&lt;=0,0,IF(AND((G17694-G17695)/G17673&lt;=$C$17692,G17673/G17696&gt;=$C$17693),1,0))</f>
        <v>1</v>
      </c>
      <c r="H17697" s="20" t="n">
        <f aca="false">IF(H17673&lt;=0,0,IF(AND((H17694-H17695)/H17673&lt;=$C$17692,H17673/H17696&gt;=$C$17693),1,0))</f>
        <v>1</v>
      </c>
      <c r="I17697" s="20" t="n">
        <f aca="false">IF(I17673&lt;=0,0,IF(AND((I17694-I17695)/I17673&lt;=$C$17692,I17673/I17696&gt;=$C$17693),1,0))</f>
        <v>1</v>
      </c>
      <c r="J17697" s="20" t="n">
        <f aca="false">IF(J17673&lt;=0,0,IF(AND((J17694-J17695)/J17673&lt;=$C$17692,J17673/J17696&gt;=$C$17693),1,0))</f>
        <v>1</v>
      </c>
      <c r="K17697" s="20" t="n">
        <f aca="false">IF(K17673&lt;=0,0,IF(AND((K17694-K17695)/K17673&lt;=$C$17692,K17673/K17696&gt;=$C$17693),1,0))</f>
        <v>1</v>
      </c>
    </row>
    <row r="17698" customFormat="false" ht="15" hidden="false" customHeight="false" outlineLevel="0" collapsed="false">
      <c r="A17698" s="23" t="s">
        <v>263</v>
      </c>
      <c r="B17698" s="24"/>
      <c r="C17698" s="24"/>
      <c r="D17698" s="24"/>
      <c r="E17698" s="24"/>
      <c r="F17698" s="24"/>
      <c r="G17698" s="24"/>
      <c r="H17698" s="24"/>
      <c r="I17698" s="24"/>
      <c r="J17698" s="24"/>
      <c r="K17698" s="24"/>
    </row>
    <row r="17699" customFormat="false" ht="15" hidden="false" customHeight="false" outlineLevel="0" collapsed="false">
      <c r="A17699" s="5" t="s">
        <v>264</v>
      </c>
      <c r="G17699" s="25" t="n">
        <f aca="false">F17710</f>
        <v>180</v>
      </c>
      <c r="H17699" s="25" t="n">
        <f aca="false">G17710</f>
        <v>149.44</v>
      </c>
      <c r="I17699" s="25" t="n">
        <f aca="false">H17710</f>
        <v>149.44</v>
      </c>
      <c r="J17699" s="25" t="n">
        <f aca="false">I17710</f>
        <v>170.5985096</v>
      </c>
      <c r="K17699" s="25" t="n">
        <f aca="false">J17710</f>
        <v>190.176932912</v>
      </c>
    </row>
    <row r="17700" customFormat="false" ht="15" hidden="false" customHeight="false" outlineLevel="0" collapsed="false">
      <c r="A17700" s="5" t="s">
        <v>265</v>
      </c>
      <c r="G17700" s="20" t="n">
        <f aca="false">IF(G17663=Assumptions!$K$53,1,0)</f>
        <v>0</v>
      </c>
      <c r="H17700" s="20" t="n">
        <f aca="false">IF(H17663=Assumptions!$K$53,1,0)</f>
        <v>1</v>
      </c>
      <c r="I17700" s="20" t="n">
        <f aca="false">IF(I17663=Assumptions!$K$53,1,0)</f>
        <v>0</v>
      </c>
      <c r="J17700" s="20" t="n">
        <f aca="false">IF(J17663=Assumptions!$K$53,1,0)</f>
        <v>0</v>
      </c>
      <c r="K17700" s="20" t="n">
        <f aca="false">IF(K17663=Assumptions!$K$53,1,0)</f>
        <v>0</v>
      </c>
    </row>
    <row r="17702" customFormat="false" ht="15" hidden="false" customHeight="false" outlineLevel="0" collapsed="false">
      <c r="A17702" s="5" t="s">
        <v>266</v>
      </c>
      <c r="G17702" s="30" t="n">
        <f aca="false">IF(Assumptions!$I$53=1,MAX(G17689,Assumptions!$G$53)+Assumptions!$F$53+$C$17690,Assumptions!$E$53)</f>
        <v>0.086</v>
      </c>
      <c r="H17702" s="30" t="n">
        <f aca="false">IF(G17851=1,$C$17691,IF(Assumptions!$I$53=1,MAX(H17689,Assumptions!$G$53)+Assumptions!$F$53+$C$17690,Assumptions!$E$53))</f>
        <v>0.0835</v>
      </c>
      <c r="I17702" s="30" t="n">
        <f aca="false">IF(H17851=1,$C$17691,IF(Assumptions!$I$53=1,MAX(I17689,Assumptions!$G$53)+Assumptions!$F$53+$C$17690,Assumptions!$E$53))</f>
        <v>0.11</v>
      </c>
      <c r="J17702" s="30" t="n">
        <f aca="false">IF(I17851=1,$C$17691,IF(Assumptions!$I$53=1,MAX(J17689,Assumptions!$G$53)+Assumptions!$F$53+$C$17690,Assumptions!$E$53))</f>
        <v>0.11</v>
      </c>
      <c r="K17702" s="30" t="n">
        <f aca="false">IF(J17851=1,$C$17691,IF(Assumptions!$I$53=1,MAX(K17689,Assumptions!$G$53)+Assumptions!$F$53+$C$17690,Assumptions!$E$53))</f>
        <v>0.11</v>
      </c>
    </row>
    <row r="17703" customFormat="false" ht="15" hidden="false" customHeight="false" outlineLevel="0" collapsed="false">
      <c r="A17703" s="5" t="s">
        <v>267</v>
      </c>
      <c r="G17703" s="25" t="n">
        <f aca="false">G17699*G17702</f>
        <v>15.48</v>
      </c>
      <c r="H17703" s="25" t="n">
        <f aca="false">H17699*H17702</f>
        <v>12.47824</v>
      </c>
      <c r="I17703" s="25" t="n">
        <f aca="false">I17699*I17702</f>
        <v>16.4384</v>
      </c>
      <c r="J17703" s="25" t="n">
        <f aca="false">J17699*J17702</f>
        <v>18.765836056</v>
      </c>
      <c r="K17703" s="25" t="n">
        <f aca="false">K17699*K17702</f>
        <v>20.91946262032</v>
      </c>
    </row>
    <row r="17704" customFormat="false" ht="15" hidden="false" customHeight="false" outlineLevel="0" collapsed="false">
      <c r="A17704" s="5" t="s">
        <v>268</v>
      </c>
      <c r="G17704" s="25" t="n">
        <f aca="false">G17699*Assumptions!$H$53</f>
        <v>0</v>
      </c>
      <c r="H17704" s="25" t="n">
        <f aca="false">H17699*Assumptions!$H$53</f>
        <v>0</v>
      </c>
      <c r="I17704" s="25" t="n">
        <f aca="false">I17699*Assumptions!$H$53</f>
        <v>0</v>
      </c>
      <c r="J17704" s="25" t="n">
        <f aca="false">J17699*Assumptions!$H$53</f>
        <v>0</v>
      </c>
      <c r="K17704" s="25" t="n">
        <f aca="false">K17699*Assumptions!$H$53</f>
        <v>0</v>
      </c>
    </row>
    <row r="17705" customFormat="false" ht="15" hidden="false" customHeight="false" outlineLevel="0" collapsed="false">
      <c r="A17705" s="5" t="s">
        <v>269</v>
      </c>
      <c r="G17705" s="25" t="n">
        <f aca="false">MIN(G17699,Assumptions!$L$53*Assumptions!$C$53)</f>
        <v>0</v>
      </c>
      <c r="H17705" s="25" t="n">
        <f aca="false">MIN(H17699,Assumptions!$L$53*Assumptions!$C$53)</f>
        <v>0</v>
      </c>
      <c r="I17705" s="25" t="n">
        <f aca="false">MIN(I17699,Assumptions!$L$53*Assumptions!$C$53)</f>
        <v>0</v>
      </c>
      <c r="J17705" s="25" t="n">
        <f aca="false">MIN(J17699,Assumptions!$L$53*Assumptions!$C$53)</f>
        <v>0</v>
      </c>
      <c r="K17705" s="25" t="n">
        <f aca="false">MIN(K17699,Assumptions!$L$53*Assumptions!$C$53)</f>
        <v>0</v>
      </c>
    </row>
    <row r="17706" customFormat="false" ht="15" hidden="false" customHeight="false" outlineLevel="0" collapsed="false">
      <c r="A17706" s="5" t="s">
        <v>270</v>
      </c>
      <c r="G17706" s="25" t="n">
        <f aca="false">IF(AND(Assumptions!$P$53=1,G17663&lt;Assumptions!$K$53),MIN(MAX(0,-G17777),MAX(0,Assumptions!$D$53-G17699)),0)</f>
        <v>0</v>
      </c>
      <c r="H17706" s="25" t="n">
        <f aca="false">IF(AND(Assumptions!$P$53=1,OR(H17663&lt;Assumptions!$K$53,G17851=1)),MIN(MAX(0,-H17777),MAX(0,Assumptions!$D$53-H17699)),0)</f>
        <v>0</v>
      </c>
      <c r="I17706" s="25" t="n">
        <f aca="false">IF(AND(Assumptions!$P$53=1,OR(I17663&lt;Assumptions!$K$53,H17851=1)),MIN(MAX(0,-I17777),MAX(0,Assumptions!$D$53-I17699)),0)</f>
        <v>21.1585096</v>
      </c>
      <c r="J17706" s="25" t="n">
        <f aca="false">IF(AND(Assumptions!$P$53=1,OR(J17663&lt;Assumptions!$K$53,I17851=1)),MIN(MAX(0,-J17777),MAX(0,Assumptions!$D$53-J17699)),0)</f>
        <v>19.578423312</v>
      </c>
      <c r="K17706" s="25" t="n">
        <f aca="false">IF(AND(Assumptions!$P$53=1,OR(K17663&lt;Assumptions!$K$53,J17851=1)),MIN(MAX(0,-K17777),MAX(0,Assumptions!$D$53-K17699)),0)</f>
        <v>17.79901176424</v>
      </c>
    </row>
    <row r="17707" customFormat="false" ht="15" hidden="false" customHeight="false" outlineLevel="0" collapsed="false">
      <c r="A17707" s="5" t="s">
        <v>271</v>
      </c>
      <c r="G17707" s="25" t="n">
        <f aca="false">G17700*MIN(G17699-G17705+G17704,MAX(0,G17779-Assumptions!$C$12*G17697))</f>
        <v>0</v>
      </c>
      <c r="H17707" s="25" t="n">
        <f aca="false">H17700*MIN(H17699-H17705+H17704,MAX(0,H17779-Assumptions!$C$12*H17697))</f>
        <v>0</v>
      </c>
      <c r="I17707" s="25" t="n">
        <f aca="false">I17700*MIN(I17699-I17705+I17704,MAX(0,I17779-Assumptions!$C$12*I17697))</f>
        <v>0</v>
      </c>
      <c r="J17707" s="25" t="n">
        <f aca="false">J17700*MIN(J17699-J17705+J17704,MAX(0,J17779-Assumptions!$C$12*J17697))</f>
        <v>0</v>
      </c>
      <c r="K17707" s="25" t="n">
        <f aca="false">K17700*MIN(K17699-K17705+K17704,MAX(0,K17779-Assumptions!$C$12*K17697))</f>
        <v>0</v>
      </c>
    </row>
    <row r="17708" customFormat="false" ht="15" hidden="false" customHeight="false" outlineLevel="0" collapsed="false">
      <c r="A17708" s="5" t="s">
        <v>272</v>
      </c>
      <c r="G17708" s="25" t="n">
        <f aca="false">Assumptions!$N$53*MIN(G17699+G17706+G17704-G17705-G17707,MAX(0,G17783))</f>
        <v>30.56</v>
      </c>
      <c r="H17708" s="25" t="n">
        <f aca="false">Assumptions!$N$53*MIN(H17699+H17706+H17704-H17705-H17707,MAX(0,H17783))</f>
        <v>0</v>
      </c>
      <c r="I17708" s="25" t="n">
        <f aca="false">Assumptions!$N$53*MIN(I17699+I17706+I17704-I17705-I17707,MAX(0,I17783))</f>
        <v>0</v>
      </c>
      <c r="J17708" s="25" t="n">
        <f aca="false">Assumptions!$N$53*MIN(J17699+J17706+J17704-J17705-J17707,MAX(0,J17783))</f>
        <v>0</v>
      </c>
      <c r="K17708" s="25" t="n">
        <f aca="false">Assumptions!$N$53*MIN(K17699+K17706+K17704-K17705-K17707,MAX(0,K17783))</f>
        <v>0</v>
      </c>
    </row>
    <row r="17709" customFormat="false" ht="15" hidden="false" customHeight="false" outlineLevel="0" collapsed="false">
      <c r="A17709" s="5" t="s">
        <v>273</v>
      </c>
      <c r="G17709" s="25" t="n">
        <f aca="false">G17700*(1-G17697)*(G17699-G17705+G17704-G17707)</f>
        <v>0</v>
      </c>
      <c r="H17709" s="25" t="n">
        <f aca="false">H17700*(1-H17697)*(H17699-H17705+H17704-H17707)</f>
        <v>0</v>
      </c>
      <c r="I17709" s="25" t="n">
        <f aca="false">I17700*(1-I17697)*(I17699-I17705+I17704-I17707)</f>
        <v>0</v>
      </c>
      <c r="J17709" s="25" t="n">
        <f aca="false">J17700*(1-J17697)*(J17699-J17705+J17704-J17707)</f>
        <v>0</v>
      </c>
      <c r="K17709" s="25" t="n">
        <f aca="false">K17700*(1-K17697)*(K17699-K17705+K17704-K17707)</f>
        <v>0</v>
      </c>
    </row>
    <row r="17710" customFormat="false" ht="15" hidden="false" customHeight="false" outlineLevel="0" collapsed="false">
      <c r="A17710" s="2" t="s">
        <v>274</v>
      </c>
      <c r="F17710" s="27" t="n">
        <f aca="false">Assumptions!$C$53</f>
        <v>180</v>
      </c>
      <c r="G17710" s="16" t="n">
        <f aca="false">G17699+G17706+G17704-G17705-G17707-G17708</f>
        <v>149.44</v>
      </c>
      <c r="H17710" s="16" t="n">
        <f aca="false">H17699+H17706+H17704-H17705-H17707-H17708</f>
        <v>149.44</v>
      </c>
      <c r="I17710" s="16" t="n">
        <f aca="false">I17699+I17706+I17704-I17705-I17707-I17708</f>
        <v>170.5985096</v>
      </c>
      <c r="J17710" s="16" t="n">
        <f aca="false">J17699+J17706+J17704-J17705-J17707-J17708</f>
        <v>190.176932912</v>
      </c>
      <c r="K17710" s="16" t="n">
        <f aca="false">K17699+K17706+K17704-K17705-K17707-K17708</f>
        <v>207.97594467624</v>
      </c>
    </row>
    <row r="17711" customFormat="false" ht="15" hidden="false" customHeight="false" outlineLevel="0" collapsed="false">
      <c r="A17711" s="23" t="s">
        <v>275</v>
      </c>
      <c r="B17711" s="24"/>
      <c r="C17711" s="24"/>
      <c r="D17711" s="24"/>
      <c r="E17711" s="24"/>
      <c r="F17711" s="24"/>
      <c r="G17711" s="24"/>
      <c r="H17711" s="24"/>
      <c r="I17711" s="24"/>
      <c r="J17711" s="24"/>
      <c r="K17711" s="24"/>
    </row>
    <row r="17712" customFormat="false" ht="15" hidden="false" customHeight="false" outlineLevel="0" collapsed="false">
      <c r="A17712" s="5" t="s">
        <v>264</v>
      </c>
      <c r="G17712" s="25" t="n">
        <f aca="false">F17723</f>
        <v>520</v>
      </c>
      <c r="H17712" s="25" t="n">
        <f aca="false">G17723</f>
        <v>514.8</v>
      </c>
      <c r="I17712" s="25" t="n">
        <f aca="false">H17723</f>
        <v>509.6</v>
      </c>
      <c r="J17712" s="25" t="n">
        <f aca="false">I17723</f>
        <v>504.4</v>
      </c>
      <c r="K17712" s="25" t="n">
        <f aca="false">J17723</f>
        <v>499.2</v>
      </c>
    </row>
    <row r="17713" customFormat="false" ht="15" hidden="false" customHeight="false" outlineLevel="0" collapsed="false">
      <c r="A17713" s="5" t="s">
        <v>265</v>
      </c>
      <c r="G17713" s="20" t="n">
        <f aca="false">IF(G17663=Assumptions!$K$54,1,0)</f>
        <v>0</v>
      </c>
      <c r="H17713" s="20" t="n">
        <f aca="false">IF(H17663=Assumptions!$K$54,1,0)</f>
        <v>0</v>
      </c>
      <c r="I17713" s="20" t="n">
        <f aca="false">IF(I17663=Assumptions!$K$54,1,0)</f>
        <v>1</v>
      </c>
      <c r="J17713" s="20" t="n">
        <f aca="false">IF(J17663=Assumptions!$K$54,1,0)</f>
        <v>0</v>
      </c>
      <c r="K17713" s="20" t="n">
        <f aca="false">IF(K17663=Assumptions!$K$54,1,0)</f>
        <v>0</v>
      </c>
    </row>
    <row r="17715" customFormat="false" ht="15" hidden="false" customHeight="false" outlineLevel="0" collapsed="false">
      <c r="A17715" s="5" t="s">
        <v>266</v>
      </c>
      <c r="G17715" s="30" t="n">
        <f aca="false">IF(Assumptions!$I$54=1,MAX(G17689,Assumptions!$G$54)+Assumptions!$F$54+$C$17690,Assumptions!$E$54)</f>
        <v>0.103</v>
      </c>
      <c r="H17715" s="30" t="n">
        <f aca="false">IF(G17852=1,$C$17691,IF(Assumptions!$I$54=1,MAX(H17689,Assumptions!$G$54)+Assumptions!$F$54+$C$17690,Assumptions!$E$54))</f>
        <v>0.1005</v>
      </c>
      <c r="I17715" s="30" t="n">
        <f aca="false">IF(H17852=1,$C$17691,IF(Assumptions!$I$54=1,MAX(I17689,Assumptions!$G$54)+Assumptions!$F$54+$C$17690,Assumptions!$E$54))</f>
        <v>0.098</v>
      </c>
      <c r="J17715" s="30" t="n">
        <f aca="false">IF(I17852=1,$C$17691,IF(Assumptions!$I$54=1,MAX(J17689,Assumptions!$G$54)+Assumptions!$F$54+$C$17690,Assumptions!$E$54))</f>
        <v>0.11</v>
      </c>
      <c r="K17715" s="30" t="n">
        <f aca="false">IF(J17852=1,$C$17691,IF(Assumptions!$I$54=1,MAX(K17689,Assumptions!$G$54)+Assumptions!$F$54+$C$17690,Assumptions!$E$54))</f>
        <v>0.11</v>
      </c>
    </row>
    <row r="17716" customFormat="false" ht="15" hidden="false" customHeight="false" outlineLevel="0" collapsed="false">
      <c r="A17716" s="5" t="s">
        <v>267</v>
      </c>
      <c r="G17716" s="25" t="n">
        <f aca="false">G17712*G17715</f>
        <v>53.56</v>
      </c>
      <c r="H17716" s="25" t="n">
        <f aca="false">H17712*H17715</f>
        <v>51.7374</v>
      </c>
      <c r="I17716" s="25" t="n">
        <f aca="false">I17712*I17715</f>
        <v>49.9408</v>
      </c>
      <c r="J17716" s="25" t="n">
        <f aca="false">J17712*J17715</f>
        <v>55.484</v>
      </c>
      <c r="K17716" s="25" t="n">
        <f aca="false">K17712*K17715</f>
        <v>54.912</v>
      </c>
    </row>
    <row r="17717" customFormat="false" ht="15" hidden="false" customHeight="false" outlineLevel="0" collapsed="false">
      <c r="A17717" s="5" t="s">
        <v>268</v>
      </c>
      <c r="G17717" s="25" t="n">
        <f aca="false">G17712*Assumptions!$H$54</f>
        <v>0</v>
      </c>
      <c r="H17717" s="25" t="n">
        <f aca="false">H17712*Assumptions!$H$54</f>
        <v>0</v>
      </c>
      <c r="I17717" s="25" t="n">
        <f aca="false">I17712*Assumptions!$H$54</f>
        <v>0</v>
      </c>
      <c r="J17717" s="25" t="n">
        <f aca="false">J17712*Assumptions!$H$54</f>
        <v>0</v>
      </c>
      <c r="K17717" s="25" t="n">
        <f aca="false">K17712*Assumptions!$H$54</f>
        <v>0</v>
      </c>
    </row>
    <row r="17718" customFormat="false" ht="15" hidden="false" customHeight="false" outlineLevel="0" collapsed="false">
      <c r="A17718" s="5" t="s">
        <v>269</v>
      </c>
      <c r="G17718" s="25" t="n">
        <f aca="false">MIN(G17712,Assumptions!$L$54*Assumptions!$C$54)</f>
        <v>5.2</v>
      </c>
      <c r="H17718" s="25" t="n">
        <f aca="false">MIN(H17712,Assumptions!$L$54*Assumptions!$C$54)</f>
        <v>5.2</v>
      </c>
      <c r="I17718" s="25" t="n">
        <f aca="false">MIN(I17712,Assumptions!$L$54*Assumptions!$C$54)</f>
        <v>5.2</v>
      </c>
      <c r="J17718" s="25" t="n">
        <f aca="false">MIN(J17712,Assumptions!$L$54*Assumptions!$C$54)</f>
        <v>5.2</v>
      </c>
      <c r="K17718" s="25" t="n">
        <f aca="false">MIN(K17712,Assumptions!$L$54*Assumptions!$C$54)</f>
        <v>5.2</v>
      </c>
    </row>
    <row r="17719" customFormat="false" ht="15" hidden="false" customHeight="false" outlineLevel="0" collapsed="false">
      <c r="A17719" s="5" t="s">
        <v>270</v>
      </c>
      <c r="G17719" s="25" t="n">
        <f aca="false">IF(AND(Assumptions!$P$54=1,G17663&lt;Assumptions!$K$54),MIN(MAX(0,-G17777),MAX(0,Assumptions!$D$54-G17712)),0)</f>
        <v>0</v>
      </c>
      <c r="H17719" s="25" t="n">
        <f aca="false">IF(AND(Assumptions!$P$54=1,OR(H17663&lt;Assumptions!$K$54,G17852=1)),MIN(MAX(0,-H17777),MAX(0,Assumptions!$D$54-H17712)),0)</f>
        <v>0</v>
      </c>
      <c r="I17719" s="25" t="n">
        <f aca="false">IF(AND(Assumptions!$P$54=1,OR(I17663&lt;Assumptions!$K$54,H17852=1)),MIN(MAX(0,-I17777),MAX(0,Assumptions!$D$54-I17712)),0)</f>
        <v>0</v>
      </c>
      <c r="J17719" s="25" t="n">
        <f aca="false">IF(AND(Assumptions!$P$54=1,OR(J17663&lt;Assumptions!$K$54,I17852=1)),MIN(MAX(0,-J17777),MAX(0,Assumptions!$D$54-J17712)),0)</f>
        <v>0</v>
      </c>
      <c r="K17719" s="25" t="n">
        <f aca="false">IF(AND(Assumptions!$P$54=1,OR(K17663&lt;Assumptions!$K$54,J17852=1)),MIN(MAX(0,-K17777),MAX(0,Assumptions!$D$54-K17712)),0)</f>
        <v>0</v>
      </c>
    </row>
    <row r="17720" customFormat="false" ht="15" hidden="false" customHeight="false" outlineLevel="0" collapsed="false">
      <c r="A17720" s="5" t="s">
        <v>271</v>
      </c>
      <c r="G17720" s="25" t="n">
        <f aca="false">G17713*MIN(G17712-G17718+G17717,MAX(0,G17779-Assumptions!$C$12*G17697-G17707))</f>
        <v>0</v>
      </c>
      <c r="H17720" s="25" t="n">
        <f aca="false">H17713*MIN(H17712-H17718+H17717,MAX(0,H17779-Assumptions!$C$12*H17697-H17707))</f>
        <v>0</v>
      </c>
      <c r="I17720" s="25" t="n">
        <f aca="false">I17713*MIN(I17712-I17718+I17717,MAX(0,I17779-Assumptions!$C$12*I17697-I17707))</f>
        <v>0</v>
      </c>
      <c r="J17720" s="25" t="n">
        <f aca="false">J17713*MIN(J17712-J17718+J17717,MAX(0,J17779-Assumptions!$C$12*J17697-J17707))</f>
        <v>0</v>
      </c>
      <c r="K17720" s="25" t="n">
        <f aca="false">K17713*MIN(K17712-K17718+K17717,MAX(0,K17779-Assumptions!$C$12*K17697-K17707))</f>
        <v>0</v>
      </c>
    </row>
    <row r="17721" customFormat="false" ht="15" hidden="false" customHeight="false" outlineLevel="0" collapsed="false">
      <c r="A17721" s="5" t="s">
        <v>272</v>
      </c>
      <c r="G17721" s="25" t="n">
        <f aca="false">Assumptions!$N$54*MIN(G17712+G17719+G17717-G17718-G17720,MAX(0,G17783-G17708))</f>
        <v>0</v>
      </c>
      <c r="H17721" s="25" t="n">
        <f aca="false">Assumptions!$N$54*MIN(H17712+H17719+H17717-H17718-H17720,MAX(0,H17783-H17708))</f>
        <v>0</v>
      </c>
      <c r="I17721" s="25" t="n">
        <f aca="false">Assumptions!$N$54*MIN(I17712+I17719+I17717-I17718-I17720,MAX(0,I17783-I17708))</f>
        <v>0</v>
      </c>
      <c r="J17721" s="25" t="n">
        <f aca="false">Assumptions!$N$54*MIN(J17712+J17719+J17717-J17718-J17720,MAX(0,J17783-J17708))</f>
        <v>0</v>
      </c>
      <c r="K17721" s="25" t="n">
        <f aca="false">Assumptions!$N$54*MIN(K17712+K17719+K17717-K17718-K17720,MAX(0,K17783-K17708))</f>
        <v>0</v>
      </c>
    </row>
    <row r="17722" customFormat="false" ht="15" hidden="false" customHeight="false" outlineLevel="0" collapsed="false">
      <c r="A17722" s="5" t="s">
        <v>273</v>
      </c>
      <c r="G17722" s="25" t="n">
        <f aca="false">G17713*(1-G17697)*(G17712-G17718+G17717-G17720)</f>
        <v>0</v>
      </c>
      <c r="H17722" s="25" t="n">
        <f aca="false">H17713*(1-H17697)*(H17712-H17718+H17717-H17720)</f>
        <v>0</v>
      </c>
      <c r="I17722" s="25" t="n">
        <f aca="false">I17713*(1-I17697)*(I17712-I17718+I17717-I17720)</f>
        <v>0</v>
      </c>
      <c r="J17722" s="25" t="n">
        <f aca="false">J17713*(1-J17697)*(J17712-J17718+J17717-J17720)</f>
        <v>0</v>
      </c>
      <c r="K17722" s="25" t="n">
        <f aca="false">K17713*(1-K17697)*(K17712-K17718+K17717-K17720)</f>
        <v>0</v>
      </c>
    </row>
    <row r="17723" customFormat="false" ht="15" hidden="false" customHeight="false" outlineLevel="0" collapsed="false">
      <c r="A17723" s="2" t="s">
        <v>274</v>
      </c>
      <c r="F17723" s="27" t="n">
        <f aca="false">Assumptions!$C$54</f>
        <v>520</v>
      </c>
      <c r="G17723" s="16" t="n">
        <f aca="false">G17712+G17719+G17717-G17718-G17720-G17721</f>
        <v>514.8</v>
      </c>
      <c r="H17723" s="16" t="n">
        <f aca="false">H17712+H17719+H17717-H17718-H17720-H17721</f>
        <v>509.6</v>
      </c>
      <c r="I17723" s="16" t="n">
        <f aca="false">I17712+I17719+I17717-I17718-I17720-I17721</f>
        <v>504.4</v>
      </c>
      <c r="J17723" s="16" t="n">
        <f aca="false">J17712+J17719+J17717-J17718-J17720-J17721</f>
        <v>499.2</v>
      </c>
      <c r="K17723" s="16" t="n">
        <f aca="false">K17712+K17719+K17717-K17718-K17720-K17721</f>
        <v>494</v>
      </c>
    </row>
    <row r="17724" customFormat="false" ht="15" hidden="false" customHeight="false" outlineLevel="0" collapsed="false">
      <c r="A17724" s="23" t="s">
        <v>276</v>
      </c>
      <c r="B17724" s="24"/>
      <c r="C17724" s="24"/>
      <c r="D17724" s="24"/>
      <c r="E17724" s="24"/>
      <c r="F17724" s="24"/>
      <c r="G17724" s="24"/>
      <c r="H17724" s="24"/>
      <c r="I17724" s="24"/>
      <c r="J17724" s="24"/>
      <c r="K17724" s="24"/>
    </row>
    <row r="17725" customFormat="false" ht="15" hidden="false" customHeight="false" outlineLevel="0" collapsed="false">
      <c r="A17725" s="5" t="s">
        <v>264</v>
      </c>
      <c r="G17725" s="25" t="n">
        <f aca="false">F17736</f>
        <v>250</v>
      </c>
      <c r="H17725" s="25" t="n">
        <f aca="false">G17736</f>
        <v>250</v>
      </c>
      <c r="I17725" s="25" t="n">
        <f aca="false">H17736</f>
        <v>250</v>
      </c>
      <c r="J17725" s="25" t="n">
        <f aca="false">I17736</f>
        <v>250</v>
      </c>
      <c r="K17725" s="25" t="n">
        <f aca="false">J17736</f>
        <v>250</v>
      </c>
    </row>
    <row r="17726" customFormat="false" ht="15" hidden="false" customHeight="false" outlineLevel="0" collapsed="false">
      <c r="A17726" s="5" t="s">
        <v>265</v>
      </c>
      <c r="G17726" s="20" t="n">
        <f aca="false">IF(G17663=Assumptions!$K$55,1,0)</f>
        <v>0</v>
      </c>
      <c r="H17726" s="20" t="n">
        <f aca="false">IF(H17663=Assumptions!$K$55,1,0)</f>
        <v>0</v>
      </c>
      <c r="I17726" s="20" t="n">
        <f aca="false">IF(I17663=Assumptions!$K$55,1,0)</f>
        <v>0</v>
      </c>
      <c r="J17726" s="20" t="n">
        <f aca="false">IF(J17663=Assumptions!$K$55,1,0)</f>
        <v>1</v>
      </c>
      <c r="K17726" s="20" t="n">
        <f aca="false">IF(K17663=Assumptions!$K$55,1,0)</f>
        <v>0</v>
      </c>
    </row>
    <row r="17728" customFormat="false" ht="15" hidden="false" customHeight="false" outlineLevel="0" collapsed="false">
      <c r="A17728" s="5" t="s">
        <v>266</v>
      </c>
      <c r="G17728" s="30" t="n">
        <f aca="false">IF(Assumptions!$I$55=1,MAX(G17689,Assumptions!$G$55)+Assumptions!$F$55+$C$17690,Assumptions!$E$55)</f>
        <v>0.11</v>
      </c>
      <c r="H17728" s="30" t="n">
        <f aca="false">IF(G17853=1,$C$17691,IF(Assumptions!$I$55=1,MAX(H17689,Assumptions!$G$55)+Assumptions!$F$55+$C$17690,Assumptions!$E$55))</f>
        <v>0.11</v>
      </c>
      <c r="I17728" s="30" t="n">
        <f aca="false">IF(H17853=1,$C$17691,IF(Assumptions!$I$55=1,MAX(I17689,Assumptions!$G$55)+Assumptions!$F$55+$C$17690,Assumptions!$E$55))</f>
        <v>0.11</v>
      </c>
      <c r="J17728" s="30" t="n">
        <f aca="false">IF(I17853=1,$C$17691,IF(Assumptions!$I$55=1,MAX(J17689,Assumptions!$G$55)+Assumptions!$F$55+$C$17690,Assumptions!$E$55))</f>
        <v>0.11</v>
      </c>
      <c r="K17728" s="30" t="n">
        <f aca="false">IF(J17853=1,$C$17691,IF(Assumptions!$I$55=1,MAX(K17689,Assumptions!$G$55)+Assumptions!$F$55+$C$17690,Assumptions!$E$55))</f>
        <v>0.11</v>
      </c>
    </row>
    <row r="17729" customFormat="false" ht="15" hidden="false" customHeight="false" outlineLevel="0" collapsed="false">
      <c r="A17729" s="5" t="s">
        <v>267</v>
      </c>
      <c r="G17729" s="25" t="n">
        <f aca="false">G17725*G17728</f>
        <v>27.5</v>
      </c>
      <c r="H17729" s="25" t="n">
        <f aca="false">H17725*H17728</f>
        <v>27.5</v>
      </c>
      <c r="I17729" s="25" t="n">
        <f aca="false">I17725*I17728</f>
        <v>27.5</v>
      </c>
      <c r="J17729" s="25" t="n">
        <f aca="false">J17725*J17728</f>
        <v>27.5</v>
      </c>
      <c r="K17729" s="25" t="n">
        <f aca="false">K17725*K17728</f>
        <v>27.5</v>
      </c>
    </row>
    <row r="17730" customFormat="false" ht="15" hidden="false" customHeight="false" outlineLevel="0" collapsed="false">
      <c r="A17730" s="5" t="s">
        <v>268</v>
      </c>
      <c r="G17730" s="25" t="n">
        <f aca="false">G17725*Assumptions!$H$55</f>
        <v>0</v>
      </c>
      <c r="H17730" s="25" t="n">
        <f aca="false">H17725*Assumptions!$H$55</f>
        <v>0</v>
      </c>
      <c r="I17730" s="25" t="n">
        <f aca="false">I17725*Assumptions!$H$55</f>
        <v>0</v>
      </c>
      <c r="J17730" s="25" t="n">
        <f aca="false">J17725*Assumptions!$H$55</f>
        <v>0</v>
      </c>
      <c r="K17730" s="25" t="n">
        <f aca="false">K17725*Assumptions!$H$55</f>
        <v>0</v>
      </c>
    </row>
    <row r="17731" customFormat="false" ht="15" hidden="false" customHeight="false" outlineLevel="0" collapsed="false">
      <c r="A17731" s="5" t="s">
        <v>269</v>
      </c>
      <c r="G17731" s="25" t="n">
        <f aca="false">MIN(G17725,Assumptions!$L$55*Assumptions!$C$55)</f>
        <v>0</v>
      </c>
      <c r="H17731" s="25" t="n">
        <f aca="false">MIN(H17725,Assumptions!$L$55*Assumptions!$C$55)</f>
        <v>0</v>
      </c>
      <c r="I17731" s="25" t="n">
        <f aca="false">MIN(I17725,Assumptions!$L$55*Assumptions!$C$55)</f>
        <v>0</v>
      </c>
      <c r="J17731" s="25" t="n">
        <f aca="false">MIN(J17725,Assumptions!$L$55*Assumptions!$C$55)</f>
        <v>0</v>
      </c>
      <c r="K17731" s="25" t="n">
        <f aca="false">MIN(K17725,Assumptions!$L$55*Assumptions!$C$55)</f>
        <v>0</v>
      </c>
    </row>
    <row r="17732" customFormat="false" ht="15" hidden="false" customHeight="false" outlineLevel="0" collapsed="false">
      <c r="A17732" s="5" t="s">
        <v>270</v>
      </c>
      <c r="G17732" s="25" t="n">
        <f aca="false">IF(AND(Assumptions!$P$55=1,G17663&lt;Assumptions!$K$55),MIN(MAX(0,-G17777),MAX(0,Assumptions!$D$55-G17725)),0)</f>
        <v>0</v>
      </c>
      <c r="H17732" s="25" t="n">
        <f aca="false">IF(AND(Assumptions!$P$55=1,OR(H17663&lt;Assumptions!$K$55,G17853=1)),MIN(MAX(0,-H17777),MAX(0,Assumptions!$D$55-H17725)),0)</f>
        <v>0</v>
      </c>
      <c r="I17732" s="25" t="n">
        <f aca="false">IF(AND(Assumptions!$P$55=1,OR(I17663&lt;Assumptions!$K$55,H17853=1)),MIN(MAX(0,-I17777),MAX(0,Assumptions!$D$55-I17725)),0)</f>
        <v>0</v>
      </c>
      <c r="J17732" s="25" t="n">
        <f aca="false">IF(AND(Assumptions!$P$55=1,OR(J17663&lt;Assumptions!$K$55,I17853=1)),MIN(MAX(0,-J17777),MAX(0,Assumptions!$D$55-J17725)),0)</f>
        <v>0</v>
      </c>
      <c r="K17732" s="25" t="n">
        <f aca="false">IF(AND(Assumptions!$P$55=1,OR(K17663&lt;Assumptions!$K$55,J17853=1)),MIN(MAX(0,-K17777),MAX(0,Assumptions!$D$55-K17725)),0)</f>
        <v>0</v>
      </c>
    </row>
    <row r="17733" customFormat="false" ht="15" hidden="false" customHeight="false" outlineLevel="0" collapsed="false">
      <c r="A17733" s="5" t="s">
        <v>271</v>
      </c>
      <c r="G17733" s="25" t="n">
        <f aca="false">G17726*MIN(G17725-G17731+G17730,MAX(0,G17779-Assumptions!$C$12*G17697-G17707-G17720))</f>
        <v>0</v>
      </c>
      <c r="H17733" s="25" t="n">
        <f aca="false">H17726*MIN(H17725-H17731+H17730,MAX(0,H17779-Assumptions!$C$12*H17697-H17707-H17720))</f>
        <v>0</v>
      </c>
      <c r="I17733" s="25" t="n">
        <f aca="false">I17726*MIN(I17725-I17731+I17730,MAX(0,I17779-Assumptions!$C$12*I17697-I17707-I17720))</f>
        <v>0</v>
      </c>
      <c r="J17733" s="25" t="n">
        <f aca="false">J17726*MIN(J17725-J17731+J17730,MAX(0,J17779-Assumptions!$C$12*J17697-J17707-J17720))</f>
        <v>0</v>
      </c>
      <c r="K17733" s="25" t="n">
        <f aca="false">K17726*MIN(K17725-K17731+K17730,MAX(0,K17779-Assumptions!$C$12*K17697-K17707-K17720))</f>
        <v>0</v>
      </c>
    </row>
    <row r="17734" customFormat="false" ht="15" hidden="false" customHeight="false" outlineLevel="0" collapsed="false">
      <c r="A17734" s="5" t="s">
        <v>272</v>
      </c>
      <c r="G17734" s="25" t="n">
        <f aca="false">Assumptions!$N$55*MIN(G17725+G17732+G17730-G17731-G17733,MAX(0,G17783-G17708-G17721))</f>
        <v>0</v>
      </c>
      <c r="H17734" s="25" t="n">
        <f aca="false">Assumptions!$N$55*MIN(H17725+H17732+H17730-H17731-H17733,MAX(0,H17783-H17708-H17721))</f>
        <v>0</v>
      </c>
      <c r="I17734" s="25" t="n">
        <f aca="false">Assumptions!$N$55*MIN(I17725+I17732+I17730-I17731-I17733,MAX(0,I17783-I17708-I17721))</f>
        <v>0</v>
      </c>
      <c r="J17734" s="25" t="n">
        <f aca="false">Assumptions!$N$55*MIN(J17725+J17732+J17730-J17731-J17733,MAX(0,J17783-J17708-J17721))</f>
        <v>0</v>
      </c>
      <c r="K17734" s="25" t="n">
        <f aca="false">Assumptions!$N$55*MIN(K17725+K17732+K17730-K17731-K17733,MAX(0,K17783-K17708-K17721))</f>
        <v>0</v>
      </c>
    </row>
    <row r="17735" customFormat="false" ht="15" hidden="false" customHeight="false" outlineLevel="0" collapsed="false">
      <c r="A17735" s="5" t="s">
        <v>273</v>
      </c>
      <c r="G17735" s="25" t="n">
        <f aca="false">G17726*(1-G17697)*(G17725-G17731+G17730-G17733)</f>
        <v>0</v>
      </c>
      <c r="H17735" s="25" t="n">
        <f aca="false">H17726*(1-H17697)*(H17725-H17731+H17730-H17733)</f>
        <v>0</v>
      </c>
      <c r="I17735" s="25" t="n">
        <f aca="false">I17726*(1-I17697)*(I17725-I17731+I17730-I17733)</f>
        <v>0</v>
      </c>
      <c r="J17735" s="25" t="n">
        <f aca="false">J17726*(1-J17697)*(J17725-J17731+J17730-J17733)</f>
        <v>0</v>
      </c>
      <c r="K17735" s="25" t="n">
        <f aca="false">K17726*(1-K17697)*(K17725-K17731+K17730-K17733)</f>
        <v>0</v>
      </c>
    </row>
    <row r="17736" customFormat="false" ht="15" hidden="false" customHeight="false" outlineLevel="0" collapsed="false">
      <c r="A17736" s="2" t="s">
        <v>274</v>
      </c>
      <c r="F17736" s="27" t="n">
        <f aca="false">Assumptions!$C$55</f>
        <v>250</v>
      </c>
      <c r="G17736" s="16" t="n">
        <f aca="false">G17725+G17732+G17730-G17731-G17733-G17734</f>
        <v>250</v>
      </c>
      <c r="H17736" s="16" t="n">
        <f aca="false">H17725+H17732+H17730-H17731-H17733-H17734</f>
        <v>250</v>
      </c>
      <c r="I17736" s="16" t="n">
        <f aca="false">I17725+I17732+I17730-I17731-I17733-I17734</f>
        <v>250</v>
      </c>
      <c r="J17736" s="16" t="n">
        <f aca="false">J17725+J17732+J17730-J17731-J17733-J17734</f>
        <v>250</v>
      </c>
      <c r="K17736" s="16" t="n">
        <f aca="false">K17725+K17732+K17730-K17731-K17733-K17734</f>
        <v>250</v>
      </c>
    </row>
    <row r="17737" customFormat="false" ht="15" hidden="false" customHeight="false" outlineLevel="0" collapsed="false">
      <c r="A17737" s="23" t="s">
        <v>277</v>
      </c>
      <c r="B17737" s="24"/>
      <c r="C17737" s="24"/>
      <c r="D17737" s="24"/>
      <c r="E17737" s="24"/>
      <c r="F17737" s="24"/>
      <c r="G17737" s="24"/>
      <c r="H17737" s="24"/>
      <c r="I17737" s="24"/>
      <c r="J17737" s="24"/>
      <c r="K17737" s="24"/>
    </row>
    <row r="17738" customFormat="false" ht="15" hidden="false" customHeight="false" outlineLevel="0" collapsed="false">
      <c r="A17738" s="5" t="s">
        <v>264</v>
      </c>
      <c r="G17738" s="25" t="n">
        <f aca="false">F17749</f>
        <v>300</v>
      </c>
      <c r="H17738" s="25" t="n">
        <f aca="false">G17749</f>
        <v>300</v>
      </c>
      <c r="I17738" s="25" t="n">
        <f aca="false">H17749</f>
        <v>300</v>
      </c>
      <c r="J17738" s="25" t="n">
        <f aca="false">I17749</f>
        <v>300</v>
      </c>
      <c r="K17738" s="25" t="n">
        <f aca="false">J17749</f>
        <v>300</v>
      </c>
    </row>
    <row r="17739" customFormat="false" ht="15" hidden="false" customHeight="false" outlineLevel="0" collapsed="false">
      <c r="A17739" s="5" t="s">
        <v>265</v>
      </c>
      <c r="G17739" s="20" t="n">
        <f aca="false">IF(G17663=Assumptions!$K$56,1,0)</f>
        <v>0</v>
      </c>
      <c r="H17739" s="20" t="n">
        <f aca="false">IF(H17663=Assumptions!$K$56,1,0)</f>
        <v>1</v>
      </c>
      <c r="I17739" s="20" t="n">
        <f aca="false">IF(I17663=Assumptions!$K$56,1,0)</f>
        <v>0</v>
      </c>
      <c r="J17739" s="20" t="n">
        <f aca="false">IF(J17663=Assumptions!$K$56,1,0)</f>
        <v>0</v>
      </c>
      <c r="K17739" s="20" t="n">
        <f aca="false">IF(K17663=Assumptions!$K$56,1,0)</f>
        <v>0</v>
      </c>
    </row>
    <row r="17741" customFormat="false" ht="15" hidden="false" customHeight="false" outlineLevel="0" collapsed="false">
      <c r="A17741" s="5" t="s">
        <v>266</v>
      </c>
      <c r="G17741" s="30" t="n">
        <f aca="false">IF(Assumptions!$I$56=1,MAX(G17689,Assumptions!$G$56)+Assumptions!$F$56+$C$17690,Assumptions!$E$56)</f>
        <v>0.075</v>
      </c>
      <c r="H17741" s="30" t="n">
        <f aca="false">IF(G17854=1,$C$17691,IF(Assumptions!$I$56=1,MAX(H17689,Assumptions!$G$56)+Assumptions!$F$56+$C$17690,Assumptions!$E$56))</f>
        <v>0.075</v>
      </c>
      <c r="I17741" s="30" t="n">
        <f aca="false">IF(H17854=1,$C$17691,IF(Assumptions!$I$56=1,MAX(I17689,Assumptions!$G$56)+Assumptions!$F$56+$C$17690,Assumptions!$E$56))</f>
        <v>0.11</v>
      </c>
      <c r="J17741" s="30" t="n">
        <f aca="false">IF(I17854=1,$C$17691,IF(Assumptions!$I$56=1,MAX(J17689,Assumptions!$G$56)+Assumptions!$F$56+$C$17690,Assumptions!$E$56))</f>
        <v>0.11</v>
      </c>
      <c r="K17741" s="30" t="n">
        <f aca="false">IF(J17854=1,$C$17691,IF(Assumptions!$I$56=1,MAX(K17689,Assumptions!$G$56)+Assumptions!$F$56+$C$17690,Assumptions!$E$56))</f>
        <v>0.11</v>
      </c>
    </row>
    <row r="17742" customFormat="false" ht="15" hidden="false" customHeight="false" outlineLevel="0" collapsed="false">
      <c r="A17742" s="5" t="s">
        <v>267</v>
      </c>
      <c r="G17742" s="25" t="n">
        <f aca="false">G17738*G17741</f>
        <v>22.5</v>
      </c>
      <c r="H17742" s="25" t="n">
        <f aca="false">H17738*H17741</f>
        <v>22.5</v>
      </c>
      <c r="I17742" s="25" t="n">
        <f aca="false">I17738*I17741</f>
        <v>33</v>
      </c>
      <c r="J17742" s="25" t="n">
        <f aca="false">J17738*J17741</f>
        <v>33</v>
      </c>
      <c r="K17742" s="25" t="n">
        <f aca="false">K17738*K17741</f>
        <v>33</v>
      </c>
    </row>
    <row r="17743" customFormat="false" ht="15" hidden="false" customHeight="false" outlineLevel="0" collapsed="false">
      <c r="A17743" s="5" t="s">
        <v>268</v>
      </c>
      <c r="G17743" s="25" t="n">
        <f aca="false">G17738*Assumptions!$H$56</f>
        <v>0</v>
      </c>
      <c r="H17743" s="25" t="n">
        <f aca="false">H17738*Assumptions!$H$56</f>
        <v>0</v>
      </c>
      <c r="I17743" s="25" t="n">
        <f aca="false">I17738*Assumptions!$H$56</f>
        <v>0</v>
      </c>
      <c r="J17743" s="25" t="n">
        <f aca="false">J17738*Assumptions!$H$56</f>
        <v>0</v>
      </c>
      <c r="K17743" s="25" t="n">
        <f aca="false">K17738*Assumptions!$H$56</f>
        <v>0</v>
      </c>
    </row>
    <row r="17744" customFormat="false" ht="15" hidden="false" customHeight="false" outlineLevel="0" collapsed="false">
      <c r="A17744" s="5" t="s">
        <v>269</v>
      </c>
      <c r="G17744" s="25" t="n">
        <f aca="false">MIN(G17738,Assumptions!$L$56*Assumptions!$C$56)</f>
        <v>0</v>
      </c>
      <c r="H17744" s="25" t="n">
        <f aca="false">MIN(H17738,Assumptions!$L$56*Assumptions!$C$56)</f>
        <v>0</v>
      </c>
      <c r="I17744" s="25" t="n">
        <f aca="false">MIN(I17738,Assumptions!$L$56*Assumptions!$C$56)</f>
        <v>0</v>
      </c>
      <c r="J17744" s="25" t="n">
        <f aca="false">MIN(J17738,Assumptions!$L$56*Assumptions!$C$56)</f>
        <v>0</v>
      </c>
      <c r="K17744" s="25" t="n">
        <f aca="false">MIN(K17738,Assumptions!$L$56*Assumptions!$C$56)</f>
        <v>0</v>
      </c>
    </row>
    <row r="17745" customFormat="false" ht="15" hidden="false" customHeight="false" outlineLevel="0" collapsed="false">
      <c r="A17745" s="5" t="s">
        <v>270</v>
      </c>
      <c r="G17745" s="25" t="n">
        <f aca="false">IF(AND(Assumptions!$P$56=1,G17663&lt;Assumptions!$K$56),MIN(MAX(0,-G17777),MAX(0,Assumptions!$D$56-G17738)),0)</f>
        <v>0</v>
      </c>
      <c r="H17745" s="25" t="n">
        <f aca="false">IF(AND(Assumptions!$P$56=1,OR(H17663&lt;Assumptions!$K$56,G17854=1)),MIN(MAX(0,-H17777),MAX(0,Assumptions!$D$56-H17738)),0)</f>
        <v>0</v>
      </c>
      <c r="I17745" s="25" t="n">
        <f aca="false">IF(AND(Assumptions!$P$56=1,OR(I17663&lt;Assumptions!$K$56,H17854=1)),MIN(MAX(0,-I17777),MAX(0,Assumptions!$D$56-I17738)),0)</f>
        <v>0</v>
      </c>
      <c r="J17745" s="25" t="n">
        <f aca="false">IF(AND(Assumptions!$P$56=1,OR(J17663&lt;Assumptions!$K$56,I17854=1)),MIN(MAX(0,-J17777),MAX(0,Assumptions!$D$56-J17738)),0)</f>
        <v>0</v>
      </c>
      <c r="K17745" s="25" t="n">
        <f aca="false">IF(AND(Assumptions!$P$56=1,OR(K17663&lt;Assumptions!$K$56,J17854=1)),MIN(MAX(0,-K17777),MAX(0,Assumptions!$D$56-K17738)),0)</f>
        <v>0</v>
      </c>
    </row>
    <row r="17746" customFormat="false" ht="15" hidden="false" customHeight="false" outlineLevel="0" collapsed="false">
      <c r="A17746" s="5" t="s">
        <v>271</v>
      </c>
      <c r="G17746" s="25" t="n">
        <f aca="false">G17739*MIN(G17738-G17744+G17743,MAX(0,G17779-Assumptions!$C$12*G17697-G17707-G17720-G17733))</f>
        <v>0</v>
      </c>
      <c r="H17746" s="25" t="n">
        <f aca="false">H17739*MIN(H17738-H17744+H17743,MAX(0,H17779-Assumptions!$C$12*H17697-H17707-H17720-H17733))</f>
        <v>0</v>
      </c>
      <c r="I17746" s="25" t="n">
        <f aca="false">I17739*MIN(I17738-I17744+I17743,MAX(0,I17779-Assumptions!$C$12*I17697-I17707-I17720-I17733))</f>
        <v>0</v>
      </c>
      <c r="J17746" s="25" t="n">
        <f aca="false">J17739*MIN(J17738-J17744+J17743,MAX(0,J17779-Assumptions!$C$12*J17697-J17707-J17720-J17733))</f>
        <v>0</v>
      </c>
      <c r="K17746" s="25" t="n">
        <f aca="false">K17739*MIN(K17738-K17744+K17743,MAX(0,K17779-Assumptions!$C$12*K17697-K17707-K17720-K17733))</f>
        <v>0</v>
      </c>
    </row>
    <row r="17747" customFormat="false" ht="15" hidden="false" customHeight="false" outlineLevel="0" collapsed="false">
      <c r="A17747" s="5" t="s">
        <v>272</v>
      </c>
      <c r="G17747" s="25" t="n">
        <f aca="false">Assumptions!$N$56*MIN(G17738+G17745+G17743-G17744-G17746,MAX(0,G17783-G17708-G17721-G17734))</f>
        <v>0</v>
      </c>
      <c r="H17747" s="25" t="n">
        <f aca="false">Assumptions!$N$56*MIN(H17738+H17745+H17743-H17744-H17746,MAX(0,H17783-H17708-H17721-H17734))</f>
        <v>0</v>
      </c>
      <c r="I17747" s="25" t="n">
        <f aca="false">Assumptions!$N$56*MIN(I17738+I17745+I17743-I17744-I17746,MAX(0,I17783-I17708-I17721-I17734))</f>
        <v>0</v>
      </c>
      <c r="J17747" s="25" t="n">
        <f aca="false">Assumptions!$N$56*MIN(J17738+J17745+J17743-J17744-J17746,MAX(0,J17783-J17708-J17721-J17734))</f>
        <v>0</v>
      </c>
      <c r="K17747" s="25" t="n">
        <f aca="false">Assumptions!$N$56*MIN(K17738+K17745+K17743-K17744-K17746,MAX(0,K17783-K17708-K17721-K17734))</f>
        <v>0</v>
      </c>
    </row>
    <row r="17748" customFormat="false" ht="15" hidden="false" customHeight="false" outlineLevel="0" collapsed="false">
      <c r="A17748" s="5" t="s">
        <v>273</v>
      </c>
      <c r="G17748" s="25" t="n">
        <f aca="false">G17739*(1-G17697)*(G17738-G17744+G17743-G17746)</f>
        <v>0</v>
      </c>
      <c r="H17748" s="25" t="n">
        <f aca="false">H17739*(1-H17697)*(H17738-H17744+H17743-H17746)</f>
        <v>0</v>
      </c>
      <c r="I17748" s="25" t="n">
        <f aca="false">I17739*(1-I17697)*(I17738-I17744+I17743-I17746)</f>
        <v>0</v>
      </c>
      <c r="J17748" s="25" t="n">
        <f aca="false">J17739*(1-J17697)*(J17738-J17744+J17743-J17746)</f>
        <v>0</v>
      </c>
      <c r="K17748" s="25" t="n">
        <f aca="false">K17739*(1-K17697)*(K17738-K17744+K17743-K17746)</f>
        <v>0</v>
      </c>
    </row>
    <row r="17749" customFormat="false" ht="15" hidden="false" customHeight="false" outlineLevel="0" collapsed="false">
      <c r="A17749" s="2" t="s">
        <v>274</v>
      </c>
      <c r="F17749" s="27" t="n">
        <f aca="false">Assumptions!$C$56</f>
        <v>300</v>
      </c>
      <c r="G17749" s="16" t="n">
        <f aca="false">G17738+G17745+G17743-G17744-G17746-G17747</f>
        <v>300</v>
      </c>
      <c r="H17749" s="16" t="n">
        <f aca="false">H17738+H17745+H17743-H17744-H17746-H17747</f>
        <v>300</v>
      </c>
      <c r="I17749" s="16" t="n">
        <f aca="false">I17738+I17745+I17743-I17744-I17746-I17747</f>
        <v>300</v>
      </c>
      <c r="J17749" s="16" t="n">
        <f aca="false">J17738+J17745+J17743-J17744-J17746-J17747</f>
        <v>300</v>
      </c>
      <c r="K17749" s="16" t="n">
        <f aca="false">K17738+K17745+K17743-K17744-K17746-K17747</f>
        <v>300</v>
      </c>
    </row>
    <row r="17750" customFormat="false" ht="15" hidden="false" customHeight="false" outlineLevel="0" collapsed="false">
      <c r="A17750" s="23" t="s">
        <v>278</v>
      </c>
      <c r="B17750" s="24"/>
      <c r="C17750" s="24"/>
      <c r="D17750" s="24"/>
      <c r="E17750" s="24"/>
      <c r="F17750" s="24"/>
      <c r="G17750" s="24"/>
      <c r="H17750" s="24"/>
      <c r="I17750" s="24"/>
      <c r="J17750" s="24"/>
      <c r="K17750" s="24"/>
    </row>
    <row r="17751" customFormat="false" ht="15" hidden="false" customHeight="false" outlineLevel="0" collapsed="false">
      <c r="A17751" s="2" t="s">
        <v>279</v>
      </c>
      <c r="F17751" s="16" t="n">
        <f aca="false">F17710+F17723+F17736+F17749</f>
        <v>1250</v>
      </c>
      <c r="G17751" s="16" t="n">
        <f aca="false">G17710+G17723+G17736+G17749</f>
        <v>1214.24</v>
      </c>
      <c r="H17751" s="16" t="n">
        <f aca="false">H17710+H17723+H17736+H17749</f>
        <v>1209.04</v>
      </c>
      <c r="I17751" s="16" t="n">
        <f aca="false">I17710+I17723+I17736+I17749</f>
        <v>1224.9985096</v>
      </c>
      <c r="J17751" s="16" t="n">
        <f aca="false">J17710+J17723+J17736+J17749</f>
        <v>1239.376932912</v>
      </c>
      <c r="K17751" s="16" t="n">
        <f aca="false">K17710+K17723+K17736+K17749</f>
        <v>1251.97594467624</v>
      </c>
    </row>
    <row r="17752" customFormat="false" ht="15" hidden="false" customHeight="false" outlineLevel="0" collapsed="false">
      <c r="A17752" s="5" t="s">
        <v>280</v>
      </c>
      <c r="G17752" s="25" t="n">
        <f aca="false">G17700*Assumptions!$C$53+G17713*Assumptions!$C$54+G17726*Assumptions!$C$55+G17739*Assumptions!$C$56</f>
        <v>0</v>
      </c>
      <c r="H17752" s="25" t="n">
        <f aca="false">H17700*Assumptions!$C$53+H17713*Assumptions!$C$54+H17726*Assumptions!$C$55+H17739*Assumptions!$C$56</f>
        <v>480</v>
      </c>
      <c r="I17752" s="25" t="n">
        <f aca="false">I17700*Assumptions!$C$53+I17713*Assumptions!$C$54+I17726*Assumptions!$C$55+I17739*Assumptions!$C$56</f>
        <v>520</v>
      </c>
      <c r="J17752" s="25" t="n">
        <f aca="false">J17700*Assumptions!$C$53+J17713*Assumptions!$C$54+J17726*Assumptions!$C$55+J17739*Assumptions!$C$56</f>
        <v>250</v>
      </c>
      <c r="K17752" s="25" t="n">
        <f aca="false">K17700*Assumptions!$C$53+K17713*Assumptions!$C$54+K17726*Assumptions!$C$55+K17739*Assumptions!$C$56</f>
        <v>0</v>
      </c>
    </row>
    <row r="17753" customFormat="false" ht="15" hidden="false" customHeight="false" outlineLevel="0" collapsed="false">
      <c r="A17753" s="23" t="s">
        <v>281</v>
      </c>
      <c r="B17753" s="24"/>
      <c r="C17753" s="24"/>
      <c r="D17753" s="24"/>
      <c r="E17753" s="24"/>
      <c r="F17753" s="24"/>
      <c r="G17753" s="24"/>
      <c r="H17753" s="24"/>
      <c r="I17753" s="24"/>
      <c r="J17753" s="24"/>
      <c r="K17753" s="24"/>
    </row>
    <row r="17754" customFormat="false" ht="15" hidden="false" customHeight="false" outlineLevel="0" collapsed="false">
      <c r="A17754" s="5" t="s">
        <v>282</v>
      </c>
      <c r="C17754" s="25" t="n">
        <f aca="false">SUMPRODUCT($G$17700:$K$17700,$G$17699:$K$17699-$G$17705:$K$17705+$G$17704:$K$17704)</f>
        <v>149.44</v>
      </c>
    </row>
    <row r="17755" customFormat="false" ht="15" hidden="false" customHeight="false" outlineLevel="0" collapsed="false">
      <c r="A17755" s="5" t="s">
        <v>283</v>
      </c>
      <c r="C17755" s="25" t="n">
        <f aca="false">SUMPRODUCT($G$17700:$K$17700,$G$17707:$K$17707)</f>
        <v>0</v>
      </c>
    </row>
    <row r="17756" customFormat="false" ht="15" hidden="false" customHeight="false" outlineLevel="0" collapsed="false">
      <c r="A17756" s="5" t="s">
        <v>284</v>
      </c>
      <c r="C17756" s="5" t="str">
        <f aca="false">IF(SUM($G$17700:$K$17700)=0,"n/a (beyond horizon)",IF(SUMPRODUCT($G$17700:$K$17700,$G$17697:$K$17697)&gt;0,"REFINANCING PASS","REFINANCING FAILURE"))</f>
        <v>REFINANCING PASS</v>
      </c>
    </row>
    <row r="17757" customFormat="false" ht="15" hidden="false" customHeight="false" outlineLevel="0" collapsed="false">
      <c r="A17757" s="5" t="s">
        <v>285</v>
      </c>
      <c r="C17757" s="5" t="str">
        <f aca="false">IF(SUM($G$17700:$K$17700)=0,"n/a",IF(C17755&gt;=C17754-0.001,"Repaid from cash",IF(SUMPRODUCT($G$17700:$K$17700,$G$17697:$K$17697)&gt;0,IF(C17755&gt;0,"Partly repaid; remainder refinanced","Refinanced"),IF(SUM($G$17709:$K$17709)&gt;0.001,IF(C17755&gt;0,"Partial repayment; PAYMENT DEFAULT","PAYMENT DEFAULT"),"Repaid from cash"))))</f>
        <v>Refinanced</v>
      </c>
    </row>
    <row r="17758" customFormat="false" ht="15" hidden="false" customHeight="false" outlineLevel="0" collapsed="false">
      <c r="A17758" s="5" t="s">
        <v>286</v>
      </c>
      <c r="C17758" s="25" t="n">
        <f aca="false">SUMPRODUCT($G$17713:$K$17713,$G$17712:$K$17712-$G$17718:$K$17718+$G$17717:$K$17717)</f>
        <v>504.4</v>
      </c>
    </row>
    <row r="17759" customFormat="false" ht="15" hidden="false" customHeight="false" outlineLevel="0" collapsed="false">
      <c r="A17759" s="5" t="s">
        <v>287</v>
      </c>
      <c r="C17759" s="25" t="n">
        <f aca="false">SUMPRODUCT($G$17713:$K$17713,$G$17720:$K$17720)</f>
        <v>0</v>
      </c>
    </row>
    <row r="17760" customFormat="false" ht="15" hidden="false" customHeight="false" outlineLevel="0" collapsed="false">
      <c r="A17760" s="5" t="s">
        <v>288</v>
      </c>
      <c r="C17760" s="5" t="str">
        <f aca="false">IF(SUM($G$17713:$K$17713)=0,"n/a (beyond horizon)",IF(SUMPRODUCT($G$17713:$K$17713,$G$17697:$K$17697)&gt;0,"REFINANCING PASS","REFINANCING FAILURE"))</f>
        <v>REFINANCING PASS</v>
      </c>
    </row>
    <row r="17761" customFormat="false" ht="15" hidden="false" customHeight="false" outlineLevel="0" collapsed="false">
      <c r="A17761" s="5" t="s">
        <v>289</v>
      </c>
      <c r="C17761" s="5" t="str">
        <f aca="false">IF(SUM($G$17713:$K$17713)=0,"n/a",IF(C17759&gt;=C17758-0.001,"Repaid from cash",IF(SUMPRODUCT($G$17713:$K$17713,$G$17697:$K$17697)&gt;0,IF(C17759&gt;0,"Partly repaid; remainder refinanced","Refinanced"),IF(SUM($G$17722:$K$17722)&gt;0.001,IF(C17759&gt;0,"Partial repayment; PAYMENT DEFAULT","PAYMENT DEFAULT"),"Repaid from cash"))))</f>
        <v>Refinanced</v>
      </c>
    </row>
    <row r="17762" customFormat="false" ht="15" hidden="false" customHeight="false" outlineLevel="0" collapsed="false">
      <c r="A17762" s="5" t="s">
        <v>290</v>
      </c>
      <c r="C17762" s="25" t="n">
        <f aca="false">SUMPRODUCT($G$17726:$K$17726,$G$17725:$K$17725-$G$17731:$K$17731+$G$17730:$K$17730)</f>
        <v>250</v>
      </c>
    </row>
    <row r="17763" customFormat="false" ht="15" hidden="false" customHeight="false" outlineLevel="0" collapsed="false">
      <c r="A17763" s="5" t="s">
        <v>291</v>
      </c>
      <c r="C17763" s="25" t="n">
        <f aca="false">SUMPRODUCT($G$17726:$K$17726,$G$17733:$K$17733)</f>
        <v>0</v>
      </c>
    </row>
    <row r="17764" customFormat="false" ht="15" hidden="false" customHeight="false" outlineLevel="0" collapsed="false">
      <c r="A17764" s="5" t="s">
        <v>292</v>
      </c>
      <c r="C17764" s="5" t="str">
        <f aca="false">IF(SUM($G$17726:$K$17726)=0,"n/a (beyond horizon)",IF(SUMPRODUCT($G$17726:$K$17726,$G$17697:$K$17697)&gt;0,"REFINANCING PASS","REFINANCING FAILURE"))</f>
        <v>REFINANCING PASS</v>
      </c>
    </row>
    <row r="17765" customFormat="false" ht="15" hidden="false" customHeight="false" outlineLevel="0" collapsed="false">
      <c r="A17765" s="5" t="s">
        <v>293</v>
      </c>
      <c r="C17765" s="5" t="str">
        <f aca="false">IF(SUM($G$17726:$K$17726)=0,"n/a",IF(C17763&gt;=C17762-0.001,"Repaid from cash",IF(SUMPRODUCT($G$17726:$K$17726,$G$17697:$K$17697)&gt;0,IF(C17763&gt;0,"Partly repaid; remainder refinanced","Refinanced"),IF(SUM($G$17735:$K$17735)&gt;0.001,IF(C17763&gt;0,"Partial repayment; PAYMENT DEFAULT","PAYMENT DEFAULT"),"Repaid from cash"))))</f>
        <v>Refinanced</v>
      </c>
    </row>
    <row r="17766" customFormat="false" ht="15" hidden="false" customHeight="false" outlineLevel="0" collapsed="false">
      <c r="A17766" s="5" t="s">
        <v>294</v>
      </c>
      <c r="C17766" s="25" t="n">
        <f aca="false">SUMPRODUCT($G$17739:$K$17739,$G$17738:$K$17738-$G$17744:$K$17744+$G$17743:$K$17743)</f>
        <v>300</v>
      </c>
    </row>
    <row r="17767" customFormat="false" ht="15" hidden="false" customHeight="false" outlineLevel="0" collapsed="false">
      <c r="A17767" s="5" t="s">
        <v>295</v>
      </c>
      <c r="C17767" s="25" t="n">
        <f aca="false">SUMPRODUCT($G$17739:$K$17739,$G$17746:$K$17746)</f>
        <v>0</v>
      </c>
    </row>
    <row r="17768" customFormat="false" ht="15" hidden="false" customHeight="false" outlineLevel="0" collapsed="false">
      <c r="A17768" s="5" t="s">
        <v>296</v>
      </c>
      <c r="C17768" s="5" t="str">
        <f aca="false">IF(SUM($G$17739:$K$17739)=0,"n/a (beyond horizon)",IF(SUMPRODUCT($G$17739:$K$17739,$G$17697:$K$17697)&gt;0,"REFINANCING PASS","REFINANCING FAILURE"))</f>
        <v>REFINANCING PASS</v>
      </c>
    </row>
    <row r="17769" customFormat="false" ht="15" hidden="false" customHeight="false" outlineLevel="0" collapsed="false">
      <c r="A17769" s="5" t="s">
        <v>297</v>
      </c>
      <c r="C17769" s="5" t="str">
        <f aca="false">IF(SUM($G$17739:$K$17739)=0,"n/a",IF(C17767&gt;=C17766-0.001,"Repaid from cash",IF(SUMPRODUCT($G$17739:$K$17739,$G$17697:$K$17697)&gt;0,IF(C17767&gt;0,"Partly repaid; remainder refinanced","Refinanced"),IF(SUM($G$17748:$K$17748)&gt;0.001,IF(C17767&gt;0,"Partial repayment; PAYMENT DEFAULT","PAYMENT DEFAULT"),"Repaid from cash"))))</f>
        <v>Refinanced</v>
      </c>
    </row>
    <row r="17770" customFormat="false" ht="15" hidden="false" customHeight="false" outlineLevel="0" collapsed="false">
      <c r="A17770" s="5" t="s">
        <v>298</v>
      </c>
      <c r="C17770" s="20" t="n">
        <f aca="false">IF(C17756="REFINANCING FAILURE",1,0)+IF(C17760="REFINANCING FAILURE",1,0)+IF(C17764="REFINANCING FAILURE",1,0)+IF(C17768="REFINANCING FAILURE",1,0)</f>
        <v>0</v>
      </c>
    </row>
    <row r="17772" customFormat="false" ht="15" hidden="false" customHeight="false" outlineLevel="0" collapsed="false">
      <c r="A17772" s="23" t="s">
        <v>300</v>
      </c>
      <c r="B17772" s="24"/>
      <c r="C17772" s="24"/>
      <c r="D17772" s="24"/>
      <c r="E17772" s="24"/>
      <c r="F17772" s="24"/>
      <c r="G17772" s="24"/>
      <c r="H17772" s="24"/>
      <c r="I17772" s="24"/>
      <c r="J17772" s="24"/>
      <c r="K17772" s="24"/>
    </row>
    <row r="17773" customFormat="false" ht="15" hidden="false" customHeight="false" outlineLevel="0" collapsed="false">
      <c r="A17773" s="5" t="s">
        <v>260</v>
      </c>
      <c r="G17773" s="25" t="n">
        <f aca="false">F17785</f>
        <v>45</v>
      </c>
      <c r="H17773" s="25" t="n">
        <f aca="false">G17785</f>
        <v>0</v>
      </c>
      <c r="I17773" s="25" t="n">
        <f aca="false">H17785</f>
        <v>-6.00915999999998</v>
      </c>
      <c r="J17773" s="25" t="n">
        <f aca="false">I17785</f>
        <v>0</v>
      </c>
      <c r="K17773" s="25" t="n">
        <f aca="false">J17785</f>
        <v>0</v>
      </c>
    </row>
    <row r="17774" customFormat="false" ht="15" hidden="false" customHeight="false" outlineLevel="0" collapsed="false">
      <c r="A17774" s="5" t="s">
        <v>301</v>
      </c>
      <c r="G17774" s="25" t="n">
        <f aca="false">G17686</f>
        <v>-9.24000000000001</v>
      </c>
      <c r="H17774" s="25" t="n">
        <f aca="false">H17686</f>
        <v>-0.809159999999978</v>
      </c>
      <c r="I17774" s="25" t="n">
        <f aca="false">I17686</f>
        <v>-9.94934960000002</v>
      </c>
      <c r="J17774" s="25" t="n">
        <f aca="false">J17686</f>
        <v>-14.378423312</v>
      </c>
      <c r="K17774" s="25" t="n">
        <f aca="false">K17686</f>
        <v>-12.59901176424</v>
      </c>
    </row>
    <row r="17775" customFormat="false" ht="15" hidden="false" customHeight="false" outlineLevel="0" collapsed="false">
      <c r="A17775" s="5" t="s">
        <v>302</v>
      </c>
      <c r="G17775" s="25" t="n">
        <f aca="false">CHOOSE($C$17656,Assumptions!$G$68,Assumptions!$G$87,Assumptions!$G$106)</f>
        <v>0</v>
      </c>
      <c r="H17775" s="25" t="n">
        <f aca="false">CHOOSE($C$17656,Assumptions!$H$68,Assumptions!$H$87,Assumptions!$H$106)</f>
        <v>0</v>
      </c>
      <c r="I17775" s="25" t="n">
        <f aca="false">CHOOSE($C$17656,Assumptions!$I$68,Assumptions!$I$87,Assumptions!$I$106)</f>
        <v>0</v>
      </c>
      <c r="J17775" s="25" t="n">
        <f aca="false">CHOOSE($C$17656,Assumptions!$J$68,Assumptions!$J$87,Assumptions!$J$106)</f>
        <v>0</v>
      </c>
      <c r="K17775" s="25" t="n">
        <f aca="false">CHOOSE($C$17656,Assumptions!$K$68,Assumptions!$K$87,Assumptions!$K$106)</f>
        <v>0</v>
      </c>
    </row>
    <row r="17776" customFormat="false" ht="15" hidden="false" customHeight="false" outlineLevel="0" collapsed="false">
      <c r="A17776" s="5" t="s">
        <v>303</v>
      </c>
      <c r="G17776" s="25" t="n">
        <f aca="false">G17705+G17718+G17731+G17744</f>
        <v>5.2</v>
      </c>
      <c r="H17776" s="25" t="n">
        <f aca="false">H17705+H17718+H17731+H17744</f>
        <v>5.2</v>
      </c>
      <c r="I17776" s="25" t="n">
        <f aca="false">I17705+I17718+I17731+I17744</f>
        <v>5.2</v>
      </c>
      <c r="J17776" s="25" t="n">
        <f aca="false">J17705+J17718+J17731+J17744</f>
        <v>5.2</v>
      </c>
      <c r="K17776" s="25" t="n">
        <f aca="false">K17705+K17718+K17731+K17744</f>
        <v>5.2</v>
      </c>
    </row>
    <row r="17777" customFormat="false" ht="15" hidden="false" customHeight="false" outlineLevel="0" collapsed="false">
      <c r="A17777" s="2" t="s">
        <v>304</v>
      </c>
      <c r="G17777" s="16" t="n">
        <f aca="false">G17773+G17774+G17775-G17776</f>
        <v>30.56</v>
      </c>
      <c r="H17777" s="16" t="n">
        <f aca="false">H17773+H17774+H17775-H17776</f>
        <v>-6.00915999999998</v>
      </c>
      <c r="I17777" s="16" t="n">
        <f aca="false">I17773+I17774+I17775-I17776</f>
        <v>-21.1585096</v>
      </c>
      <c r="J17777" s="16" t="n">
        <f aca="false">J17773+J17774+J17775-J17776</f>
        <v>-19.578423312</v>
      </c>
      <c r="K17777" s="16" t="n">
        <f aca="false">K17773+K17774+K17775-K17776</f>
        <v>-17.79901176424</v>
      </c>
    </row>
    <row r="17778" customFormat="false" ht="15" hidden="false" customHeight="false" outlineLevel="0" collapsed="false">
      <c r="A17778" s="5" t="s">
        <v>305</v>
      </c>
      <c r="G17778" s="25" t="n">
        <f aca="false">G17706+G17719+G17732+G17745</f>
        <v>0</v>
      </c>
      <c r="H17778" s="25" t="n">
        <f aca="false">H17706+H17719+H17732+H17745</f>
        <v>0</v>
      </c>
      <c r="I17778" s="25" t="n">
        <f aca="false">I17706+I17719+I17732+I17745</f>
        <v>21.1585096</v>
      </c>
      <c r="J17778" s="25" t="n">
        <f aca="false">J17706+J17719+J17732+J17745</f>
        <v>19.578423312</v>
      </c>
      <c r="K17778" s="25" t="n">
        <f aca="false">K17706+K17719+K17732+K17745</f>
        <v>17.79901176424</v>
      </c>
    </row>
    <row r="17779" customFormat="false" ht="15" hidden="false" customHeight="false" outlineLevel="0" collapsed="false">
      <c r="A17779" s="2" t="s">
        <v>306</v>
      </c>
      <c r="G17779" s="16" t="n">
        <f aca="false">G17777+G17778</f>
        <v>30.56</v>
      </c>
      <c r="H17779" s="16" t="n">
        <f aca="false">H17777+H17778</f>
        <v>-6.00915999999998</v>
      </c>
      <c r="I17779" s="16" t="n">
        <f aca="false">I17777+I17778</f>
        <v>0</v>
      </c>
      <c r="J17779" s="16" t="n">
        <f aca="false">J17777+J17778</f>
        <v>0</v>
      </c>
      <c r="K17779" s="16" t="n">
        <f aca="false">K17777+K17778</f>
        <v>0</v>
      </c>
    </row>
    <row r="17780" customFormat="false" ht="15" hidden="false" customHeight="false" outlineLevel="0" collapsed="false">
      <c r="A17780" s="5" t="s">
        <v>307</v>
      </c>
      <c r="G17780" s="25" t="n">
        <f aca="false">G17707+G17720+G17733+G17746</f>
        <v>0</v>
      </c>
      <c r="H17780" s="25" t="n">
        <f aca="false">H17707+H17720+H17733+H17746</f>
        <v>0</v>
      </c>
      <c r="I17780" s="25" t="n">
        <f aca="false">I17707+I17720+I17733+I17746</f>
        <v>0</v>
      </c>
      <c r="J17780" s="25" t="n">
        <f aca="false">J17707+J17720+J17733+J17746</f>
        <v>0</v>
      </c>
      <c r="K17780" s="25" t="n">
        <f aca="false">K17707+K17720+K17733+K17746</f>
        <v>0</v>
      </c>
    </row>
    <row r="17781" customFormat="false" ht="15" hidden="false" customHeight="false" outlineLevel="0" collapsed="false">
      <c r="A17781" s="2" t="s">
        <v>308</v>
      </c>
      <c r="G17781" s="16" t="n">
        <f aca="false">G17779-G17780</f>
        <v>30.56</v>
      </c>
      <c r="H17781" s="16" t="n">
        <f aca="false">H17779-H17780</f>
        <v>-6.00915999999998</v>
      </c>
      <c r="I17781" s="16" t="n">
        <f aca="false">I17779-I17780</f>
        <v>0</v>
      </c>
      <c r="J17781" s="16" t="n">
        <f aca="false">J17779-J17780</f>
        <v>0</v>
      </c>
      <c r="K17781" s="16" t="n">
        <f aca="false">K17779-K17780</f>
        <v>0</v>
      </c>
    </row>
    <row r="17782" customFormat="false" ht="15" hidden="false" customHeight="false" outlineLevel="0" collapsed="false">
      <c r="A17782" s="5" t="s">
        <v>309</v>
      </c>
      <c r="G17782" s="25" t="n">
        <f aca="false">MAX(0,-G17781)</f>
        <v>0</v>
      </c>
      <c r="H17782" s="25" t="n">
        <f aca="false">MAX(0,-H17781)</f>
        <v>6.00915999999998</v>
      </c>
      <c r="I17782" s="25" t="n">
        <f aca="false">MAX(0,-I17781)</f>
        <v>-0</v>
      </c>
      <c r="J17782" s="25" t="n">
        <f aca="false">MAX(0,-J17781)</f>
        <v>-0</v>
      </c>
      <c r="K17782" s="25" t="n">
        <f aca="false">MAX(0,-K17781)</f>
        <v>-0</v>
      </c>
    </row>
    <row r="17783" customFormat="false" ht="15" hidden="false" customHeight="false" outlineLevel="0" collapsed="false">
      <c r="A17783" s="5" t="s">
        <v>310</v>
      </c>
      <c r="G17783" s="25" t="n">
        <f aca="false">MAX(0,G17781-Assumptions!$C$12)*Assumptions!$C$13</f>
        <v>30.56</v>
      </c>
      <c r="H17783" s="25" t="n">
        <f aca="false">MAX(0,H17781-Assumptions!$C$12)*Assumptions!$C$13</f>
        <v>0</v>
      </c>
      <c r="I17783" s="25" t="n">
        <f aca="false">MAX(0,I17781-Assumptions!$C$12)*Assumptions!$C$13</f>
        <v>0</v>
      </c>
      <c r="J17783" s="25" t="n">
        <f aca="false">MAX(0,J17781-Assumptions!$C$12)*Assumptions!$C$13</f>
        <v>0</v>
      </c>
      <c r="K17783" s="25" t="n">
        <f aca="false">MAX(0,K17781-Assumptions!$C$12)*Assumptions!$C$13</f>
        <v>0</v>
      </c>
    </row>
    <row r="17784" customFormat="false" ht="15" hidden="false" customHeight="false" outlineLevel="0" collapsed="false">
      <c r="A17784" s="5" t="s">
        <v>311</v>
      </c>
      <c r="G17784" s="25" t="n">
        <f aca="false">G17708+G17721+G17734+G17747</f>
        <v>30.56</v>
      </c>
      <c r="H17784" s="25" t="n">
        <f aca="false">H17708+H17721+H17734+H17747</f>
        <v>0</v>
      </c>
      <c r="I17784" s="25" t="n">
        <f aca="false">I17708+I17721+I17734+I17747</f>
        <v>0</v>
      </c>
      <c r="J17784" s="25" t="n">
        <f aca="false">J17708+J17721+J17734+J17747</f>
        <v>0</v>
      </c>
      <c r="K17784" s="25" t="n">
        <f aca="false">K17708+K17721+K17734+K17747</f>
        <v>0</v>
      </c>
    </row>
    <row r="17785" customFormat="false" ht="15" hidden="false" customHeight="false" outlineLevel="0" collapsed="false">
      <c r="A17785" s="2" t="s">
        <v>312</v>
      </c>
      <c r="F17785" s="27" t="n">
        <f aca="false">Assumptions!$C$11</f>
        <v>45</v>
      </c>
      <c r="G17785" s="16" t="n">
        <f aca="false">G17781-G17784</f>
        <v>0</v>
      </c>
      <c r="H17785" s="16" t="n">
        <f aca="false">H17781-H17784</f>
        <v>-6.00915999999998</v>
      </c>
      <c r="I17785" s="16" t="n">
        <f aca="false">I17781-I17784</f>
        <v>0</v>
      </c>
      <c r="J17785" s="16" t="n">
        <f aca="false">J17781-J17784</f>
        <v>0</v>
      </c>
      <c r="K17785" s="16" t="n">
        <f aca="false">K17781-K17784</f>
        <v>0</v>
      </c>
    </row>
    <row r="17786" customFormat="false" ht="15" hidden="false" customHeight="false" outlineLevel="0" collapsed="false">
      <c r="A17786" s="5" t="s">
        <v>313</v>
      </c>
      <c r="G17786" s="25" t="n">
        <f aca="false">G17709+G17722+G17735+G17748</f>
        <v>0</v>
      </c>
      <c r="H17786" s="25" t="n">
        <f aca="false">H17709+H17722+H17735+H17748</f>
        <v>0</v>
      </c>
      <c r="I17786" s="25" t="n">
        <f aca="false">I17709+I17722+I17735+I17748</f>
        <v>0</v>
      </c>
      <c r="J17786" s="25" t="n">
        <f aca="false">J17709+J17722+J17735+J17748</f>
        <v>0</v>
      </c>
      <c r="K17786" s="25" t="n">
        <f aca="false">K17709+K17722+K17735+K17748</f>
        <v>0</v>
      </c>
    </row>
    <row r="17787" customFormat="false" ht="15" hidden="false" customHeight="false" outlineLevel="0" collapsed="false">
      <c r="A17787" s="5" t="s">
        <v>314</v>
      </c>
      <c r="G17787" s="20" t="n">
        <f aca="false">IF(OR(G17782&gt;0.001,G17786&gt;0.001),1,0)</f>
        <v>0</v>
      </c>
      <c r="H17787" s="20" t="n">
        <f aca="false">IF(OR(H17782&gt;0.001,H17786&gt;0.001),1,0)</f>
        <v>1</v>
      </c>
      <c r="I17787" s="20" t="n">
        <f aca="false">IF(OR(I17782&gt;0.001,I17786&gt;0.001),1,0)</f>
        <v>0</v>
      </c>
      <c r="J17787" s="20" t="n">
        <f aca="false">IF(OR(J17782&gt;0.001,J17786&gt;0.001),1,0)</f>
        <v>0</v>
      </c>
      <c r="K17787" s="20" t="n">
        <f aca="false">IF(OR(K17782&gt;0.001,K17786&gt;0.001),1,0)</f>
        <v>0</v>
      </c>
    </row>
    <row r="17788" customFormat="false" ht="15" hidden="false" customHeight="false" outlineLevel="0" collapsed="false">
      <c r="A17788" s="5" t="s">
        <v>315</v>
      </c>
      <c r="G17788" s="20" t="n">
        <f aca="false">IF(G17787=1,1,0)</f>
        <v>0</v>
      </c>
      <c r="H17788" s="20" t="n">
        <f aca="false">IF(AND(H17787=1,SUM($G$17787:G17787)=0),1,0)</f>
        <v>1</v>
      </c>
      <c r="I17788" s="20" t="n">
        <f aca="false">IF(AND(I17787=1,SUM($G$17787:H17787)=0),1,0)</f>
        <v>0</v>
      </c>
      <c r="J17788" s="20" t="n">
        <f aca="false">IF(AND(J17787=1,SUM($G$17787:I17787)=0),1,0)</f>
        <v>0</v>
      </c>
      <c r="K17788" s="20" t="n">
        <f aca="false">IF(AND(K17787=1,SUM($G$17787:J17787)=0),1,0)</f>
        <v>0</v>
      </c>
    </row>
    <row r="17789" customFormat="false" ht="15" hidden="false" customHeight="false" outlineLevel="0" collapsed="false">
      <c r="A17789" s="5" t="s">
        <v>316</v>
      </c>
      <c r="G17789" s="25" t="n">
        <f aca="false">(G17751-F17751)-(G17778+G17678-G17776-G17780-G17784)</f>
        <v>0</v>
      </c>
      <c r="H17789" s="25" t="n">
        <f aca="false">(H17751-G17751)-(H17778+H17678-H17776-H17780-H17784)</f>
        <v>-4.52970994047064E-014</v>
      </c>
      <c r="I17789" s="25" t="n">
        <f aca="false">(I17751-H17751)-(I17778+I17678-I17776-I17780-I17784)</f>
        <v>7.46069872548105E-014</v>
      </c>
      <c r="J17789" s="25" t="n">
        <f aca="false">(J17751-I17751)-(J17778+J17678-J17776-J17780-J17784)</f>
        <v>0</v>
      </c>
      <c r="K17789" s="25" t="n">
        <f aca="false">(K17751-J17751)-(K17778+K17678-K17776-K17780-K17784)</f>
        <v>0</v>
      </c>
    </row>
    <row r="17791" customFormat="false" ht="15" hidden="false" customHeight="false" outlineLevel="0" collapsed="false">
      <c r="A17791" s="23" t="s">
        <v>318</v>
      </c>
      <c r="B17791" s="24"/>
      <c r="C17791" s="24"/>
      <c r="D17791" s="24"/>
      <c r="E17791" s="24"/>
      <c r="F17791" s="24"/>
      <c r="G17791" s="24"/>
      <c r="H17791" s="24"/>
      <c r="I17791" s="24"/>
      <c r="J17791" s="24"/>
      <c r="K17791" s="24"/>
    </row>
    <row r="17792" customFormat="false" ht="15" hidden="false" customHeight="false" outlineLevel="0" collapsed="false">
      <c r="A17792" s="5" t="s">
        <v>319</v>
      </c>
      <c r="G17792" s="25" t="n">
        <f aca="false">G17751</f>
        <v>1214.24</v>
      </c>
      <c r="H17792" s="25" t="n">
        <f aca="false">H17751</f>
        <v>1209.04</v>
      </c>
      <c r="I17792" s="25" t="n">
        <f aca="false">I17751</f>
        <v>1224.9985096</v>
      </c>
      <c r="J17792" s="25" t="n">
        <f aca="false">J17751</f>
        <v>1239.376932912</v>
      </c>
      <c r="K17792" s="25" t="n">
        <f aca="false">K17751</f>
        <v>1251.97594467624</v>
      </c>
    </row>
    <row r="17793" customFormat="false" ht="15" hidden="false" customHeight="false" outlineLevel="0" collapsed="false">
      <c r="A17793" s="5" t="s">
        <v>320</v>
      </c>
      <c r="G17793" s="25" t="n">
        <f aca="false">Assumptions!$O$53*G17710+Assumptions!$O$54*G17723+Assumptions!$O$55*G17736+Assumptions!$O$56*G17749</f>
        <v>914.24</v>
      </c>
      <c r="H17793" s="25" t="n">
        <f aca="false">Assumptions!$O$53*H17710+Assumptions!$O$54*H17723+Assumptions!$O$55*H17736+Assumptions!$O$56*H17749</f>
        <v>909.04</v>
      </c>
      <c r="I17793" s="25" t="n">
        <f aca="false">Assumptions!$O$53*I17710+Assumptions!$O$54*I17723+Assumptions!$O$55*I17736+Assumptions!$O$56*I17749</f>
        <v>924.9985096</v>
      </c>
      <c r="J17793" s="25" t="n">
        <f aca="false">Assumptions!$O$53*J17710+Assumptions!$O$54*J17723+Assumptions!$O$55*J17736+Assumptions!$O$56*J17749</f>
        <v>939.376932912</v>
      </c>
      <c r="K17793" s="25" t="n">
        <f aca="false">Assumptions!$O$53*K17710+Assumptions!$O$54*K17723+Assumptions!$O$55*K17736+Assumptions!$O$56*K17749</f>
        <v>951.97594467624</v>
      </c>
    </row>
    <row r="17794" customFormat="false" ht="15" hidden="false" customHeight="false" outlineLevel="0" collapsed="false">
      <c r="A17794" s="5" t="s">
        <v>321</v>
      </c>
      <c r="G17794" s="25" t="n">
        <f aca="false">G17792-G17785</f>
        <v>1214.24</v>
      </c>
      <c r="H17794" s="25" t="n">
        <f aca="false">H17792-H17785</f>
        <v>1215.04916</v>
      </c>
      <c r="I17794" s="25" t="n">
        <f aca="false">I17792-I17785</f>
        <v>1224.9985096</v>
      </c>
      <c r="J17794" s="25" t="n">
        <f aca="false">J17792-J17785</f>
        <v>1239.376932912</v>
      </c>
      <c r="K17794" s="25" t="n">
        <f aca="false">K17792-K17785</f>
        <v>1251.97594467624</v>
      </c>
    </row>
    <row r="17795" customFormat="false" ht="15" hidden="false" customHeight="false" outlineLevel="0" collapsed="false">
      <c r="A17795" s="5" t="s">
        <v>322</v>
      </c>
      <c r="G17795" s="31" t="n">
        <f aca="false">IF(G17673&gt;0,G17792/G17673,0)</f>
        <v>7.86221186221186</v>
      </c>
      <c r="H17795" s="31" t="n">
        <f aca="false">IF(H17673&gt;0,H17792/H17673,0)</f>
        <v>7.67156970986309</v>
      </c>
      <c r="I17795" s="31" t="n">
        <f aca="false">IF(I17673&gt;0,I17792/I17673,0)</f>
        <v>7.62376751410553</v>
      </c>
      <c r="J17795" s="31" t="n">
        <f aca="false">IF(J17673&gt;0,J17792/J17673,0)</f>
        <v>7.5716937530992</v>
      </c>
      <c r="K17795" s="31" t="n">
        <f aca="false">IF(K17673&gt;0,K17792/K17673,0)</f>
        <v>7.51425466558389</v>
      </c>
    </row>
    <row r="17796" customFormat="false" ht="15" hidden="false" customHeight="false" outlineLevel="0" collapsed="false">
      <c r="A17796" s="5" t="s">
        <v>323</v>
      </c>
      <c r="G17796" s="31" t="n">
        <f aca="false">IF(G17673&gt;0,G17794/G17673,0)</f>
        <v>7.86221186221186</v>
      </c>
      <c r="H17796" s="31" t="n">
        <f aca="false">IF(H17673&gt;0,H17794/H17673,0)</f>
        <v>7.70969887832544</v>
      </c>
      <c r="I17796" s="31" t="n">
        <f aca="false">IF(I17673&gt;0,I17794/I17673,0)</f>
        <v>7.62376751410553</v>
      </c>
      <c r="J17796" s="31" t="n">
        <f aca="false">IF(J17673&gt;0,J17794/J17673,0)</f>
        <v>7.5716937530992</v>
      </c>
      <c r="K17796" s="31" t="n">
        <f aca="false">IF(K17673&gt;0,K17794/K17673,0)</f>
        <v>7.51425466558389</v>
      </c>
    </row>
    <row r="17797" customFormat="false" ht="15" hidden="false" customHeight="false" outlineLevel="0" collapsed="false">
      <c r="A17797" s="5" t="s">
        <v>324</v>
      </c>
      <c r="G17797" s="31" t="n">
        <f aca="false">IF(G17677&gt;0,G17673/G17677,0)</f>
        <v>1.29737903225806</v>
      </c>
      <c r="H17797" s="31" t="n">
        <f aca="false">IF(H17677&gt;0,H17673/H17677,0)</f>
        <v>1.37984675303662</v>
      </c>
      <c r="I17797" s="31" t="n">
        <f aca="false">IF(I17677&gt;0,I17673/I17677,0)</f>
        <v>1.26641336326206</v>
      </c>
      <c r="J17797" s="31" t="n">
        <f aca="false">IF(J17677&gt;0,J17673/J17677,0)</f>
        <v>1.21473661783139</v>
      </c>
      <c r="K17797" s="31" t="n">
        <f aca="false">IF(K17677&gt;0,K17673/K17677,0)</f>
        <v>1.22212036414877</v>
      </c>
    </row>
    <row r="17798" customFormat="false" ht="15" hidden="false" customHeight="false" outlineLevel="0" collapsed="false">
      <c r="A17798" s="5" t="s">
        <v>325</v>
      </c>
      <c r="G17798" s="31" t="n">
        <f aca="false">IF(G17677&gt;0,G17676/G17677,0)</f>
        <v>0.858266129032258</v>
      </c>
      <c r="H17798" s="31" t="n">
        <f aca="false">IF(H17677&gt;0,H17676/H17677,0)</f>
        <v>0.926762744576837</v>
      </c>
      <c r="I17798" s="31" t="n">
        <f aca="false">IF(I17677&gt;0,I17676/I17677,0)</f>
        <v>0.862629392366913</v>
      </c>
      <c r="J17798" s="31" t="n">
        <f aca="false">IF(J17677&gt;0,J17676/J17677,0)</f>
        <v>0.838339355968144</v>
      </c>
      <c r="K17798" s="31" t="n">
        <f aca="false">IF(K17677&gt;0,K17676/K17677,0)</f>
        <v>0.853810117419004</v>
      </c>
    </row>
    <row r="17799" customFormat="false" ht="15" hidden="false" customHeight="false" outlineLevel="0" collapsed="false">
      <c r="A17799" s="5" t="s">
        <v>182</v>
      </c>
      <c r="G17799" s="21" t="n">
        <f aca="false">IF(G17792&gt;0,G17686/G17792,0)</f>
        <v>-0.00760969824746344</v>
      </c>
      <c r="H17799" s="21" t="n">
        <f aca="false">IF(H17792&gt;0,H17686/H17792,0)</f>
        <v>-0.000669258254482877</v>
      </c>
      <c r="I17799" s="21" t="n">
        <f aca="false">IF(I17792&gt;0,I17686/I17792,0)</f>
        <v>-0.00812192792238481</v>
      </c>
      <c r="J17799" s="21" t="n">
        <f aca="false">IF(J17792&gt;0,J17686/J17792,0)</f>
        <v>-0.0116013320323922</v>
      </c>
      <c r="K17799" s="21" t="n">
        <f aca="false">IF(K17792&gt;0,K17686/K17792,0)</f>
        <v>-0.0100633017893152</v>
      </c>
    </row>
    <row r="17800" customFormat="false" ht="15" hidden="false" customHeight="false" outlineLevel="0" collapsed="false">
      <c r="A17800" s="5" t="s">
        <v>326</v>
      </c>
      <c r="G17800" s="31" t="n">
        <f aca="false">IF(G17677+G17776&gt;0,(G17673-G17684-G17681)/(G17677+G17776),0)</f>
        <v>0.860592401802962</v>
      </c>
      <c r="H17800" s="31" t="n">
        <f aca="false">IF(H17677+H17776&gt;0,(H17673-H17684-H17681)/(H17677+H17776),0)</f>
        <v>0.925802348838058</v>
      </c>
      <c r="I17800" s="31" t="n">
        <f aca="false">IF(I17677+I17776&gt;0,(I17673-I17684-I17681)/(I17677+I17776),0)</f>
        <v>0.863929842094743</v>
      </c>
      <c r="J17800" s="31" t="n">
        <f aca="false">IF(J17677+J17776&gt;0,(J17673-J17684-J17681)/(J17677+J17776),0)</f>
        <v>0.840136401281331</v>
      </c>
      <c r="K17800" s="31" t="n">
        <f aca="false">IF(K17677+K17776&gt;0,(K17673-K17684-K17681)/(K17677+K17776),0)</f>
        <v>0.854692886710214</v>
      </c>
    </row>
    <row r="17801" customFormat="false" ht="15" hidden="false" customHeight="false" outlineLevel="0" collapsed="false">
      <c r="A17801" s="5" t="s">
        <v>327</v>
      </c>
      <c r="G17801" s="25" t="n">
        <f aca="false">MAX(0,G17785)+Assumptions!$P$53*MAX(0,Assumptions!$D$53-G17710)+Assumptions!$P$54*MAX(0,Assumptions!$D$54-G17723)+Assumptions!$P$55*MAX(0,Assumptions!$D$55-G17736)+Assumptions!$P$56*MAX(0,Assumptions!$D$56-G17749)</f>
        <v>150.56</v>
      </c>
      <c r="H17801" s="25" t="n">
        <f aca="false">MAX(0,H17785)+Assumptions!$P$53*MAX(0,Assumptions!$D$53-H17710)+Assumptions!$P$54*MAX(0,Assumptions!$D$54-H17723)+Assumptions!$P$55*MAX(0,Assumptions!$D$55-H17736)+Assumptions!$P$56*MAX(0,Assumptions!$D$56-H17749)</f>
        <v>150.56</v>
      </c>
      <c r="I17801" s="25" t="n">
        <f aca="false">MAX(0,I17785)+Assumptions!$P$53*MAX(0,Assumptions!$D$53-I17710)+Assumptions!$P$54*MAX(0,Assumptions!$D$54-I17723)+Assumptions!$P$55*MAX(0,Assumptions!$D$55-I17736)+Assumptions!$P$56*MAX(0,Assumptions!$D$56-I17749)</f>
        <v>129.4014904</v>
      </c>
      <c r="J17801" s="25" t="n">
        <f aca="false">MAX(0,J17785)+Assumptions!$P$53*MAX(0,Assumptions!$D$53-J17710)+Assumptions!$P$54*MAX(0,Assumptions!$D$54-J17723)+Assumptions!$P$55*MAX(0,Assumptions!$D$55-J17736)+Assumptions!$P$56*MAX(0,Assumptions!$D$56-J17749)</f>
        <v>109.823067088</v>
      </c>
      <c r="K17801" s="25" t="n">
        <f aca="false">MAX(0,K17785)+Assumptions!$P$53*MAX(0,Assumptions!$D$53-K17710)+Assumptions!$P$54*MAX(0,Assumptions!$D$54-K17723)+Assumptions!$P$55*MAX(0,Assumptions!$D$55-K17736)+Assumptions!$P$56*MAX(0,Assumptions!$D$56-K17749)</f>
        <v>92.02405532376</v>
      </c>
    </row>
    <row r="17802" customFormat="false" ht="15" hidden="false" customHeight="false" outlineLevel="0" collapsed="false">
      <c r="A17802" s="5" t="s">
        <v>328</v>
      </c>
      <c r="G17802" s="21" t="n">
        <f aca="false">IF(G17792&gt;0,G17792/(G17792+MAX(0,G17673*CHOOSE($C$17656,Assumptions!$C$76,Assumptions!$C$95,Assumptions!$C$114)-G17794)),0)</f>
        <v>1</v>
      </c>
      <c r="H17802" s="21" t="n">
        <f aca="false">IF(H17792&gt;0,H17792/(H17792+MAX(0,H17673*CHOOSE($C$17656,Assumptions!$C$76,Assumptions!$C$95,Assumptions!$C$114)-H17794)),0)</f>
        <v>1</v>
      </c>
      <c r="I17802" s="21" t="n">
        <f aca="false">IF(I17792&gt;0,I17792/(I17792+MAX(0,I17673*CHOOSE($C$17656,Assumptions!$C$76,Assumptions!$C$95,Assumptions!$C$114)-I17794)),0)</f>
        <v>1</v>
      </c>
      <c r="J17802" s="21" t="n">
        <f aca="false">IF(J17792&gt;0,J17792/(J17792+MAX(0,J17673*CHOOSE($C$17656,Assumptions!$C$76,Assumptions!$C$95,Assumptions!$C$114)-J17794)),0)</f>
        <v>1</v>
      </c>
      <c r="K17802" s="21" t="n">
        <f aca="false">IF(K17792&gt;0,K17792/(K17792+MAX(0,K17673*CHOOSE($C$17656,Assumptions!$C$76,Assumptions!$C$95,Assumptions!$C$114)-K17794)),0)</f>
        <v>1</v>
      </c>
    </row>
    <row r="17803" customFormat="false" ht="15" hidden="false" customHeight="false" outlineLevel="0" collapsed="false">
      <c r="A17803" s="5" t="s">
        <v>329</v>
      </c>
      <c r="G17803" s="21" t="n">
        <f aca="false">IF(G17792&gt;0,MAX(0,G17785)/G17792,0)</f>
        <v>0</v>
      </c>
      <c r="H17803" s="21" t="n">
        <f aca="false">IF(H17792&gt;0,MAX(0,H17785)/H17792,0)</f>
        <v>0</v>
      </c>
      <c r="I17803" s="21" t="n">
        <f aca="false">IF(I17792&gt;0,MAX(0,I17785)/I17792,0)</f>
        <v>0</v>
      </c>
      <c r="J17803" s="21" t="n">
        <f aca="false">IF(J17792&gt;0,MAX(0,J17785)/J17792,0)</f>
        <v>0</v>
      </c>
      <c r="K17803" s="21" t="n">
        <f aca="false">IF(K17792&gt;0,MAX(0,K17785)/K17792,0)</f>
        <v>0</v>
      </c>
    </row>
    <row r="17804" customFormat="false" ht="15" hidden="false" customHeight="false" outlineLevel="0" collapsed="false">
      <c r="A17804" s="5" t="s">
        <v>330</v>
      </c>
      <c r="G17804" s="25" t="n">
        <f aca="false">Assumptions!$C$27*(1-CHOOSE($C$17656,Assumptions!$C$79,Assumptions!$C$98,Assumptions!$C$117))</f>
        <v>1040</v>
      </c>
      <c r="H17804" s="25" t="n">
        <f aca="false">Assumptions!$C$27*(1-CHOOSE($C$17656,Assumptions!$C$79,Assumptions!$C$98,Assumptions!$C$117))</f>
        <v>1040</v>
      </c>
      <c r="I17804" s="25" t="n">
        <f aca="false">Assumptions!$C$27*(1-CHOOSE($C$17656,Assumptions!$C$79,Assumptions!$C$98,Assumptions!$C$117))</f>
        <v>1040</v>
      </c>
      <c r="J17804" s="25" t="n">
        <f aca="false">Assumptions!$C$27*(1-CHOOSE($C$17656,Assumptions!$C$79,Assumptions!$C$98,Assumptions!$C$117))</f>
        <v>1040</v>
      </c>
      <c r="K17804" s="25" t="n">
        <f aca="false">Assumptions!$C$27*(1-CHOOSE($C$17656,Assumptions!$C$79,Assumptions!$C$98,Assumptions!$C$117))</f>
        <v>1040</v>
      </c>
    </row>
    <row r="17805" customFormat="false" ht="15" hidden="false" customHeight="false" outlineLevel="0" collapsed="false">
      <c r="A17805" s="23" t="s">
        <v>331</v>
      </c>
      <c r="B17805" s="24"/>
      <c r="C17805" s="24"/>
      <c r="D17805" s="24"/>
      <c r="E17805" s="24"/>
      <c r="F17805" s="24"/>
      <c r="G17805" s="24"/>
      <c r="H17805" s="24"/>
      <c r="I17805" s="24"/>
      <c r="J17805" s="24"/>
      <c r="K17805" s="24"/>
    </row>
    <row r="17806" customFormat="false" ht="15" hidden="false" customHeight="false" outlineLevel="0" collapsed="false">
      <c r="A17806" s="23" t="s">
        <v>332</v>
      </c>
      <c r="B17806" s="24"/>
      <c r="C17806" s="24"/>
      <c r="D17806" s="24"/>
      <c r="E17806" s="24"/>
      <c r="F17806" s="24"/>
      <c r="G17806" s="24"/>
      <c r="H17806" s="24"/>
      <c r="I17806" s="24"/>
      <c r="J17806" s="24"/>
      <c r="K17806" s="24"/>
    </row>
    <row r="17807" customFormat="false" ht="15" hidden="false" customHeight="false" outlineLevel="0" collapsed="false">
      <c r="A17807" s="5" t="s">
        <v>333</v>
      </c>
      <c r="G17807" s="31" t="n">
        <f aca="false">IF(G17673&gt;0,G17794/G17673,99)</f>
        <v>7.86221186221186</v>
      </c>
      <c r="H17807" s="31" t="n">
        <f aca="false">IF(H17673&gt;0,H17794/H17673,99)</f>
        <v>7.70969887832544</v>
      </c>
      <c r="I17807" s="31" t="n">
        <f aca="false">IF(I17673&gt;0,I17794/I17673,99)</f>
        <v>7.62376751410553</v>
      </c>
      <c r="J17807" s="31" t="n">
        <f aca="false">IF(J17673&gt;0,J17794/J17673,99)</f>
        <v>7.5716937530992</v>
      </c>
      <c r="K17807" s="31" t="n">
        <f aca="false">IF(K17673&gt;0,K17794/K17673,99)</f>
        <v>7.51425466558389</v>
      </c>
    </row>
    <row r="17808" customFormat="false" ht="15" hidden="false" customHeight="false" outlineLevel="0" collapsed="false">
      <c r="A17808" s="5" t="s">
        <v>334</v>
      </c>
      <c r="G17808" s="32" t="n">
        <f aca="false">Assumptions!$G$61</f>
        <v>8.5</v>
      </c>
      <c r="H17808" s="32" t="n">
        <f aca="false">Assumptions!$H$61</f>
        <v>8.5</v>
      </c>
      <c r="I17808" s="32" t="n">
        <f aca="false">Assumptions!$I$61</f>
        <v>8.5</v>
      </c>
      <c r="J17808" s="32" t="n">
        <f aca="false">Assumptions!$J$61</f>
        <v>8.5</v>
      </c>
      <c r="K17808" s="32" t="n">
        <f aca="false">Assumptions!$K$61</f>
        <v>8.5</v>
      </c>
    </row>
    <row r="17809" customFormat="false" ht="15" hidden="false" customHeight="false" outlineLevel="0" collapsed="false">
      <c r="A17809" s="5" t="s">
        <v>335</v>
      </c>
      <c r="G17809" s="31" t="n">
        <f aca="false">G17808-G17807</f>
        <v>0.637788137788138</v>
      </c>
      <c r="H17809" s="31" t="n">
        <f aca="false">H17808-H17807</f>
        <v>0.790301121674557</v>
      </c>
      <c r="I17809" s="31" t="n">
        <f aca="false">I17808-I17807</f>
        <v>0.876232485894469</v>
      </c>
      <c r="J17809" s="31" t="n">
        <f aca="false">J17808-J17807</f>
        <v>0.928306246900803</v>
      </c>
      <c r="K17809" s="31" t="n">
        <f aca="false">K17808-K17807</f>
        <v>0.985745334416111</v>
      </c>
    </row>
    <row r="17810" customFormat="false" ht="15" hidden="false" customHeight="false" outlineLevel="0" collapsed="false">
      <c r="A17810" s="5" t="s">
        <v>336</v>
      </c>
      <c r="G17810" s="21" t="n">
        <f aca="false">IF(G17808=0,0,G17809/ABS(G17808))</f>
        <v>0.0750338985633103</v>
      </c>
      <c r="H17810" s="21" t="n">
        <f aca="false">IF(H17808=0,0,H17809/ABS(H17808))</f>
        <v>0.0929766025499479</v>
      </c>
      <c r="I17810" s="21" t="n">
        <f aca="false">IF(I17808=0,0,I17809/ABS(I17808))</f>
        <v>0.103086174811114</v>
      </c>
      <c r="J17810" s="21" t="n">
        <f aca="false">IF(J17808=0,0,J17809/ABS(J17808))</f>
        <v>0.109212499635389</v>
      </c>
      <c r="K17810" s="21" t="n">
        <f aca="false">IF(K17808=0,0,K17809/ABS(K17808))</f>
        <v>0.115970039343072</v>
      </c>
    </row>
    <row r="17811" customFormat="false" ht="15" hidden="false" customHeight="false" outlineLevel="0" collapsed="false">
      <c r="A17811" s="5" t="s">
        <v>337</v>
      </c>
      <c r="G17811" s="20" t="n">
        <f aca="false">IF(G17809&lt;0,1,0)</f>
        <v>0</v>
      </c>
      <c r="H17811" s="20" t="n">
        <f aca="false">IF(H17809&lt;0,1,0)</f>
        <v>0</v>
      </c>
      <c r="I17811" s="20" t="n">
        <f aca="false">IF(I17809&lt;0,1,0)</f>
        <v>0</v>
      </c>
      <c r="J17811" s="20" t="n">
        <f aca="false">IF(J17809&lt;0,1,0)</f>
        <v>0</v>
      </c>
      <c r="K17811" s="20" t="n">
        <f aca="false">IF(K17809&lt;0,1,0)</f>
        <v>0</v>
      </c>
    </row>
    <row r="17812" customFormat="false" ht="15" hidden="false" customHeight="false" outlineLevel="0" collapsed="false">
      <c r="A17812" s="5" t="s">
        <v>338</v>
      </c>
      <c r="C17812" s="20" t="n">
        <f aca="false">IFERROR(INDEX($G$17663:$K$17663,MATCH(1,$G$17811:$K$17811,0)),0)</f>
        <v>0</v>
      </c>
    </row>
    <row r="17813" customFormat="false" ht="15" hidden="false" customHeight="false" outlineLevel="0" collapsed="false">
      <c r="A17813" s="5" t="s">
        <v>339</v>
      </c>
      <c r="C17813" s="21" t="n">
        <f aca="false">MIN($G$17810:$K$17810)</f>
        <v>0.0750338985633103</v>
      </c>
    </row>
    <row r="17814" customFormat="false" ht="15" hidden="false" customHeight="false" outlineLevel="0" collapsed="false">
      <c r="A17814" s="5" t="s">
        <v>340</v>
      </c>
      <c r="G17814" s="20" t="n">
        <f aca="false">G17811</f>
        <v>0</v>
      </c>
      <c r="H17814" s="20" t="n">
        <f aca="false">H17811</f>
        <v>0</v>
      </c>
      <c r="I17814" s="20" t="n">
        <f aca="false">I17811</f>
        <v>0</v>
      </c>
      <c r="J17814" s="20" t="n">
        <f aca="false">J17811</f>
        <v>0</v>
      </c>
      <c r="K17814" s="20" t="n">
        <f aca="false">K17811</f>
        <v>0</v>
      </c>
    </row>
    <row r="17815" customFormat="false" ht="15" hidden="false" customHeight="false" outlineLevel="0" collapsed="false">
      <c r="A17815" s="5" t="s">
        <v>341</v>
      </c>
      <c r="C17815" s="20" t="n">
        <f aca="false">SUM($G$17814:$K$17814)</f>
        <v>0</v>
      </c>
    </row>
    <row r="17816" customFormat="false" ht="15" hidden="false" customHeight="false" outlineLevel="0" collapsed="false">
      <c r="A17816" s="5" t="s">
        <v>342</v>
      </c>
      <c r="C17816" s="21" t="n">
        <f aca="false">MIN(C17813)</f>
        <v>0.0750338985633103</v>
      </c>
    </row>
    <row r="17818" customFormat="false" ht="15" hidden="false" customHeight="false" outlineLevel="0" collapsed="false">
      <c r="A17818" s="23" t="s">
        <v>444</v>
      </c>
      <c r="B17818" s="24"/>
      <c r="C17818" s="24"/>
      <c r="D17818" s="24"/>
      <c r="E17818" s="24"/>
      <c r="F17818" s="24"/>
      <c r="G17818" s="24"/>
      <c r="H17818" s="24"/>
      <c r="I17818" s="24"/>
      <c r="J17818" s="24"/>
      <c r="K17818" s="24"/>
    </row>
    <row r="17819" customFormat="false" ht="15" hidden="false" customHeight="false" outlineLevel="0" collapsed="false">
      <c r="A17819" s="5" t="s">
        <v>445</v>
      </c>
      <c r="G17819" s="20" t="n">
        <f aca="false">IF($C$17820=1,G17788,IF(G17673=MIN($G$17673:$K$17673),1,0))</f>
        <v>0</v>
      </c>
      <c r="H17819" s="20" t="n">
        <f aca="false">IF($C$17820=1,H17788,IF(AND(H17673=MIN($G$17673:$K$17673),SUM($G$17819:G17819)=0),1,0))</f>
        <v>1</v>
      </c>
      <c r="I17819" s="20" t="n">
        <f aca="false">IF($C$17820=1,I17788,IF(AND(I17673=MIN($G$17673:$K$17673),SUM($G$17819:H17819)=0),1,0))</f>
        <v>0</v>
      </c>
      <c r="J17819" s="20" t="n">
        <f aca="false">IF($C$17820=1,J17788,IF(AND(J17673=MIN($G$17673:$K$17673),SUM($G$17819:I17819)=0),1,0))</f>
        <v>0</v>
      </c>
      <c r="K17819" s="20" t="n">
        <f aca="false">IF($C$17820=1,K17788,IF(AND(K17673=MIN($G$17673:$K$17673),SUM($G$17819:J17819)=0),1,0))</f>
        <v>0</v>
      </c>
    </row>
    <row r="17820" customFormat="false" ht="15" hidden="false" customHeight="false" outlineLevel="0" collapsed="false">
      <c r="A17820" s="5" t="s">
        <v>446</v>
      </c>
      <c r="C17820" s="20" t="n">
        <f aca="false">IF(SUM($G$17788:$K$17788)&gt;0,1,0)</f>
        <v>1</v>
      </c>
    </row>
    <row r="17821" customFormat="false" ht="15" hidden="false" customHeight="false" outlineLevel="0" collapsed="false">
      <c r="A17821" s="5" t="s">
        <v>447</v>
      </c>
      <c r="C17821" s="20" t="n">
        <f aca="false">SUMPRODUCT($G$17819:$K$17819,$G$17663:$K$17663)</f>
        <v>2027</v>
      </c>
    </row>
    <row r="17822" customFormat="false" ht="15" hidden="false" customHeight="false" outlineLevel="0" collapsed="false">
      <c r="A17822" s="5" t="s">
        <v>448</v>
      </c>
      <c r="C17822" s="25" t="n">
        <f aca="false">SUMPRODUCT($G$17819:$K$17819,$G$17673:$K$17673)</f>
        <v>157.60008</v>
      </c>
    </row>
    <row r="17823" customFormat="false" ht="15" hidden="false" customHeight="false" outlineLevel="0" collapsed="false">
      <c r="A17823" s="5" t="s">
        <v>449</v>
      </c>
      <c r="C17823" s="25" t="n">
        <f aca="false">MAX(0,SUMPRODUCT($G$17819:$K$17819,$G$17785:$K$17785))</f>
        <v>0</v>
      </c>
    </row>
    <row r="17824" customFormat="false" ht="15" hidden="false" customHeight="false" outlineLevel="0" collapsed="false">
      <c r="A17824" s="5" t="s">
        <v>450</v>
      </c>
      <c r="C17824" s="25" t="n">
        <f aca="false">(CHOOSE($C$17656,Assumptions!$C$78,Assumptions!$C$97,Assumptions!$C$116)+$C$17660)*C17822</f>
        <v>630.40032</v>
      </c>
    </row>
    <row r="17825" customFormat="false" ht="15" hidden="false" customHeight="false" outlineLevel="0" collapsed="false">
      <c r="A17825" s="5" t="s">
        <v>451</v>
      </c>
      <c r="C17825" s="25" t="n">
        <f aca="false">Assumptions!$C$27*(1-CHOOSE($C$17656,Assumptions!$C$79,Assumptions!$C$98,Assumptions!$C$117))*CHOOSE($C$17656,Assumptions!$C$80,Assumptions!$C$99,Assumptions!$C$118)</f>
        <v>624</v>
      </c>
    </row>
    <row r="17826" customFormat="false" ht="15" hidden="false" customHeight="false" outlineLevel="0" collapsed="false">
      <c r="A17826" s="5" t="s">
        <v>452</v>
      </c>
      <c r="C17826" s="25" t="n">
        <f aca="false">MAX(C17824,C17825)+C17823</f>
        <v>630.40032</v>
      </c>
    </row>
    <row r="17827" customFormat="false" ht="15" hidden="false" customHeight="false" outlineLevel="0" collapsed="false">
      <c r="A17827" s="2" t="s">
        <v>453</v>
      </c>
      <c r="C17827" s="16" t="n">
        <f aca="false">IF(ISNUMBER(Assumptions!$C$14),Assumptions!$C$14,C17826)</f>
        <v>630.40032</v>
      </c>
    </row>
    <row r="17828" customFormat="false" ht="15" hidden="false" customHeight="false" outlineLevel="0" collapsed="false">
      <c r="A17828" s="5" t="s">
        <v>454</v>
      </c>
      <c r="C17828" s="25" t="n">
        <f aca="false">C17827*Assumptions!$C$15</f>
        <v>25.2160128</v>
      </c>
    </row>
    <row r="17829" customFormat="false" ht="15" hidden="false" customHeight="false" outlineLevel="0" collapsed="false">
      <c r="A17829" s="2" t="s">
        <v>455</v>
      </c>
      <c r="C17829" s="16" t="n">
        <f aca="false">C17827-C17828</f>
        <v>605.1843072</v>
      </c>
    </row>
    <row r="17830" customFormat="false" ht="15" hidden="false" customHeight="false" outlineLevel="0" collapsed="false">
      <c r="A17830" s="23" t="s">
        <v>456</v>
      </c>
      <c r="B17830" s="24"/>
      <c r="C17830" s="24"/>
      <c r="D17830" s="24"/>
      <c r="E17830" s="24"/>
      <c r="F17830" s="24"/>
      <c r="G17830" s="24"/>
      <c r="H17830" s="24"/>
      <c r="I17830" s="24"/>
      <c r="J17830" s="24"/>
      <c r="K17830" s="24"/>
    </row>
    <row r="17831" customFormat="false" ht="15" hidden="false" customHeight="false" outlineLevel="0" collapsed="false">
      <c r="A17831" s="5" t="s">
        <v>457</v>
      </c>
      <c r="C17831" s="25" t="n">
        <f aca="false">SUMPRODUCT($G$17819:$K$17819,$G$17710:$K$17710)*(1+SUMPRODUCT($G$17819:$K$17819,$G$17702:$K$17702)*Assumptions!$C$16/12)</f>
        <v>152.55956</v>
      </c>
    </row>
    <row r="17832" customFormat="false" ht="15" hidden="false" customHeight="false" outlineLevel="0" collapsed="false">
      <c r="A17832" s="5" t="s">
        <v>458</v>
      </c>
      <c r="C17832" s="25" t="n">
        <f aca="false">SUMPRODUCT($G$17819:$K$17819,$G$17723:$K$17723)*(1+SUMPRODUCT($G$17819:$K$17819,$G$17715:$K$17715)*Assumptions!$C$16/12)</f>
        <v>522.4037</v>
      </c>
    </row>
    <row r="17833" customFormat="false" ht="15" hidden="false" customHeight="false" outlineLevel="0" collapsed="false">
      <c r="A17833" s="5" t="s">
        <v>459</v>
      </c>
      <c r="C17833" s="25" t="n">
        <f aca="false">SUMPRODUCT($G$17819:$K$17819,$G$17736:$K$17736)*(1+SUMPRODUCT($G$17819:$K$17819,$G$17728:$K$17728)*Assumptions!$C$16/12)</f>
        <v>256.875</v>
      </c>
    </row>
    <row r="17834" customFormat="false" ht="15" hidden="false" customHeight="false" outlineLevel="0" collapsed="false">
      <c r="A17834" s="5" t="s">
        <v>460</v>
      </c>
      <c r="C17834" s="25" t="n">
        <f aca="false">SUMPRODUCT($G$17819:$K$17819,$G$17749:$K$17749)*(1+SUMPRODUCT($G$17819:$K$17819,$G$17741:$K$17741)*Assumptions!$C$16/12)</f>
        <v>305.625</v>
      </c>
    </row>
    <row r="17835" customFormat="false" ht="15" hidden="false" customHeight="false" outlineLevel="0" collapsed="false">
      <c r="A17835" s="23" t="s">
        <v>461</v>
      </c>
      <c r="B17835" s="24"/>
      <c r="C17835" s="24"/>
      <c r="D17835" s="24"/>
      <c r="E17835" s="24"/>
      <c r="F17835" s="24"/>
      <c r="G17835" s="24"/>
      <c r="H17835" s="24"/>
      <c r="I17835" s="24"/>
      <c r="J17835" s="24"/>
      <c r="K17835" s="24"/>
    </row>
    <row r="17836" customFormat="false" ht="15" hidden="false" customHeight="false" outlineLevel="0" collapsed="false">
      <c r="A17836" s="5" t="s">
        <v>457</v>
      </c>
      <c r="C17836" s="26" t="n">
        <f aca="false">Assumptions!$M$53</f>
        <v>1</v>
      </c>
    </row>
    <row r="17837" customFormat="false" ht="15" hidden="false" customHeight="false" outlineLevel="0" collapsed="false">
      <c r="A17837" s="5" t="s">
        <v>458</v>
      </c>
      <c r="C17837" s="26" t="n">
        <f aca="false">Assumptions!$M$54</f>
        <v>2</v>
      </c>
    </row>
    <row r="17838" customFormat="false" ht="15" hidden="false" customHeight="false" outlineLevel="0" collapsed="false">
      <c r="A17838" s="5" t="s">
        <v>459</v>
      </c>
      <c r="C17838" s="26" t="n">
        <f aca="false">Assumptions!$M$55</f>
        <v>3</v>
      </c>
    </row>
    <row r="17839" customFormat="false" ht="15" hidden="false" customHeight="false" outlineLevel="0" collapsed="false">
      <c r="A17839" s="5" t="s">
        <v>460</v>
      </c>
      <c r="C17839" s="26" t="n">
        <f aca="false">Assumptions!$M$56</f>
        <v>4</v>
      </c>
    </row>
    <row r="17840" customFormat="false" ht="15" hidden="false" customHeight="false" outlineLevel="0" collapsed="false">
      <c r="A17840" s="23" t="s">
        <v>462</v>
      </c>
      <c r="B17840" s="24"/>
      <c r="C17840" s="24"/>
      <c r="D17840" s="24"/>
      <c r="E17840" s="24"/>
      <c r="F17840" s="24"/>
      <c r="G17840" s="24"/>
      <c r="H17840" s="24"/>
      <c r="I17840" s="24"/>
      <c r="J17840" s="24"/>
      <c r="K17840" s="24"/>
    </row>
    <row r="17841" customFormat="false" ht="15" hidden="false" customHeight="false" outlineLevel="0" collapsed="false">
      <c r="A17841" s="5" t="s">
        <v>457</v>
      </c>
      <c r="C17841" s="34" t="n">
        <f aca="false">Assumptions!$Q$53</f>
        <v>0</v>
      </c>
    </row>
    <row r="17842" customFormat="false" ht="15" hidden="false" customHeight="false" outlineLevel="0" collapsed="false">
      <c r="A17842" s="5" t="s">
        <v>458</v>
      </c>
      <c r="C17842" s="34" t="n">
        <f aca="false">Assumptions!$Q$54</f>
        <v>0</v>
      </c>
    </row>
    <row r="17843" customFormat="false" ht="15" hidden="false" customHeight="false" outlineLevel="0" collapsed="false">
      <c r="A17843" s="5" t="s">
        <v>459</v>
      </c>
      <c r="C17843" s="34" t="n">
        <f aca="false">Assumptions!$Q$55</f>
        <v>0</v>
      </c>
    </row>
    <row r="17844" customFormat="false" ht="15" hidden="false" customHeight="false" outlineLevel="0" collapsed="false">
      <c r="A17844" s="5" t="s">
        <v>460</v>
      </c>
      <c r="C17844" s="34" t="n">
        <f aca="false">Assumptions!$Q$56</f>
        <v>0</v>
      </c>
    </row>
    <row r="17845" customFormat="false" ht="15" hidden="false" customHeight="false" outlineLevel="0" collapsed="false">
      <c r="A17845" s="23" t="s">
        <v>463</v>
      </c>
      <c r="B17845" s="24"/>
      <c r="C17845" s="24"/>
      <c r="D17845" s="24"/>
      <c r="E17845" s="24"/>
      <c r="F17845" s="24"/>
      <c r="G17845" s="24"/>
      <c r="H17845" s="24"/>
      <c r="I17845" s="24"/>
      <c r="J17845" s="24"/>
      <c r="K17845" s="24"/>
    </row>
    <row r="17846" customFormat="false" ht="15" hidden="false" customHeight="false" outlineLevel="0" collapsed="false">
      <c r="A17846" s="5" t="s">
        <v>457</v>
      </c>
      <c r="C17846" s="25" t="n">
        <f aca="false">IF(C17841&gt;0,MIN(C17831,C17841*$C$17829),0)</f>
        <v>0</v>
      </c>
    </row>
    <row r="17847" customFormat="false" ht="15" hidden="false" customHeight="false" outlineLevel="0" collapsed="false">
      <c r="A17847" s="5" t="s">
        <v>458</v>
      </c>
      <c r="C17847" s="25" t="n">
        <f aca="false">IF(C17842&gt;0,MIN(C17832,C17842*$C$17829),0)</f>
        <v>0</v>
      </c>
    </row>
    <row r="17848" customFormat="false" ht="15" hidden="false" customHeight="false" outlineLevel="0" collapsed="false">
      <c r="A17848" s="5" t="s">
        <v>459</v>
      </c>
      <c r="C17848" s="25" t="n">
        <f aca="false">IF(C17843&gt;0,MIN(C17833,C17843*$C$17829),0)</f>
        <v>0</v>
      </c>
    </row>
    <row r="17849" customFormat="false" ht="15" hidden="false" customHeight="false" outlineLevel="0" collapsed="false">
      <c r="A17849" s="5" t="s">
        <v>460</v>
      </c>
      <c r="C17849" s="25" t="n">
        <f aca="false">IF(C17844&gt;0,MIN(C17834,C17844*$C$17829),0)</f>
        <v>0</v>
      </c>
    </row>
    <row r="17850" customFormat="false" ht="15" hidden="false" customHeight="false" outlineLevel="0" collapsed="false">
      <c r="A17850" s="23" t="s">
        <v>464</v>
      </c>
      <c r="B17850" s="24"/>
      <c r="C17850" s="24"/>
      <c r="D17850" s="24"/>
      <c r="E17850" s="24"/>
      <c r="F17850" s="24"/>
      <c r="G17850" s="24"/>
      <c r="H17850" s="24"/>
      <c r="I17850" s="24"/>
      <c r="J17850" s="24"/>
      <c r="K17850" s="24"/>
    </row>
    <row r="17851" customFormat="false" ht="15" hidden="false" customHeight="false" outlineLevel="0" collapsed="false">
      <c r="A17851" s="5" t="s">
        <v>457</v>
      </c>
      <c r="C17851" s="25" t="n">
        <f aca="false">IF(C17841&gt;0,C17831-C17846,0)</f>
        <v>0</v>
      </c>
      <c r="G17851" s="20" t="n">
        <f aca="false">IF(AND(G17700=1,G17697=1),1,0)</f>
        <v>0</v>
      </c>
      <c r="H17851" s="20" t="n">
        <f aca="false">IF(G17851=1,1,IF(AND(H17700=1,H17697=1),1,0))</f>
        <v>1</v>
      </c>
      <c r="I17851" s="20" t="n">
        <f aca="false">IF(H17851=1,1,IF(AND(I17700=1,I17697=1),1,0))</f>
        <v>1</v>
      </c>
      <c r="J17851" s="20" t="n">
        <f aca="false">IF(I17851=1,1,IF(AND(J17700=1,J17697=1),1,0))</f>
        <v>1</v>
      </c>
      <c r="K17851" s="20" t="n">
        <f aca="false">IF(J17851=1,1,IF(AND(K17700=1,K17697=1),1,0))</f>
        <v>1</v>
      </c>
    </row>
    <row r="17852" customFormat="false" ht="15" hidden="false" customHeight="false" outlineLevel="0" collapsed="false">
      <c r="A17852" s="5" t="s">
        <v>458</v>
      </c>
      <c r="C17852" s="25" t="n">
        <f aca="false">IF(C17842&gt;0,C17832-C17847,0)</f>
        <v>0</v>
      </c>
      <c r="G17852" s="20" t="n">
        <f aca="false">IF(AND(G17713=1,G17697=1),1,0)</f>
        <v>0</v>
      </c>
      <c r="H17852" s="20" t="n">
        <f aca="false">IF(G17852=1,1,IF(AND(H17713=1,H17697=1),1,0))</f>
        <v>0</v>
      </c>
      <c r="I17852" s="20" t="n">
        <f aca="false">IF(H17852=1,1,IF(AND(I17713=1,I17697=1),1,0))</f>
        <v>1</v>
      </c>
      <c r="J17852" s="20" t="n">
        <f aca="false">IF(I17852=1,1,IF(AND(J17713=1,J17697=1),1,0))</f>
        <v>1</v>
      </c>
      <c r="K17852" s="20" t="n">
        <f aca="false">IF(J17852=1,1,IF(AND(K17713=1,K17697=1),1,0))</f>
        <v>1</v>
      </c>
    </row>
    <row r="17853" customFormat="false" ht="15" hidden="false" customHeight="false" outlineLevel="0" collapsed="false">
      <c r="A17853" s="5" t="s">
        <v>459</v>
      </c>
      <c r="C17853" s="25" t="n">
        <f aca="false">IF(C17843&gt;0,C17833-C17848,0)</f>
        <v>0</v>
      </c>
      <c r="G17853" s="20" t="n">
        <f aca="false">IF(AND(G17726=1,G17697=1),1,0)</f>
        <v>0</v>
      </c>
      <c r="H17853" s="20" t="n">
        <f aca="false">IF(G17853=1,1,IF(AND(H17726=1,H17697=1),1,0))</f>
        <v>0</v>
      </c>
      <c r="I17853" s="20" t="n">
        <f aca="false">IF(H17853=1,1,IF(AND(I17726=1,I17697=1),1,0))</f>
        <v>0</v>
      </c>
      <c r="J17853" s="20" t="n">
        <f aca="false">IF(I17853=1,1,IF(AND(J17726=1,J17697=1),1,0))</f>
        <v>1</v>
      </c>
      <c r="K17853" s="20" t="n">
        <f aca="false">IF(J17853=1,1,IF(AND(K17726=1,K17697=1),1,0))</f>
        <v>1</v>
      </c>
    </row>
    <row r="17854" customFormat="false" ht="15" hidden="false" customHeight="false" outlineLevel="0" collapsed="false">
      <c r="A17854" s="5" t="s">
        <v>460</v>
      </c>
      <c r="C17854" s="25" t="n">
        <f aca="false">IF(C17844&gt;0,C17834-C17849,0)</f>
        <v>0</v>
      </c>
      <c r="G17854" s="20" t="n">
        <f aca="false">IF(AND(G17739=1,G17697=1),1,0)</f>
        <v>0</v>
      </c>
      <c r="H17854" s="20" t="n">
        <f aca="false">IF(G17854=1,1,IF(AND(H17739=1,H17697=1),1,0))</f>
        <v>1</v>
      </c>
      <c r="I17854" s="20" t="n">
        <f aca="false">IF(H17854=1,1,IF(AND(I17739=1,I17697=1),1,0))</f>
        <v>1</v>
      </c>
      <c r="J17854" s="20" t="n">
        <f aca="false">IF(I17854=1,1,IF(AND(J17739=1,J17697=1),1,0))</f>
        <v>1</v>
      </c>
      <c r="K17854" s="20" t="n">
        <f aca="false">IF(J17854=1,1,IF(AND(K17739=1,K17697=1),1,0))</f>
        <v>1</v>
      </c>
    </row>
    <row r="17855" customFormat="false" ht="15" hidden="false" customHeight="false" outlineLevel="0" collapsed="false">
      <c r="A17855" s="23" t="s">
        <v>465</v>
      </c>
      <c r="B17855" s="24"/>
      <c r="C17855" s="24"/>
      <c r="D17855" s="24"/>
      <c r="E17855" s="24"/>
      <c r="F17855" s="24"/>
      <c r="G17855" s="24"/>
      <c r="H17855" s="24"/>
      <c r="I17855" s="24"/>
      <c r="J17855" s="24"/>
      <c r="K17855" s="24"/>
    </row>
    <row r="17856" customFormat="false" ht="15" hidden="false" customHeight="false" outlineLevel="0" collapsed="false">
      <c r="A17856" s="5" t="s">
        <v>457</v>
      </c>
      <c r="C17856" s="25" t="n">
        <f aca="false">IF(C17841&gt;0,C17851,C17831)</f>
        <v>152.55956</v>
      </c>
    </row>
    <row r="17857" customFormat="false" ht="15" hidden="false" customHeight="false" outlineLevel="0" collapsed="false">
      <c r="A17857" s="5" t="s">
        <v>458</v>
      </c>
      <c r="C17857" s="25" t="n">
        <f aca="false">IF(C17842&gt;0,C17852,C17832)</f>
        <v>522.4037</v>
      </c>
    </row>
    <row r="17858" customFormat="false" ht="15" hidden="false" customHeight="false" outlineLevel="0" collapsed="false">
      <c r="A17858" s="5" t="s">
        <v>459</v>
      </c>
      <c r="C17858" s="25" t="n">
        <f aca="false">IF(C17843&gt;0,C17853,C17833)</f>
        <v>256.875</v>
      </c>
    </row>
    <row r="17859" customFormat="false" ht="15" hidden="false" customHeight="false" outlineLevel="0" collapsed="false">
      <c r="A17859" s="5" t="s">
        <v>460</v>
      </c>
      <c r="C17859" s="25" t="n">
        <f aca="false">IF(C17844&gt;0,C17854,C17834)</f>
        <v>305.625</v>
      </c>
    </row>
    <row r="17860" customFormat="false" ht="15" hidden="false" customHeight="false" outlineLevel="0" collapsed="false">
      <c r="A17860" s="23" t="s">
        <v>466</v>
      </c>
      <c r="B17860" s="24"/>
      <c r="C17860" s="24"/>
      <c r="D17860" s="24"/>
      <c r="E17860" s="24"/>
      <c r="F17860" s="24"/>
      <c r="G17860" s="24"/>
      <c r="H17860" s="24"/>
      <c r="I17860" s="24"/>
      <c r="J17860" s="24"/>
      <c r="K17860" s="24"/>
    </row>
    <row r="17861" customFormat="false" ht="15" hidden="false" customHeight="false" outlineLevel="0" collapsed="false">
      <c r="A17861" s="5" t="s">
        <v>457</v>
      </c>
      <c r="C17861" s="20" t="n">
        <f aca="false">IF(C17841&gt;0,Assumptions!$C$17,C17836)</f>
        <v>1</v>
      </c>
    </row>
    <row r="17862" customFormat="false" ht="15" hidden="false" customHeight="false" outlineLevel="0" collapsed="false">
      <c r="A17862" s="5" t="s">
        <v>458</v>
      </c>
      <c r="C17862" s="20" t="n">
        <f aca="false">IF(C17842&gt;0,Assumptions!$C$17,C17837)</f>
        <v>2</v>
      </c>
    </row>
    <row r="17863" customFormat="false" ht="15" hidden="false" customHeight="false" outlineLevel="0" collapsed="false">
      <c r="A17863" s="5" t="s">
        <v>459</v>
      </c>
      <c r="C17863" s="20" t="n">
        <f aca="false">IF(C17843&gt;0,Assumptions!$C$17,C17838)</f>
        <v>3</v>
      </c>
    </row>
    <row r="17864" customFormat="false" ht="15" hidden="false" customHeight="false" outlineLevel="0" collapsed="false">
      <c r="A17864" s="5" t="s">
        <v>460</v>
      </c>
      <c r="C17864" s="20" t="n">
        <f aca="false">IF(C17844&gt;0,Assumptions!$C$17,C17839)</f>
        <v>4</v>
      </c>
    </row>
    <row r="17865" customFormat="false" ht="15" hidden="false" customHeight="false" outlineLevel="0" collapsed="false">
      <c r="A17865" s="23" t="s">
        <v>467</v>
      </c>
      <c r="B17865" s="24"/>
      <c r="C17865" s="24"/>
      <c r="D17865" s="24"/>
      <c r="E17865" s="24"/>
      <c r="F17865" s="24"/>
      <c r="G17865" s="24"/>
      <c r="H17865" s="24"/>
      <c r="I17865" s="24"/>
      <c r="J17865" s="24"/>
      <c r="K17865" s="24"/>
    </row>
    <row r="17866" customFormat="false" ht="15" hidden="false" customHeight="false" outlineLevel="0" collapsed="false">
      <c r="A17866" s="5" t="s">
        <v>457</v>
      </c>
      <c r="C17866" s="25" t="n">
        <f aca="false">SUMPRODUCT(($C$17861:$C$17864&lt;C17861)*$C$17856:$C$17859)</f>
        <v>0</v>
      </c>
    </row>
    <row r="17867" customFormat="false" ht="15" hidden="false" customHeight="false" outlineLevel="0" collapsed="false">
      <c r="A17867" s="5" t="s">
        <v>458</v>
      </c>
      <c r="C17867" s="25" t="n">
        <f aca="false">SUMPRODUCT(($C$17861:$C$17864&lt;C17862)*$C$17856:$C$17859)</f>
        <v>152.55956</v>
      </c>
    </row>
    <row r="17868" customFormat="false" ht="15" hidden="false" customHeight="false" outlineLevel="0" collapsed="false">
      <c r="A17868" s="5" t="s">
        <v>459</v>
      </c>
      <c r="C17868" s="25" t="n">
        <f aca="false">SUMPRODUCT(($C$17861:$C$17864&lt;C17863)*$C$17856:$C$17859)</f>
        <v>674.96326</v>
      </c>
    </row>
    <row r="17869" customFormat="false" ht="15" hidden="false" customHeight="false" outlineLevel="0" collapsed="false">
      <c r="A17869" s="5" t="s">
        <v>460</v>
      </c>
      <c r="C17869" s="25" t="n">
        <f aca="false">SUMPRODUCT(($C$17861:$C$17864&lt;C17864)*$C$17856:$C$17859)</f>
        <v>931.83826</v>
      </c>
    </row>
    <row r="17870" customFormat="false" ht="15" hidden="false" customHeight="false" outlineLevel="0" collapsed="false">
      <c r="A17870" s="23" t="s">
        <v>468</v>
      </c>
      <c r="B17870" s="24"/>
      <c r="C17870" s="24"/>
      <c r="D17870" s="24"/>
      <c r="E17870" s="24"/>
      <c r="F17870" s="24"/>
      <c r="G17870" s="24"/>
      <c r="H17870" s="24"/>
      <c r="I17870" s="24"/>
      <c r="J17870" s="24"/>
      <c r="K17870" s="24"/>
    </row>
    <row r="17871" customFormat="false" ht="15" hidden="false" customHeight="false" outlineLevel="0" collapsed="false">
      <c r="A17871" s="5" t="s">
        <v>457</v>
      </c>
      <c r="C17871" s="25" t="n">
        <f aca="false">SUMPRODUCT(($C$17861:$C$17864=C17861)*$C$17856:$C$17859)</f>
        <v>152.55956</v>
      </c>
    </row>
    <row r="17872" customFormat="false" ht="15" hidden="false" customHeight="false" outlineLevel="0" collapsed="false">
      <c r="A17872" s="5" t="s">
        <v>458</v>
      </c>
      <c r="C17872" s="25" t="n">
        <f aca="false">SUMPRODUCT(($C$17861:$C$17864=C17862)*$C$17856:$C$17859)</f>
        <v>522.4037</v>
      </c>
    </row>
    <row r="17873" customFormat="false" ht="15" hidden="false" customHeight="false" outlineLevel="0" collapsed="false">
      <c r="A17873" s="5" t="s">
        <v>459</v>
      </c>
      <c r="C17873" s="25" t="n">
        <f aca="false">SUMPRODUCT(($C$17861:$C$17864=C17863)*$C$17856:$C$17859)</f>
        <v>256.875</v>
      </c>
    </row>
    <row r="17874" customFormat="false" ht="15" hidden="false" customHeight="false" outlineLevel="0" collapsed="false">
      <c r="A17874" s="5" t="s">
        <v>460</v>
      </c>
      <c r="C17874" s="25" t="n">
        <f aca="false">SUMPRODUCT(($C$17861:$C$17864=C17864)*$C$17856:$C$17859)</f>
        <v>305.625</v>
      </c>
    </row>
    <row r="17875" customFormat="false" ht="15" hidden="false" customHeight="false" outlineLevel="0" collapsed="false">
      <c r="A17875" s="23" t="s">
        <v>469</v>
      </c>
      <c r="B17875" s="24"/>
      <c r="C17875" s="24"/>
      <c r="D17875" s="24"/>
      <c r="E17875" s="24"/>
      <c r="F17875" s="24"/>
      <c r="G17875" s="24"/>
      <c r="H17875" s="24"/>
      <c r="I17875" s="24"/>
      <c r="J17875" s="24"/>
      <c r="K17875" s="24"/>
    </row>
    <row r="17876" customFormat="false" ht="15" hidden="false" customHeight="false" outlineLevel="0" collapsed="false">
      <c r="A17876" s="5" t="s">
        <v>457</v>
      </c>
      <c r="C17876" s="25" t="n">
        <f aca="false">IF(C17871=0,0,C17856/C17871*MAX(0,MIN(C17871,$C$17829-SUM($C$17846:$C$17849)-C17866)))</f>
        <v>152.55956</v>
      </c>
    </row>
    <row r="17877" customFormat="false" ht="15" hidden="false" customHeight="false" outlineLevel="0" collapsed="false">
      <c r="A17877" s="5" t="s">
        <v>458</v>
      </c>
      <c r="C17877" s="25" t="n">
        <f aca="false">IF(C17872=0,0,C17857/C17872*MAX(0,MIN(C17872,$C$17829-SUM($C$17846:$C$17849)-C17867)))</f>
        <v>452.6247472</v>
      </c>
    </row>
    <row r="17878" customFormat="false" ht="15" hidden="false" customHeight="false" outlineLevel="0" collapsed="false">
      <c r="A17878" s="5" t="s">
        <v>459</v>
      </c>
      <c r="C17878" s="25" t="n">
        <f aca="false">IF(C17873=0,0,C17858/C17873*MAX(0,MIN(C17873,$C$17829-SUM($C$17846:$C$17849)-C17868)))</f>
        <v>0</v>
      </c>
    </row>
    <row r="17879" customFormat="false" ht="15" hidden="false" customHeight="false" outlineLevel="0" collapsed="false">
      <c r="A17879" s="5" t="s">
        <v>460</v>
      </c>
      <c r="C17879" s="25" t="n">
        <f aca="false">IF(C17874=0,0,C17859/C17874*MAX(0,MIN(C17874,$C$17829-SUM($C$17846:$C$17849)-C17869)))</f>
        <v>0</v>
      </c>
    </row>
    <row r="17880" customFormat="false" ht="15" hidden="false" customHeight="false" outlineLevel="0" collapsed="false">
      <c r="A17880" s="23" t="s">
        <v>470</v>
      </c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</row>
    <row r="17881" customFormat="false" ht="15" hidden="false" customHeight="false" outlineLevel="0" collapsed="false">
      <c r="A17881" s="2" t="s">
        <v>457</v>
      </c>
      <c r="C17881" s="16" t="n">
        <f aca="false">C17846+C17876</f>
        <v>152.55956</v>
      </c>
    </row>
    <row r="17882" customFormat="false" ht="15" hidden="false" customHeight="false" outlineLevel="0" collapsed="false">
      <c r="A17882" s="2" t="s">
        <v>458</v>
      </c>
      <c r="C17882" s="16" t="n">
        <f aca="false">C17847+C17877</f>
        <v>452.6247472</v>
      </c>
    </row>
    <row r="17883" customFormat="false" ht="15" hidden="false" customHeight="false" outlineLevel="0" collapsed="false">
      <c r="A17883" s="2" t="s">
        <v>459</v>
      </c>
      <c r="C17883" s="16" t="n">
        <f aca="false">C17848+C17878</f>
        <v>0</v>
      </c>
    </row>
    <row r="17884" customFormat="false" ht="15" hidden="false" customHeight="false" outlineLevel="0" collapsed="false">
      <c r="A17884" s="2" t="s">
        <v>460</v>
      </c>
      <c r="C17884" s="16" t="n">
        <f aca="false">C17849+C17879</f>
        <v>0</v>
      </c>
    </row>
    <row r="17885" customFormat="false" ht="15" hidden="false" customHeight="false" outlineLevel="0" collapsed="false">
      <c r="A17885" s="23" t="s">
        <v>471</v>
      </c>
      <c r="B17885" s="24"/>
      <c r="C17885" s="24"/>
      <c r="D17885" s="24"/>
      <c r="E17885" s="24"/>
      <c r="F17885" s="24"/>
      <c r="G17885" s="24"/>
      <c r="H17885" s="24"/>
      <c r="I17885" s="24"/>
      <c r="J17885" s="24"/>
      <c r="K17885" s="24"/>
    </row>
    <row r="17886" customFormat="false" ht="15" hidden="false" customHeight="false" outlineLevel="0" collapsed="false">
      <c r="A17886" s="5" t="s">
        <v>457</v>
      </c>
      <c r="C17886" s="21" t="n">
        <f aca="false">IF(C17831=0,1,C17881/C17831)</f>
        <v>1</v>
      </c>
    </row>
    <row r="17887" customFormat="false" ht="15" hidden="false" customHeight="false" outlineLevel="0" collapsed="false">
      <c r="A17887" s="5" t="s">
        <v>458</v>
      </c>
      <c r="C17887" s="21" t="n">
        <f aca="false">IF(C17832=0,1,C17882/C17832)</f>
        <v>0.866427146668372</v>
      </c>
    </row>
    <row r="17888" customFormat="false" ht="15" hidden="false" customHeight="false" outlineLevel="0" collapsed="false">
      <c r="A17888" s="5" t="s">
        <v>459</v>
      </c>
      <c r="C17888" s="21" t="n">
        <f aca="false">IF(C17833=0,1,C17883/C17833)</f>
        <v>0</v>
      </c>
    </row>
    <row r="17889" customFormat="false" ht="15" hidden="false" customHeight="false" outlineLevel="0" collapsed="false">
      <c r="A17889" s="5" t="s">
        <v>460</v>
      </c>
      <c r="C17889" s="21" t="n">
        <f aca="false">IF(C17834=0,1,C17884/C17834)</f>
        <v>0</v>
      </c>
    </row>
    <row r="17890" customFormat="false" ht="15" hidden="false" customHeight="false" outlineLevel="0" collapsed="false">
      <c r="A17890" s="23" t="s">
        <v>472</v>
      </c>
      <c r="B17890" s="24"/>
      <c r="C17890" s="24"/>
      <c r="D17890" s="24"/>
      <c r="E17890" s="24"/>
      <c r="F17890" s="24"/>
      <c r="G17890" s="24"/>
      <c r="H17890" s="24"/>
      <c r="I17890" s="24"/>
      <c r="J17890" s="24"/>
      <c r="K17890" s="24"/>
    </row>
    <row r="17891" customFormat="false" ht="15" hidden="false" customHeight="false" outlineLevel="0" collapsed="false">
      <c r="A17891" s="5" t="s">
        <v>457</v>
      </c>
      <c r="C17891" s="25" t="n">
        <f aca="false">C17831-C17881</f>
        <v>0</v>
      </c>
    </row>
    <row r="17892" customFormat="false" ht="15" hidden="false" customHeight="false" outlineLevel="0" collapsed="false">
      <c r="A17892" s="5" t="s">
        <v>458</v>
      </c>
      <c r="C17892" s="25" t="n">
        <f aca="false">C17832-C17882</f>
        <v>69.7789528000001</v>
      </c>
    </row>
    <row r="17893" customFormat="false" ht="15" hidden="false" customHeight="false" outlineLevel="0" collapsed="false">
      <c r="A17893" s="5" t="s">
        <v>459</v>
      </c>
      <c r="C17893" s="25" t="n">
        <f aca="false">C17833-C17883</f>
        <v>256.875</v>
      </c>
    </row>
    <row r="17894" customFormat="false" ht="15" hidden="false" customHeight="false" outlineLevel="0" collapsed="false">
      <c r="A17894" s="5" t="s">
        <v>460</v>
      </c>
      <c r="C17894" s="25" t="n">
        <f aca="false">C17834-C17884</f>
        <v>305.625</v>
      </c>
    </row>
    <row r="17895" customFormat="false" ht="15" hidden="false" customHeight="false" outlineLevel="0" collapsed="false">
      <c r="A17895" s="23" t="s">
        <v>473</v>
      </c>
      <c r="B17895" s="24"/>
      <c r="C17895" s="24"/>
      <c r="D17895" s="24"/>
      <c r="E17895" s="24"/>
      <c r="F17895" s="24"/>
      <c r="G17895" s="24"/>
      <c r="H17895" s="24"/>
      <c r="I17895" s="24"/>
      <c r="J17895" s="24"/>
      <c r="K17895" s="24"/>
    </row>
    <row r="17896" customFormat="false" ht="15" hidden="false" customHeight="false" outlineLevel="0" collapsed="false">
      <c r="A17896" s="5" t="s">
        <v>457</v>
      </c>
      <c r="C17896" s="21" t="n">
        <f aca="false">IF(C17831=0,0,C17891/C17831)</f>
        <v>0</v>
      </c>
    </row>
    <row r="17897" customFormat="false" ht="15" hidden="false" customHeight="false" outlineLevel="0" collapsed="false">
      <c r="A17897" s="5" t="s">
        <v>458</v>
      </c>
      <c r="C17897" s="21" t="n">
        <f aca="false">IF(C17832=0,0,C17892/C17832)</f>
        <v>0.133572853331629</v>
      </c>
    </row>
    <row r="17898" customFormat="false" ht="15" hidden="false" customHeight="false" outlineLevel="0" collapsed="false">
      <c r="A17898" s="5" t="s">
        <v>459</v>
      </c>
      <c r="C17898" s="21" t="n">
        <f aca="false">IF(C17833=0,0,C17893/C17833)</f>
        <v>1</v>
      </c>
    </row>
    <row r="17899" customFormat="false" ht="15" hidden="false" customHeight="false" outlineLevel="0" collapsed="false">
      <c r="A17899" s="5" t="s">
        <v>460</v>
      </c>
      <c r="C17899" s="21" t="n">
        <f aca="false">IF(C17834=0,0,C17894/C17834)</f>
        <v>1</v>
      </c>
    </row>
    <row r="17900" customFormat="false" ht="15" hidden="false" customHeight="false" outlineLevel="0" collapsed="false">
      <c r="A17900" s="2" t="s">
        <v>474</v>
      </c>
      <c r="C17900" s="16" t="n">
        <f aca="false">MAX(0,$C$17829-SUM($C$17846:$C$17849)-SUM($C$17856:$C$17859))</f>
        <v>0</v>
      </c>
    </row>
    <row r="17901" customFormat="false" ht="15" hidden="false" customHeight="false" outlineLevel="0" collapsed="false">
      <c r="A17901" s="5" t="s">
        <v>475</v>
      </c>
      <c r="C17901" s="25" t="n">
        <f aca="false">SUM($C$17881:$C$17884)+C17900+C17828-C17827</f>
        <v>0</v>
      </c>
    </row>
    <row r="17903" customFormat="false" ht="15" hidden="false" customHeight="false" outlineLevel="0" collapsed="false">
      <c r="A17903" s="23" t="s">
        <v>478</v>
      </c>
      <c r="B17903" s="24"/>
      <c r="C17903" s="24"/>
      <c r="D17903" s="24"/>
      <c r="E17903" s="24"/>
      <c r="F17903" s="24"/>
      <c r="G17903" s="24"/>
      <c r="H17903" s="24"/>
      <c r="I17903" s="24"/>
      <c r="J17903" s="24"/>
      <c r="K17903" s="24"/>
    </row>
    <row r="17904" customFormat="false" ht="15" hidden="false" customHeight="false" outlineLevel="0" collapsed="false">
      <c r="A17904" s="5" t="s">
        <v>479</v>
      </c>
      <c r="C17904" s="26" t="n">
        <f aca="false">Assumptions!$C$30</f>
        <v>2</v>
      </c>
    </row>
    <row r="17905" customFormat="false" ht="15" hidden="false" customHeight="false" outlineLevel="0" collapsed="false">
      <c r="A17905" s="5" t="s">
        <v>480</v>
      </c>
      <c r="C17905" s="28" t="n">
        <f aca="false">Assumptions!$C$31</f>
        <v>100</v>
      </c>
    </row>
    <row r="17906" customFormat="false" ht="15" hidden="false" customHeight="false" outlineLevel="0" collapsed="false">
      <c r="A17906" s="5" t="s">
        <v>481</v>
      </c>
      <c r="C17906" s="39" t="n">
        <f aca="false">Assumptions!$C$32</f>
        <v>78</v>
      </c>
    </row>
    <row r="17907" customFormat="false" ht="15" hidden="false" customHeight="false" outlineLevel="0" collapsed="false">
      <c r="A17907" s="5" t="s">
        <v>482</v>
      </c>
      <c r="C17907" s="25" t="n">
        <f aca="false">C17905*C17906/100*(1+Assumptions!$C$33)</f>
        <v>78.39</v>
      </c>
    </row>
    <row r="17908" customFormat="false" ht="15" hidden="false" customHeight="false" outlineLevel="0" collapsed="false">
      <c r="A17908" s="5" t="s">
        <v>483</v>
      </c>
      <c r="C17908" s="26" t="n">
        <f aca="false">Assumptions!$C$34</f>
        <v>2</v>
      </c>
    </row>
    <row r="17909" customFormat="false" ht="15" hidden="false" customHeight="false" outlineLevel="0" collapsed="false">
      <c r="A17909" s="5" t="s">
        <v>484</v>
      </c>
      <c r="C17909" s="20" t="n">
        <f aca="false">IF(C17820=1,SUMPRODUCT($G$17788:$K$17788,$G$17664:$K$17664),0)</f>
        <v>2</v>
      </c>
    </row>
    <row r="17910" customFormat="false" ht="15" hidden="false" customHeight="false" outlineLevel="0" collapsed="false">
      <c r="A17910" s="5" t="s">
        <v>485</v>
      </c>
      <c r="C17910" s="21" t="n">
        <f aca="false">IFERROR(C17905/CHOOSE(C17904,SUMPRODUCT($G$17819:$K$17819,$G$17710:$K$17710),SUMPRODUCT($G$17819:$K$17819,$G$17723:$K$17723),SUMPRODUCT($G$17819:$K$17819,$G$17736:$K$17736),SUMPRODUCT($G$17819:$K$17819,$G$17749:$K$17749)),0)</f>
        <v>0.196232339089482</v>
      </c>
    </row>
    <row r="17911" customFormat="false" ht="15" hidden="false" customHeight="false" outlineLevel="0" collapsed="false">
      <c r="A17911" s="5" t="s">
        <v>486</v>
      </c>
      <c r="C17911" s="25" t="n">
        <f aca="false">CHOOSE(C17904,C17881,C17882,C17883,C17884)*C17910</f>
        <v>88.8196128728414</v>
      </c>
    </row>
    <row r="17912" customFormat="false" ht="15" hidden="false" customHeight="false" outlineLevel="0" collapsed="false">
      <c r="A17912" s="5" t="s">
        <v>487</v>
      </c>
      <c r="C17912" s="21" t="n">
        <f aca="false">CHOOSE(C17904,C17886,C17887,C17888,C17889)</f>
        <v>0.866427146668372</v>
      </c>
    </row>
    <row r="17913" customFormat="false" ht="15" hidden="false" customHeight="false" outlineLevel="0" collapsed="false">
      <c r="A17913" s="5" t="s">
        <v>488</v>
      </c>
      <c r="C17913" s="20" t="n">
        <f aca="false">IF(C17820=1,C17909,C17908)</f>
        <v>2</v>
      </c>
    </row>
    <row r="17914" customFormat="false" ht="15" hidden="false" customHeight="false" outlineLevel="0" collapsed="false">
      <c r="A17914" s="5" t="s">
        <v>489</v>
      </c>
      <c r="C17914" s="33" t="n">
        <f aca="false">CHOOSE($C$17656,Assumptions!$C$77,Assumptions!$C$96,Assumptions!$C$115)</f>
        <v>100</v>
      </c>
    </row>
    <row r="17915" customFormat="false" ht="15" hidden="false" customHeight="false" outlineLevel="0" collapsed="false">
      <c r="A17915" s="5" t="s">
        <v>490</v>
      </c>
      <c r="C17915" s="25" t="n">
        <f aca="false">INDEX($G$17673:$K$17673,C17908)*CHOOSE($C$17656,Assumptions!$C$76,Assumptions!$C$95,Assumptions!$C$114)+MAX(0,INDEX($G$17785:$K$17785,C17908))</f>
        <v>1024.40052</v>
      </c>
    </row>
    <row r="17916" customFormat="false" ht="15" hidden="false" customHeight="false" outlineLevel="0" collapsed="false">
      <c r="A17916" s="23" t="s">
        <v>491</v>
      </c>
      <c r="B17916" s="24"/>
      <c r="C17916" s="24"/>
      <c r="D17916" s="24"/>
      <c r="E17916" s="24"/>
      <c r="F17916" s="24"/>
      <c r="G17916" s="24"/>
      <c r="H17916" s="24"/>
      <c r="I17916" s="24"/>
      <c r="J17916" s="24"/>
      <c r="K17916" s="24"/>
    </row>
    <row r="17917" customFormat="false" ht="15" hidden="false" customHeight="false" outlineLevel="0" collapsed="false">
      <c r="A17917" s="5" t="s">
        <v>457</v>
      </c>
      <c r="C17917" s="25" t="n">
        <f aca="false">INDEX($G$17710:$K$17710,C17908)</f>
        <v>149.44</v>
      </c>
    </row>
    <row r="17918" customFormat="false" ht="15" hidden="false" customHeight="false" outlineLevel="0" collapsed="false">
      <c r="A17918" s="5" t="s">
        <v>458</v>
      </c>
      <c r="C17918" s="25" t="n">
        <f aca="false">INDEX($G$17723:$K$17723,C17908)</f>
        <v>509.6</v>
      </c>
    </row>
    <row r="17919" customFormat="false" ht="15" hidden="false" customHeight="false" outlineLevel="0" collapsed="false">
      <c r="A17919" s="5" t="s">
        <v>459</v>
      </c>
      <c r="C17919" s="25" t="n">
        <f aca="false">INDEX($G$17736:$K$17736,C17908)</f>
        <v>250</v>
      </c>
    </row>
    <row r="17920" customFormat="false" ht="15" hidden="false" customHeight="false" outlineLevel="0" collapsed="false">
      <c r="A17920" s="5" t="s">
        <v>460</v>
      </c>
      <c r="C17920" s="25" t="n">
        <f aca="false">INDEX($G$17749:$K$17749,C17908)</f>
        <v>300</v>
      </c>
    </row>
    <row r="17921" customFormat="false" ht="15" hidden="false" customHeight="false" outlineLevel="0" collapsed="false">
      <c r="A17921" s="23" t="s">
        <v>461</v>
      </c>
      <c r="B17921" s="24"/>
      <c r="C17921" s="24"/>
      <c r="D17921" s="24"/>
      <c r="E17921" s="24"/>
      <c r="F17921" s="24"/>
      <c r="G17921" s="24"/>
      <c r="H17921" s="24"/>
      <c r="I17921" s="24"/>
      <c r="J17921" s="24"/>
      <c r="K17921" s="24"/>
    </row>
    <row r="17922" customFormat="false" ht="15" hidden="false" customHeight="false" outlineLevel="0" collapsed="false">
      <c r="A17922" s="5" t="s">
        <v>457</v>
      </c>
      <c r="C17922" s="26" t="n">
        <f aca="false">Assumptions!$M$53</f>
        <v>1</v>
      </c>
    </row>
    <row r="17923" customFormat="false" ht="15" hidden="false" customHeight="false" outlineLevel="0" collapsed="false">
      <c r="A17923" s="5" t="s">
        <v>458</v>
      </c>
      <c r="C17923" s="26" t="n">
        <f aca="false">Assumptions!$M$54</f>
        <v>2</v>
      </c>
    </row>
    <row r="17924" customFormat="false" ht="15" hidden="false" customHeight="false" outlineLevel="0" collapsed="false">
      <c r="A17924" s="5" t="s">
        <v>459</v>
      </c>
      <c r="C17924" s="26" t="n">
        <f aca="false">Assumptions!$M$55</f>
        <v>3</v>
      </c>
    </row>
    <row r="17925" customFormat="false" ht="15" hidden="false" customHeight="false" outlineLevel="0" collapsed="false">
      <c r="A17925" s="5" t="s">
        <v>460</v>
      </c>
      <c r="C17925" s="26" t="n">
        <f aca="false">Assumptions!$M$56</f>
        <v>4</v>
      </c>
    </row>
    <row r="17926" customFormat="false" ht="15" hidden="false" customHeight="false" outlineLevel="0" collapsed="false">
      <c r="A17926" s="23" t="s">
        <v>462</v>
      </c>
      <c r="B17926" s="24"/>
      <c r="C17926" s="24"/>
      <c r="D17926" s="24"/>
      <c r="E17926" s="24"/>
      <c r="F17926" s="24"/>
      <c r="G17926" s="24"/>
      <c r="H17926" s="24"/>
      <c r="I17926" s="24"/>
      <c r="J17926" s="24"/>
      <c r="K17926" s="24"/>
    </row>
    <row r="17927" customFormat="false" ht="15" hidden="false" customHeight="false" outlineLevel="0" collapsed="false">
      <c r="A17927" s="5" t="s">
        <v>457</v>
      </c>
      <c r="C17927" s="34" t="n">
        <f aca="false">Assumptions!$Q$53</f>
        <v>0</v>
      </c>
    </row>
    <row r="17928" customFormat="false" ht="15" hidden="false" customHeight="false" outlineLevel="0" collapsed="false">
      <c r="A17928" s="5" t="s">
        <v>458</v>
      </c>
      <c r="C17928" s="34" t="n">
        <f aca="false">Assumptions!$Q$54</f>
        <v>0</v>
      </c>
    </row>
    <row r="17929" customFormat="false" ht="15" hidden="false" customHeight="false" outlineLevel="0" collapsed="false">
      <c r="A17929" s="5" t="s">
        <v>459</v>
      </c>
      <c r="C17929" s="34" t="n">
        <f aca="false">Assumptions!$Q$55</f>
        <v>0</v>
      </c>
    </row>
    <row r="17930" customFormat="false" ht="15" hidden="false" customHeight="false" outlineLevel="0" collapsed="false">
      <c r="A17930" s="5" t="s">
        <v>460</v>
      </c>
      <c r="C17930" s="34" t="n">
        <f aca="false">Assumptions!$Q$56</f>
        <v>0</v>
      </c>
    </row>
    <row r="17931" customFormat="false" ht="15" hidden="false" customHeight="false" outlineLevel="0" collapsed="false">
      <c r="A17931" s="23" t="s">
        <v>463</v>
      </c>
      <c r="B17931" s="24"/>
      <c r="C17931" s="24"/>
      <c r="D17931" s="24"/>
      <c r="E17931" s="24"/>
      <c r="F17931" s="24"/>
      <c r="G17931" s="24"/>
      <c r="H17931" s="24"/>
      <c r="I17931" s="24"/>
      <c r="J17931" s="24"/>
      <c r="K17931" s="24"/>
    </row>
    <row r="17932" customFormat="false" ht="15" hidden="false" customHeight="false" outlineLevel="0" collapsed="false">
      <c r="A17932" s="5" t="s">
        <v>457</v>
      </c>
      <c r="C17932" s="25" t="n">
        <f aca="false">IF(C17927&gt;0,MIN(C17917,C17927*$C$17915),0)</f>
        <v>0</v>
      </c>
    </row>
    <row r="17933" customFormat="false" ht="15" hidden="false" customHeight="false" outlineLevel="0" collapsed="false">
      <c r="A17933" s="5" t="s">
        <v>458</v>
      </c>
      <c r="C17933" s="25" t="n">
        <f aca="false">IF(C17928&gt;0,MIN(C17918,C17928*$C$17915),0)</f>
        <v>0</v>
      </c>
    </row>
    <row r="17934" customFormat="false" ht="15" hidden="false" customHeight="false" outlineLevel="0" collapsed="false">
      <c r="A17934" s="5" t="s">
        <v>459</v>
      </c>
      <c r="C17934" s="25" t="n">
        <f aca="false">IF(C17929&gt;0,MIN(C17919,C17929*$C$17915),0)</f>
        <v>0</v>
      </c>
    </row>
    <row r="17935" customFormat="false" ht="15" hidden="false" customHeight="false" outlineLevel="0" collapsed="false">
      <c r="A17935" s="5" t="s">
        <v>460</v>
      </c>
      <c r="C17935" s="25" t="n">
        <f aca="false">IF(C17930&gt;0,MIN(C17920,C17930*$C$17915),0)</f>
        <v>0</v>
      </c>
    </row>
    <row r="17936" customFormat="false" ht="15" hidden="false" customHeight="false" outlineLevel="0" collapsed="false">
      <c r="A17936" s="23" t="s">
        <v>464</v>
      </c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</row>
    <row r="17937" customFormat="false" ht="15" hidden="false" customHeight="false" outlineLevel="0" collapsed="false">
      <c r="A17937" s="5" t="s">
        <v>457</v>
      </c>
      <c r="C17937" s="25" t="n">
        <f aca="false">IF(C17927&gt;0,C17917-C17932,0)</f>
        <v>0</v>
      </c>
    </row>
    <row r="17938" customFormat="false" ht="15" hidden="false" customHeight="false" outlineLevel="0" collapsed="false">
      <c r="A17938" s="5" t="s">
        <v>458</v>
      </c>
      <c r="C17938" s="25" t="n">
        <f aca="false">IF(C17928&gt;0,C17918-C17933,0)</f>
        <v>0</v>
      </c>
    </row>
    <row r="17939" customFormat="false" ht="15" hidden="false" customHeight="false" outlineLevel="0" collapsed="false">
      <c r="A17939" s="5" t="s">
        <v>459</v>
      </c>
      <c r="C17939" s="25" t="n">
        <f aca="false">IF(C17929&gt;0,C17919-C17934,0)</f>
        <v>0</v>
      </c>
    </row>
    <row r="17940" customFormat="false" ht="15" hidden="false" customHeight="false" outlineLevel="0" collapsed="false">
      <c r="A17940" s="5" t="s">
        <v>460</v>
      </c>
      <c r="C17940" s="25" t="n">
        <f aca="false">IF(C17930&gt;0,C17920-C17935,0)</f>
        <v>0</v>
      </c>
    </row>
    <row r="17941" customFormat="false" ht="15" hidden="false" customHeight="false" outlineLevel="0" collapsed="false">
      <c r="A17941" s="23" t="s">
        <v>465</v>
      </c>
      <c r="B17941" s="24"/>
      <c r="C17941" s="24"/>
      <c r="D17941" s="24"/>
      <c r="E17941" s="24"/>
      <c r="F17941" s="24"/>
      <c r="G17941" s="24"/>
      <c r="H17941" s="24"/>
      <c r="I17941" s="24"/>
      <c r="J17941" s="24"/>
      <c r="K17941" s="24"/>
    </row>
    <row r="17942" customFormat="false" ht="15" hidden="false" customHeight="false" outlineLevel="0" collapsed="false">
      <c r="A17942" s="5" t="s">
        <v>457</v>
      </c>
      <c r="C17942" s="25" t="n">
        <f aca="false">IF(C17927&gt;0,C17937,C17917)</f>
        <v>149.44</v>
      </c>
    </row>
    <row r="17943" customFormat="false" ht="15" hidden="false" customHeight="false" outlineLevel="0" collapsed="false">
      <c r="A17943" s="5" t="s">
        <v>458</v>
      </c>
      <c r="C17943" s="25" t="n">
        <f aca="false">IF(C17928&gt;0,C17938,C17918)</f>
        <v>509.6</v>
      </c>
    </row>
    <row r="17944" customFormat="false" ht="15" hidden="false" customHeight="false" outlineLevel="0" collapsed="false">
      <c r="A17944" s="5" t="s">
        <v>459</v>
      </c>
      <c r="C17944" s="25" t="n">
        <f aca="false">IF(C17929&gt;0,C17939,C17919)</f>
        <v>250</v>
      </c>
    </row>
    <row r="17945" customFormat="false" ht="15" hidden="false" customHeight="false" outlineLevel="0" collapsed="false">
      <c r="A17945" s="5" t="s">
        <v>460</v>
      </c>
      <c r="C17945" s="25" t="n">
        <f aca="false">IF(C17930&gt;0,C17940,C17920)</f>
        <v>300</v>
      </c>
    </row>
    <row r="17946" customFormat="false" ht="15" hidden="false" customHeight="false" outlineLevel="0" collapsed="false">
      <c r="A17946" s="23" t="s">
        <v>466</v>
      </c>
      <c r="B17946" s="24"/>
      <c r="C17946" s="24"/>
      <c r="D17946" s="24"/>
      <c r="E17946" s="24"/>
      <c r="F17946" s="24"/>
      <c r="G17946" s="24"/>
      <c r="H17946" s="24"/>
      <c r="I17946" s="24"/>
      <c r="J17946" s="24"/>
      <c r="K17946" s="24"/>
    </row>
    <row r="17947" customFormat="false" ht="15" hidden="false" customHeight="false" outlineLevel="0" collapsed="false">
      <c r="A17947" s="5" t="s">
        <v>457</v>
      </c>
      <c r="C17947" s="20" t="n">
        <f aca="false">IF(C17927&gt;0,Assumptions!$C$17,C17922)</f>
        <v>1</v>
      </c>
    </row>
    <row r="17948" customFormat="false" ht="15" hidden="false" customHeight="false" outlineLevel="0" collapsed="false">
      <c r="A17948" s="5" t="s">
        <v>458</v>
      </c>
      <c r="C17948" s="20" t="n">
        <f aca="false">IF(C17928&gt;0,Assumptions!$C$17,C17923)</f>
        <v>2</v>
      </c>
    </row>
    <row r="17949" customFormat="false" ht="15" hidden="false" customHeight="false" outlineLevel="0" collapsed="false">
      <c r="A17949" s="5" t="s">
        <v>459</v>
      </c>
      <c r="C17949" s="20" t="n">
        <f aca="false">IF(C17929&gt;0,Assumptions!$C$17,C17924)</f>
        <v>3</v>
      </c>
    </row>
    <row r="17950" customFormat="false" ht="15" hidden="false" customHeight="false" outlineLevel="0" collapsed="false">
      <c r="A17950" s="5" t="s">
        <v>460</v>
      </c>
      <c r="C17950" s="20" t="n">
        <f aca="false">IF(C17930&gt;0,Assumptions!$C$17,C17925)</f>
        <v>4</v>
      </c>
    </row>
    <row r="17951" customFormat="false" ht="15" hidden="false" customHeight="false" outlineLevel="0" collapsed="false">
      <c r="A17951" s="23" t="s">
        <v>467</v>
      </c>
      <c r="B17951" s="24"/>
      <c r="C17951" s="24"/>
      <c r="D17951" s="24"/>
      <c r="E17951" s="24"/>
      <c r="F17951" s="24"/>
      <c r="G17951" s="24"/>
      <c r="H17951" s="24"/>
      <c r="I17951" s="24"/>
      <c r="J17951" s="24"/>
      <c r="K17951" s="24"/>
    </row>
    <row r="17952" customFormat="false" ht="15" hidden="false" customHeight="false" outlineLevel="0" collapsed="false">
      <c r="A17952" s="5" t="s">
        <v>457</v>
      </c>
      <c r="C17952" s="25" t="n">
        <f aca="false">SUMPRODUCT(($C$17947:$C$17950&lt;C17947)*$C$17942:$C$17945)</f>
        <v>0</v>
      </c>
    </row>
    <row r="17953" customFormat="false" ht="15" hidden="false" customHeight="false" outlineLevel="0" collapsed="false">
      <c r="A17953" s="5" t="s">
        <v>458</v>
      </c>
      <c r="C17953" s="25" t="n">
        <f aca="false">SUMPRODUCT(($C$17947:$C$17950&lt;C17948)*$C$17942:$C$17945)</f>
        <v>149.44</v>
      </c>
    </row>
    <row r="17954" customFormat="false" ht="15" hidden="false" customHeight="false" outlineLevel="0" collapsed="false">
      <c r="A17954" s="5" t="s">
        <v>459</v>
      </c>
      <c r="C17954" s="25" t="n">
        <f aca="false">SUMPRODUCT(($C$17947:$C$17950&lt;C17949)*$C$17942:$C$17945)</f>
        <v>659.04</v>
      </c>
    </row>
    <row r="17955" customFormat="false" ht="15" hidden="false" customHeight="false" outlineLevel="0" collapsed="false">
      <c r="A17955" s="5" t="s">
        <v>460</v>
      </c>
      <c r="C17955" s="25" t="n">
        <f aca="false">SUMPRODUCT(($C$17947:$C$17950&lt;C17950)*$C$17942:$C$17945)</f>
        <v>909.04</v>
      </c>
    </row>
    <row r="17956" customFormat="false" ht="15" hidden="false" customHeight="false" outlineLevel="0" collapsed="false">
      <c r="A17956" s="23" t="s">
        <v>468</v>
      </c>
      <c r="B17956" s="24"/>
      <c r="C17956" s="24"/>
      <c r="D17956" s="24"/>
      <c r="E17956" s="24"/>
      <c r="F17956" s="24"/>
      <c r="G17956" s="24"/>
      <c r="H17956" s="24"/>
      <c r="I17956" s="24"/>
      <c r="J17956" s="24"/>
      <c r="K17956" s="24"/>
    </row>
    <row r="17957" customFormat="false" ht="15" hidden="false" customHeight="false" outlineLevel="0" collapsed="false">
      <c r="A17957" s="5" t="s">
        <v>457</v>
      </c>
      <c r="C17957" s="25" t="n">
        <f aca="false">SUMPRODUCT(($C$17947:$C$17950=C17947)*$C$17942:$C$17945)</f>
        <v>149.44</v>
      </c>
    </row>
    <row r="17958" customFormat="false" ht="15" hidden="false" customHeight="false" outlineLevel="0" collapsed="false">
      <c r="A17958" s="5" t="s">
        <v>458</v>
      </c>
      <c r="C17958" s="25" t="n">
        <f aca="false">SUMPRODUCT(($C$17947:$C$17950=C17948)*$C$17942:$C$17945)</f>
        <v>509.6</v>
      </c>
    </row>
    <row r="17959" customFormat="false" ht="15" hidden="false" customHeight="false" outlineLevel="0" collapsed="false">
      <c r="A17959" s="5" t="s">
        <v>459</v>
      </c>
      <c r="C17959" s="25" t="n">
        <f aca="false">SUMPRODUCT(($C$17947:$C$17950=C17949)*$C$17942:$C$17945)</f>
        <v>250</v>
      </c>
    </row>
    <row r="17960" customFormat="false" ht="15" hidden="false" customHeight="false" outlineLevel="0" collapsed="false">
      <c r="A17960" s="5" t="s">
        <v>460</v>
      </c>
      <c r="C17960" s="25" t="n">
        <f aca="false">SUMPRODUCT(($C$17947:$C$17950=C17950)*$C$17942:$C$17945)</f>
        <v>300</v>
      </c>
    </row>
    <row r="17961" customFormat="false" ht="15" hidden="false" customHeight="false" outlineLevel="0" collapsed="false">
      <c r="A17961" s="23" t="s">
        <v>469</v>
      </c>
      <c r="B17961" s="24"/>
      <c r="C17961" s="24"/>
      <c r="D17961" s="24"/>
      <c r="E17961" s="24"/>
      <c r="F17961" s="24"/>
      <c r="G17961" s="24"/>
      <c r="H17961" s="24"/>
      <c r="I17961" s="24"/>
      <c r="J17961" s="24"/>
      <c r="K17961" s="24"/>
    </row>
    <row r="17962" customFormat="false" ht="15" hidden="false" customHeight="false" outlineLevel="0" collapsed="false">
      <c r="A17962" s="5" t="s">
        <v>457</v>
      </c>
      <c r="C17962" s="25" t="n">
        <f aca="false">IF(C17957=0,0,C17942/C17957*MAX(0,MIN(C17957,$C$17915-SUM($C$17932:$C$17935)-C17952)))</f>
        <v>149.44</v>
      </c>
    </row>
    <row r="17963" customFormat="false" ht="15" hidden="false" customHeight="false" outlineLevel="0" collapsed="false">
      <c r="A17963" s="5" t="s">
        <v>458</v>
      </c>
      <c r="C17963" s="25" t="n">
        <f aca="false">IF(C17958=0,0,C17943/C17958*MAX(0,MIN(C17958,$C$17915-SUM($C$17932:$C$17935)-C17953)))</f>
        <v>509.6</v>
      </c>
    </row>
    <row r="17964" customFormat="false" ht="15" hidden="false" customHeight="false" outlineLevel="0" collapsed="false">
      <c r="A17964" s="5" t="s">
        <v>459</v>
      </c>
      <c r="C17964" s="25" t="n">
        <f aca="false">IF(C17959=0,0,C17944/C17959*MAX(0,MIN(C17959,$C$17915-SUM($C$17932:$C$17935)-C17954)))</f>
        <v>250</v>
      </c>
    </row>
    <row r="17965" customFormat="false" ht="15" hidden="false" customHeight="false" outlineLevel="0" collapsed="false">
      <c r="A17965" s="5" t="s">
        <v>460</v>
      </c>
      <c r="C17965" s="25" t="n">
        <f aca="false">IF(C17960=0,0,C17945/C17960*MAX(0,MIN(C17960,$C$17915-SUM($C$17932:$C$17935)-C17955)))</f>
        <v>115.36052</v>
      </c>
    </row>
    <row r="17966" customFormat="false" ht="15" hidden="false" customHeight="false" outlineLevel="0" collapsed="false">
      <c r="A17966" s="23" t="s">
        <v>470</v>
      </c>
      <c r="B17966" s="24"/>
      <c r="C17966" s="24"/>
      <c r="D17966" s="24"/>
      <c r="E17966" s="24"/>
      <c r="F17966" s="24"/>
      <c r="G17966" s="24"/>
      <c r="H17966" s="24"/>
      <c r="I17966" s="24"/>
      <c r="J17966" s="24"/>
      <c r="K17966" s="24"/>
    </row>
    <row r="17967" customFormat="false" ht="15" hidden="false" customHeight="false" outlineLevel="0" collapsed="false">
      <c r="A17967" s="2" t="s">
        <v>457</v>
      </c>
      <c r="C17967" s="16" t="n">
        <f aca="false">C17932+C17962</f>
        <v>149.44</v>
      </c>
    </row>
    <row r="17968" customFormat="false" ht="15" hidden="false" customHeight="false" outlineLevel="0" collapsed="false">
      <c r="A17968" s="2" t="s">
        <v>458</v>
      </c>
      <c r="C17968" s="16" t="n">
        <f aca="false">C17933+C17963</f>
        <v>509.6</v>
      </c>
    </row>
    <row r="17969" customFormat="false" ht="15" hidden="false" customHeight="false" outlineLevel="0" collapsed="false">
      <c r="A17969" s="2" t="s">
        <v>459</v>
      </c>
      <c r="C17969" s="16" t="n">
        <f aca="false">C17934+C17964</f>
        <v>250</v>
      </c>
    </row>
    <row r="17970" customFormat="false" ht="15" hidden="false" customHeight="false" outlineLevel="0" collapsed="false">
      <c r="A17970" s="2" t="s">
        <v>460</v>
      </c>
      <c r="C17970" s="16" t="n">
        <f aca="false">C17935+C17965</f>
        <v>115.36052</v>
      </c>
    </row>
    <row r="17971" customFormat="false" ht="15" hidden="false" customHeight="false" outlineLevel="0" collapsed="false">
      <c r="A17971" s="23" t="s">
        <v>471</v>
      </c>
      <c r="B17971" s="24"/>
      <c r="C17971" s="24"/>
      <c r="D17971" s="24"/>
      <c r="E17971" s="24"/>
      <c r="F17971" s="24"/>
      <c r="G17971" s="24"/>
      <c r="H17971" s="24"/>
      <c r="I17971" s="24"/>
      <c r="J17971" s="24"/>
      <c r="K17971" s="24"/>
    </row>
    <row r="17972" customFormat="false" ht="15" hidden="false" customHeight="false" outlineLevel="0" collapsed="false">
      <c r="A17972" s="5" t="s">
        <v>457</v>
      </c>
      <c r="C17972" s="21" t="n">
        <f aca="false">IF(C17917=0,1,C17967/C17917)</f>
        <v>1</v>
      </c>
    </row>
    <row r="17973" customFormat="false" ht="15" hidden="false" customHeight="false" outlineLevel="0" collapsed="false">
      <c r="A17973" s="5" t="s">
        <v>458</v>
      </c>
      <c r="C17973" s="21" t="n">
        <f aca="false">IF(C17918=0,1,C17968/C17918)</f>
        <v>1</v>
      </c>
    </row>
    <row r="17974" customFormat="false" ht="15" hidden="false" customHeight="false" outlineLevel="0" collapsed="false">
      <c r="A17974" s="5" t="s">
        <v>459</v>
      </c>
      <c r="C17974" s="21" t="n">
        <f aca="false">IF(C17919=0,1,C17969/C17919)</f>
        <v>1</v>
      </c>
    </row>
    <row r="17975" customFormat="false" ht="15" hidden="false" customHeight="false" outlineLevel="0" collapsed="false">
      <c r="A17975" s="5" t="s">
        <v>460</v>
      </c>
      <c r="C17975" s="21" t="n">
        <f aca="false">IF(C17920=0,1,C17970/C17920)</f>
        <v>0.384535066666667</v>
      </c>
    </row>
    <row r="17976" customFormat="false" ht="15" hidden="false" customHeight="false" outlineLevel="0" collapsed="false">
      <c r="A17976" s="23" t="s">
        <v>472</v>
      </c>
      <c r="B17976" s="24"/>
      <c r="C17976" s="24"/>
      <c r="D17976" s="24"/>
      <c r="E17976" s="24"/>
      <c r="F17976" s="24"/>
      <c r="G17976" s="24"/>
      <c r="H17976" s="24"/>
      <c r="I17976" s="24"/>
      <c r="J17976" s="24"/>
      <c r="K17976" s="24"/>
    </row>
    <row r="17977" customFormat="false" ht="15" hidden="false" customHeight="false" outlineLevel="0" collapsed="false">
      <c r="A17977" s="5" t="s">
        <v>457</v>
      </c>
      <c r="C17977" s="25" t="n">
        <f aca="false">C17917-C17967</f>
        <v>0</v>
      </c>
    </row>
    <row r="17978" customFormat="false" ht="15" hidden="false" customHeight="false" outlineLevel="0" collapsed="false">
      <c r="A17978" s="5" t="s">
        <v>458</v>
      </c>
      <c r="C17978" s="25" t="n">
        <f aca="false">C17918-C17968</f>
        <v>0</v>
      </c>
    </row>
    <row r="17979" customFormat="false" ht="15" hidden="false" customHeight="false" outlineLevel="0" collapsed="false">
      <c r="A17979" s="5" t="s">
        <v>459</v>
      </c>
      <c r="C17979" s="25" t="n">
        <f aca="false">C17919-C17969</f>
        <v>0</v>
      </c>
    </row>
    <row r="17980" customFormat="false" ht="15" hidden="false" customHeight="false" outlineLevel="0" collapsed="false">
      <c r="A17980" s="5" t="s">
        <v>460</v>
      </c>
      <c r="C17980" s="25" t="n">
        <f aca="false">C17920-C17970</f>
        <v>184.63948</v>
      </c>
    </row>
    <row r="17981" customFormat="false" ht="15" hidden="false" customHeight="false" outlineLevel="0" collapsed="false">
      <c r="A17981" s="23" t="s">
        <v>473</v>
      </c>
      <c r="B17981" s="24"/>
      <c r="C17981" s="24"/>
      <c r="D17981" s="24"/>
      <c r="E17981" s="24"/>
      <c r="F17981" s="24"/>
      <c r="G17981" s="24"/>
      <c r="H17981" s="24"/>
      <c r="I17981" s="24"/>
      <c r="J17981" s="24"/>
      <c r="K17981" s="24"/>
    </row>
    <row r="17982" customFormat="false" ht="15" hidden="false" customHeight="false" outlineLevel="0" collapsed="false">
      <c r="A17982" s="5" t="s">
        <v>457</v>
      </c>
      <c r="C17982" s="21" t="n">
        <f aca="false">IF(C17917=0,0,C17977/C17917)</f>
        <v>0</v>
      </c>
    </row>
    <row r="17983" customFormat="false" ht="15" hidden="false" customHeight="false" outlineLevel="0" collapsed="false">
      <c r="A17983" s="5" t="s">
        <v>458</v>
      </c>
      <c r="C17983" s="21" t="n">
        <f aca="false">IF(C17918=0,0,C17978/C17918)</f>
        <v>0</v>
      </c>
    </row>
    <row r="17984" customFormat="false" ht="15" hidden="false" customHeight="false" outlineLevel="0" collapsed="false">
      <c r="A17984" s="5" t="s">
        <v>459</v>
      </c>
      <c r="C17984" s="21" t="n">
        <f aca="false">IF(C17919=0,0,C17979/C17919)</f>
        <v>0</v>
      </c>
    </row>
    <row r="17985" customFormat="false" ht="15" hidden="false" customHeight="false" outlineLevel="0" collapsed="false">
      <c r="A17985" s="5" t="s">
        <v>460</v>
      </c>
      <c r="C17985" s="21" t="n">
        <f aca="false">IF(C17920=0,0,C17980/C17920)</f>
        <v>0.615464933333334</v>
      </c>
    </row>
    <row r="17986" customFormat="false" ht="15" hidden="false" customHeight="false" outlineLevel="0" collapsed="false">
      <c r="A17986" s="2" t="s">
        <v>474</v>
      </c>
      <c r="C17986" s="16" t="n">
        <f aca="false">MAX(0,$C$17915-SUM($C$17932:$C$17935)-SUM($C$17942:$C$17945))</f>
        <v>0</v>
      </c>
    </row>
    <row r="17987" customFormat="false" ht="15" hidden="false" customHeight="false" outlineLevel="0" collapsed="false">
      <c r="A17987" s="5" t="s">
        <v>492</v>
      </c>
      <c r="C17987" s="33" t="n">
        <f aca="false">MIN(C17914,100*CHOOSE(C17904,C17972,C17973,C17974,C17975))</f>
        <v>100</v>
      </c>
    </row>
    <row r="17988" customFormat="false" ht="15" hidden="false" customHeight="false" outlineLevel="0" collapsed="false">
      <c r="A17988" s="5" t="s">
        <v>493</v>
      </c>
      <c r="C17988" s="20" t="n">
        <f aca="false">IF(C17820=1,C17909+Assumptions!$C$36,C17908)</f>
        <v>3</v>
      </c>
    </row>
    <row r="17989" customFormat="false" ht="15" hidden="false" customHeight="false" outlineLevel="0" collapsed="false">
      <c r="A17989" s="23" t="s">
        <v>494</v>
      </c>
      <c r="B17989" s="24"/>
      <c r="C17989" s="24"/>
      <c r="D17989" s="24"/>
      <c r="E17989" s="24"/>
      <c r="F17989" s="24"/>
      <c r="G17989" s="24"/>
      <c r="H17989" s="24"/>
      <c r="I17989" s="24"/>
      <c r="J17989" s="24"/>
      <c r="K17989" s="24"/>
    </row>
    <row r="17990" customFormat="false" ht="15" hidden="false" customHeight="false" outlineLevel="0" collapsed="false">
      <c r="A17990" s="5" t="s">
        <v>495</v>
      </c>
      <c r="C17990" s="20" t="n">
        <f aca="false">COLUMN()-COLUMN($C$1)</f>
        <v>0</v>
      </c>
      <c r="D17990" s="20" t="n">
        <f aca="false">COLUMN()-COLUMN($C$1)</f>
        <v>1</v>
      </c>
      <c r="E17990" s="20" t="n">
        <f aca="false">COLUMN()-COLUMN($C$1)</f>
        <v>2</v>
      </c>
      <c r="F17990" s="20" t="n">
        <f aca="false">COLUMN()-COLUMN($C$1)</f>
        <v>3</v>
      </c>
      <c r="G17990" s="20" t="n">
        <f aca="false">COLUMN()-COLUMN($C$1)</f>
        <v>4</v>
      </c>
      <c r="H17990" s="20" t="n">
        <f aca="false">COLUMN()-COLUMN($C$1)</f>
        <v>5</v>
      </c>
      <c r="I17990" s="20" t="n">
        <f aca="false">COLUMN()-COLUMN($C$1)</f>
        <v>6</v>
      </c>
    </row>
    <row r="17991" customFormat="false" ht="15" hidden="false" customHeight="false" outlineLevel="0" collapsed="false">
      <c r="A17991" s="5" t="s">
        <v>496</v>
      </c>
      <c r="D17991" s="30" t="n">
        <f aca="false">CHOOSE($C$17904,G17702,G17715,G17728,G17741)</f>
        <v>0.103</v>
      </c>
      <c r="E17991" s="30" t="n">
        <f aca="false">CHOOSE($C$17904,H17702,H17715,H17728,H17741)</f>
        <v>0.1005</v>
      </c>
      <c r="F17991" s="30" t="n">
        <f aca="false">CHOOSE($C$17904,I17702,I17715,I17728,I17741)</f>
        <v>0.098</v>
      </c>
      <c r="G17991" s="30" t="n">
        <f aca="false">CHOOSE($C$17904,J17702,J17715,J17728,J17741)</f>
        <v>0.11</v>
      </c>
      <c r="H17991" s="30" t="n">
        <f aca="false">CHOOSE($C$17904,K17702,K17715,K17728,K17741)</f>
        <v>0.11</v>
      </c>
    </row>
    <row r="17992" customFormat="false" ht="15" hidden="false" customHeight="false" outlineLevel="0" collapsed="false">
      <c r="A17992" s="5" t="s">
        <v>497</v>
      </c>
      <c r="D17992" s="25" t="n">
        <f aca="false">IF(D17990&lt;=$C$17913,$C$17905*D17991,0)</f>
        <v>10.3</v>
      </c>
      <c r="E17992" s="25" t="n">
        <f aca="false">IF(E17990&lt;=$C$17913,$C$17905*E17991,0)</f>
        <v>10.05</v>
      </c>
      <c r="F17992" s="25" t="n">
        <f aca="false">IF(F17990&lt;=$C$17913,$C$17905*F17991,0)</f>
        <v>0</v>
      </c>
      <c r="G17992" s="25" t="n">
        <f aca="false">IF(G17990&lt;=$C$17913,$C$17905*G17991,0)</f>
        <v>0</v>
      </c>
      <c r="H17992" s="25" t="n">
        <f aca="false">IF(H17990&lt;=$C$17913,$C$17905*H17991,0)</f>
        <v>0</v>
      </c>
    </row>
    <row r="17993" customFormat="false" ht="15" hidden="false" customHeight="false" outlineLevel="0" collapsed="false">
      <c r="A17993" s="5" t="s">
        <v>498</v>
      </c>
      <c r="D17993" s="25" t="n">
        <f aca="false">IF(AND($C$17820=0,D17990=$C$17908),$C$17905*$C$17987/100,0)+IF(AND($C$17820=1,D17990=$C$17988),$C$17911,0)</f>
        <v>0</v>
      </c>
      <c r="E17993" s="25" t="n">
        <f aca="false">IF(AND($C$17820=0,E17990=$C$17908),$C$17905*$C$17987/100,0)+IF(AND($C$17820=1,E17990=$C$17988),$C$17911,0)</f>
        <v>0</v>
      </c>
      <c r="F17993" s="25" t="n">
        <f aca="false">IF(AND($C$17820=0,F17990=$C$17908),$C$17905*$C$17987/100,0)+IF(AND($C$17820=1,F17990=$C$17988),$C$17911,0)</f>
        <v>88.8196128728414</v>
      </c>
      <c r="G17993" s="25" t="n">
        <f aca="false">IF(AND($C$17820=0,G17990=$C$17908),$C$17905*$C$17987/100,0)+IF(AND($C$17820=1,G17990=$C$17988),$C$17911,0)</f>
        <v>0</v>
      </c>
      <c r="H17993" s="25" t="n">
        <f aca="false">IF(AND($C$17820=0,H17990=$C$17908),$C$17905*$C$17987/100,0)+IF(AND($C$17820=1,H17990=$C$17988),$C$17911,0)</f>
        <v>0</v>
      </c>
      <c r="I17993" s="25" t="n">
        <f aca="false">IF(AND($C$17820=0,I17990=$C$17908),$C$17905*$C$17987/100,0)+IF(AND($C$17820=1,I17990=$C$17988),$C$17911,0)</f>
        <v>0</v>
      </c>
    </row>
    <row r="17994" customFormat="false" ht="15" hidden="false" customHeight="false" outlineLevel="0" collapsed="false">
      <c r="A17994" s="2" t="s">
        <v>499</v>
      </c>
      <c r="C17994" s="16" t="n">
        <f aca="false">-$C$17907</f>
        <v>-78.39</v>
      </c>
      <c r="D17994" s="16" t="n">
        <f aca="false">D17992+D17993</f>
        <v>10.3</v>
      </c>
      <c r="E17994" s="16" t="n">
        <f aca="false">E17992+E17993</f>
        <v>10.05</v>
      </c>
      <c r="F17994" s="16" t="n">
        <f aca="false">F17992+F17993</f>
        <v>88.8196128728414</v>
      </c>
      <c r="G17994" s="16" t="n">
        <f aca="false">G17992+G17993</f>
        <v>0</v>
      </c>
      <c r="H17994" s="16" t="n">
        <f aca="false">H17992+H17993</f>
        <v>0</v>
      </c>
      <c r="I17994" s="16" t="n">
        <f aca="false">I17992+I17993</f>
        <v>0</v>
      </c>
    </row>
    <row r="17995" customFormat="false" ht="15" hidden="false" customHeight="false" outlineLevel="0" collapsed="false">
      <c r="A17995" s="5" t="s">
        <v>500</v>
      </c>
      <c r="C17995" s="25" t="n">
        <f aca="false">SUM($C$17992:$I$17992)</f>
        <v>20.35</v>
      </c>
    </row>
    <row r="17996" customFormat="false" ht="15" hidden="false" customHeight="false" outlineLevel="0" collapsed="false">
      <c r="A17996" s="5" t="s">
        <v>501</v>
      </c>
      <c r="C17996" s="25" t="n">
        <f aca="false">SUM($C$17993:$I$17993)</f>
        <v>88.8196128728414</v>
      </c>
    </row>
    <row r="17997" customFormat="false" ht="15" hidden="false" customHeight="false" outlineLevel="0" collapsed="false">
      <c r="A17997" s="5" t="s">
        <v>502</v>
      </c>
      <c r="C17997" s="25" t="n">
        <f aca="false">C17995+C17996</f>
        <v>109.169612872841</v>
      </c>
    </row>
    <row r="17998" customFormat="false" ht="15" hidden="false" customHeight="false" outlineLevel="0" collapsed="false">
      <c r="A17998" s="5" t="s">
        <v>503</v>
      </c>
      <c r="C17998" s="25" t="n">
        <f aca="false">C17996-C17905*C17906/100</f>
        <v>10.8196128728414</v>
      </c>
    </row>
    <row r="17999" customFormat="false" ht="15" hidden="false" customHeight="false" outlineLevel="0" collapsed="false">
      <c r="A17999" s="5" t="s">
        <v>504</v>
      </c>
      <c r="C17999" s="25" t="n">
        <f aca="false">C17997-C17907</f>
        <v>30.7796128728415</v>
      </c>
    </row>
    <row r="18000" customFormat="false" ht="15" hidden="false" customHeight="false" outlineLevel="0" collapsed="false">
      <c r="A18000" s="2" t="s">
        <v>385</v>
      </c>
      <c r="C18000" s="43" t="n">
        <f aca="false">C17997/C17907</f>
        <v>1.39264718551909</v>
      </c>
    </row>
    <row r="18001" customFormat="false" ht="15" hidden="false" customHeight="false" outlineLevel="0" collapsed="false">
      <c r="A18001" s="2" t="s">
        <v>384</v>
      </c>
      <c r="C18001" s="41" t="n">
        <f aca="false">IF(C17997&lt;=0,-1,IFERROR(IRR($C$17994:$I$17994,MAX(-0.9,C18000^(1/C17988)-1)),IRR($C$17994:$I$17994,0.1)))</f>
        <v>0.130821524311548</v>
      </c>
    </row>
    <row r="18002" customFormat="false" ht="15" hidden="false" customHeight="false" outlineLevel="0" collapsed="false">
      <c r="A18002" s="5" t="s">
        <v>505</v>
      </c>
      <c r="C18002" s="31" t="n">
        <f aca="false">MAX($G$17796:$K$17796)</f>
        <v>7.86221186221186</v>
      </c>
    </row>
    <row r="18003" customFormat="false" ht="15" hidden="false" customHeight="false" outlineLevel="0" collapsed="false">
      <c r="A18003" s="5" t="s">
        <v>506</v>
      </c>
      <c r="C18003" s="31" t="n">
        <f aca="false">MIN($G$17797:$K$17797)</f>
        <v>1.21473661783139</v>
      </c>
    </row>
    <row r="18004" customFormat="false" ht="15" hidden="false" customHeight="false" outlineLevel="0" collapsed="false">
      <c r="A18004" s="5" t="s">
        <v>507</v>
      </c>
      <c r="C18004" s="25" t="n">
        <f aca="false">SUM($G$17686:$K$17686)</f>
        <v>-46.97594467624</v>
      </c>
    </row>
    <row r="18008" customFormat="false" ht="15" hidden="false" customHeight="false" outlineLevel="0" collapsed="false">
      <c r="A18008" s="9" t="s">
        <v>677</v>
      </c>
      <c r="B18008" s="10"/>
      <c r="C18008" s="10"/>
      <c r="D18008" s="10"/>
      <c r="E18008" s="10"/>
      <c r="F18008" s="10"/>
      <c r="G18008" s="10"/>
      <c r="H18008" s="10"/>
      <c r="I18008" s="10"/>
      <c r="J18008" s="10"/>
      <c r="K18008" s="10"/>
    </row>
    <row r="18009" customFormat="false" ht="15" hidden="false" customHeight="false" outlineLevel="0" collapsed="false">
      <c r="A18009" s="5" t="s">
        <v>622</v>
      </c>
      <c r="C18009" s="11" t="n">
        <v>1</v>
      </c>
    </row>
    <row r="18010" customFormat="false" ht="15" hidden="false" customHeight="false" outlineLevel="0" collapsed="false">
      <c r="A18010" s="5" t="s">
        <v>623</v>
      </c>
      <c r="C18010" s="18" t="n">
        <v>0</v>
      </c>
    </row>
    <row r="18011" customFormat="false" ht="15" hidden="false" customHeight="false" outlineLevel="0" collapsed="false">
      <c r="A18011" s="5" t="s">
        <v>624</v>
      </c>
      <c r="C18011" s="18" t="n">
        <v>0</v>
      </c>
    </row>
    <row r="18012" customFormat="false" ht="15" hidden="false" customHeight="false" outlineLevel="0" collapsed="false">
      <c r="A18012" s="5" t="s">
        <v>625</v>
      </c>
      <c r="C18012" s="18" t="n">
        <v>0</v>
      </c>
    </row>
    <row r="18013" customFormat="false" ht="15" hidden="false" customHeight="false" outlineLevel="0" collapsed="false">
      <c r="A18013" s="5" t="s">
        <v>626</v>
      </c>
      <c r="C18013" s="32" t="n">
        <f aca="false">Sensitivities!$A$63</f>
        <v>1</v>
      </c>
    </row>
    <row r="18015" customFormat="false" ht="15" hidden="false" customHeight="false" outlineLevel="0" collapsed="false">
      <c r="A18015" s="23" t="s">
        <v>237</v>
      </c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</row>
    <row r="18016" customFormat="false" ht="15" hidden="false" customHeight="false" outlineLevel="0" collapsed="false">
      <c r="A18016" s="5" t="s">
        <v>238</v>
      </c>
      <c r="F18016" s="26" t="n">
        <f aca="false">Assumptions!$C$6</f>
        <v>2025</v>
      </c>
      <c r="G18016" s="20" t="n">
        <f aca="false">F18016+1</f>
        <v>2026</v>
      </c>
      <c r="H18016" s="20" t="n">
        <f aca="false">G18016+1</f>
        <v>2027</v>
      </c>
      <c r="I18016" s="20" t="n">
        <f aca="false">H18016+1</f>
        <v>2028</v>
      </c>
      <c r="J18016" s="20" t="n">
        <f aca="false">I18016+1</f>
        <v>2029</v>
      </c>
      <c r="K18016" s="20" t="n">
        <f aca="false">J18016+1</f>
        <v>2030</v>
      </c>
    </row>
    <row r="18017" customFormat="false" ht="15" hidden="false" customHeight="false" outlineLevel="0" collapsed="false">
      <c r="A18017" s="5" t="s">
        <v>239</v>
      </c>
      <c r="G18017" s="20" t="n">
        <f aca="false">G18016-Assumptions!$C$6</f>
        <v>1</v>
      </c>
      <c r="H18017" s="20" t="n">
        <f aca="false">H18016-Assumptions!$C$6</f>
        <v>2</v>
      </c>
      <c r="I18017" s="20" t="n">
        <f aca="false">I18016-Assumptions!$C$6</f>
        <v>3</v>
      </c>
      <c r="J18017" s="20" t="n">
        <f aca="false">J18016-Assumptions!$C$6</f>
        <v>4</v>
      </c>
      <c r="K18017" s="20" t="n">
        <f aca="false">K18016-Assumptions!$C$6</f>
        <v>5</v>
      </c>
    </row>
    <row r="18018" customFormat="false" ht="15" hidden="false" customHeight="false" outlineLevel="0" collapsed="false">
      <c r="A18018" s="5" t="s">
        <v>149</v>
      </c>
      <c r="G18018" s="21" t="n">
        <f aca="false">CHOOSE($C$18009,Assumptions!$G$65,Assumptions!$G$84,Assumptions!$G$103)+$C$18010</f>
        <v>-0.01</v>
      </c>
      <c r="H18018" s="21" t="n">
        <f aca="false">CHOOSE($C$18009,Assumptions!$H$65,Assumptions!$H$84,Assumptions!$H$103)+$C$18010</f>
        <v>-0.01</v>
      </c>
      <c r="I18018" s="21" t="n">
        <f aca="false">CHOOSE($C$18009,Assumptions!$I$65,Assumptions!$I$84,Assumptions!$I$103)+$C$18010</f>
        <v>-0.01</v>
      </c>
      <c r="J18018" s="21" t="n">
        <f aca="false">CHOOSE($C$18009,Assumptions!$J$65,Assumptions!$J$84,Assumptions!$J$103)+$C$18010</f>
        <v>-0.01</v>
      </c>
      <c r="K18018" s="21" t="n">
        <f aca="false">CHOOSE($C$18009,Assumptions!$K$65,Assumptions!$K$84,Assumptions!$K$103)+$C$18010</f>
        <v>-0.01</v>
      </c>
    </row>
    <row r="18019" customFormat="false" ht="15" hidden="false" customHeight="false" outlineLevel="0" collapsed="false">
      <c r="A18019" s="5" t="s">
        <v>150</v>
      </c>
      <c r="G18019" s="21" t="n">
        <f aca="false">CHOOSE($C$18009,Assumptions!$G$66,Assumptions!$G$85,Assumptions!$G$104)</f>
        <v>0.36</v>
      </c>
      <c r="H18019" s="21" t="n">
        <f aca="false">CHOOSE($C$18009,Assumptions!$H$66,Assumptions!$H$85,Assumptions!$H$104)</f>
        <v>0.362</v>
      </c>
      <c r="I18019" s="21" t="n">
        <f aca="false">CHOOSE($C$18009,Assumptions!$I$66,Assumptions!$I$85,Assumptions!$I$104)</f>
        <v>0.364</v>
      </c>
      <c r="J18019" s="21" t="n">
        <f aca="false">CHOOSE($C$18009,Assumptions!$J$66,Assumptions!$J$85,Assumptions!$J$104)</f>
        <v>0.366</v>
      </c>
      <c r="K18019" s="21" t="n">
        <f aca="false">CHOOSE($C$18009,Assumptions!$K$66,Assumptions!$K$85,Assumptions!$K$104)</f>
        <v>0.368</v>
      </c>
    </row>
    <row r="18020" customFormat="false" ht="15" hidden="false" customHeight="false" outlineLevel="0" collapsed="false">
      <c r="A18020" s="5" t="s">
        <v>151</v>
      </c>
      <c r="G18020" s="21" t="n">
        <f aca="false">CHOOSE($C$18009,Assumptions!$G$67,Assumptions!$G$86,Assumptions!$G$105)+$C$18011</f>
        <v>0.065</v>
      </c>
      <c r="H18020" s="21" t="n">
        <f aca="false">CHOOSE($C$18009,Assumptions!$H$67,Assumptions!$H$86,Assumptions!$H$105)+$C$18011</f>
        <v>0.067</v>
      </c>
      <c r="I18020" s="21" t="n">
        <f aca="false">CHOOSE($C$18009,Assumptions!$I$67,Assumptions!$I$86,Assumptions!$I$105)+$C$18011</f>
        <v>0.069</v>
      </c>
      <c r="J18020" s="21" t="n">
        <f aca="false">CHOOSE($C$18009,Assumptions!$J$67,Assumptions!$J$86,Assumptions!$J$105)+$C$18011</f>
        <v>0.071</v>
      </c>
      <c r="K18020" s="21" t="n">
        <f aca="false">CHOOSE($C$18009,Assumptions!$K$67,Assumptions!$K$86,Assumptions!$K$105)+$C$18011</f>
        <v>0.073</v>
      </c>
    </row>
    <row r="18021" customFormat="false" ht="15" hidden="false" customHeight="false" outlineLevel="0" collapsed="false">
      <c r="A18021" s="23" t="s">
        <v>240</v>
      </c>
      <c r="B18021" s="24"/>
      <c r="C18021" s="24"/>
      <c r="D18021" s="24"/>
      <c r="E18021" s="24"/>
      <c r="F18021" s="24"/>
      <c r="G18021" s="24"/>
      <c r="H18021" s="24"/>
      <c r="I18021" s="24"/>
      <c r="J18021" s="24"/>
      <c r="K18021" s="24"/>
    </row>
    <row r="18022" customFormat="false" ht="15" hidden="false" customHeight="false" outlineLevel="0" collapsed="false">
      <c r="A18022" s="2" t="s">
        <v>207</v>
      </c>
      <c r="F18022" s="27" t="n">
        <f aca="false">'Historical Financials'!E17</f>
        <v>2400</v>
      </c>
      <c r="G18022" s="16" t="n">
        <f aca="false">F18022*(1+G18018)</f>
        <v>2376</v>
      </c>
      <c r="H18022" s="16" t="n">
        <f aca="false">G18022*(1+H18018)</f>
        <v>2352.24</v>
      </c>
      <c r="I18022" s="16" t="n">
        <f aca="false">H18022*(1+I18018)</f>
        <v>2328.7176</v>
      </c>
      <c r="J18022" s="16" t="n">
        <f aca="false">I18022*(1+J18018)</f>
        <v>2305.430424</v>
      </c>
      <c r="K18022" s="16" t="n">
        <f aca="false">J18022*(1+K18018)</f>
        <v>2282.37611976</v>
      </c>
    </row>
    <row r="18023" customFormat="false" ht="15" hidden="false" customHeight="false" outlineLevel="0" collapsed="false">
      <c r="A18023" s="5" t="s">
        <v>217</v>
      </c>
      <c r="G18023" s="25" t="n">
        <f aca="false">G18022*(1-G18019)</f>
        <v>1520.64</v>
      </c>
      <c r="H18023" s="25" t="n">
        <f aca="false">H18022*(1-H18019)</f>
        <v>1500.72912</v>
      </c>
      <c r="I18023" s="25" t="n">
        <f aca="false">I18022*(1-I18019)</f>
        <v>1481.0643936</v>
      </c>
      <c r="J18023" s="25" t="n">
        <f aca="false">J18022*(1-J18019)</f>
        <v>1461.642888816</v>
      </c>
      <c r="K18023" s="25" t="n">
        <f aca="false">K18022*(1-K18019)</f>
        <v>1442.46170768832</v>
      </c>
    </row>
    <row r="18024" customFormat="false" ht="15" hidden="false" customHeight="false" outlineLevel="0" collapsed="false">
      <c r="A18024" s="2" t="s">
        <v>218</v>
      </c>
      <c r="G18024" s="16" t="n">
        <f aca="false">G18022-G18023</f>
        <v>855.36</v>
      </c>
      <c r="H18024" s="16" t="n">
        <f aca="false">H18022-H18023</f>
        <v>851.51088</v>
      </c>
      <c r="I18024" s="16" t="n">
        <f aca="false">I18022-I18023</f>
        <v>847.6532064</v>
      </c>
      <c r="J18024" s="16" t="n">
        <f aca="false">J18022-J18023</f>
        <v>843.787535184</v>
      </c>
      <c r="K18024" s="16" t="n">
        <f aca="false">K18022-K18023</f>
        <v>839.91441207168</v>
      </c>
    </row>
    <row r="18025" customFormat="false" ht="15" hidden="false" customHeight="false" outlineLevel="0" collapsed="false">
      <c r="A18025" s="5" t="s">
        <v>241</v>
      </c>
      <c r="G18025" s="25" t="n">
        <f aca="false">G18024-G18026</f>
        <v>700.92</v>
      </c>
      <c r="H18025" s="25" t="n">
        <f aca="false">H18024-H18026</f>
        <v>693.9108</v>
      </c>
      <c r="I18025" s="25" t="n">
        <f aca="false">I18024-I18026</f>
        <v>686.971692</v>
      </c>
      <c r="J18025" s="25" t="n">
        <f aca="false">J18024-J18026</f>
        <v>680.10197508</v>
      </c>
      <c r="K18025" s="25" t="n">
        <f aca="false">K18024-K18026</f>
        <v>673.3009553292</v>
      </c>
    </row>
    <row r="18026" customFormat="false" ht="15" hidden="false" customHeight="false" outlineLevel="0" collapsed="false">
      <c r="A18026" s="2" t="s">
        <v>242</v>
      </c>
      <c r="G18026" s="16" t="n">
        <f aca="false">G18022*G18020</f>
        <v>154.44</v>
      </c>
      <c r="H18026" s="16" t="n">
        <f aca="false">H18022*H18020</f>
        <v>157.60008</v>
      </c>
      <c r="I18026" s="16" t="n">
        <f aca="false">I18022*I18020</f>
        <v>160.6815144</v>
      </c>
      <c r="J18026" s="16" t="n">
        <f aca="false">J18022*J18020</f>
        <v>163.685560104</v>
      </c>
      <c r="K18026" s="16" t="n">
        <f aca="false">K18022*K18020</f>
        <v>166.61345674248</v>
      </c>
    </row>
    <row r="18027" customFormat="false" ht="15" hidden="false" customHeight="false" outlineLevel="0" collapsed="false">
      <c r="A18027" s="5" t="s">
        <v>243</v>
      </c>
      <c r="G18027" s="25" t="n">
        <f aca="false">G18022*'Historical Financials'!E22/'Historical Financials'!E17</f>
        <v>52.272</v>
      </c>
      <c r="H18027" s="25" t="n">
        <f aca="false">H18022*'Historical Financials'!E22/'Historical Financials'!E17</f>
        <v>51.74928</v>
      </c>
      <c r="I18027" s="25" t="n">
        <f aca="false">I18022*'Historical Financials'!E22/'Historical Financials'!E17</f>
        <v>51.2317872</v>
      </c>
      <c r="J18027" s="25" t="n">
        <f aca="false">J18022*'Historical Financials'!E22/'Historical Financials'!E17</f>
        <v>50.719469328</v>
      </c>
      <c r="K18027" s="25" t="n">
        <f aca="false">K18022*'Historical Financials'!E22/'Historical Financials'!E17</f>
        <v>50.21227463472</v>
      </c>
    </row>
    <row r="18028" customFormat="false" ht="15" hidden="false" customHeight="false" outlineLevel="0" collapsed="false">
      <c r="A18028" s="5" t="s">
        <v>244</v>
      </c>
      <c r="G18028" s="25" t="n">
        <f aca="false">G18022*'Historical Financials'!E23/'Historical Financials'!E17</f>
        <v>0</v>
      </c>
      <c r="H18028" s="25" t="n">
        <f aca="false">H18022*'Historical Financials'!E23/'Historical Financials'!E17</f>
        <v>0</v>
      </c>
      <c r="I18028" s="25" t="n">
        <f aca="false">I18022*'Historical Financials'!E23/'Historical Financials'!E17</f>
        <v>0</v>
      </c>
      <c r="J18028" s="25" t="n">
        <f aca="false">J18022*'Historical Financials'!E23/'Historical Financials'!E17</f>
        <v>0</v>
      </c>
      <c r="K18028" s="25" t="n">
        <f aca="false">K18022*'Historical Financials'!E23/'Historical Financials'!E17</f>
        <v>0</v>
      </c>
    </row>
    <row r="18029" customFormat="false" ht="15" hidden="false" customHeight="false" outlineLevel="0" collapsed="false">
      <c r="A18029" s="2" t="s">
        <v>245</v>
      </c>
      <c r="G18029" s="16" t="n">
        <f aca="false">G18026-G18027-G18028</f>
        <v>102.168</v>
      </c>
      <c r="H18029" s="16" t="n">
        <f aca="false">H18026-H18027-H18028</f>
        <v>105.8508</v>
      </c>
      <c r="I18029" s="16" t="n">
        <f aca="false">I18026-I18027-I18028</f>
        <v>109.4497272</v>
      </c>
      <c r="J18029" s="16" t="n">
        <f aca="false">J18026-J18027-J18028</f>
        <v>112.966090776</v>
      </c>
      <c r="K18029" s="16" t="n">
        <f aca="false">K18026-K18027-K18028</f>
        <v>116.40118210776</v>
      </c>
    </row>
    <row r="18030" customFormat="false" ht="15" hidden="false" customHeight="false" outlineLevel="0" collapsed="false">
      <c r="A18030" s="5" t="s">
        <v>246</v>
      </c>
      <c r="G18030" s="25" t="n">
        <f aca="false">G18056+G18069+G18082+G18095</f>
        <v>119.04</v>
      </c>
      <c r="H18030" s="25" t="n">
        <f aca="false">H18056+H18069+H18082+H18095</f>
        <v>114.21564</v>
      </c>
      <c r="I18030" s="25" t="n">
        <f aca="false">I18056+I18069+I18082+I18095</f>
        <v>126.8792</v>
      </c>
      <c r="J18030" s="25" t="n">
        <f aca="false">J18056+J18069+J18082+J18095</f>
        <v>134.749836056</v>
      </c>
      <c r="K18030" s="25" t="n">
        <f aca="false">K18056+K18069+K18082+K18095</f>
        <v>136.33146262032</v>
      </c>
    </row>
    <row r="18031" customFormat="false" ht="15" hidden="false" customHeight="false" outlineLevel="0" collapsed="false">
      <c r="A18031" s="5" t="s">
        <v>247</v>
      </c>
      <c r="G18031" s="25" t="n">
        <f aca="false">G18057+G18070+G18083+G18096</f>
        <v>0</v>
      </c>
      <c r="H18031" s="25" t="n">
        <f aca="false">H18057+H18070+H18083+H18096</f>
        <v>0</v>
      </c>
      <c r="I18031" s="25" t="n">
        <f aca="false">I18057+I18070+I18083+I18096</f>
        <v>0</v>
      </c>
      <c r="J18031" s="25" t="n">
        <f aca="false">J18057+J18070+J18083+J18096</f>
        <v>0</v>
      </c>
      <c r="K18031" s="25" t="n">
        <f aca="false">K18057+K18070+K18083+K18096</f>
        <v>0</v>
      </c>
    </row>
    <row r="18032" customFormat="false" ht="15" hidden="false" customHeight="false" outlineLevel="0" collapsed="false">
      <c r="A18032" s="5" t="s">
        <v>212</v>
      </c>
      <c r="G18032" s="25" t="n">
        <f aca="false">G18030+G18031</f>
        <v>119.04</v>
      </c>
      <c r="H18032" s="25" t="n">
        <f aca="false">H18030+H18031</f>
        <v>114.21564</v>
      </c>
      <c r="I18032" s="25" t="n">
        <f aca="false">I18030+I18031</f>
        <v>126.8792</v>
      </c>
      <c r="J18032" s="25" t="n">
        <f aca="false">J18030+J18031</f>
        <v>134.749836056</v>
      </c>
      <c r="K18032" s="25" t="n">
        <f aca="false">K18030+K18031</f>
        <v>136.33146262032</v>
      </c>
    </row>
    <row r="18033" customFormat="false" ht="15" hidden="false" customHeight="false" outlineLevel="0" collapsed="false">
      <c r="A18033" s="2" t="s">
        <v>223</v>
      </c>
      <c r="G18033" s="16" t="n">
        <f aca="false">G18029-G18032</f>
        <v>-16.872</v>
      </c>
      <c r="H18033" s="16" t="n">
        <f aca="false">H18029-H18032</f>
        <v>-8.36484</v>
      </c>
      <c r="I18033" s="16" t="n">
        <f aca="false">I18029-I18032</f>
        <v>-17.4294728</v>
      </c>
      <c r="J18033" s="16" t="n">
        <f aca="false">J18029-J18032</f>
        <v>-21.78374528</v>
      </c>
      <c r="K18033" s="16" t="n">
        <f aca="false">K18029-K18032</f>
        <v>-19.93028051256</v>
      </c>
    </row>
    <row r="18034" customFormat="false" ht="15" hidden="false" customHeight="false" outlineLevel="0" collapsed="false">
      <c r="A18034" s="5" t="s">
        <v>213</v>
      </c>
      <c r="G18034" s="25" t="n">
        <f aca="false">MAX(0,G18033)*Assumptions!$C$9</f>
        <v>0</v>
      </c>
      <c r="H18034" s="25" t="n">
        <f aca="false">MAX(0,H18033)*Assumptions!$C$9</f>
        <v>0</v>
      </c>
      <c r="I18034" s="25" t="n">
        <f aca="false">MAX(0,I18033)*Assumptions!$C$9</f>
        <v>0</v>
      </c>
      <c r="J18034" s="25" t="n">
        <f aca="false">MAX(0,J18033)*Assumptions!$C$9</f>
        <v>0</v>
      </c>
      <c r="K18034" s="25" t="n">
        <f aca="false">MAX(0,K18033)*Assumptions!$C$9</f>
        <v>0</v>
      </c>
    </row>
    <row r="18035" customFormat="false" ht="15" hidden="false" customHeight="false" outlineLevel="0" collapsed="false">
      <c r="A18035" s="2" t="s">
        <v>248</v>
      </c>
      <c r="G18035" s="16" t="n">
        <f aca="false">G18033-G18034</f>
        <v>-16.872</v>
      </c>
      <c r="H18035" s="16" t="n">
        <f aca="false">H18033-H18034</f>
        <v>-8.36484</v>
      </c>
      <c r="I18035" s="16" t="n">
        <f aca="false">I18033-I18034</f>
        <v>-17.4294728</v>
      </c>
      <c r="J18035" s="16" t="n">
        <f aca="false">J18033-J18034</f>
        <v>-21.78374528</v>
      </c>
      <c r="K18035" s="16" t="n">
        <f aca="false">K18033-K18034</f>
        <v>-19.93028051256</v>
      </c>
    </row>
    <row r="18036" customFormat="false" ht="15" hidden="false" customHeight="false" outlineLevel="0" collapsed="false">
      <c r="A18036" s="23" t="s">
        <v>249</v>
      </c>
      <c r="B18036" s="24"/>
      <c r="C18036" s="24"/>
      <c r="D18036" s="24"/>
      <c r="E18036" s="24"/>
      <c r="F18036" s="24"/>
      <c r="G18036" s="24"/>
      <c r="H18036" s="24"/>
      <c r="I18036" s="24"/>
      <c r="J18036" s="24"/>
      <c r="K18036" s="24"/>
    </row>
    <row r="18037" customFormat="false" ht="15" hidden="false" customHeight="false" outlineLevel="0" collapsed="false">
      <c r="A18037" s="5" t="s">
        <v>153</v>
      </c>
      <c r="G18037" s="25" t="n">
        <f aca="false">G18022*CHOOSE($C$18009,Assumptions!$C$69,Assumptions!$C$88,Assumptions!$C$107)</f>
        <v>47.52</v>
      </c>
      <c r="H18037" s="25" t="n">
        <f aca="false">H18022*CHOOSE($C$18009,Assumptions!$C$69,Assumptions!$C$88,Assumptions!$C$107)</f>
        <v>47.0448</v>
      </c>
      <c r="I18037" s="25" t="n">
        <f aca="false">I18022*CHOOSE($C$18009,Assumptions!$C$69,Assumptions!$C$88,Assumptions!$C$107)</f>
        <v>46.574352</v>
      </c>
      <c r="J18037" s="25" t="n">
        <f aca="false">J18022*CHOOSE($C$18009,Assumptions!$C$69,Assumptions!$C$88,Assumptions!$C$107)</f>
        <v>46.10860848</v>
      </c>
      <c r="K18037" s="25" t="n">
        <f aca="false">K18022*CHOOSE($C$18009,Assumptions!$C$69,Assumptions!$C$88,Assumptions!$C$107)</f>
        <v>45.6475223952</v>
      </c>
    </row>
    <row r="18038" customFormat="false" ht="15" hidden="false" customHeight="false" outlineLevel="0" collapsed="false">
      <c r="A18038" s="5" t="s">
        <v>250</v>
      </c>
      <c r="G18038" s="25" t="n">
        <f aca="false">CHOOSE($C$18009,Assumptions!$C$70,Assumptions!$C$89,Assumptions!$C$108)*(G18022-F18022)+CHOOSE($C$18009,Assumptions!$C$71,Assumptions!$C$90,Assumptions!$C$109)*G18022</f>
        <v>-2.88</v>
      </c>
      <c r="H18038" s="25" t="n">
        <f aca="false">CHOOSE($C$18009,Assumptions!$C$70,Assumptions!$C$89,Assumptions!$C$108)*(H18022-G18022)+CHOOSE($C$18009,Assumptions!$C$71,Assumptions!$C$90,Assumptions!$C$109)*H18022</f>
        <v>-2.85120000000003</v>
      </c>
      <c r="I18038" s="25" t="n">
        <f aca="false">CHOOSE($C$18009,Assumptions!$C$70,Assumptions!$C$89,Assumptions!$C$108)*(I18022-H18022)+CHOOSE($C$18009,Assumptions!$C$71,Assumptions!$C$90,Assumptions!$C$109)*I18022</f>
        <v>-2.82268799999998</v>
      </c>
      <c r="J18038" s="25" t="n">
        <f aca="false">CHOOSE($C$18009,Assumptions!$C$70,Assumptions!$C$89,Assumptions!$C$108)*(J18022-I18022)+CHOOSE($C$18009,Assumptions!$C$71,Assumptions!$C$90,Assumptions!$C$109)*J18022</f>
        <v>-2.79446111999998</v>
      </c>
      <c r="K18038" s="25" t="n">
        <f aca="false">CHOOSE($C$18009,Assumptions!$C$70,Assumptions!$C$89,Assumptions!$C$108)*(K18022-J18022)+CHOOSE($C$18009,Assumptions!$C$71,Assumptions!$C$90,Assumptions!$C$109)*K18022</f>
        <v>-2.7665165088</v>
      </c>
    </row>
    <row r="18039" customFormat="false" ht="15" hidden="false" customHeight="false" outlineLevel="0" collapsed="false">
      <c r="A18039" s="2" t="s">
        <v>251</v>
      </c>
      <c r="G18039" s="16" t="n">
        <f aca="false">G18035+G18027+G18028+G18031-G18037-G18038</f>
        <v>-9.24000000000001</v>
      </c>
      <c r="H18039" s="16" t="n">
        <f aca="false">H18035+H18027+H18028+H18031-H18037-H18038</f>
        <v>-0.809159999999978</v>
      </c>
      <c r="I18039" s="16" t="n">
        <f aca="false">I18035+I18027+I18028+I18031-I18037-I18038</f>
        <v>-9.94934960000002</v>
      </c>
      <c r="J18039" s="16" t="n">
        <f aca="false">J18035+J18027+J18028+J18031-J18037-J18038</f>
        <v>-14.378423312</v>
      </c>
      <c r="K18039" s="16" t="n">
        <f aca="false">K18035+K18027+K18028+K18031-K18037-K18038</f>
        <v>-12.59901176424</v>
      </c>
    </row>
    <row r="18041" customFormat="false" ht="15" hidden="false" customHeight="false" outlineLevel="0" collapsed="false">
      <c r="A18041" s="23" t="s">
        <v>253</v>
      </c>
      <c r="B18041" s="24"/>
      <c r="C18041" s="24"/>
      <c r="D18041" s="24"/>
      <c r="E18041" s="24"/>
      <c r="F18041" s="24"/>
      <c r="G18041" s="24"/>
      <c r="H18041" s="24"/>
      <c r="I18041" s="24"/>
      <c r="J18041" s="24"/>
      <c r="K18041" s="24"/>
    </row>
    <row r="18042" customFormat="false" ht="15" hidden="false" customHeight="false" outlineLevel="0" collapsed="false">
      <c r="A18042" s="5" t="s">
        <v>254</v>
      </c>
      <c r="G18042" s="29" t="n">
        <f aca="false">Assumptions!$G$49</f>
        <v>0.0425</v>
      </c>
      <c r="H18042" s="29" t="n">
        <f aca="false">Assumptions!$H$49</f>
        <v>0.04</v>
      </c>
      <c r="I18042" s="29" t="n">
        <f aca="false">Assumptions!$I$49</f>
        <v>0.0375</v>
      </c>
      <c r="J18042" s="29" t="n">
        <f aca="false">Assumptions!$J$49</f>
        <v>0.0375</v>
      </c>
      <c r="K18042" s="29" t="n">
        <f aca="false">Assumptions!$K$49</f>
        <v>0.0375</v>
      </c>
    </row>
    <row r="18043" customFormat="false" ht="15" hidden="false" customHeight="false" outlineLevel="0" collapsed="false">
      <c r="A18043" s="5" t="s">
        <v>255</v>
      </c>
      <c r="C18043" s="30" t="n">
        <f aca="false">CHOOSE($C$18009,Assumptions!$C$72,Assumptions!$C$91,Assumptions!$C$110)+$C$18012</f>
        <v>0</v>
      </c>
    </row>
    <row r="18044" customFormat="false" ht="15" hidden="false" customHeight="false" outlineLevel="0" collapsed="false">
      <c r="A18044" s="5" t="s">
        <v>256</v>
      </c>
      <c r="C18044" s="30" t="n">
        <f aca="false">CHOOSE($C$18009,Assumptions!$C$73,Assumptions!$C$92,Assumptions!$C$111)</f>
        <v>0.11</v>
      </c>
    </row>
    <row r="18045" customFormat="false" ht="15" hidden="false" customHeight="false" outlineLevel="0" collapsed="false">
      <c r="A18045" s="5" t="s">
        <v>257</v>
      </c>
      <c r="C18045" s="31" t="n">
        <f aca="false">CHOOSE($C$18009,Assumptions!$C$74,Assumptions!$C$93,Assumptions!$C$112)</f>
        <v>8.5</v>
      </c>
    </row>
    <row r="18046" customFormat="false" ht="15" hidden="false" customHeight="false" outlineLevel="0" collapsed="false">
      <c r="A18046" s="5" t="s">
        <v>258</v>
      </c>
      <c r="C18046" s="31" t="n">
        <f aca="false">CHOOSE($C$18009,Assumptions!$C$75,Assumptions!$C$94,Assumptions!$C$113)</f>
        <v>1.2</v>
      </c>
    </row>
    <row r="18047" customFormat="false" ht="15" hidden="false" customHeight="false" outlineLevel="0" collapsed="false">
      <c r="A18047" s="5" t="s">
        <v>259</v>
      </c>
      <c r="G18047" s="25" t="n">
        <f aca="false">G18052+G18065+G18078+G18091</f>
        <v>1250</v>
      </c>
      <c r="H18047" s="25" t="n">
        <f aca="false">H18052+H18065+H18078+H18091</f>
        <v>1214.24</v>
      </c>
      <c r="I18047" s="25" t="n">
        <f aca="false">I18052+I18065+I18078+I18091</f>
        <v>1209.04</v>
      </c>
      <c r="J18047" s="25" t="n">
        <f aca="false">J18052+J18065+J18078+J18091</f>
        <v>1224.9985096</v>
      </c>
      <c r="K18047" s="25" t="n">
        <f aca="false">K18052+K18065+K18078+K18091</f>
        <v>1239.376932912</v>
      </c>
    </row>
    <row r="18048" customFormat="false" ht="15" hidden="false" customHeight="false" outlineLevel="0" collapsed="false">
      <c r="A18048" s="5" t="s">
        <v>260</v>
      </c>
      <c r="G18048" s="25" t="n">
        <f aca="false">F18138</f>
        <v>45</v>
      </c>
      <c r="H18048" s="25" t="n">
        <f aca="false">G18138</f>
        <v>0</v>
      </c>
      <c r="I18048" s="25" t="n">
        <f aca="false">H18138</f>
        <v>-6.00915999999998</v>
      </c>
      <c r="J18048" s="25" t="n">
        <f aca="false">I18138</f>
        <v>0</v>
      </c>
      <c r="K18048" s="25" t="n">
        <f aca="false">J18138</f>
        <v>0</v>
      </c>
    </row>
    <row r="18049" customFormat="false" ht="15" hidden="false" customHeight="false" outlineLevel="0" collapsed="false">
      <c r="A18049" s="5" t="s">
        <v>261</v>
      </c>
      <c r="G18049" s="25" t="n">
        <f aca="false">G18052*IF(G18053=1,$C$18044,IF(Assumptions!$I$53=1,MAX(G18042,Assumptions!$G$53)+Assumptions!$F$53+$C$18043,Assumptions!$E$53))+G18065*IF(G18066=1,$C$18044,IF(Assumptions!$I$54=1,MAX(G18042,Assumptions!$G$54)+Assumptions!$F$54+$C$18043,Assumptions!$E$54))+G18078*IF(G18079=1,$C$18044,IF(Assumptions!$I$55=1,MAX(G18042,Assumptions!$G$55)+Assumptions!$F$55+$C$18043,Assumptions!$E$55))+G18091*IF(G18092=1,$C$18044,IF(Assumptions!$I$56=1,MAX(G18042,Assumptions!$G$56)+Assumptions!$F$56+$C$18043,Assumptions!$E$56))</f>
        <v>119.04</v>
      </c>
      <c r="H18049" s="25" t="n">
        <f aca="false">H18052*IF(OR(H18053=1,G18204=1),$C$18044,IF(Assumptions!$I$53=1,MAX(H18042,Assumptions!$G$53)+Assumptions!$F$53+$C$18043,Assumptions!$E$53))+H18065*IF(OR(H18066=1,G18205=1),$C$18044,IF(Assumptions!$I$54=1,MAX(H18042,Assumptions!$G$54)+Assumptions!$F$54+$C$18043,Assumptions!$E$54))+H18078*IF(OR(H18079=1,G18206=1),$C$18044,IF(Assumptions!$I$55=1,MAX(H18042,Assumptions!$G$55)+Assumptions!$F$55+$C$18043,Assumptions!$E$55))+H18091*IF(OR(H18092=1,G18207=1),$C$18044,IF(Assumptions!$I$56=1,MAX(H18042,Assumptions!$G$56)+Assumptions!$F$56+$C$18043,Assumptions!$E$56))</f>
        <v>128.6758</v>
      </c>
      <c r="I18049" s="25" t="n">
        <f aca="false">I18052*IF(OR(I18053=1,H18204=1),$C$18044,IF(Assumptions!$I$53=1,MAX(I18042,Assumptions!$G$53)+Assumptions!$F$53+$C$18043,Assumptions!$E$53))+I18065*IF(OR(I18066=1,H18205=1),$C$18044,IF(Assumptions!$I$54=1,MAX(I18042,Assumptions!$G$54)+Assumptions!$F$54+$C$18043,Assumptions!$E$54))+I18078*IF(OR(I18079=1,H18206=1),$C$18044,IF(Assumptions!$I$55=1,MAX(I18042,Assumptions!$G$55)+Assumptions!$F$55+$C$18043,Assumptions!$E$55))+I18091*IF(OR(I18092=1,H18207=1),$C$18044,IF(Assumptions!$I$56=1,MAX(I18042,Assumptions!$G$56)+Assumptions!$F$56+$C$18043,Assumptions!$E$56))</f>
        <v>132.9944</v>
      </c>
      <c r="J18049" s="25" t="n">
        <f aca="false">J18052*IF(OR(J18053=1,I18204=1),$C$18044,IF(Assumptions!$I$53=1,MAX(J18042,Assumptions!$G$53)+Assumptions!$F$53+$C$18043,Assumptions!$E$53))+J18065*IF(OR(J18066=1,I18205=1),$C$18044,IF(Assumptions!$I$54=1,MAX(J18042,Assumptions!$G$54)+Assumptions!$F$54+$C$18043,Assumptions!$E$54))+J18078*IF(OR(J18079=1,I18206=1),$C$18044,IF(Assumptions!$I$55=1,MAX(J18042,Assumptions!$G$55)+Assumptions!$F$55+$C$18043,Assumptions!$E$55))+J18091*IF(OR(J18092=1,I18207=1),$C$18044,IF(Assumptions!$I$56=1,MAX(J18042,Assumptions!$G$56)+Assumptions!$F$56+$C$18043,Assumptions!$E$56))</f>
        <v>134.749836056</v>
      </c>
      <c r="K18049" s="25" t="n">
        <f aca="false">K18052*IF(OR(K18053=1,J18204=1),$C$18044,IF(Assumptions!$I$53=1,MAX(K18042,Assumptions!$G$53)+Assumptions!$F$53+$C$18043,Assumptions!$E$53))+K18065*IF(OR(K18066=1,J18205=1),$C$18044,IF(Assumptions!$I$54=1,MAX(K18042,Assumptions!$G$54)+Assumptions!$F$54+$C$18043,Assumptions!$E$54))+K18078*IF(OR(K18079=1,J18206=1),$C$18044,IF(Assumptions!$I$55=1,MAX(K18042,Assumptions!$G$55)+Assumptions!$F$55+$C$18043,Assumptions!$E$55))+K18091*IF(OR(K18092=1,J18207=1),$C$18044,IF(Assumptions!$I$56=1,MAX(K18042,Assumptions!$G$56)+Assumptions!$F$56+$C$18043,Assumptions!$E$56))</f>
        <v>136.33146262032</v>
      </c>
    </row>
    <row r="18050" customFormat="false" ht="15" hidden="false" customHeight="false" outlineLevel="0" collapsed="false">
      <c r="A18050" s="5" t="s">
        <v>262</v>
      </c>
      <c r="G18050" s="20" t="n">
        <f aca="false">IF(G18026&lt;=0,0,IF(AND((G18047-G18048)/G18026&lt;=$C$18045,G18026/G18049&gt;=$C$18046),1,0))</f>
        <v>1</v>
      </c>
      <c r="H18050" s="20" t="n">
        <f aca="false">IF(H18026&lt;=0,0,IF(AND((H18047-H18048)/H18026&lt;=$C$18045,H18026/H18049&gt;=$C$18046),1,0))</f>
        <v>1</v>
      </c>
      <c r="I18050" s="20" t="n">
        <f aca="false">IF(I18026&lt;=0,0,IF(AND((I18047-I18048)/I18026&lt;=$C$18045,I18026/I18049&gt;=$C$18046),1,0))</f>
        <v>1</v>
      </c>
      <c r="J18050" s="20" t="n">
        <f aca="false">IF(J18026&lt;=0,0,IF(AND((J18047-J18048)/J18026&lt;=$C$18045,J18026/J18049&gt;=$C$18046),1,0))</f>
        <v>1</v>
      </c>
      <c r="K18050" s="20" t="n">
        <f aca="false">IF(K18026&lt;=0,0,IF(AND((K18047-K18048)/K18026&lt;=$C$18045,K18026/K18049&gt;=$C$18046),1,0))</f>
        <v>1</v>
      </c>
    </row>
    <row r="18051" customFormat="false" ht="15" hidden="false" customHeight="false" outlineLevel="0" collapsed="false">
      <c r="A18051" s="23" t="s">
        <v>263</v>
      </c>
      <c r="B18051" s="24"/>
      <c r="C18051" s="24"/>
      <c r="D18051" s="24"/>
      <c r="E18051" s="24"/>
      <c r="F18051" s="24"/>
      <c r="G18051" s="24"/>
      <c r="H18051" s="24"/>
      <c r="I18051" s="24"/>
      <c r="J18051" s="24"/>
      <c r="K18051" s="24"/>
    </row>
    <row r="18052" customFormat="false" ht="15" hidden="false" customHeight="false" outlineLevel="0" collapsed="false">
      <c r="A18052" s="5" t="s">
        <v>264</v>
      </c>
      <c r="G18052" s="25" t="n">
        <f aca="false">F18063</f>
        <v>180</v>
      </c>
      <c r="H18052" s="25" t="n">
        <f aca="false">G18063</f>
        <v>149.44</v>
      </c>
      <c r="I18052" s="25" t="n">
        <f aca="false">H18063</f>
        <v>149.44</v>
      </c>
      <c r="J18052" s="25" t="n">
        <f aca="false">I18063</f>
        <v>170.5985096</v>
      </c>
      <c r="K18052" s="25" t="n">
        <f aca="false">J18063</f>
        <v>190.176932912</v>
      </c>
    </row>
    <row r="18053" customFormat="false" ht="15" hidden="false" customHeight="false" outlineLevel="0" collapsed="false">
      <c r="A18053" s="5" t="s">
        <v>265</v>
      </c>
      <c r="G18053" s="20" t="n">
        <f aca="false">IF(G18016=Assumptions!$K$53,1,0)</f>
        <v>0</v>
      </c>
      <c r="H18053" s="20" t="n">
        <f aca="false">IF(H18016=Assumptions!$K$53,1,0)</f>
        <v>1</v>
      </c>
      <c r="I18053" s="20" t="n">
        <f aca="false">IF(I18016=Assumptions!$K$53,1,0)</f>
        <v>0</v>
      </c>
      <c r="J18053" s="20" t="n">
        <f aca="false">IF(J18016=Assumptions!$K$53,1,0)</f>
        <v>0</v>
      </c>
      <c r="K18053" s="20" t="n">
        <f aca="false">IF(K18016=Assumptions!$K$53,1,0)</f>
        <v>0</v>
      </c>
    </row>
    <row r="18055" customFormat="false" ht="15" hidden="false" customHeight="false" outlineLevel="0" collapsed="false">
      <c r="A18055" s="5" t="s">
        <v>266</v>
      </c>
      <c r="G18055" s="30" t="n">
        <f aca="false">IF(Assumptions!$I$53=1,MAX(G18042,Assumptions!$G$53)+Assumptions!$F$53+$C$18043,Assumptions!$E$53)</f>
        <v>0.086</v>
      </c>
      <c r="H18055" s="30" t="n">
        <f aca="false">IF(G18204=1,$C$18044,IF(Assumptions!$I$53=1,MAX(H18042,Assumptions!$G$53)+Assumptions!$F$53+$C$18043,Assumptions!$E$53))</f>
        <v>0.0835</v>
      </c>
      <c r="I18055" s="30" t="n">
        <f aca="false">IF(H18204=1,$C$18044,IF(Assumptions!$I$53=1,MAX(I18042,Assumptions!$G$53)+Assumptions!$F$53+$C$18043,Assumptions!$E$53))</f>
        <v>0.11</v>
      </c>
      <c r="J18055" s="30" t="n">
        <f aca="false">IF(I18204=1,$C$18044,IF(Assumptions!$I$53=1,MAX(J18042,Assumptions!$G$53)+Assumptions!$F$53+$C$18043,Assumptions!$E$53))</f>
        <v>0.11</v>
      </c>
      <c r="K18055" s="30" t="n">
        <f aca="false">IF(J18204=1,$C$18044,IF(Assumptions!$I$53=1,MAX(K18042,Assumptions!$G$53)+Assumptions!$F$53+$C$18043,Assumptions!$E$53))</f>
        <v>0.11</v>
      </c>
    </row>
    <row r="18056" customFormat="false" ht="15" hidden="false" customHeight="false" outlineLevel="0" collapsed="false">
      <c r="A18056" s="5" t="s">
        <v>267</v>
      </c>
      <c r="G18056" s="25" t="n">
        <f aca="false">G18052*G18055</f>
        <v>15.48</v>
      </c>
      <c r="H18056" s="25" t="n">
        <f aca="false">H18052*H18055</f>
        <v>12.47824</v>
      </c>
      <c r="I18056" s="25" t="n">
        <f aca="false">I18052*I18055</f>
        <v>16.4384</v>
      </c>
      <c r="J18056" s="25" t="n">
        <f aca="false">J18052*J18055</f>
        <v>18.765836056</v>
      </c>
      <c r="K18056" s="25" t="n">
        <f aca="false">K18052*K18055</f>
        <v>20.91946262032</v>
      </c>
    </row>
    <row r="18057" customFormat="false" ht="15" hidden="false" customHeight="false" outlineLevel="0" collapsed="false">
      <c r="A18057" s="5" t="s">
        <v>268</v>
      </c>
      <c r="G18057" s="25" t="n">
        <f aca="false">G18052*Assumptions!$H$53</f>
        <v>0</v>
      </c>
      <c r="H18057" s="25" t="n">
        <f aca="false">H18052*Assumptions!$H$53</f>
        <v>0</v>
      </c>
      <c r="I18057" s="25" t="n">
        <f aca="false">I18052*Assumptions!$H$53</f>
        <v>0</v>
      </c>
      <c r="J18057" s="25" t="n">
        <f aca="false">J18052*Assumptions!$H$53</f>
        <v>0</v>
      </c>
      <c r="K18057" s="25" t="n">
        <f aca="false">K18052*Assumptions!$H$53</f>
        <v>0</v>
      </c>
    </row>
    <row r="18058" customFormat="false" ht="15" hidden="false" customHeight="false" outlineLevel="0" collapsed="false">
      <c r="A18058" s="5" t="s">
        <v>269</v>
      </c>
      <c r="G18058" s="25" t="n">
        <f aca="false">MIN(G18052,Assumptions!$L$53*Assumptions!$C$53)</f>
        <v>0</v>
      </c>
      <c r="H18058" s="25" t="n">
        <f aca="false">MIN(H18052,Assumptions!$L$53*Assumptions!$C$53)</f>
        <v>0</v>
      </c>
      <c r="I18058" s="25" t="n">
        <f aca="false">MIN(I18052,Assumptions!$L$53*Assumptions!$C$53)</f>
        <v>0</v>
      </c>
      <c r="J18058" s="25" t="n">
        <f aca="false">MIN(J18052,Assumptions!$L$53*Assumptions!$C$53)</f>
        <v>0</v>
      </c>
      <c r="K18058" s="25" t="n">
        <f aca="false">MIN(K18052,Assumptions!$L$53*Assumptions!$C$53)</f>
        <v>0</v>
      </c>
    </row>
    <row r="18059" customFormat="false" ht="15" hidden="false" customHeight="false" outlineLevel="0" collapsed="false">
      <c r="A18059" s="5" t="s">
        <v>270</v>
      </c>
      <c r="G18059" s="25" t="n">
        <f aca="false">IF(AND(Assumptions!$P$53=1,G18016&lt;Assumptions!$K$53),MIN(MAX(0,-G18130),MAX(0,Assumptions!$D$53-G18052)),0)</f>
        <v>0</v>
      </c>
      <c r="H18059" s="25" t="n">
        <f aca="false">IF(AND(Assumptions!$P$53=1,OR(H18016&lt;Assumptions!$K$53,G18204=1)),MIN(MAX(0,-H18130),MAX(0,Assumptions!$D$53-H18052)),0)</f>
        <v>0</v>
      </c>
      <c r="I18059" s="25" t="n">
        <f aca="false">IF(AND(Assumptions!$P$53=1,OR(I18016&lt;Assumptions!$K$53,H18204=1)),MIN(MAX(0,-I18130),MAX(0,Assumptions!$D$53-I18052)),0)</f>
        <v>21.1585096</v>
      </c>
      <c r="J18059" s="25" t="n">
        <f aca="false">IF(AND(Assumptions!$P$53=1,OR(J18016&lt;Assumptions!$K$53,I18204=1)),MIN(MAX(0,-J18130),MAX(0,Assumptions!$D$53-J18052)),0)</f>
        <v>19.578423312</v>
      </c>
      <c r="K18059" s="25" t="n">
        <f aca="false">IF(AND(Assumptions!$P$53=1,OR(K18016&lt;Assumptions!$K$53,J18204=1)),MIN(MAX(0,-K18130),MAX(0,Assumptions!$D$53-K18052)),0)</f>
        <v>17.79901176424</v>
      </c>
    </row>
    <row r="18060" customFormat="false" ht="15" hidden="false" customHeight="false" outlineLevel="0" collapsed="false">
      <c r="A18060" s="5" t="s">
        <v>271</v>
      </c>
      <c r="G18060" s="25" t="n">
        <f aca="false">G18053*MIN(G18052-G18058+G18057,MAX(0,G18132-Assumptions!$C$12*G18050))</f>
        <v>0</v>
      </c>
      <c r="H18060" s="25" t="n">
        <f aca="false">H18053*MIN(H18052-H18058+H18057,MAX(0,H18132-Assumptions!$C$12*H18050))</f>
        <v>0</v>
      </c>
      <c r="I18060" s="25" t="n">
        <f aca="false">I18053*MIN(I18052-I18058+I18057,MAX(0,I18132-Assumptions!$C$12*I18050))</f>
        <v>0</v>
      </c>
      <c r="J18060" s="25" t="n">
        <f aca="false">J18053*MIN(J18052-J18058+J18057,MAX(0,J18132-Assumptions!$C$12*J18050))</f>
        <v>0</v>
      </c>
      <c r="K18060" s="25" t="n">
        <f aca="false">K18053*MIN(K18052-K18058+K18057,MAX(0,K18132-Assumptions!$C$12*K18050))</f>
        <v>0</v>
      </c>
    </row>
    <row r="18061" customFormat="false" ht="15" hidden="false" customHeight="false" outlineLevel="0" collapsed="false">
      <c r="A18061" s="5" t="s">
        <v>272</v>
      </c>
      <c r="G18061" s="25" t="n">
        <f aca="false">Assumptions!$N$53*MIN(G18052+G18059+G18057-G18058-G18060,MAX(0,G18136))</f>
        <v>30.56</v>
      </c>
      <c r="H18061" s="25" t="n">
        <f aca="false">Assumptions!$N$53*MIN(H18052+H18059+H18057-H18058-H18060,MAX(0,H18136))</f>
        <v>0</v>
      </c>
      <c r="I18061" s="25" t="n">
        <f aca="false">Assumptions!$N$53*MIN(I18052+I18059+I18057-I18058-I18060,MAX(0,I18136))</f>
        <v>0</v>
      </c>
      <c r="J18061" s="25" t="n">
        <f aca="false">Assumptions!$N$53*MIN(J18052+J18059+J18057-J18058-J18060,MAX(0,J18136))</f>
        <v>0</v>
      </c>
      <c r="K18061" s="25" t="n">
        <f aca="false">Assumptions!$N$53*MIN(K18052+K18059+K18057-K18058-K18060,MAX(0,K18136))</f>
        <v>0</v>
      </c>
    </row>
    <row r="18062" customFormat="false" ht="15" hidden="false" customHeight="false" outlineLevel="0" collapsed="false">
      <c r="A18062" s="5" t="s">
        <v>273</v>
      </c>
      <c r="G18062" s="25" t="n">
        <f aca="false">G18053*(1-G18050)*(G18052-G18058+G18057-G18060)</f>
        <v>0</v>
      </c>
      <c r="H18062" s="25" t="n">
        <f aca="false">H18053*(1-H18050)*(H18052-H18058+H18057-H18060)</f>
        <v>0</v>
      </c>
      <c r="I18062" s="25" t="n">
        <f aca="false">I18053*(1-I18050)*(I18052-I18058+I18057-I18060)</f>
        <v>0</v>
      </c>
      <c r="J18062" s="25" t="n">
        <f aca="false">J18053*(1-J18050)*(J18052-J18058+J18057-J18060)</f>
        <v>0</v>
      </c>
      <c r="K18062" s="25" t="n">
        <f aca="false">K18053*(1-K18050)*(K18052-K18058+K18057-K18060)</f>
        <v>0</v>
      </c>
    </row>
    <row r="18063" customFormat="false" ht="15" hidden="false" customHeight="false" outlineLevel="0" collapsed="false">
      <c r="A18063" s="2" t="s">
        <v>274</v>
      </c>
      <c r="F18063" s="27" t="n">
        <f aca="false">Assumptions!$C$53</f>
        <v>180</v>
      </c>
      <c r="G18063" s="16" t="n">
        <f aca="false">G18052+G18059+G18057-G18058-G18060-G18061</f>
        <v>149.44</v>
      </c>
      <c r="H18063" s="16" t="n">
        <f aca="false">H18052+H18059+H18057-H18058-H18060-H18061</f>
        <v>149.44</v>
      </c>
      <c r="I18063" s="16" t="n">
        <f aca="false">I18052+I18059+I18057-I18058-I18060-I18061</f>
        <v>170.5985096</v>
      </c>
      <c r="J18063" s="16" t="n">
        <f aca="false">J18052+J18059+J18057-J18058-J18060-J18061</f>
        <v>190.176932912</v>
      </c>
      <c r="K18063" s="16" t="n">
        <f aca="false">K18052+K18059+K18057-K18058-K18060-K18061</f>
        <v>207.97594467624</v>
      </c>
    </row>
    <row r="18064" customFormat="false" ht="15" hidden="false" customHeight="false" outlineLevel="0" collapsed="false">
      <c r="A18064" s="23" t="s">
        <v>275</v>
      </c>
      <c r="B18064" s="24"/>
      <c r="C18064" s="24"/>
      <c r="D18064" s="24"/>
      <c r="E18064" s="24"/>
      <c r="F18064" s="24"/>
      <c r="G18064" s="24"/>
      <c r="H18064" s="24"/>
      <c r="I18064" s="24"/>
      <c r="J18064" s="24"/>
      <c r="K18064" s="24"/>
    </row>
    <row r="18065" customFormat="false" ht="15" hidden="false" customHeight="false" outlineLevel="0" collapsed="false">
      <c r="A18065" s="5" t="s">
        <v>264</v>
      </c>
      <c r="G18065" s="25" t="n">
        <f aca="false">F18076</f>
        <v>520</v>
      </c>
      <c r="H18065" s="25" t="n">
        <f aca="false">G18076</f>
        <v>514.8</v>
      </c>
      <c r="I18065" s="25" t="n">
        <f aca="false">H18076</f>
        <v>509.6</v>
      </c>
      <c r="J18065" s="25" t="n">
        <f aca="false">I18076</f>
        <v>504.4</v>
      </c>
      <c r="K18065" s="25" t="n">
        <f aca="false">J18076</f>
        <v>499.2</v>
      </c>
    </row>
    <row r="18066" customFormat="false" ht="15" hidden="false" customHeight="false" outlineLevel="0" collapsed="false">
      <c r="A18066" s="5" t="s">
        <v>265</v>
      </c>
      <c r="G18066" s="20" t="n">
        <f aca="false">IF(G18016=Assumptions!$K$54,1,0)</f>
        <v>0</v>
      </c>
      <c r="H18066" s="20" t="n">
        <f aca="false">IF(H18016=Assumptions!$K$54,1,0)</f>
        <v>0</v>
      </c>
      <c r="I18066" s="20" t="n">
        <f aca="false">IF(I18016=Assumptions!$K$54,1,0)</f>
        <v>1</v>
      </c>
      <c r="J18066" s="20" t="n">
        <f aca="false">IF(J18016=Assumptions!$K$54,1,0)</f>
        <v>0</v>
      </c>
      <c r="K18066" s="20" t="n">
        <f aca="false">IF(K18016=Assumptions!$K$54,1,0)</f>
        <v>0</v>
      </c>
    </row>
    <row r="18068" customFormat="false" ht="15" hidden="false" customHeight="false" outlineLevel="0" collapsed="false">
      <c r="A18068" s="5" t="s">
        <v>266</v>
      </c>
      <c r="G18068" s="30" t="n">
        <f aca="false">IF(Assumptions!$I$54=1,MAX(G18042,Assumptions!$G$54)+Assumptions!$F$54+$C$18043,Assumptions!$E$54)</f>
        <v>0.103</v>
      </c>
      <c r="H18068" s="30" t="n">
        <f aca="false">IF(G18205=1,$C$18044,IF(Assumptions!$I$54=1,MAX(H18042,Assumptions!$G$54)+Assumptions!$F$54+$C$18043,Assumptions!$E$54))</f>
        <v>0.1005</v>
      </c>
      <c r="I18068" s="30" t="n">
        <f aca="false">IF(H18205=1,$C$18044,IF(Assumptions!$I$54=1,MAX(I18042,Assumptions!$G$54)+Assumptions!$F$54+$C$18043,Assumptions!$E$54))</f>
        <v>0.098</v>
      </c>
      <c r="J18068" s="30" t="n">
        <f aca="false">IF(I18205=1,$C$18044,IF(Assumptions!$I$54=1,MAX(J18042,Assumptions!$G$54)+Assumptions!$F$54+$C$18043,Assumptions!$E$54))</f>
        <v>0.11</v>
      </c>
      <c r="K18068" s="30" t="n">
        <f aca="false">IF(J18205=1,$C$18044,IF(Assumptions!$I$54=1,MAX(K18042,Assumptions!$G$54)+Assumptions!$F$54+$C$18043,Assumptions!$E$54))</f>
        <v>0.11</v>
      </c>
    </row>
    <row r="18069" customFormat="false" ht="15" hidden="false" customHeight="false" outlineLevel="0" collapsed="false">
      <c r="A18069" s="5" t="s">
        <v>267</v>
      </c>
      <c r="G18069" s="25" t="n">
        <f aca="false">G18065*G18068</f>
        <v>53.56</v>
      </c>
      <c r="H18069" s="25" t="n">
        <f aca="false">H18065*H18068</f>
        <v>51.7374</v>
      </c>
      <c r="I18069" s="25" t="n">
        <f aca="false">I18065*I18068</f>
        <v>49.9408</v>
      </c>
      <c r="J18069" s="25" t="n">
        <f aca="false">J18065*J18068</f>
        <v>55.484</v>
      </c>
      <c r="K18069" s="25" t="n">
        <f aca="false">K18065*K18068</f>
        <v>54.912</v>
      </c>
    </row>
    <row r="18070" customFormat="false" ht="15" hidden="false" customHeight="false" outlineLevel="0" collapsed="false">
      <c r="A18070" s="5" t="s">
        <v>268</v>
      </c>
      <c r="G18070" s="25" t="n">
        <f aca="false">G18065*Assumptions!$H$54</f>
        <v>0</v>
      </c>
      <c r="H18070" s="25" t="n">
        <f aca="false">H18065*Assumptions!$H$54</f>
        <v>0</v>
      </c>
      <c r="I18070" s="25" t="n">
        <f aca="false">I18065*Assumptions!$H$54</f>
        <v>0</v>
      </c>
      <c r="J18070" s="25" t="n">
        <f aca="false">J18065*Assumptions!$H$54</f>
        <v>0</v>
      </c>
      <c r="K18070" s="25" t="n">
        <f aca="false">K18065*Assumptions!$H$54</f>
        <v>0</v>
      </c>
    </row>
    <row r="18071" customFormat="false" ht="15" hidden="false" customHeight="false" outlineLevel="0" collapsed="false">
      <c r="A18071" s="5" t="s">
        <v>269</v>
      </c>
      <c r="G18071" s="25" t="n">
        <f aca="false">MIN(G18065,Assumptions!$L$54*Assumptions!$C$54)</f>
        <v>5.2</v>
      </c>
      <c r="H18071" s="25" t="n">
        <f aca="false">MIN(H18065,Assumptions!$L$54*Assumptions!$C$54)</f>
        <v>5.2</v>
      </c>
      <c r="I18071" s="25" t="n">
        <f aca="false">MIN(I18065,Assumptions!$L$54*Assumptions!$C$54)</f>
        <v>5.2</v>
      </c>
      <c r="J18071" s="25" t="n">
        <f aca="false">MIN(J18065,Assumptions!$L$54*Assumptions!$C$54)</f>
        <v>5.2</v>
      </c>
      <c r="K18071" s="25" t="n">
        <f aca="false">MIN(K18065,Assumptions!$L$54*Assumptions!$C$54)</f>
        <v>5.2</v>
      </c>
    </row>
    <row r="18072" customFormat="false" ht="15" hidden="false" customHeight="false" outlineLevel="0" collapsed="false">
      <c r="A18072" s="5" t="s">
        <v>270</v>
      </c>
      <c r="G18072" s="25" t="n">
        <f aca="false">IF(AND(Assumptions!$P$54=1,G18016&lt;Assumptions!$K$54),MIN(MAX(0,-G18130),MAX(0,Assumptions!$D$54-G18065)),0)</f>
        <v>0</v>
      </c>
      <c r="H18072" s="25" t="n">
        <f aca="false">IF(AND(Assumptions!$P$54=1,OR(H18016&lt;Assumptions!$K$54,G18205=1)),MIN(MAX(0,-H18130),MAX(0,Assumptions!$D$54-H18065)),0)</f>
        <v>0</v>
      </c>
      <c r="I18072" s="25" t="n">
        <f aca="false">IF(AND(Assumptions!$P$54=1,OR(I18016&lt;Assumptions!$K$54,H18205=1)),MIN(MAX(0,-I18130),MAX(0,Assumptions!$D$54-I18065)),0)</f>
        <v>0</v>
      </c>
      <c r="J18072" s="25" t="n">
        <f aca="false">IF(AND(Assumptions!$P$54=1,OR(J18016&lt;Assumptions!$K$54,I18205=1)),MIN(MAX(0,-J18130),MAX(0,Assumptions!$D$54-J18065)),0)</f>
        <v>0</v>
      </c>
      <c r="K18072" s="25" t="n">
        <f aca="false">IF(AND(Assumptions!$P$54=1,OR(K18016&lt;Assumptions!$K$54,J18205=1)),MIN(MAX(0,-K18130),MAX(0,Assumptions!$D$54-K18065)),0)</f>
        <v>0</v>
      </c>
    </row>
    <row r="18073" customFormat="false" ht="15" hidden="false" customHeight="false" outlineLevel="0" collapsed="false">
      <c r="A18073" s="5" t="s">
        <v>271</v>
      </c>
      <c r="G18073" s="25" t="n">
        <f aca="false">G18066*MIN(G18065-G18071+G18070,MAX(0,G18132-Assumptions!$C$12*G18050-G18060))</f>
        <v>0</v>
      </c>
      <c r="H18073" s="25" t="n">
        <f aca="false">H18066*MIN(H18065-H18071+H18070,MAX(0,H18132-Assumptions!$C$12*H18050-H18060))</f>
        <v>0</v>
      </c>
      <c r="I18073" s="25" t="n">
        <f aca="false">I18066*MIN(I18065-I18071+I18070,MAX(0,I18132-Assumptions!$C$12*I18050-I18060))</f>
        <v>0</v>
      </c>
      <c r="J18073" s="25" t="n">
        <f aca="false">J18066*MIN(J18065-J18071+J18070,MAX(0,J18132-Assumptions!$C$12*J18050-J18060))</f>
        <v>0</v>
      </c>
      <c r="K18073" s="25" t="n">
        <f aca="false">K18066*MIN(K18065-K18071+K18070,MAX(0,K18132-Assumptions!$C$12*K18050-K18060))</f>
        <v>0</v>
      </c>
    </row>
    <row r="18074" customFormat="false" ht="15" hidden="false" customHeight="false" outlineLevel="0" collapsed="false">
      <c r="A18074" s="5" t="s">
        <v>272</v>
      </c>
      <c r="G18074" s="25" t="n">
        <f aca="false">Assumptions!$N$54*MIN(G18065+G18072+G18070-G18071-G18073,MAX(0,G18136-G18061))</f>
        <v>0</v>
      </c>
      <c r="H18074" s="25" t="n">
        <f aca="false">Assumptions!$N$54*MIN(H18065+H18072+H18070-H18071-H18073,MAX(0,H18136-H18061))</f>
        <v>0</v>
      </c>
      <c r="I18074" s="25" t="n">
        <f aca="false">Assumptions!$N$54*MIN(I18065+I18072+I18070-I18071-I18073,MAX(0,I18136-I18061))</f>
        <v>0</v>
      </c>
      <c r="J18074" s="25" t="n">
        <f aca="false">Assumptions!$N$54*MIN(J18065+J18072+J18070-J18071-J18073,MAX(0,J18136-J18061))</f>
        <v>0</v>
      </c>
      <c r="K18074" s="25" t="n">
        <f aca="false">Assumptions!$N$54*MIN(K18065+K18072+K18070-K18071-K18073,MAX(0,K18136-K18061))</f>
        <v>0</v>
      </c>
    </row>
    <row r="18075" customFormat="false" ht="15" hidden="false" customHeight="false" outlineLevel="0" collapsed="false">
      <c r="A18075" s="5" t="s">
        <v>273</v>
      </c>
      <c r="G18075" s="25" t="n">
        <f aca="false">G18066*(1-G18050)*(G18065-G18071+G18070-G18073)</f>
        <v>0</v>
      </c>
      <c r="H18075" s="25" t="n">
        <f aca="false">H18066*(1-H18050)*(H18065-H18071+H18070-H18073)</f>
        <v>0</v>
      </c>
      <c r="I18075" s="25" t="n">
        <f aca="false">I18066*(1-I18050)*(I18065-I18071+I18070-I18073)</f>
        <v>0</v>
      </c>
      <c r="J18075" s="25" t="n">
        <f aca="false">J18066*(1-J18050)*(J18065-J18071+J18070-J18073)</f>
        <v>0</v>
      </c>
      <c r="K18075" s="25" t="n">
        <f aca="false">K18066*(1-K18050)*(K18065-K18071+K18070-K18073)</f>
        <v>0</v>
      </c>
    </row>
    <row r="18076" customFormat="false" ht="15" hidden="false" customHeight="false" outlineLevel="0" collapsed="false">
      <c r="A18076" s="2" t="s">
        <v>274</v>
      </c>
      <c r="F18076" s="27" t="n">
        <f aca="false">Assumptions!$C$54</f>
        <v>520</v>
      </c>
      <c r="G18076" s="16" t="n">
        <f aca="false">G18065+G18072+G18070-G18071-G18073-G18074</f>
        <v>514.8</v>
      </c>
      <c r="H18076" s="16" t="n">
        <f aca="false">H18065+H18072+H18070-H18071-H18073-H18074</f>
        <v>509.6</v>
      </c>
      <c r="I18076" s="16" t="n">
        <f aca="false">I18065+I18072+I18070-I18071-I18073-I18074</f>
        <v>504.4</v>
      </c>
      <c r="J18076" s="16" t="n">
        <f aca="false">J18065+J18072+J18070-J18071-J18073-J18074</f>
        <v>499.2</v>
      </c>
      <c r="K18076" s="16" t="n">
        <f aca="false">K18065+K18072+K18070-K18071-K18073-K18074</f>
        <v>494</v>
      </c>
    </row>
    <row r="18077" customFormat="false" ht="15" hidden="false" customHeight="false" outlineLevel="0" collapsed="false">
      <c r="A18077" s="23" t="s">
        <v>276</v>
      </c>
      <c r="B18077" s="24"/>
      <c r="C18077" s="24"/>
      <c r="D18077" s="24"/>
      <c r="E18077" s="24"/>
      <c r="F18077" s="24"/>
      <c r="G18077" s="24"/>
      <c r="H18077" s="24"/>
      <c r="I18077" s="24"/>
      <c r="J18077" s="24"/>
      <c r="K18077" s="24"/>
    </row>
    <row r="18078" customFormat="false" ht="15" hidden="false" customHeight="false" outlineLevel="0" collapsed="false">
      <c r="A18078" s="5" t="s">
        <v>264</v>
      </c>
      <c r="G18078" s="25" t="n">
        <f aca="false">F18089</f>
        <v>250</v>
      </c>
      <c r="H18078" s="25" t="n">
        <f aca="false">G18089</f>
        <v>250</v>
      </c>
      <c r="I18078" s="25" t="n">
        <f aca="false">H18089</f>
        <v>250</v>
      </c>
      <c r="J18078" s="25" t="n">
        <f aca="false">I18089</f>
        <v>250</v>
      </c>
      <c r="K18078" s="25" t="n">
        <f aca="false">J18089</f>
        <v>250</v>
      </c>
    </row>
    <row r="18079" customFormat="false" ht="15" hidden="false" customHeight="false" outlineLevel="0" collapsed="false">
      <c r="A18079" s="5" t="s">
        <v>265</v>
      </c>
      <c r="G18079" s="20" t="n">
        <f aca="false">IF(G18016=Assumptions!$K$55,1,0)</f>
        <v>0</v>
      </c>
      <c r="H18079" s="20" t="n">
        <f aca="false">IF(H18016=Assumptions!$K$55,1,0)</f>
        <v>0</v>
      </c>
      <c r="I18079" s="20" t="n">
        <f aca="false">IF(I18016=Assumptions!$K$55,1,0)</f>
        <v>0</v>
      </c>
      <c r="J18079" s="20" t="n">
        <f aca="false">IF(J18016=Assumptions!$K$55,1,0)</f>
        <v>1</v>
      </c>
      <c r="K18079" s="20" t="n">
        <f aca="false">IF(K18016=Assumptions!$K$55,1,0)</f>
        <v>0</v>
      </c>
    </row>
    <row r="18081" customFormat="false" ht="15" hidden="false" customHeight="false" outlineLevel="0" collapsed="false">
      <c r="A18081" s="5" t="s">
        <v>266</v>
      </c>
      <c r="G18081" s="30" t="n">
        <f aca="false">IF(Assumptions!$I$55=1,MAX(G18042,Assumptions!$G$55)+Assumptions!$F$55+$C$18043,Assumptions!$E$55)</f>
        <v>0.11</v>
      </c>
      <c r="H18081" s="30" t="n">
        <f aca="false">IF(G18206=1,$C$18044,IF(Assumptions!$I$55=1,MAX(H18042,Assumptions!$G$55)+Assumptions!$F$55+$C$18043,Assumptions!$E$55))</f>
        <v>0.11</v>
      </c>
      <c r="I18081" s="30" t="n">
        <f aca="false">IF(H18206=1,$C$18044,IF(Assumptions!$I$55=1,MAX(I18042,Assumptions!$G$55)+Assumptions!$F$55+$C$18043,Assumptions!$E$55))</f>
        <v>0.11</v>
      </c>
      <c r="J18081" s="30" t="n">
        <f aca="false">IF(I18206=1,$C$18044,IF(Assumptions!$I$55=1,MAX(J18042,Assumptions!$G$55)+Assumptions!$F$55+$C$18043,Assumptions!$E$55))</f>
        <v>0.11</v>
      </c>
      <c r="K18081" s="30" t="n">
        <f aca="false">IF(J18206=1,$C$18044,IF(Assumptions!$I$55=1,MAX(K18042,Assumptions!$G$55)+Assumptions!$F$55+$C$18043,Assumptions!$E$55))</f>
        <v>0.11</v>
      </c>
    </row>
    <row r="18082" customFormat="false" ht="15" hidden="false" customHeight="false" outlineLevel="0" collapsed="false">
      <c r="A18082" s="5" t="s">
        <v>267</v>
      </c>
      <c r="G18082" s="25" t="n">
        <f aca="false">G18078*G18081</f>
        <v>27.5</v>
      </c>
      <c r="H18082" s="25" t="n">
        <f aca="false">H18078*H18081</f>
        <v>27.5</v>
      </c>
      <c r="I18082" s="25" t="n">
        <f aca="false">I18078*I18081</f>
        <v>27.5</v>
      </c>
      <c r="J18082" s="25" t="n">
        <f aca="false">J18078*J18081</f>
        <v>27.5</v>
      </c>
      <c r="K18082" s="25" t="n">
        <f aca="false">K18078*K18081</f>
        <v>27.5</v>
      </c>
    </row>
    <row r="18083" customFormat="false" ht="15" hidden="false" customHeight="false" outlineLevel="0" collapsed="false">
      <c r="A18083" s="5" t="s">
        <v>268</v>
      </c>
      <c r="G18083" s="25" t="n">
        <f aca="false">G18078*Assumptions!$H$55</f>
        <v>0</v>
      </c>
      <c r="H18083" s="25" t="n">
        <f aca="false">H18078*Assumptions!$H$55</f>
        <v>0</v>
      </c>
      <c r="I18083" s="25" t="n">
        <f aca="false">I18078*Assumptions!$H$55</f>
        <v>0</v>
      </c>
      <c r="J18083" s="25" t="n">
        <f aca="false">J18078*Assumptions!$H$55</f>
        <v>0</v>
      </c>
      <c r="K18083" s="25" t="n">
        <f aca="false">K18078*Assumptions!$H$55</f>
        <v>0</v>
      </c>
    </row>
    <row r="18084" customFormat="false" ht="15" hidden="false" customHeight="false" outlineLevel="0" collapsed="false">
      <c r="A18084" s="5" t="s">
        <v>269</v>
      </c>
      <c r="G18084" s="25" t="n">
        <f aca="false">MIN(G18078,Assumptions!$L$55*Assumptions!$C$55)</f>
        <v>0</v>
      </c>
      <c r="H18084" s="25" t="n">
        <f aca="false">MIN(H18078,Assumptions!$L$55*Assumptions!$C$55)</f>
        <v>0</v>
      </c>
      <c r="I18084" s="25" t="n">
        <f aca="false">MIN(I18078,Assumptions!$L$55*Assumptions!$C$55)</f>
        <v>0</v>
      </c>
      <c r="J18084" s="25" t="n">
        <f aca="false">MIN(J18078,Assumptions!$L$55*Assumptions!$C$55)</f>
        <v>0</v>
      </c>
      <c r="K18084" s="25" t="n">
        <f aca="false">MIN(K18078,Assumptions!$L$55*Assumptions!$C$55)</f>
        <v>0</v>
      </c>
    </row>
    <row r="18085" customFormat="false" ht="15" hidden="false" customHeight="false" outlineLevel="0" collapsed="false">
      <c r="A18085" s="5" t="s">
        <v>270</v>
      </c>
      <c r="G18085" s="25" t="n">
        <f aca="false">IF(AND(Assumptions!$P$55=1,G18016&lt;Assumptions!$K$55),MIN(MAX(0,-G18130),MAX(0,Assumptions!$D$55-G18078)),0)</f>
        <v>0</v>
      </c>
      <c r="H18085" s="25" t="n">
        <f aca="false">IF(AND(Assumptions!$P$55=1,OR(H18016&lt;Assumptions!$K$55,G18206=1)),MIN(MAX(0,-H18130),MAX(0,Assumptions!$D$55-H18078)),0)</f>
        <v>0</v>
      </c>
      <c r="I18085" s="25" t="n">
        <f aca="false">IF(AND(Assumptions!$P$55=1,OR(I18016&lt;Assumptions!$K$55,H18206=1)),MIN(MAX(0,-I18130),MAX(0,Assumptions!$D$55-I18078)),0)</f>
        <v>0</v>
      </c>
      <c r="J18085" s="25" t="n">
        <f aca="false">IF(AND(Assumptions!$P$55=1,OR(J18016&lt;Assumptions!$K$55,I18206=1)),MIN(MAX(0,-J18130),MAX(0,Assumptions!$D$55-J18078)),0)</f>
        <v>0</v>
      </c>
      <c r="K18085" s="25" t="n">
        <f aca="false">IF(AND(Assumptions!$P$55=1,OR(K18016&lt;Assumptions!$K$55,J18206=1)),MIN(MAX(0,-K18130),MAX(0,Assumptions!$D$55-K18078)),0)</f>
        <v>0</v>
      </c>
    </row>
    <row r="18086" customFormat="false" ht="15" hidden="false" customHeight="false" outlineLevel="0" collapsed="false">
      <c r="A18086" s="5" t="s">
        <v>271</v>
      </c>
      <c r="G18086" s="25" t="n">
        <f aca="false">G18079*MIN(G18078-G18084+G18083,MAX(0,G18132-Assumptions!$C$12*G18050-G18060-G18073))</f>
        <v>0</v>
      </c>
      <c r="H18086" s="25" t="n">
        <f aca="false">H18079*MIN(H18078-H18084+H18083,MAX(0,H18132-Assumptions!$C$12*H18050-H18060-H18073))</f>
        <v>0</v>
      </c>
      <c r="I18086" s="25" t="n">
        <f aca="false">I18079*MIN(I18078-I18084+I18083,MAX(0,I18132-Assumptions!$C$12*I18050-I18060-I18073))</f>
        <v>0</v>
      </c>
      <c r="J18086" s="25" t="n">
        <f aca="false">J18079*MIN(J18078-J18084+J18083,MAX(0,J18132-Assumptions!$C$12*J18050-J18060-J18073))</f>
        <v>0</v>
      </c>
      <c r="K18086" s="25" t="n">
        <f aca="false">K18079*MIN(K18078-K18084+K18083,MAX(0,K18132-Assumptions!$C$12*K18050-K18060-K18073))</f>
        <v>0</v>
      </c>
    </row>
    <row r="18087" customFormat="false" ht="15" hidden="false" customHeight="false" outlineLevel="0" collapsed="false">
      <c r="A18087" s="5" t="s">
        <v>272</v>
      </c>
      <c r="G18087" s="25" t="n">
        <f aca="false">Assumptions!$N$55*MIN(G18078+G18085+G18083-G18084-G18086,MAX(0,G18136-G18061-G18074))</f>
        <v>0</v>
      </c>
      <c r="H18087" s="25" t="n">
        <f aca="false">Assumptions!$N$55*MIN(H18078+H18085+H18083-H18084-H18086,MAX(0,H18136-H18061-H18074))</f>
        <v>0</v>
      </c>
      <c r="I18087" s="25" t="n">
        <f aca="false">Assumptions!$N$55*MIN(I18078+I18085+I18083-I18084-I18086,MAX(0,I18136-I18061-I18074))</f>
        <v>0</v>
      </c>
      <c r="J18087" s="25" t="n">
        <f aca="false">Assumptions!$N$55*MIN(J18078+J18085+J18083-J18084-J18086,MAX(0,J18136-J18061-J18074))</f>
        <v>0</v>
      </c>
      <c r="K18087" s="25" t="n">
        <f aca="false">Assumptions!$N$55*MIN(K18078+K18085+K18083-K18084-K18086,MAX(0,K18136-K18061-K18074))</f>
        <v>0</v>
      </c>
    </row>
    <row r="18088" customFormat="false" ht="15" hidden="false" customHeight="false" outlineLevel="0" collapsed="false">
      <c r="A18088" s="5" t="s">
        <v>273</v>
      </c>
      <c r="G18088" s="25" t="n">
        <f aca="false">G18079*(1-G18050)*(G18078-G18084+G18083-G18086)</f>
        <v>0</v>
      </c>
      <c r="H18088" s="25" t="n">
        <f aca="false">H18079*(1-H18050)*(H18078-H18084+H18083-H18086)</f>
        <v>0</v>
      </c>
      <c r="I18088" s="25" t="n">
        <f aca="false">I18079*(1-I18050)*(I18078-I18084+I18083-I18086)</f>
        <v>0</v>
      </c>
      <c r="J18088" s="25" t="n">
        <f aca="false">J18079*(1-J18050)*(J18078-J18084+J18083-J18086)</f>
        <v>0</v>
      </c>
      <c r="K18088" s="25" t="n">
        <f aca="false">K18079*(1-K18050)*(K18078-K18084+K18083-K18086)</f>
        <v>0</v>
      </c>
    </row>
    <row r="18089" customFormat="false" ht="15" hidden="false" customHeight="false" outlineLevel="0" collapsed="false">
      <c r="A18089" s="2" t="s">
        <v>274</v>
      </c>
      <c r="F18089" s="27" t="n">
        <f aca="false">Assumptions!$C$55</f>
        <v>250</v>
      </c>
      <c r="G18089" s="16" t="n">
        <f aca="false">G18078+G18085+G18083-G18084-G18086-G18087</f>
        <v>250</v>
      </c>
      <c r="H18089" s="16" t="n">
        <f aca="false">H18078+H18085+H18083-H18084-H18086-H18087</f>
        <v>250</v>
      </c>
      <c r="I18089" s="16" t="n">
        <f aca="false">I18078+I18085+I18083-I18084-I18086-I18087</f>
        <v>250</v>
      </c>
      <c r="J18089" s="16" t="n">
        <f aca="false">J18078+J18085+J18083-J18084-J18086-J18087</f>
        <v>250</v>
      </c>
      <c r="K18089" s="16" t="n">
        <f aca="false">K18078+K18085+K18083-K18084-K18086-K18087</f>
        <v>250</v>
      </c>
    </row>
    <row r="18090" customFormat="false" ht="15" hidden="false" customHeight="false" outlineLevel="0" collapsed="false">
      <c r="A18090" s="23" t="s">
        <v>277</v>
      </c>
      <c r="B18090" s="24"/>
      <c r="C18090" s="24"/>
      <c r="D18090" s="24"/>
      <c r="E18090" s="24"/>
      <c r="F18090" s="24"/>
      <c r="G18090" s="24"/>
      <c r="H18090" s="24"/>
      <c r="I18090" s="24"/>
      <c r="J18090" s="24"/>
      <c r="K18090" s="24"/>
    </row>
    <row r="18091" customFormat="false" ht="15" hidden="false" customHeight="false" outlineLevel="0" collapsed="false">
      <c r="A18091" s="5" t="s">
        <v>264</v>
      </c>
      <c r="G18091" s="25" t="n">
        <f aca="false">F18102</f>
        <v>300</v>
      </c>
      <c r="H18091" s="25" t="n">
        <f aca="false">G18102</f>
        <v>300</v>
      </c>
      <c r="I18091" s="25" t="n">
        <f aca="false">H18102</f>
        <v>300</v>
      </c>
      <c r="J18091" s="25" t="n">
        <f aca="false">I18102</f>
        <v>300</v>
      </c>
      <c r="K18091" s="25" t="n">
        <f aca="false">J18102</f>
        <v>300</v>
      </c>
    </row>
    <row r="18092" customFormat="false" ht="15" hidden="false" customHeight="false" outlineLevel="0" collapsed="false">
      <c r="A18092" s="5" t="s">
        <v>265</v>
      </c>
      <c r="G18092" s="20" t="n">
        <f aca="false">IF(G18016=Assumptions!$K$56,1,0)</f>
        <v>0</v>
      </c>
      <c r="H18092" s="20" t="n">
        <f aca="false">IF(H18016=Assumptions!$K$56,1,0)</f>
        <v>1</v>
      </c>
      <c r="I18092" s="20" t="n">
        <f aca="false">IF(I18016=Assumptions!$K$56,1,0)</f>
        <v>0</v>
      </c>
      <c r="J18092" s="20" t="n">
        <f aca="false">IF(J18016=Assumptions!$K$56,1,0)</f>
        <v>0</v>
      </c>
      <c r="K18092" s="20" t="n">
        <f aca="false">IF(K18016=Assumptions!$K$56,1,0)</f>
        <v>0</v>
      </c>
    </row>
    <row r="18094" customFormat="false" ht="15" hidden="false" customHeight="false" outlineLevel="0" collapsed="false">
      <c r="A18094" s="5" t="s">
        <v>266</v>
      </c>
      <c r="G18094" s="30" t="n">
        <f aca="false">IF(Assumptions!$I$56=1,MAX(G18042,Assumptions!$G$56)+Assumptions!$F$56+$C$18043,Assumptions!$E$56)</f>
        <v>0.075</v>
      </c>
      <c r="H18094" s="30" t="n">
        <f aca="false">IF(G18207=1,$C$18044,IF(Assumptions!$I$56=1,MAX(H18042,Assumptions!$G$56)+Assumptions!$F$56+$C$18043,Assumptions!$E$56))</f>
        <v>0.075</v>
      </c>
      <c r="I18094" s="30" t="n">
        <f aca="false">IF(H18207=1,$C$18044,IF(Assumptions!$I$56=1,MAX(I18042,Assumptions!$G$56)+Assumptions!$F$56+$C$18043,Assumptions!$E$56))</f>
        <v>0.11</v>
      </c>
      <c r="J18094" s="30" t="n">
        <f aca="false">IF(I18207=1,$C$18044,IF(Assumptions!$I$56=1,MAX(J18042,Assumptions!$G$56)+Assumptions!$F$56+$C$18043,Assumptions!$E$56))</f>
        <v>0.11</v>
      </c>
      <c r="K18094" s="30" t="n">
        <f aca="false">IF(J18207=1,$C$18044,IF(Assumptions!$I$56=1,MAX(K18042,Assumptions!$G$56)+Assumptions!$F$56+$C$18043,Assumptions!$E$56))</f>
        <v>0.11</v>
      </c>
    </row>
    <row r="18095" customFormat="false" ht="15" hidden="false" customHeight="false" outlineLevel="0" collapsed="false">
      <c r="A18095" s="5" t="s">
        <v>267</v>
      </c>
      <c r="G18095" s="25" t="n">
        <f aca="false">G18091*G18094</f>
        <v>22.5</v>
      </c>
      <c r="H18095" s="25" t="n">
        <f aca="false">H18091*H18094</f>
        <v>22.5</v>
      </c>
      <c r="I18095" s="25" t="n">
        <f aca="false">I18091*I18094</f>
        <v>33</v>
      </c>
      <c r="J18095" s="25" t="n">
        <f aca="false">J18091*J18094</f>
        <v>33</v>
      </c>
      <c r="K18095" s="25" t="n">
        <f aca="false">K18091*K18094</f>
        <v>33</v>
      </c>
    </row>
    <row r="18096" customFormat="false" ht="15" hidden="false" customHeight="false" outlineLevel="0" collapsed="false">
      <c r="A18096" s="5" t="s">
        <v>268</v>
      </c>
      <c r="G18096" s="25" t="n">
        <f aca="false">G18091*Assumptions!$H$56</f>
        <v>0</v>
      </c>
      <c r="H18096" s="25" t="n">
        <f aca="false">H18091*Assumptions!$H$56</f>
        <v>0</v>
      </c>
      <c r="I18096" s="25" t="n">
        <f aca="false">I18091*Assumptions!$H$56</f>
        <v>0</v>
      </c>
      <c r="J18096" s="25" t="n">
        <f aca="false">J18091*Assumptions!$H$56</f>
        <v>0</v>
      </c>
      <c r="K18096" s="25" t="n">
        <f aca="false">K18091*Assumptions!$H$56</f>
        <v>0</v>
      </c>
    </row>
    <row r="18097" customFormat="false" ht="15" hidden="false" customHeight="false" outlineLevel="0" collapsed="false">
      <c r="A18097" s="5" t="s">
        <v>269</v>
      </c>
      <c r="G18097" s="25" t="n">
        <f aca="false">MIN(G18091,Assumptions!$L$56*Assumptions!$C$56)</f>
        <v>0</v>
      </c>
      <c r="H18097" s="25" t="n">
        <f aca="false">MIN(H18091,Assumptions!$L$56*Assumptions!$C$56)</f>
        <v>0</v>
      </c>
      <c r="I18097" s="25" t="n">
        <f aca="false">MIN(I18091,Assumptions!$L$56*Assumptions!$C$56)</f>
        <v>0</v>
      </c>
      <c r="J18097" s="25" t="n">
        <f aca="false">MIN(J18091,Assumptions!$L$56*Assumptions!$C$56)</f>
        <v>0</v>
      </c>
      <c r="K18097" s="25" t="n">
        <f aca="false">MIN(K18091,Assumptions!$L$56*Assumptions!$C$56)</f>
        <v>0</v>
      </c>
    </row>
    <row r="18098" customFormat="false" ht="15" hidden="false" customHeight="false" outlineLevel="0" collapsed="false">
      <c r="A18098" s="5" t="s">
        <v>270</v>
      </c>
      <c r="G18098" s="25" t="n">
        <f aca="false">IF(AND(Assumptions!$P$56=1,G18016&lt;Assumptions!$K$56),MIN(MAX(0,-G18130),MAX(0,Assumptions!$D$56-G18091)),0)</f>
        <v>0</v>
      </c>
      <c r="H18098" s="25" t="n">
        <f aca="false">IF(AND(Assumptions!$P$56=1,OR(H18016&lt;Assumptions!$K$56,G18207=1)),MIN(MAX(0,-H18130),MAX(0,Assumptions!$D$56-H18091)),0)</f>
        <v>0</v>
      </c>
      <c r="I18098" s="25" t="n">
        <f aca="false">IF(AND(Assumptions!$P$56=1,OR(I18016&lt;Assumptions!$K$56,H18207=1)),MIN(MAX(0,-I18130),MAX(0,Assumptions!$D$56-I18091)),0)</f>
        <v>0</v>
      </c>
      <c r="J18098" s="25" t="n">
        <f aca="false">IF(AND(Assumptions!$P$56=1,OR(J18016&lt;Assumptions!$K$56,I18207=1)),MIN(MAX(0,-J18130),MAX(0,Assumptions!$D$56-J18091)),0)</f>
        <v>0</v>
      </c>
      <c r="K18098" s="25" t="n">
        <f aca="false">IF(AND(Assumptions!$P$56=1,OR(K18016&lt;Assumptions!$K$56,J18207=1)),MIN(MAX(0,-K18130),MAX(0,Assumptions!$D$56-K18091)),0)</f>
        <v>0</v>
      </c>
    </row>
    <row r="18099" customFormat="false" ht="15" hidden="false" customHeight="false" outlineLevel="0" collapsed="false">
      <c r="A18099" s="5" t="s">
        <v>271</v>
      </c>
      <c r="G18099" s="25" t="n">
        <f aca="false">G18092*MIN(G18091-G18097+G18096,MAX(0,G18132-Assumptions!$C$12*G18050-G18060-G18073-G18086))</f>
        <v>0</v>
      </c>
      <c r="H18099" s="25" t="n">
        <f aca="false">H18092*MIN(H18091-H18097+H18096,MAX(0,H18132-Assumptions!$C$12*H18050-H18060-H18073-H18086))</f>
        <v>0</v>
      </c>
      <c r="I18099" s="25" t="n">
        <f aca="false">I18092*MIN(I18091-I18097+I18096,MAX(0,I18132-Assumptions!$C$12*I18050-I18060-I18073-I18086))</f>
        <v>0</v>
      </c>
      <c r="J18099" s="25" t="n">
        <f aca="false">J18092*MIN(J18091-J18097+J18096,MAX(0,J18132-Assumptions!$C$12*J18050-J18060-J18073-J18086))</f>
        <v>0</v>
      </c>
      <c r="K18099" s="25" t="n">
        <f aca="false">K18092*MIN(K18091-K18097+K18096,MAX(0,K18132-Assumptions!$C$12*K18050-K18060-K18073-K18086))</f>
        <v>0</v>
      </c>
    </row>
    <row r="18100" customFormat="false" ht="15" hidden="false" customHeight="false" outlineLevel="0" collapsed="false">
      <c r="A18100" s="5" t="s">
        <v>272</v>
      </c>
      <c r="G18100" s="25" t="n">
        <f aca="false">Assumptions!$N$56*MIN(G18091+G18098+G18096-G18097-G18099,MAX(0,G18136-G18061-G18074-G18087))</f>
        <v>0</v>
      </c>
      <c r="H18100" s="25" t="n">
        <f aca="false">Assumptions!$N$56*MIN(H18091+H18098+H18096-H18097-H18099,MAX(0,H18136-H18061-H18074-H18087))</f>
        <v>0</v>
      </c>
      <c r="I18100" s="25" t="n">
        <f aca="false">Assumptions!$N$56*MIN(I18091+I18098+I18096-I18097-I18099,MAX(0,I18136-I18061-I18074-I18087))</f>
        <v>0</v>
      </c>
      <c r="J18100" s="25" t="n">
        <f aca="false">Assumptions!$N$56*MIN(J18091+J18098+J18096-J18097-J18099,MAX(0,J18136-J18061-J18074-J18087))</f>
        <v>0</v>
      </c>
      <c r="K18100" s="25" t="n">
        <f aca="false">Assumptions!$N$56*MIN(K18091+K18098+K18096-K18097-K18099,MAX(0,K18136-K18061-K18074-K18087))</f>
        <v>0</v>
      </c>
    </row>
    <row r="18101" customFormat="false" ht="15" hidden="false" customHeight="false" outlineLevel="0" collapsed="false">
      <c r="A18101" s="5" t="s">
        <v>273</v>
      </c>
      <c r="G18101" s="25" t="n">
        <f aca="false">G18092*(1-G18050)*(G18091-G18097+G18096-G18099)</f>
        <v>0</v>
      </c>
      <c r="H18101" s="25" t="n">
        <f aca="false">H18092*(1-H18050)*(H18091-H18097+H18096-H18099)</f>
        <v>0</v>
      </c>
      <c r="I18101" s="25" t="n">
        <f aca="false">I18092*(1-I18050)*(I18091-I18097+I18096-I18099)</f>
        <v>0</v>
      </c>
      <c r="J18101" s="25" t="n">
        <f aca="false">J18092*(1-J18050)*(J18091-J18097+J18096-J18099)</f>
        <v>0</v>
      </c>
      <c r="K18101" s="25" t="n">
        <f aca="false">K18092*(1-K18050)*(K18091-K18097+K18096-K18099)</f>
        <v>0</v>
      </c>
    </row>
    <row r="18102" customFormat="false" ht="15" hidden="false" customHeight="false" outlineLevel="0" collapsed="false">
      <c r="A18102" s="2" t="s">
        <v>274</v>
      </c>
      <c r="F18102" s="27" t="n">
        <f aca="false">Assumptions!$C$56</f>
        <v>300</v>
      </c>
      <c r="G18102" s="16" t="n">
        <f aca="false">G18091+G18098+G18096-G18097-G18099-G18100</f>
        <v>300</v>
      </c>
      <c r="H18102" s="16" t="n">
        <f aca="false">H18091+H18098+H18096-H18097-H18099-H18100</f>
        <v>300</v>
      </c>
      <c r="I18102" s="16" t="n">
        <f aca="false">I18091+I18098+I18096-I18097-I18099-I18100</f>
        <v>300</v>
      </c>
      <c r="J18102" s="16" t="n">
        <f aca="false">J18091+J18098+J18096-J18097-J18099-J18100</f>
        <v>300</v>
      </c>
      <c r="K18102" s="16" t="n">
        <f aca="false">K18091+K18098+K18096-K18097-K18099-K18100</f>
        <v>300</v>
      </c>
    </row>
    <row r="18103" customFormat="false" ht="15" hidden="false" customHeight="false" outlineLevel="0" collapsed="false">
      <c r="A18103" s="23" t="s">
        <v>278</v>
      </c>
      <c r="B18103" s="24"/>
      <c r="C18103" s="24"/>
      <c r="D18103" s="24"/>
      <c r="E18103" s="24"/>
      <c r="F18103" s="24"/>
      <c r="G18103" s="24"/>
      <c r="H18103" s="24"/>
      <c r="I18103" s="24"/>
      <c r="J18103" s="24"/>
      <c r="K18103" s="24"/>
    </row>
    <row r="18104" customFormat="false" ht="15" hidden="false" customHeight="false" outlineLevel="0" collapsed="false">
      <c r="A18104" s="2" t="s">
        <v>279</v>
      </c>
      <c r="F18104" s="16" t="n">
        <f aca="false">F18063+F18076+F18089+F18102</f>
        <v>1250</v>
      </c>
      <c r="G18104" s="16" t="n">
        <f aca="false">G18063+G18076+G18089+G18102</f>
        <v>1214.24</v>
      </c>
      <c r="H18104" s="16" t="n">
        <f aca="false">H18063+H18076+H18089+H18102</f>
        <v>1209.04</v>
      </c>
      <c r="I18104" s="16" t="n">
        <f aca="false">I18063+I18076+I18089+I18102</f>
        <v>1224.9985096</v>
      </c>
      <c r="J18104" s="16" t="n">
        <f aca="false">J18063+J18076+J18089+J18102</f>
        <v>1239.376932912</v>
      </c>
      <c r="K18104" s="16" t="n">
        <f aca="false">K18063+K18076+K18089+K18102</f>
        <v>1251.97594467624</v>
      </c>
    </row>
    <row r="18105" customFormat="false" ht="15" hidden="false" customHeight="false" outlineLevel="0" collapsed="false">
      <c r="A18105" s="5" t="s">
        <v>280</v>
      </c>
      <c r="G18105" s="25" t="n">
        <f aca="false">G18053*Assumptions!$C$53+G18066*Assumptions!$C$54+G18079*Assumptions!$C$55+G18092*Assumptions!$C$56</f>
        <v>0</v>
      </c>
      <c r="H18105" s="25" t="n">
        <f aca="false">H18053*Assumptions!$C$53+H18066*Assumptions!$C$54+H18079*Assumptions!$C$55+H18092*Assumptions!$C$56</f>
        <v>480</v>
      </c>
      <c r="I18105" s="25" t="n">
        <f aca="false">I18053*Assumptions!$C$53+I18066*Assumptions!$C$54+I18079*Assumptions!$C$55+I18092*Assumptions!$C$56</f>
        <v>520</v>
      </c>
      <c r="J18105" s="25" t="n">
        <f aca="false">J18053*Assumptions!$C$53+J18066*Assumptions!$C$54+J18079*Assumptions!$C$55+J18092*Assumptions!$C$56</f>
        <v>250</v>
      </c>
      <c r="K18105" s="25" t="n">
        <f aca="false">K18053*Assumptions!$C$53+K18066*Assumptions!$C$54+K18079*Assumptions!$C$55+K18092*Assumptions!$C$56</f>
        <v>0</v>
      </c>
    </row>
    <row r="18106" customFormat="false" ht="15" hidden="false" customHeight="false" outlineLevel="0" collapsed="false">
      <c r="A18106" s="23" t="s">
        <v>281</v>
      </c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</row>
    <row r="18107" customFormat="false" ht="15" hidden="false" customHeight="false" outlineLevel="0" collapsed="false">
      <c r="A18107" s="5" t="s">
        <v>282</v>
      </c>
      <c r="C18107" s="25" t="n">
        <f aca="false">SUMPRODUCT($G$18053:$K$18053,$G$18052:$K$18052-$G$18058:$K$18058+$G$18057:$K$18057)</f>
        <v>149.44</v>
      </c>
    </row>
    <row r="18108" customFormat="false" ht="15" hidden="false" customHeight="false" outlineLevel="0" collapsed="false">
      <c r="A18108" s="5" t="s">
        <v>283</v>
      </c>
      <c r="C18108" s="25" t="n">
        <f aca="false">SUMPRODUCT($G$18053:$K$18053,$G$18060:$K$18060)</f>
        <v>0</v>
      </c>
    </row>
    <row r="18109" customFormat="false" ht="15" hidden="false" customHeight="false" outlineLevel="0" collapsed="false">
      <c r="A18109" s="5" t="s">
        <v>284</v>
      </c>
      <c r="C18109" s="5" t="str">
        <f aca="false">IF(SUM($G$18053:$K$18053)=0,"n/a (beyond horizon)",IF(SUMPRODUCT($G$18053:$K$18053,$G$18050:$K$18050)&gt;0,"REFINANCING PASS","REFINANCING FAILURE"))</f>
        <v>REFINANCING PASS</v>
      </c>
    </row>
    <row r="18110" customFormat="false" ht="15" hidden="false" customHeight="false" outlineLevel="0" collapsed="false">
      <c r="A18110" s="5" t="s">
        <v>285</v>
      </c>
      <c r="C18110" s="5" t="str">
        <f aca="false">IF(SUM($G$18053:$K$18053)=0,"n/a",IF(C18108&gt;=C18107-0.001,"Repaid from cash",IF(SUMPRODUCT($G$18053:$K$18053,$G$18050:$K$18050)&gt;0,IF(C18108&gt;0,"Partly repaid; remainder refinanced","Refinanced"),IF(SUM($G$18062:$K$18062)&gt;0.001,IF(C18108&gt;0,"Partial repayment; PAYMENT DEFAULT","PAYMENT DEFAULT"),"Repaid from cash"))))</f>
        <v>Refinanced</v>
      </c>
    </row>
    <row r="18111" customFormat="false" ht="15" hidden="false" customHeight="false" outlineLevel="0" collapsed="false">
      <c r="A18111" s="5" t="s">
        <v>286</v>
      </c>
      <c r="C18111" s="25" t="n">
        <f aca="false">SUMPRODUCT($G$18066:$K$18066,$G$18065:$K$18065-$G$18071:$K$18071+$G$18070:$K$18070)</f>
        <v>504.4</v>
      </c>
    </row>
    <row r="18112" customFormat="false" ht="15" hidden="false" customHeight="false" outlineLevel="0" collapsed="false">
      <c r="A18112" s="5" t="s">
        <v>287</v>
      </c>
      <c r="C18112" s="25" t="n">
        <f aca="false">SUMPRODUCT($G$18066:$K$18066,$G$18073:$K$18073)</f>
        <v>0</v>
      </c>
    </row>
    <row r="18113" customFormat="false" ht="15" hidden="false" customHeight="false" outlineLevel="0" collapsed="false">
      <c r="A18113" s="5" t="s">
        <v>288</v>
      </c>
      <c r="C18113" s="5" t="str">
        <f aca="false">IF(SUM($G$18066:$K$18066)=0,"n/a (beyond horizon)",IF(SUMPRODUCT($G$18066:$K$18066,$G$18050:$K$18050)&gt;0,"REFINANCING PASS","REFINANCING FAILURE"))</f>
        <v>REFINANCING PASS</v>
      </c>
    </row>
    <row r="18114" customFormat="false" ht="15" hidden="false" customHeight="false" outlineLevel="0" collapsed="false">
      <c r="A18114" s="5" t="s">
        <v>289</v>
      </c>
      <c r="C18114" s="5" t="str">
        <f aca="false">IF(SUM($G$18066:$K$18066)=0,"n/a",IF(C18112&gt;=C18111-0.001,"Repaid from cash",IF(SUMPRODUCT($G$18066:$K$18066,$G$18050:$K$18050)&gt;0,IF(C18112&gt;0,"Partly repaid; remainder refinanced","Refinanced"),IF(SUM($G$18075:$K$18075)&gt;0.001,IF(C18112&gt;0,"Partial repayment; PAYMENT DEFAULT","PAYMENT DEFAULT"),"Repaid from cash"))))</f>
        <v>Refinanced</v>
      </c>
    </row>
    <row r="18115" customFormat="false" ht="15" hidden="false" customHeight="false" outlineLevel="0" collapsed="false">
      <c r="A18115" s="5" t="s">
        <v>290</v>
      </c>
      <c r="C18115" s="25" t="n">
        <f aca="false">SUMPRODUCT($G$18079:$K$18079,$G$18078:$K$18078-$G$18084:$K$18084+$G$18083:$K$18083)</f>
        <v>250</v>
      </c>
    </row>
    <row r="18116" customFormat="false" ht="15" hidden="false" customHeight="false" outlineLevel="0" collapsed="false">
      <c r="A18116" s="5" t="s">
        <v>291</v>
      </c>
      <c r="C18116" s="25" t="n">
        <f aca="false">SUMPRODUCT($G$18079:$K$18079,$G$18086:$K$18086)</f>
        <v>0</v>
      </c>
    </row>
    <row r="18117" customFormat="false" ht="15" hidden="false" customHeight="false" outlineLevel="0" collapsed="false">
      <c r="A18117" s="5" t="s">
        <v>292</v>
      </c>
      <c r="C18117" s="5" t="str">
        <f aca="false">IF(SUM($G$18079:$K$18079)=0,"n/a (beyond horizon)",IF(SUMPRODUCT($G$18079:$K$18079,$G$18050:$K$18050)&gt;0,"REFINANCING PASS","REFINANCING FAILURE"))</f>
        <v>REFINANCING PASS</v>
      </c>
    </row>
    <row r="18118" customFormat="false" ht="15" hidden="false" customHeight="false" outlineLevel="0" collapsed="false">
      <c r="A18118" s="5" t="s">
        <v>293</v>
      </c>
      <c r="C18118" s="5" t="str">
        <f aca="false">IF(SUM($G$18079:$K$18079)=0,"n/a",IF(C18116&gt;=C18115-0.001,"Repaid from cash",IF(SUMPRODUCT($G$18079:$K$18079,$G$18050:$K$18050)&gt;0,IF(C18116&gt;0,"Partly repaid; remainder refinanced","Refinanced"),IF(SUM($G$18088:$K$18088)&gt;0.001,IF(C18116&gt;0,"Partial repayment; PAYMENT DEFAULT","PAYMENT DEFAULT"),"Repaid from cash"))))</f>
        <v>Refinanced</v>
      </c>
    </row>
    <row r="18119" customFormat="false" ht="15" hidden="false" customHeight="false" outlineLevel="0" collapsed="false">
      <c r="A18119" s="5" t="s">
        <v>294</v>
      </c>
      <c r="C18119" s="25" t="n">
        <f aca="false">SUMPRODUCT($G$18092:$K$18092,$G$18091:$K$18091-$G$18097:$K$18097+$G$18096:$K$18096)</f>
        <v>300</v>
      </c>
    </row>
    <row r="18120" customFormat="false" ht="15" hidden="false" customHeight="false" outlineLevel="0" collapsed="false">
      <c r="A18120" s="5" t="s">
        <v>295</v>
      </c>
      <c r="C18120" s="25" t="n">
        <f aca="false">SUMPRODUCT($G$18092:$K$18092,$G$18099:$K$18099)</f>
        <v>0</v>
      </c>
    </row>
    <row r="18121" customFormat="false" ht="15" hidden="false" customHeight="false" outlineLevel="0" collapsed="false">
      <c r="A18121" s="5" t="s">
        <v>296</v>
      </c>
      <c r="C18121" s="5" t="str">
        <f aca="false">IF(SUM($G$18092:$K$18092)=0,"n/a (beyond horizon)",IF(SUMPRODUCT($G$18092:$K$18092,$G$18050:$K$18050)&gt;0,"REFINANCING PASS","REFINANCING FAILURE"))</f>
        <v>REFINANCING PASS</v>
      </c>
    </row>
    <row r="18122" customFormat="false" ht="15" hidden="false" customHeight="false" outlineLevel="0" collapsed="false">
      <c r="A18122" s="5" t="s">
        <v>297</v>
      </c>
      <c r="C18122" s="5" t="str">
        <f aca="false">IF(SUM($G$18092:$K$18092)=0,"n/a",IF(C18120&gt;=C18119-0.001,"Repaid from cash",IF(SUMPRODUCT($G$18092:$K$18092,$G$18050:$K$18050)&gt;0,IF(C18120&gt;0,"Partly repaid; remainder refinanced","Refinanced"),IF(SUM($G$18101:$K$18101)&gt;0.001,IF(C18120&gt;0,"Partial repayment; PAYMENT DEFAULT","PAYMENT DEFAULT"),"Repaid from cash"))))</f>
        <v>Refinanced</v>
      </c>
    </row>
    <row r="18123" customFormat="false" ht="15" hidden="false" customHeight="false" outlineLevel="0" collapsed="false">
      <c r="A18123" s="5" t="s">
        <v>298</v>
      </c>
      <c r="C18123" s="20" t="n">
        <f aca="false">IF(C18109="REFINANCING FAILURE",1,0)+IF(C18113="REFINANCING FAILURE",1,0)+IF(C18117="REFINANCING FAILURE",1,0)+IF(C18121="REFINANCING FAILURE",1,0)</f>
        <v>0</v>
      </c>
    </row>
    <row r="18125" customFormat="false" ht="15" hidden="false" customHeight="false" outlineLevel="0" collapsed="false">
      <c r="A18125" s="23" t="s">
        <v>300</v>
      </c>
      <c r="B18125" s="24"/>
      <c r="C18125" s="24"/>
      <c r="D18125" s="24"/>
      <c r="E18125" s="24"/>
      <c r="F18125" s="24"/>
      <c r="G18125" s="24"/>
      <c r="H18125" s="24"/>
      <c r="I18125" s="24"/>
      <c r="J18125" s="24"/>
      <c r="K18125" s="24"/>
    </row>
    <row r="18126" customFormat="false" ht="15" hidden="false" customHeight="false" outlineLevel="0" collapsed="false">
      <c r="A18126" s="5" t="s">
        <v>260</v>
      </c>
      <c r="G18126" s="25" t="n">
        <f aca="false">F18138</f>
        <v>45</v>
      </c>
      <c r="H18126" s="25" t="n">
        <f aca="false">G18138</f>
        <v>0</v>
      </c>
      <c r="I18126" s="25" t="n">
        <f aca="false">H18138</f>
        <v>-6.00915999999998</v>
      </c>
      <c r="J18126" s="25" t="n">
        <f aca="false">I18138</f>
        <v>0</v>
      </c>
      <c r="K18126" s="25" t="n">
        <f aca="false">J18138</f>
        <v>0</v>
      </c>
    </row>
    <row r="18127" customFormat="false" ht="15" hidden="false" customHeight="false" outlineLevel="0" collapsed="false">
      <c r="A18127" s="5" t="s">
        <v>301</v>
      </c>
      <c r="G18127" s="25" t="n">
        <f aca="false">G18039</f>
        <v>-9.24000000000001</v>
      </c>
      <c r="H18127" s="25" t="n">
        <f aca="false">H18039</f>
        <v>-0.809159999999978</v>
      </c>
      <c r="I18127" s="25" t="n">
        <f aca="false">I18039</f>
        <v>-9.94934960000002</v>
      </c>
      <c r="J18127" s="25" t="n">
        <f aca="false">J18039</f>
        <v>-14.378423312</v>
      </c>
      <c r="K18127" s="25" t="n">
        <f aca="false">K18039</f>
        <v>-12.59901176424</v>
      </c>
    </row>
    <row r="18128" customFormat="false" ht="15" hidden="false" customHeight="false" outlineLevel="0" collapsed="false">
      <c r="A18128" s="5" t="s">
        <v>302</v>
      </c>
      <c r="G18128" s="25" t="n">
        <f aca="false">CHOOSE($C$18009,Assumptions!$G$68,Assumptions!$G$87,Assumptions!$G$106)</f>
        <v>0</v>
      </c>
      <c r="H18128" s="25" t="n">
        <f aca="false">CHOOSE($C$18009,Assumptions!$H$68,Assumptions!$H$87,Assumptions!$H$106)</f>
        <v>0</v>
      </c>
      <c r="I18128" s="25" t="n">
        <f aca="false">CHOOSE($C$18009,Assumptions!$I$68,Assumptions!$I$87,Assumptions!$I$106)</f>
        <v>0</v>
      </c>
      <c r="J18128" s="25" t="n">
        <f aca="false">CHOOSE($C$18009,Assumptions!$J$68,Assumptions!$J$87,Assumptions!$J$106)</f>
        <v>0</v>
      </c>
      <c r="K18128" s="25" t="n">
        <f aca="false">CHOOSE($C$18009,Assumptions!$K$68,Assumptions!$K$87,Assumptions!$K$106)</f>
        <v>0</v>
      </c>
    </row>
    <row r="18129" customFormat="false" ht="15" hidden="false" customHeight="false" outlineLevel="0" collapsed="false">
      <c r="A18129" s="5" t="s">
        <v>303</v>
      </c>
      <c r="G18129" s="25" t="n">
        <f aca="false">G18058+G18071+G18084+G18097</f>
        <v>5.2</v>
      </c>
      <c r="H18129" s="25" t="n">
        <f aca="false">H18058+H18071+H18084+H18097</f>
        <v>5.2</v>
      </c>
      <c r="I18129" s="25" t="n">
        <f aca="false">I18058+I18071+I18084+I18097</f>
        <v>5.2</v>
      </c>
      <c r="J18129" s="25" t="n">
        <f aca="false">J18058+J18071+J18084+J18097</f>
        <v>5.2</v>
      </c>
      <c r="K18129" s="25" t="n">
        <f aca="false">K18058+K18071+K18084+K18097</f>
        <v>5.2</v>
      </c>
    </row>
    <row r="18130" customFormat="false" ht="15" hidden="false" customHeight="false" outlineLevel="0" collapsed="false">
      <c r="A18130" s="2" t="s">
        <v>304</v>
      </c>
      <c r="G18130" s="16" t="n">
        <f aca="false">G18126+G18127+G18128-G18129</f>
        <v>30.56</v>
      </c>
      <c r="H18130" s="16" t="n">
        <f aca="false">H18126+H18127+H18128-H18129</f>
        <v>-6.00915999999998</v>
      </c>
      <c r="I18130" s="16" t="n">
        <f aca="false">I18126+I18127+I18128-I18129</f>
        <v>-21.1585096</v>
      </c>
      <c r="J18130" s="16" t="n">
        <f aca="false">J18126+J18127+J18128-J18129</f>
        <v>-19.578423312</v>
      </c>
      <c r="K18130" s="16" t="n">
        <f aca="false">K18126+K18127+K18128-K18129</f>
        <v>-17.79901176424</v>
      </c>
    </row>
    <row r="18131" customFormat="false" ht="15" hidden="false" customHeight="false" outlineLevel="0" collapsed="false">
      <c r="A18131" s="5" t="s">
        <v>305</v>
      </c>
      <c r="G18131" s="25" t="n">
        <f aca="false">G18059+G18072+G18085+G18098</f>
        <v>0</v>
      </c>
      <c r="H18131" s="25" t="n">
        <f aca="false">H18059+H18072+H18085+H18098</f>
        <v>0</v>
      </c>
      <c r="I18131" s="25" t="n">
        <f aca="false">I18059+I18072+I18085+I18098</f>
        <v>21.1585096</v>
      </c>
      <c r="J18131" s="25" t="n">
        <f aca="false">J18059+J18072+J18085+J18098</f>
        <v>19.578423312</v>
      </c>
      <c r="K18131" s="25" t="n">
        <f aca="false">K18059+K18072+K18085+K18098</f>
        <v>17.79901176424</v>
      </c>
    </row>
    <row r="18132" customFormat="false" ht="15" hidden="false" customHeight="false" outlineLevel="0" collapsed="false">
      <c r="A18132" s="2" t="s">
        <v>306</v>
      </c>
      <c r="G18132" s="16" t="n">
        <f aca="false">G18130+G18131</f>
        <v>30.56</v>
      </c>
      <c r="H18132" s="16" t="n">
        <f aca="false">H18130+H18131</f>
        <v>-6.00915999999998</v>
      </c>
      <c r="I18132" s="16" t="n">
        <f aca="false">I18130+I18131</f>
        <v>0</v>
      </c>
      <c r="J18132" s="16" t="n">
        <f aca="false">J18130+J18131</f>
        <v>0</v>
      </c>
      <c r="K18132" s="16" t="n">
        <f aca="false">K18130+K18131</f>
        <v>0</v>
      </c>
    </row>
    <row r="18133" customFormat="false" ht="15" hidden="false" customHeight="false" outlineLevel="0" collapsed="false">
      <c r="A18133" s="5" t="s">
        <v>307</v>
      </c>
      <c r="G18133" s="25" t="n">
        <f aca="false">G18060+G18073+G18086+G18099</f>
        <v>0</v>
      </c>
      <c r="H18133" s="25" t="n">
        <f aca="false">H18060+H18073+H18086+H18099</f>
        <v>0</v>
      </c>
      <c r="I18133" s="25" t="n">
        <f aca="false">I18060+I18073+I18086+I18099</f>
        <v>0</v>
      </c>
      <c r="J18133" s="25" t="n">
        <f aca="false">J18060+J18073+J18086+J18099</f>
        <v>0</v>
      </c>
      <c r="K18133" s="25" t="n">
        <f aca="false">K18060+K18073+K18086+K18099</f>
        <v>0</v>
      </c>
    </row>
    <row r="18134" customFormat="false" ht="15" hidden="false" customHeight="false" outlineLevel="0" collapsed="false">
      <c r="A18134" s="2" t="s">
        <v>308</v>
      </c>
      <c r="G18134" s="16" t="n">
        <f aca="false">G18132-G18133</f>
        <v>30.56</v>
      </c>
      <c r="H18134" s="16" t="n">
        <f aca="false">H18132-H18133</f>
        <v>-6.00915999999998</v>
      </c>
      <c r="I18134" s="16" t="n">
        <f aca="false">I18132-I18133</f>
        <v>0</v>
      </c>
      <c r="J18134" s="16" t="n">
        <f aca="false">J18132-J18133</f>
        <v>0</v>
      </c>
      <c r="K18134" s="16" t="n">
        <f aca="false">K18132-K18133</f>
        <v>0</v>
      </c>
    </row>
    <row r="18135" customFormat="false" ht="15" hidden="false" customHeight="false" outlineLevel="0" collapsed="false">
      <c r="A18135" s="5" t="s">
        <v>309</v>
      </c>
      <c r="G18135" s="25" t="n">
        <f aca="false">MAX(0,-G18134)</f>
        <v>0</v>
      </c>
      <c r="H18135" s="25" t="n">
        <f aca="false">MAX(0,-H18134)</f>
        <v>6.00915999999998</v>
      </c>
      <c r="I18135" s="25" t="n">
        <f aca="false">MAX(0,-I18134)</f>
        <v>-0</v>
      </c>
      <c r="J18135" s="25" t="n">
        <f aca="false">MAX(0,-J18134)</f>
        <v>-0</v>
      </c>
      <c r="K18135" s="25" t="n">
        <f aca="false">MAX(0,-K18134)</f>
        <v>-0</v>
      </c>
    </row>
    <row r="18136" customFormat="false" ht="15" hidden="false" customHeight="false" outlineLevel="0" collapsed="false">
      <c r="A18136" s="5" t="s">
        <v>310</v>
      </c>
      <c r="G18136" s="25" t="n">
        <f aca="false">MAX(0,G18134-Assumptions!$C$12)*Assumptions!$C$13</f>
        <v>30.56</v>
      </c>
      <c r="H18136" s="25" t="n">
        <f aca="false">MAX(0,H18134-Assumptions!$C$12)*Assumptions!$C$13</f>
        <v>0</v>
      </c>
      <c r="I18136" s="25" t="n">
        <f aca="false">MAX(0,I18134-Assumptions!$C$12)*Assumptions!$C$13</f>
        <v>0</v>
      </c>
      <c r="J18136" s="25" t="n">
        <f aca="false">MAX(0,J18134-Assumptions!$C$12)*Assumptions!$C$13</f>
        <v>0</v>
      </c>
      <c r="K18136" s="25" t="n">
        <f aca="false">MAX(0,K18134-Assumptions!$C$12)*Assumptions!$C$13</f>
        <v>0</v>
      </c>
    </row>
    <row r="18137" customFormat="false" ht="15" hidden="false" customHeight="false" outlineLevel="0" collapsed="false">
      <c r="A18137" s="5" t="s">
        <v>311</v>
      </c>
      <c r="G18137" s="25" t="n">
        <f aca="false">G18061+G18074+G18087+G18100</f>
        <v>30.56</v>
      </c>
      <c r="H18137" s="25" t="n">
        <f aca="false">H18061+H18074+H18087+H18100</f>
        <v>0</v>
      </c>
      <c r="I18137" s="25" t="n">
        <f aca="false">I18061+I18074+I18087+I18100</f>
        <v>0</v>
      </c>
      <c r="J18137" s="25" t="n">
        <f aca="false">J18061+J18074+J18087+J18100</f>
        <v>0</v>
      </c>
      <c r="K18137" s="25" t="n">
        <f aca="false">K18061+K18074+K18087+K18100</f>
        <v>0</v>
      </c>
    </row>
    <row r="18138" customFormat="false" ht="15" hidden="false" customHeight="false" outlineLevel="0" collapsed="false">
      <c r="A18138" s="2" t="s">
        <v>312</v>
      </c>
      <c r="F18138" s="27" t="n">
        <f aca="false">Assumptions!$C$11</f>
        <v>45</v>
      </c>
      <c r="G18138" s="16" t="n">
        <f aca="false">G18134-G18137</f>
        <v>0</v>
      </c>
      <c r="H18138" s="16" t="n">
        <f aca="false">H18134-H18137</f>
        <v>-6.00915999999998</v>
      </c>
      <c r="I18138" s="16" t="n">
        <f aca="false">I18134-I18137</f>
        <v>0</v>
      </c>
      <c r="J18138" s="16" t="n">
        <f aca="false">J18134-J18137</f>
        <v>0</v>
      </c>
      <c r="K18138" s="16" t="n">
        <f aca="false">K18134-K18137</f>
        <v>0</v>
      </c>
    </row>
    <row r="18139" customFormat="false" ht="15" hidden="false" customHeight="false" outlineLevel="0" collapsed="false">
      <c r="A18139" s="5" t="s">
        <v>313</v>
      </c>
      <c r="G18139" s="25" t="n">
        <f aca="false">G18062+G18075+G18088+G18101</f>
        <v>0</v>
      </c>
      <c r="H18139" s="25" t="n">
        <f aca="false">H18062+H18075+H18088+H18101</f>
        <v>0</v>
      </c>
      <c r="I18139" s="25" t="n">
        <f aca="false">I18062+I18075+I18088+I18101</f>
        <v>0</v>
      </c>
      <c r="J18139" s="25" t="n">
        <f aca="false">J18062+J18075+J18088+J18101</f>
        <v>0</v>
      </c>
      <c r="K18139" s="25" t="n">
        <f aca="false">K18062+K18075+K18088+K18101</f>
        <v>0</v>
      </c>
    </row>
    <row r="18140" customFormat="false" ht="15" hidden="false" customHeight="false" outlineLevel="0" collapsed="false">
      <c r="A18140" s="5" t="s">
        <v>314</v>
      </c>
      <c r="G18140" s="20" t="n">
        <f aca="false">IF(OR(G18135&gt;0.001,G18139&gt;0.001),1,0)</f>
        <v>0</v>
      </c>
      <c r="H18140" s="20" t="n">
        <f aca="false">IF(OR(H18135&gt;0.001,H18139&gt;0.001),1,0)</f>
        <v>1</v>
      </c>
      <c r="I18140" s="20" t="n">
        <f aca="false">IF(OR(I18135&gt;0.001,I18139&gt;0.001),1,0)</f>
        <v>0</v>
      </c>
      <c r="J18140" s="20" t="n">
        <f aca="false">IF(OR(J18135&gt;0.001,J18139&gt;0.001),1,0)</f>
        <v>0</v>
      </c>
      <c r="K18140" s="20" t="n">
        <f aca="false">IF(OR(K18135&gt;0.001,K18139&gt;0.001),1,0)</f>
        <v>0</v>
      </c>
    </row>
    <row r="18141" customFormat="false" ht="15" hidden="false" customHeight="false" outlineLevel="0" collapsed="false">
      <c r="A18141" s="5" t="s">
        <v>315</v>
      </c>
      <c r="G18141" s="20" t="n">
        <f aca="false">IF(G18140=1,1,0)</f>
        <v>0</v>
      </c>
      <c r="H18141" s="20" t="n">
        <f aca="false">IF(AND(H18140=1,SUM($G$18140:G18140)=0),1,0)</f>
        <v>1</v>
      </c>
      <c r="I18141" s="20" t="n">
        <f aca="false">IF(AND(I18140=1,SUM($G$18140:H18140)=0),1,0)</f>
        <v>0</v>
      </c>
      <c r="J18141" s="20" t="n">
        <f aca="false">IF(AND(J18140=1,SUM($G$18140:I18140)=0),1,0)</f>
        <v>0</v>
      </c>
      <c r="K18141" s="20" t="n">
        <f aca="false">IF(AND(K18140=1,SUM($G$18140:J18140)=0),1,0)</f>
        <v>0</v>
      </c>
    </row>
    <row r="18142" customFormat="false" ht="15" hidden="false" customHeight="false" outlineLevel="0" collapsed="false">
      <c r="A18142" s="5" t="s">
        <v>316</v>
      </c>
      <c r="G18142" s="25" t="n">
        <f aca="false">(G18104-F18104)-(G18131+G18031-G18129-G18133-G18137)</f>
        <v>0</v>
      </c>
      <c r="H18142" s="25" t="n">
        <f aca="false">(H18104-G18104)-(H18131+H18031-H18129-H18133-H18137)</f>
        <v>-4.52970994047064E-014</v>
      </c>
      <c r="I18142" s="25" t="n">
        <f aca="false">(I18104-H18104)-(I18131+I18031-I18129-I18133-I18137)</f>
        <v>7.46069872548105E-014</v>
      </c>
      <c r="J18142" s="25" t="n">
        <f aca="false">(J18104-I18104)-(J18131+J18031-J18129-J18133-J18137)</f>
        <v>0</v>
      </c>
      <c r="K18142" s="25" t="n">
        <f aca="false">(K18104-J18104)-(K18131+K18031-K18129-K18133-K18137)</f>
        <v>0</v>
      </c>
    </row>
    <row r="18144" customFormat="false" ht="15" hidden="false" customHeight="false" outlineLevel="0" collapsed="false">
      <c r="A18144" s="23" t="s">
        <v>318</v>
      </c>
      <c r="B18144" s="24"/>
      <c r="C18144" s="24"/>
      <c r="D18144" s="24"/>
      <c r="E18144" s="24"/>
      <c r="F18144" s="24"/>
      <c r="G18144" s="24"/>
      <c r="H18144" s="24"/>
      <c r="I18144" s="24"/>
      <c r="J18144" s="24"/>
      <c r="K18144" s="24"/>
    </row>
    <row r="18145" customFormat="false" ht="15" hidden="false" customHeight="false" outlineLevel="0" collapsed="false">
      <c r="A18145" s="5" t="s">
        <v>319</v>
      </c>
      <c r="G18145" s="25" t="n">
        <f aca="false">G18104</f>
        <v>1214.24</v>
      </c>
      <c r="H18145" s="25" t="n">
        <f aca="false">H18104</f>
        <v>1209.04</v>
      </c>
      <c r="I18145" s="25" t="n">
        <f aca="false">I18104</f>
        <v>1224.9985096</v>
      </c>
      <c r="J18145" s="25" t="n">
        <f aca="false">J18104</f>
        <v>1239.376932912</v>
      </c>
      <c r="K18145" s="25" t="n">
        <f aca="false">K18104</f>
        <v>1251.97594467624</v>
      </c>
    </row>
    <row r="18146" customFormat="false" ht="15" hidden="false" customHeight="false" outlineLevel="0" collapsed="false">
      <c r="A18146" s="5" t="s">
        <v>320</v>
      </c>
      <c r="G18146" s="25" t="n">
        <f aca="false">Assumptions!$O$53*G18063+Assumptions!$O$54*G18076+Assumptions!$O$55*G18089+Assumptions!$O$56*G18102</f>
        <v>914.24</v>
      </c>
      <c r="H18146" s="25" t="n">
        <f aca="false">Assumptions!$O$53*H18063+Assumptions!$O$54*H18076+Assumptions!$O$55*H18089+Assumptions!$O$56*H18102</f>
        <v>909.04</v>
      </c>
      <c r="I18146" s="25" t="n">
        <f aca="false">Assumptions!$O$53*I18063+Assumptions!$O$54*I18076+Assumptions!$O$55*I18089+Assumptions!$O$56*I18102</f>
        <v>924.9985096</v>
      </c>
      <c r="J18146" s="25" t="n">
        <f aca="false">Assumptions!$O$53*J18063+Assumptions!$O$54*J18076+Assumptions!$O$55*J18089+Assumptions!$O$56*J18102</f>
        <v>939.376932912</v>
      </c>
      <c r="K18146" s="25" t="n">
        <f aca="false">Assumptions!$O$53*K18063+Assumptions!$O$54*K18076+Assumptions!$O$55*K18089+Assumptions!$O$56*K18102</f>
        <v>951.97594467624</v>
      </c>
    </row>
    <row r="18147" customFormat="false" ht="15" hidden="false" customHeight="false" outlineLevel="0" collapsed="false">
      <c r="A18147" s="5" t="s">
        <v>321</v>
      </c>
      <c r="G18147" s="25" t="n">
        <f aca="false">G18145-G18138</f>
        <v>1214.24</v>
      </c>
      <c r="H18147" s="25" t="n">
        <f aca="false">H18145-H18138</f>
        <v>1215.04916</v>
      </c>
      <c r="I18147" s="25" t="n">
        <f aca="false">I18145-I18138</f>
        <v>1224.9985096</v>
      </c>
      <c r="J18147" s="25" t="n">
        <f aca="false">J18145-J18138</f>
        <v>1239.376932912</v>
      </c>
      <c r="K18147" s="25" t="n">
        <f aca="false">K18145-K18138</f>
        <v>1251.97594467624</v>
      </c>
    </row>
    <row r="18148" customFormat="false" ht="15" hidden="false" customHeight="false" outlineLevel="0" collapsed="false">
      <c r="A18148" s="5" t="s">
        <v>322</v>
      </c>
      <c r="G18148" s="31" t="n">
        <f aca="false">IF(G18026&gt;0,G18145/G18026,0)</f>
        <v>7.86221186221186</v>
      </c>
      <c r="H18148" s="31" t="n">
        <f aca="false">IF(H18026&gt;0,H18145/H18026,0)</f>
        <v>7.67156970986309</v>
      </c>
      <c r="I18148" s="31" t="n">
        <f aca="false">IF(I18026&gt;0,I18145/I18026,0)</f>
        <v>7.62376751410553</v>
      </c>
      <c r="J18148" s="31" t="n">
        <f aca="false">IF(J18026&gt;0,J18145/J18026,0)</f>
        <v>7.5716937530992</v>
      </c>
      <c r="K18148" s="31" t="n">
        <f aca="false">IF(K18026&gt;0,K18145/K18026,0)</f>
        <v>7.51425466558389</v>
      </c>
    </row>
    <row r="18149" customFormat="false" ht="15" hidden="false" customHeight="false" outlineLevel="0" collapsed="false">
      <c r="A18149" s="5" t="s">
        <v>323</v>
      </c>
      <c r="G18149" s="31" t="n">
        <f aca="false">IF(G18026&gt;0,G18147/G18026,0)</f>
        <v>7.86221186221186</v>
      </c>
      <c r="H18149" s="31" t="n">
        <f aca="false">IF(H18026&gt;0,H18147/H18026,0)</f>
        <v>7.70969887832544</v>
      </c>
      <c r="I18149" s="31" t="n">
        <f aca="false">IF(I18026&gt;0,I18147/I18026,0)</f>
        <v>7.62376751410553</v>
      </c>
      <c r="J18149" s="31" t="n">
        <f aca="false">IF(J18026&gt;0,J18147/J18026,0)</f>
        <v>7.5716937530992</v>
      </c>
      <c r="K18149" s="31" t="n">
        <f aca="false">IF(K18026&gt;0,K18147/K18026,0)</f>
        <v>7.51425466558389</v>
      </c>
    </row>
    <row r="18150" customFormat="false" ht="15" hidden="false" customHeight="false" outlineLevel="0" collapsed="false">
      <c r="A18150" s="5" t="s">
        <v>324</v>
      </c>
      <c r="G18150" s="31" t="n">
        <f aca="false">IF(G18030&gt;0,G18026/G18030,0)</f>
        <v>1.29737903225806</v>
      </c>
      <c r="H18150" s="31" t="n">
        <f aca="false">IF(H18030&gt;0,H18026/H18030,0)</f>
        <v>1.37984675303662</v>
      </c>
      <c r="I18150" s="31" t="n">
        <f aca="false">IF(I18030&gt;0,I18026/I18030,0)</f>
        <v>1.26641336326206</v>
      </c>
      <c r="J18150" s="31" t="n">
        <f aca="false">IF(J18030&gt;0,J18026/J18030,0)</f>
        <v>1.21473661783139</v>
      </c>
      <c r="K18150" s="31" t="n">
        <f aca="false">IF(K18030&gt;0,K18026/K18030,0)</f>
        <v>1.22212036414877</v>
      </c>
    </row>
    <row r="18151" customFormat="false" ht="15" hidden="false" customHeight="false" outlineLevel="0" collapsed="false">
      <c r="A18151" s="5" t="s">
        <v>325</v>
      </c>
      <c r="G18151" s="31" t="n">
        <f aca="false">IF(G18030&gt;0,G18029/G18030,0)</f>
        <v>0.858266129032258</v>
      </c>
      <c r="H18151" s="31" t="n">
        <f aca="false">IF(H18030&gt;0,H18029/H18030,0)</f>
        <v>0.926762744576837</v>
      </c>
      <c r="I18151" s="31" t="n">
        <f aca="false">IF(I18030&gt;0,I18029/I18030,0)</f>
        <v>0.862629392366913</v>
      </c>
      <c r="J18151" s="31" t="n">
        <f aca="false">IF(J18030&gt;0,J18029/J18030,0)</f>
        <v>0.838339355968144</v>
      </c>
      <c r="K18151" s="31" t="n">
        <f aca="false">IF(K18030&gt;0,K18029/K18030,0)</f>
        <v>0.853810117419004</v>
      </c>
    </row>
    <row r="18152" customFormat="false" ht="15" hidden="false" customHeight="false" outlineLevel="0" collapsed="false">
      <c r="A18152" s="5" t="s">
        <v>182</v>
      </c>
      <c r="G18152" s="21" t="n">
        <f aca="false">IF(G18145&gt;0,G18039/G18145,0)</f>
        <v>-0.00760969824746344</v>
      </c>
      <c r="H18152" s="21" t="n">
        <f aca="false">IF(H18145&gt;0,H18039/H18145,0)</f>
        <v>-0.000669258254482877</v>
      </c>
      <c r="I18152" s="21" t="n">
        <f aca="false">IF(I18145&gt;0,I18039/I18145,0)</f>
        <v>-0.00812192792238481</v>
      </c>
      <c r="J18152" s="21" t="n">
        <f aca="false">IF(J18145&gt;0,J18039/J18145,0)</f>
        <v>-0.0116013320323922</v>
      </c>
      <c r="K18152" s="21" t="n">
        <f aca="false">IF(K18145&gt;0,K18039/K18145,0)</f>
        <v>-0.0100633017893152</v>
      </c>
    </row>
    <row r="18153" customFormat="false" ht="15" hidden="false" customHeight="false" outlineLevel="0" collapsed="false">
      <c r="A18153" s="5" t="s">
        <v>326</v>
      </c>
      <c r="G18153" s="31" t="n">
        <f aca="false">IF(G18030+G18129&gt;0,(G18026-G18037-G18034)/(G18030+G18129),0)</f>
        <v>0.860592401802962</v>
      </c>
      <c r="H18153" s="31" t="n">
        <f aca="false">IF(H18030+H18129&gt;0,(H18026-H18037-H18034)/(H18030+H18129),0)</f>
        <v>0.925802348838058</v>
      </c>
      <c r="I18153" s="31" t="n">
        <f aca="false">IF(I18030+I18129&gt;0,(I18026-I18037-I18034)/(I18030+I18129),0)</f>
        <v>0.863929842094743</v>
      </c>
      <c r="J18153" s="31" t="n">
        <f aca="false">IF(J18030+J18129&gt;0,(J18026-J18037-J18034)/(J18030+J18129),0)</f>
        <v>0.840136401281331</v>
      </c>
      <c r="K18153" s="31" t="n">
        <f aca="false">IF(K18030+K18129&gt;0,(K18026-K18037-K18034)/(K18030+K18129),0)</f>
        <v>0.854692886710214</v>
      </c>
    </row>
    <row r="18154" customFormat="false" ht="15" hidden="false" customHeight="false" outlineLevel="0" collapsed="false">
      <c r="A18154" s="5" t="s">
        <v>327</v>
      </c>
      <c r="G18154" s="25" t="n">
        <f aca="false">MAX(0,G18138)+Assumptions!$P$53*MAX(0,Assumptions!$D$53-G18063)+Assumptions!$P$54*MAX(0,Assumptions!$D$54-G18076)+Assumptions!$P$55*MAX(0,Assumptions!$D$55-G18089)+Assumptions!$P$56*MAX(0,Assumptions!$D$56-G18102)</f>
        <v>150.56</v>
      </c>
      <c r="H18154" s="25" t="n">
        <f aca="false">MAX(0,H18138)+Assumptions!$P$53*MAX(0,Assumptions!$D$53-H18063)+Assumptions!$P$54*MAX(0,Assumptions!$D$54-H18076)+Assumptions!$P$55*MAX(0,Assumptions!$D$55-H18089)+Assumptions!$P$56*MAX(0,Assumptions!$D$56-H18102)</f>
        <v>150.56</v>
      </c>
      <c r="I18154" s="25" t="n">
        <f aca="false">MAX(0,I18138)+Assumptions!$P$53*MAX(0,Assumptions!$D$53-I18063)+Assumptions!$P$54*MAX(0,Assumptions!$D$54-I18076)+Assumptions!$P$55*MAX(0,Assumptions!$D$55-I18089)+Assumptions!$P$56*MAX(0,Assumptions!$D$56-I18102)</f>
        <v>129.4014904</v>
      </c>
      <c r="J18154" s="25" t="n">
        <f aca="false">MAX(0,J18138)+Assumptions!$P$53*MAX(0,Assumptions!$D$53-J18063)+Assumptions!$P$54*MAX(0,Assumptions!$D$54-J18076)+Assumptions!$P$55*MAX(0,Assumptions!$D$55-J18089)+Assumptions!$P$56*MAX(0,Assumptions!$D$56-J18102)</f>
        <v>109.823067088</v>
      </c>
      <c r="K18154" s="25" t="n">
        <f aca="false">MAX(0,K18138)+Assumptions!$P$53*MAX(0,Assumptions!$D$53-K18063)+Assumptions!$P$54*MAX(0,Assumptions!$D$54-K18076)+Assumptions!$P$55*MAX(0,Assumptions!$D$55-K18089)+Assumptions!$P$56*MAX(0,Assumptions!$D$56-K18102)</f>
        <v>92.02405532376</v>
      </c>
    </row>
    <row r="18155" customFormat="false" ht="15" hidden="false" customHeight="false" outlineLevel="0" collapsed="false">
      <c r="A18155" s="5" t="s">
        <v>328</v>
      </c>
      <c r="G18155" s="21" t="n">
        <f aca="false">IF(G18145&gt;0,G18145/(G18145+MAX(0,G18026*CHOOSE($C$18009,Assumptions!$C$76,Assumptions!$C$95,Assumptions!$C$114)-G18147)),0)</f>
        <v>1</v>
      </c>
      <c r="H18155" s="21" t="n">
        <f aca="false">IF(H18145&gt;0,H18145/(H18145+MAX(0,H18026*CHOOSE($C$18009,Assumptions!$C$76,Assumptions!$C$95,Assumptions!$C$114)-H18147)),0)</f>
        <v>1</v>
      </c>
      <c r="I18155" s="21" t="n">
        <f aca="false">IF(I18145&gt;0,I18145/(I18145+MAX(0,I18026*CHOOSE($C$18009,Assumptions!$C$76,Assumptions!$C$95,Assumptions!$C$114)-I18147)),0)</f>
        <v>1</v>
      </c>
      <c r="J18155" s="21" t="n">
        <f aca="false">IF(J18145&gt;0,J18145/(J18145+MAX(0,J18026*CHOOSE($C$18009,Assumptions!$C$76,Assumptions!$C$95,Assumptions!$C$114)-J18147)),0)</f>
        <v>1</v>
      </c>
      <c r="K18155" s="21" t="n">
        <f aca="false">IF(K18145&gt;0,K18145/(K18145+MAX(0,K18026*CHOOSE($C$18009,Assumptions!$C$76,Assumptions!$C$95,Assumptions!$C$114)-K18147)),0)</f>
        <v>1</v>
      </c>
    </row>
    <row r="18156" customFormat="false" ht="15" hidden="false" customHeight="false" outlineLevel="0" collapsed="false">
      <c r="A18156" s="5" t="s">
        <v>329</v>
      </c>
      <c r="G18156" s="21" t="n">
        <f aca="false">IF(G18145&gt;0,MAX(0,G18138)/G18145,0)</f>
        <v>0</v>
      </c>
      <c r="H18156" s="21" t="n">
        <f aca="false">IF(H18145&gt;0,MAX(0,H18138)/H18145,0)</f>
        <v>0</v>
      </c>
      <c r="I18156" s="21" t="n">
        <f aca="false">IF(I18145&gt;0,MAX(0,I18138)/I18145,0)</f>
        <v>0</v>
      </c>
      <c r="J18156" s="21" t="n">
        <f aca="false">IF(J18145&gt;0,MAX(0,J18138)/J18145,0)</f>
        <v>0</v>
      </c>
      <c r="K18156" s="21" t="n">
        <f aca="false">IF(K18145&gt;0,MAX(0,K18138)/K18145,0)</f>
        <v>0</v>
      </c>
    </row>
    <row r="18157" customFormat="false" ht="15" hidden="false" customHeight="false" outlineLevel="0" collapsed="false">
      <c r="A18157" s="5" t="s">
        <v>330</v>
      </c>
      <c r="G18157" s="25" t="n">
        <f aca="false">Assumptions!$C$27*(1-CHOOSE($C$18009,Assumptions!$C$79,Assumptions!$C$98,Assumptions!$C$117))</f>
        <v>1040</v>
      </c>
      <c r="H18157" s="25" t="n">
        <f aca="false">Assumptions!$C$27*(1-CHOOSE($C$18009,Assumptions!$C$79,Assumptions!$C$98,Assumptions!$C$117))</f>
        <v>1040</v>
      </c>
      <c r="I18157" s="25" t="n">
        <f aca="false">Assumptions!$C$27*(1-CHOOSE($C$18009,Assumptions!$C$79,Assumptions!$C$98,Assumptions!$C$117))</f>
        <v>1040</v>
      </c>
      <c r="J18157" s="25" t="n">
        <f aca="false">Assumptions!$C$27*(1-CHOOSE($C$18009,Assumptions!$C$79,Assumptions!$C$98,Assumptions!$C$117))</f>
        <v>1040</v>
      </c>
      <c r="K18157" s="25" t="n">
        <f aca="false">Assumptions!$C$27*(1-CHOOSE($C$18009,Assumptions!$C$79,Assumptions!$C$98,Assumptions!$C$117))</f>
        <v>1040</v>
      </c>
    </row>
    <row r="18158" customFormat="false" ht="15" hidden="false" customHeight="false" outlineLevel="0" collapsed="false">
      <c r="A18158" s="23" t="s">
        <v>331</v>
      </c>
      <c r="B18158" s="24"/>
      <c r="C18158" s="24"/>
      <c r="D18158" s="24"/>
      <c r="E18158" s="24"/>
      <c r="F18158" s="24"/>
      <c r="G18158" s="24"/>
      <c r="H18158" s="24"/>
      <c r="I18158" s="24"/>
      <c r="J18158" s="24"/>
      <c r="K18158" s="24"/>
    </row>
    <row r="18159" customFormat="false" ht="15" hidden="false" customHeight="false" outlineLevel="0" collapsed="false">
      <c r="A18159" s="23" t="s">
        <v>332</v>
      </c>
      <c r="B18159" s="24"/>
      <c r="C18159" s="24"/>
      <c r="D18159" s="24"/>
      <c r="E18159" s="24"/>
      <c r="F18159" s="24"/>
      <c r="G18159" s="24"/>
      <c r="H18159" s="24"/>
      <c r="I18159" s="24"/>
      <c r="J18159" s="24"/>
      <c r="K18159" s="24"/>
    </row>
    <row r="18160" customFormat="false" ht="15" hidden="false" customHeight="false" outlineLevel="0" collapsed="false">
      <c r="A18160" s="5" t="s">
        <v>333</v>
      </c>
      <c r="G18160" s="31" t="n">
        <f aca="false">IF(G18026&gt;0,G18147/G18026,99)</f>
        <v>7.86221186221186</v>
      </c>
      <c r="H18160" s="31" t="n">
        <f aca="false">IF(H18026&gt;0,H18147/H18026,99)</f>
        <v>7.70969887832544</v>
      </c>
      <c r="I18160" s="31" t="n">
        <f aca="false">IF(I18026&gt;0,I18147/I18026,99)</f>
        <v>7.62376751410553</v>
      </c>
      <c r="J18160" s="31" t="n">
        <f aca="false">IF(J18026&gt;0,J18147/J18026,99)</f>
        <v>7.5716937530992</v>
      </c>
      <c r="K18160" s="31" t="n">
        <f aca="false">IF(K18026&gt;0,K18147/K18026,99)</f>
        <v>7.51425466558389</v>
      </c>
    </row>
    <row r="18161" customFormat="false" ht="15" hidden="false" customHeight="false" outlineLevel="0" collapsed="false">
      <c r="A18161" s="5" t="s">
        <v>334</v>
      </c>
      <c r="G18161" s="32" t="n">
        <f aca="false">Assumptions!$G$61</f>
        <v>8.5</v>
      </c>
      <c r="H18161" s="32" t="n">
        <f aca="false">Assumptions!$H$61</f>
        <v>8.5</v>
      </c>
      <c r="I18161" s="32" t="n">
        <f aca="false">Assumptions!$I$61</f>
        <v>8.5</v>
      </c>
      <c r="J18161" s="32" t="n">
        <f aca="false">Assumptions!$J$61</f>
        <v>8.5</v>
      </c>
      <c r="K18161" s="32" t="n">
        <f aca="false">Assumptions!$K$61</f>
        <v>8.5</v>
      </c>
    </row>
    <row r="18162" customFormat="false" ht="15" hidden="false" customHeight="false" outlineLevel="0" collapsed="false">
      <c r="A18162" s="5" t="s">
        <v>335</v>
      </c>
      <c r="G18162" s="31" t="n">
        <f aca="false">G18161-G18160</f>
        <v>0.637788137788138</v>
      </c>
      <c r="H18162" s="31" t="n">
        <f aca="false">H18161-H18160</f>
        <v>0.790301121674557</v>
      </c>
      <c r="I18162" s="31" t="n">
        <f aca="false">I18161-I18160</f>
        <v>0.876232485894469</v>
      </c>
      <c r="J18162" s="31" t="n">
        <f aca="false">J18161-J18160</f>
        <v>0.928306246900803</v>
      </c>
      <c r="K18162" s="31" t="n">
        <f aca="false">K18161-K18160</f>
        <v>0.985745334416111</v>
      </c>
    </row>
    <row r="18163" customFormat="false" ht="15" hidden="false" customHeight="false" outlineLevel="0" collapsed="false">
      <c r="A18163" s="5" t="s">
        <v>336</v>
      </c>
      <c r="G18163" s="21" t="n">
        <f aca="false">IF(G18161=0,0,G18162/ABS(G18161))</f>
        <v>0.0750338985633103</v>
      </c>
      <c r="H18163" s="21" t="n">
        <f aca="false">IF(H18161=0,0,H18162/ABS(H18161))</f>
        <v>0.0929766025499479</v>
      </c>
      <c r="I18163" s="21" t="n">
        <f aca="false">IF(I18161=0,0,I18162/ABS(I18161))</f>
        <v>0.103086174811114</v>
      </c>
      <c r="J18163" s="21" t="n">
        <f aca="false">IF(J18161=0,0,J18162/ABS(J18161))</f>
        <v>0.109212499635389</v>
      </c>
      <c r="K18163" s="21" t="n">
        <f aca="false">IF(K18161=0,0,K18162/ABS(K18161))</f>
        <v>0.115970039343072</v>
      </c>
    </row>
    <row r="18164" customFormat="false" ht="15" hidden="false" customHeight="false" outlineLevel="0" collapsed="false">
      <c r="A18164" s="5" t="s">
        <v>337</v>
      </c>
      <c r="G18164" s="20" t="n">
        <f aca="false">IF(G18162&lt;0,1,0)</f>
        <v>0</v>
      </c>
      <c r="H18164" s="20" t="n">
        <f aca="false">IF(H18162&lt;0,1,0)</f>
        <v>0</v>
      </c>
      <c r="I18164" s="20" t="n">
        <f aca="false">IF(I18162&lt;0,1,0)</f>
        <v>0</v>
      </c>
      <c r="J18164" s="20" t="n">
        <f aca="false">IF(J18162&lt;0,1,0)</f>
        <v>0</v>
      </c>
      <c r="K18164" s="20" t="n">
        <f aca="false">IF(K18162&lt;0,1,0)</f>
        <v>0</v>
      </c>
    </row>
    <row r="18165" customFormat="false" ht="15" hidden="false" customHeight="false" outlineLevel="0" collapsed="false">
      <c r="A18165" s="5" t="s">
        <v>338</v>
      </c>
      <c r="C18165" s="20" t="n">
        <f aca="false">IFERROR(INDEX($G$18016:$K$18016,MATCH(1,$G$18164:$K$18164,0)),0)</f>
        <v>0</v>
      </c>
    </row>
    <row r="18166" customFormat="false" ht="15" hidden="false" customHeight="false" outlineLevel="0" collapsed="false">
      <c r="A18166" s="5" t="s">
        <v>339</v>
      </c>
      <c r="C18166" s="21" t="n">
        <f aca="false">MIN($G$18163:$K$18163)</f>
        <v>0.0750338985633103</v>
      </c>
    </row>
    <row r="18167" customFormat="false" ht="15" hidden="false" customHeight="false" outlineLevel="0" collapsed="false">
      <c r="A18167" s="5" t="s">
        <v>340</v>
      </c>
      <c r="G18167" s="20" t="n">
        <f aca="false">G18164</f>
        <v>0</v>
      </c>
      <c r="H18167" s="20" t="n">
        <f aca="false">H18164</f>
        <v>0</v>
      </c>
      <c r="I18167" s="20" t="n">
        <f aca="false">I18164</f>
        <v>0</v>
      </c>
      <c r="J18167" s="20" t="n">
        <f aca="false">J18164</f>
        <v>0</v>
      </c>
      <c r="K18167" s="20" t="n">
        <f aca="false">K18164</f>
        <v>0</v>
      </c>
    </row>
    <row r="18168" customFormat="false" ht="15" hidden="false" customHeight="false" outlineLevel="0" collapsed="false">
      <c r="A18168" s="5" t="s">
        <v>341</v>
      </c>
      <c r="C18168" s="20" t="n">
        <f aca="false">SUM($G$18167:$K$18167)</f>
        <v>0</v>
      </c>
    </row>
    <row r="18169" customFormat="false" ht="15" hidden="false" customHeight="false" outlineLevel="0" collapsed="false">
      <c r="A18169" s="5" t="s">
        <v>342</v>
      </c>
      <c r="C18169" s="21" t="n">
        <f aca="false">MIN(C18166)</f>
        <v>0.0750338985633103</v>
      </c>
    </row>
    <row r="18171" customFormat="false" ht="15" hidden="false" customHeight="false" outlineLevel="0" collapsed="false">
      <c r="A18171" s="23" t="s">
        <v>444</v>
      </c>
      <c r="B18171" s="24"/>
      <c r="C18171" s="24"/>
      <c r="D18171" s="24"/>
      <c r="E18171" s="24"/>
      <c r="F18171" s="24"/>
      <c r="G18171" s="24"/>
      <c r="H18171" s="24"/>
      <c r="I18171" s="24"/>
      <c r="J18171" s="24"/>
      <c r="K18171" s="24"/>
    </row>
    <row r="18172" customFormat="false" ht="15" hidden="false" customHeight="false" outlineLevel="0" collapsed="false">
      <c r="A18172" s="5" t="s">
        <v>445</v>
      </c>
      <c r="G18172" s="20" t="n">
        <f aca="false">IF($C$18173=1,G18141,IF(G18026=MIN($G$18026:$K$18026),1,0))</f>
        <v>0</v>
      </c>
      <c r="H18172" s="20" t="n">
        <f aca="false">IF($C$18173=1,H18141,IF(AND(H18026=MIN($G$18026:$K$18026),SUM($G$18172:G18172)=0),1,0))</f>
        <v>1</v>
      </c>
      <c r="I18172" s="20" t="n">
        <f aca="false">IF($C$18173=1,I18141,IF(AND(I18026=MIN($G$18026:$K$18026),SUM($G$18172:H18172)=0),1,0))</f>
        <v>0</v>
      </c>
      <c r="J18172" s="20" t="n">
        <f aca="false">IF($C$18173=1,J18141,IF(AND(J18026=MIN($G$18026:$K$18026),SUM($G$18172:I18172)=0),1,0))</f>
        <v>0</v>
      </c>
      <c r="K18172" s="20" t="n">
        <f aca="false">IF($C$18173=1,K18141,IF(AND(K18026=MIN($G$18026:$K$18026),SUM($G$18172:J18172)=0),1,0))</f>
        <v>0</v>
      </c>
    </row>
    <row r="18173" customFormat="false" ht="15" hidden="false" customHeight="false" outlineLevel="0" collapsed="false">
      <c r="A18173" s="5" t="s">
        <v>446</v>
      </c>
      <c r="C18173" s="20" t="n">
        <f aca="false">IF(SUM($G$18141:$K$18141)&gt;0,1,0)</f>
        <v>1</v>
      </c>
    </row>
    <row r="18174" customFormat="false" ht="15" hidden="false" customHeight="false" outlineLevel="0" collapsed="false">
      <c r="A18174" s="5" t="s">
        <v>447</v>
      </c>
      <c r="C18174" s="20" t="n">
        <f aca="false">SUMPRODUCT($G$18172:$K$18172,$G$18016:$K$18016)</f>
        <v>2027</v>
      </c>
    </row>
    <row r="18175" customFormat="false" ht="15" hidden="false" customHeight="false" outlineLevel="0" collapsed="false">
      <c r="A18175" s="5" t="s">
        <v>448</v>
      </c>
      <c r="C18175" s="25" t="n">
        <f aca="false">SUMPRODUCT($G$18172:$K$18172,$G$18026:$K$18026)</f>
        <v>157.60008</v>
      </c>
    </row>
    <row r="18176" customFormat="false" ht="15" hidden="false" customHeight="false" outlineLevel="0" collapsed="false">
      <c r="A18176" s="5" t="s">
        <v>449</v>
      </c>
      <c r="C18176" s="25" t="n">
        <f aca="false">MAX(0,SUMPRODUCT($G$18172:$K$18172,$G$18138:$K$18138))</f>
        <v>0</v>
      </c>
    </row>
    <row r="18177" customFormat="false" ht="15" hidden="false" customHeight="false" outlineLevel="0" collapsed="false">
      <c r="A18177" s="5" t="s">
        <v>450</v>
      </c>
      <c r="C18177" s="25" t="n">
        <f aca="false">(CHOOSE($C$18009,Assumptions!$C$78,Assumptions!$C$97,Assumptions!$C$116)+$C$18013)*C18175</f>
        <v>788.0004</v>
      </c>
    </row>
    <row r="18178" customFormat="false" ht="15" hidden="false" customHeight="false" outlineLevel="0" collapsed="false">
      <c r="A18178" s="5" t="s">
        <v>451</v>
      </c>
      <c r="C18178" s="25" t="n">
        <f aca="false">Assumptions!$C$27*(1-CHOOSE($C$18009,Assumptions!$C$79,Assumptions!$C$98,Assumptions!$C$117))*CHOOSE($C$18009,Assumptions!$C$80,Assumptions!$C$99,Assumptions!$C$118)</f>
        <v>624</v>
      </c>
    </row>
    <row r="18179" customFormat="false" ht="15" hidden="false" customHeight="false" outlineLevel="0" collapsed="false">
      <c r="A18179" s="5" t="s">
        <v>452</v>
      </c>
      <c r="C18179" s="25" t="n">
        <f aca="false">MAX(C18177,C18178)+C18176</f>
        <v>788.0004</v>
      </c>
    </row>
    <row r="18180" customFormat="false" ht="15" hidden="false" customHeight="false" outlineLevel="0" collapsed="false">
      <c r="A18180" s="2" t="s">
        <v>453</v>
      </c>
      <c r="C18180" s="16" t="n">
        <f aca="false">IF(ISNUMBER(Assumptions!$C$14),Assumptions!$C$14,C18179)</f>
        <v>788.0004</v>
      </c>
    </row>
    <row r="18181" customFormat="false" ht="15" hidden="false" customHeight="false" outlineLevel="0" collapsed="false">
      <c r="A18181" s="5" t="s">
        <v>454</v>
      </c>
      <c r="C18181" s="25" t="n">
        <f aca="false">C18180*Assumptions!$C$15</f>
        <v>31.520016</v>
      </c>
    </row>
    <row r="18182" customFormat="false" ht="15" hidden="false" customHeight="false" outlineLevel="0" collapsed="false">
      <c r="A18182" s="2" t="s">
        <v>455</v>
      </c>
      <c r="C18182" s="16" t="n">
        <f aca="false">C18180-C18181</f>
        <v>756.480384</v>
      </c>
    </row>
    <row r="18183" customFormat="false" ht="15" hidden="false" customHeight="false" outlineLevel="0" collapsed="false">
      <c r="A18183" s="23" t="s">
        <v>456</v>
      </c>
      <c r="B18183" s="24"/>
      <c r="C18183" s="24"/>
      <c r="D18183" s="24"/>
      <c r="E18183" s="24"/>
      <c r="F18183" s="24"/>
      <c r="G18183" s="24"/>
      <c r="H18183" s="24"/>
      <c r="I18183" s="24"/>
      <c r="J18183" s="24"/>
      <c r="K18183" s="24"/>
    </row>
    <row r="18184" customFormat="false" ht="15" hidden="false" customHeight="false" outlineLevel="0" collapsed="false">
      <c r="A18184" s="5" t="s">
        <v>457</v>
      </c>
      <c r="C18184" s="25" t="n">
        <f aca="false">SUMPRODUCT($G$18172:$K$18172,$G$18063:$K$18063)*(1+SUMPRODUCT($G$18172:$K$18172,$G$18055:$K$18055)*Assumptions!$C$16/12)</f>
        <v>152.55956</v>
      </c>
    </row>
    <row r="18185" customFormat="false" ht="15" hidden="false" customHeight="false" outlineLevel="0" collapsed="false">
      <c r="A18185" s="5" t="s">
        <v>458</v>
      </c>
      <c r="C18185" s="25" t="n">
        <f aca="false">SUMPRODUCT($G$18172:$K$18172,$G$18076:$K$18076)*(1+SUMPRODUCT($G$18172:$K$18172,$G$18068:$K$18068)*Assumptions!$C$16/12)</f>
        <v>522.4037</v>
      </c>
    </row>
    <row r="18186" customFormat="false" ht="15" hidden="false" customHeight="false" outlineLevel="0" collapsed="false">
      <c r="A18186" s="5" t="s">
        <v>459</v>
      </c>
      <c r="C18186" s="25" t="n">
        <f aca="false">SUMPRODUCT($G$18172:$K$18172,$G$18089:$K$18089)*(1+SUMPRODUCT($G$18172:$K$18172,$G$18081:$K$18081)*Assumptions!$C$16/12)</f>
        <v>256.875</v>
      </c>
    </row>
    <row r="18187" customFormat="false" ht="15" hidden="false" customHeight="false" outlineLevel="0" collapsed="false">
      <c r="A18187" s="5" t="s">
        <v>460</v>
      </c>
      <c r="C18187" s="25" t="n">
        <f aca="false">SUMPRODUCT($G$18172:$K$18172,$G$18102:$K$18102)*(1+SUMPRODUCT($G$18172:$K$18172,$G$18094:$K$18094)*Assumptions!$C$16/12)</f>
        <v>305.625</v>
      </c>
    </row>
    <row r="18188" customFormat="false" ht="15" hidden="false" customHeight="false" outlineLevel="0" collapsed="false">
      <c r="A18188" s="23" t="s">
        <v>461</v>
      </c>
      <c r="B18188" s="24"/>
      <c r="C18188" s="24"/>
      <c r="D18188" s="24"/>
      <c r="E18188" s="24"/>
      <c r="F18188" s="24"/>
      <c r="G18188" s="24"/>
      <c r="H18188" s="24"/>
      <c r="I18188" s="24"/>
      <c r="J18188" s="24"/>
      <c r="K18188" s="24"/>
    </row>
    <row r="18189" customFormat="false" ht="15" hidden="false" customHeight="false" outlineLevel="0" collapsed="false">
      <c r="A18189" s="5" t="s">
        <v>457</v>
      </c>
      <c r="C18189" s="26" t="n">
        <f aca="false">Assumptions!$M$53</f>
        <v>1</v>
      </c>
    </row>
    <row r="18190" customFormat="false" ht="15" hidden="false" customHeight="false" outlineLevel="0" collapsed="false">
      <c r="A18190" s="5" t="s">
        <v>458</v>
      </c>
      <c r="C18190" s="26" t="n">
        <f aca="false">Assumptions!$M$54</f>
        <v>2</v>
      </c>
    </row>
    <row r="18191" customFormat="false" ht="15" hidden="false" customHeight="false" outlineLevel="0" collapsed="false">
      <c r="A18191" s="5" t="s">
        <v>459</v>
      </c>
      <c r="C18191" s="26" t="n">
        <f aca="false">Assumptions!$M$55</f>
        <v>3</v>
      </c>
    </row>
    <row r="18192" customFormat="false" ht="15" hidden="false" customHeight="false" outlineLevel="0" collapsed="false">
      <c r="A18192" s="5" t="s">
        <v>460</v>
      </c>
      <c r="C18192" s="26" t="n">
        <f aca="false">Assumptions!$M$56</f>
        <v>4</v>
      </c>
    </row>
    <row r="18193" customFormat="false" ht="15" hidden="false" customHeight="false" outlineLevel="0" collapsed="false">
      <c r="A18193" s="23" t="s">
        <v>462</v>
      </c>
      <c r="B18193" s="24"/>
      <c r="C18193" s="24"/>
      <c r="D18193" s="24"/>
      <c r="E18193" s="24"/>
      <c r="F18193" s="24"/>
      <c r="G18193" s="24"/>
      <c r="H18193" s="24"/>
      <c r="I18193" s="24"/>
      <c r="J18193" s="24"/>
      <c r="K18193" s="24"/>
    </row>
    <row r="18194" customFormat="false" ht="15" hidden="false" customHeight="false" outlineLevel="0" collapsed="false">
      <c r="A18194" s="5" t="s">
        <v>457</v>
      </c>
      <c r="C18194" s="34" t="n">
        <f aca="false">Assumptions!$Q$53</f>
        <v>0</v>
      </c>
    </row>
    <row r="18195" customFormat="false" ht="15" hidden="false" customHeight="false" outlineLevel="0" collapsed="false">
      <c r="A18195" s="5" t="s">
        <v>458</v>
      </c>
      <c r="C18195" s="34" t="n">
        <f aca="false">Assumptions!$Q$54</f>
        <v>0</v>
      </c>
    </row>
    <row r="18196" customFormat="false" ht="15" hidden="false" customHeight="false" outlineLevel="0" collapsed="false">
      <c r="A18196" s="5" t="s">
        <v>459</v>
      </c>
      <c r="C18196" s="34" t="n">
        <f aca="false">Assumptions!$Q$55</f>
        <v>0</v>
      </c>
    </row>
    <row r="18197" customFormat="false" ht="15" hidden="false" customHeight="false" outlineLevel="0" collapsed="false">
      <c r="A18197" s="5" t="s">
        <v>460</v>
      </c>
      <c r="C18197" s="34" t="n">
        <f aca="false">Assumptions!$Q$56</f>
        <v>0</v>
      </c>
    </row>
    <row r="18198" customFormat="false" ht="15" hidden="false" customHeight="false" outlineLevel="0" collapsed="false">
      <c r="A18198" s="23" t="s">
        <v>463</v>
      </c>
      <c r="B18198" s="24"/>
      <c r="C18198" s="24"/>
      <c r="D18198" s="24"/>
      <c r="E18198" s="24"/>
      <c r="F18198" s="24"/>
      <c r="G18198" s="24"/>
      <c r="H18198" s="24"/>
      <c r="I18198" s="24"/>
      <c r="J18198" s="24"/>
      <c r="K18198" s="24"/>
    </row>
    <row r="18199" customFormat="false" ht="15" hidden="false" customHeight="false" outlineLevel="0" collapsed="false">
      <c r="A18199" s="5" t="s">
        <v>457</v>
      </c>
      <c r="C18199" s="25" t="n">
        <f aca="false">IF(C18194&gt;0,MIN(C18184,C18194*$C$18182),0)</f>
        <v>0</v>
      </c>
    </row>
    <row r="18200" customFormat="false" ht="15" hidden="false" customHeight="false" outlineLevel="0" collapsed="false">
      <c r="A18200" s="5" t="s">
        <v>458</v>
      </c>
      <c r="C18200" s="25" t="n">
        <f aca="false">IF(C18195&gt;0,MIN(C18185,C18195*$C$18182),0)</f>
        <v>0</v>
      </c>
    </row>
    <row r="18201" customFormat="false" ht="15" hidden="false" customHeight="false" outlineLevel="0" collapsed="false">
      <c r="A18201" s="5" t="s">
        <v>459</v>
      </c>
      <c r="C18201" s="25" t="n">
        <f aca="false">IF(C18196&gt;0,MIN(C18186,C18196*$C$18182),0)</f>
        <v>0</v>
      </c>
    </row>
    <row r="18202" customFormat="false" ht="15" hidden="false" customHeight="false" outlineLevel="0" collapsed="false">
      <c r="A18202" s="5" t="s">
        <v>460</v>
      </c>
      <c r="C18202" s="25" t="n">
        <f aca="false">IF(C18197&gt;0,MIN(C18187,C18197*$C$18182),0)</f>
        <v>0</v>
      </c>
    </row>
    <row r="18203" customFormat="false" ht="15" hidden="false" customHeight="false" outlineLevel="0" collapsed="false">
      <c r="A18203" s="23" t="s">
        <v>464</v>
      </c>
      <c r="B18203" s="24"/>
      <c r="C18203" s="24"/>
      <c r="D18203" s="24"/>
      <c r="E18203" s="24"/>
      <c r="F18203" s="24"/>
      <c r="G18203" s="24"/>
      <c r="H18203" s="24"/>
      <c r="I18203" s="24"/>
      <c r="J18203" s="24"/>
      <c r="K18203" s="24"/>
    </row>
    <row r="18204" customFormat="false" ht="15" hidden="false" customHeight="false" outlineLevel="0" collapsed="false">
      <c r="A18204" s="5" t="s">
        <v>457</v>
      </c>
      <c r="C18204" s="25" t="n">
        <f aca="false">IF(C18194&gt;0,C18184-C18199,0)</f>
        <v>0</v>
      </c>
      <c r="G18204" s="20" t="n">
        <f aca="false">IF(AND(G18053=1,G18050=1),1,0)</f>
        <v>0</v>
      </c>
      <c r="H18204" s="20" t="n">
        <f aca="false">IF(G18204=1,1,IF(AND(H18053=1,H18050=1),1,0))</f>
        <v>1</v>
      </c>
      <c r="I18204" s="20" t="n">
        <f aca="false">IF(H18204=1,1,IF(AND(I18053=1,I18050=1),1,0))</f>
        <v>1</v>
      </c>
      <c r="J18204" s="20" t="n">
        <f aca="false">IF(I18204=1,1,IF(AND(J18053=1,J18050=1),1,0))</f>
        <v>1</v>
      </c>
      <c r="K18204" s="20" t="n">
        <f aca="false">IF(J18204=1,1,IF(AND(K18053=1,K18050=1),1,0))</f>
        <v>1</v>
      </c>
    </row>
    <row r="18205" customFormat="false" ht="15" hidden="false" customHeight="false" outlineLevel="0" collapsed="false">
      <c r="A18205" s="5" t="s">
        <v>458</v>
      </c>
      <c r="C18205" s="25" t="n">
        <f aca="false">IF(C18195&gt;0,C18185-C18200,0)</f>
        <v>0</v>
      </c>
      <c r="G18205" s="20" t="n">
        <f aca="false">IF(AND(G18066=1,G18050=1),1,0)</f>
        <v>0</v>
      </c>
      <c r="H18205" s="20" t="n">
        <f aca="false">IF(G18205=1,1,IF(AND(H18066=1,H18050=1),1,0))</f>
        <v>0</v>
      </c>
      <c r="I18205" s="20" t="n">
        <f aca="false">IF(H18205=1,1,IF(AND(I18066=1,I18050=1),1,0))</f>
        <v>1</v>
      </c>
      <c r="J18205" s="20" t="n">
        <f aca="false">IF(I18205=1,1,IF(AND(J18066=1,J18050=1),1,0))</f>
        <v>1</v>
      </c>
      <c r="K18205" s="20" t="n">
        <f aca="false">IF(J18205=1,1,IF(AND(K18066=1,K18050=1),1,0))</f>
        <v>1</v>
      </c>
    </row>
    <row r="18206" customFormat="false" ht="15" hidden="false" customHeight="false" outlineLevel="0" collapsed="false">
      <c r="A18206" s="5" t="s">
        <v>459</v>
      </c>
      <c r="C18206" s="25" t="n">
        <f aca="false">IF(C18196&gt;0,C18186-C18201,0)</f>
        <v>0</v>
      </c>
      <c r="G18206" s="20" t="n">
        <f aca="false">IF(AND(G18079=1,G18050=1),1,0)</f>
        <v>0</v>
      </c>
      <c r="H18206" s="20" t="n">
        <f aca="false">IF(G18206=1,1,IF(AND(H18079=1,H18050=1),1,0))</f>
        <v>0</v>
      </c>
      <c r="I18206" s="20" t="n">
        <f aca="false">IF(H18206=1,1,IF(AND(I18079=1,I18050=1),1,0))</f>
        <v>0</v>
      </c>
      <c r="J18206" s="20" t="n">
        <f aca="false">IF(I18206=1,1,IF(AND(J18079=1,J18050=1),1,0))</f>
        <v>1</v>
      </c>
      <c r="K18206" s="20" t="n">
        <f aca="false">IF(J18206=1,1,IF(AND(K18079=1,K18050=1),1,0))</f>
        <v>1</v>
      </c>
    </row>
    <row r="18207" customFormat="false" ht="15" hidden="false" customHeight="false" outlineLevel="0" collapsed="false">
      <c r="A18207" s="5" t="s">
        <v>460</v>
      </c>
      <c r="C18207" s="25" t="n">
        <f aca="false">IF(C18197&gt;0,C18187-C18202,0)</f>
        <v>0</v>
      </c>
      <c r="G18207" s="20" t="n">
        <f aca="false">IF(AND(G18092=1,G18050=1),1,0)</f>
        <v>0</v>
      </c>
      <c r="H18207" s="20" t="n">
        <f aca="false">IF(G18207=1,1,IF(AND(H18092=1,H18050=1),1,0))</f>
        <v>1</v>
      </c>
      <c r="I18207" s="20" t="n">
        <f aca="false">IF(H18207=1,1,IF(AND(I18092=1,I18050=1),1,0))</f>
        <v>1</v>
      </c>
      <c r="J18207" s="20" t="n">
        <f aca="false">IF(I18207=1,1,IF(AND(J18092=1,J18050=1),1,0))</f>
        <v>1</v>
      </c>
      <c r="K18207" s="20" t="n">
        <f aca="false">IF(J18207=1,1,IF(AND(K18092=1,K18050=1),1,0))</f>
        <v>1</v>
      </c>
    </row>
    <row r="18208" customFormat="false" ht="15" hidden="false" customHeight="false" outlineLevel="0" collapsed="false">
      <c r="A18208" s="23" t="s">
        <v>465</v>
      </c>
      <c r="B18208" s="24"/>
      <c r="C18208" s="24"/>
      <c r="D18208" s="24"/>
      <c r="E18208" s="24"/>
      <c r="F18208" s="24"/>
      <c r="G18208" s="24"/>
      <c r="H18208" s="24"/>
      <c r="I18208" s="24"/>
      <c r="J18208" s="24"/>
      <c r="K18208" s="24"/>
    </row>
    <row r="18209" customFormat="false" ht="15" hidden="false" customHeight="false" outlineLevel="0" collapsed="false">
      <c r="A18209" s="5" t="s">
        <v>457</v>
      </c>
      <c r="C18209" s="25" t="n">
        <f aca="false">IF(C18194&gt;0,C18204,C18184)</f>
        <v>152.55956</v>
      </c>
    </row>
    <row r="18210" customFormat="false" ht="15" hidden="false" customHeight="false" outlineLevel="0" collapsed="false">
      <c r="A18210" s="5" t="s">
        <v>458</v>
      </c>
      <c r="C18210" s="25" t="n">
        <f aca="false">IF(C18195&gt;0,C18205,C18185)</f>
        <v>522.4037</v>
      </c>
    </row>
    <row r="18211" customFormat="false" ht="15" hidden="false" customHeight="false" outlineLevel="0" collapsed="false">
      <c r="A18211" s="5" t="s">
        <v>459</v>
      </c>
      <c r="C18211" s="25" t="n">
        <f aca="false">IF(C18196&gt;0,C18206,C18186)</f>
        <v>256.875</v>
      </c>
    </row>
    <row r="18212" customFormat="false" ht="15" hidden="false" customHeight="false" outlineLevel="0" collapsed="false">
      <c r="A18212" s="5" t="s">
        <v>460</v>
      </c>
      <c r="C18212" s="25" t="n">
        <f aca="false">IF(C18197&gt;0,C18207,C18187)</f>
        <v>305.625</v>
      </c>
    </row>
    <row r="18213" customFormat="false" ht="15" hidden="false" customHeight="false" outlineLevel="0" collapsed="false">
      <c r="A18213" s="23" t="s">
        <v>466</v>
      </c>
      <c r="B18213" s="24"/>
      <c r="C18213" s="24"/>
      <c r="D18213" s="24"/>
      <c r="E18213" s="24"/>
      <c r="F18213" s="24"/>
      <c r="G18213" s="24"/>
      <c r="H18213" s="24"/>
      <c r="I18213" s="24"/>
      <c r="J18213" s="24"/>
      <c r="K18213" s="24"/>
    </row>
    <row r="18214" customFormat="false" ht="15" hidden="false" customHeight="false" outlineLevel="0" collapsed="false">
      <c r="A18214" s="5" t="s">
        <v>457</v>
      </c>
      <c r="C18214" s="20" t="n">
        <f aca="false">IF(C18194&gt;0,Assumptions!$C$17,C18189)</f>
        <v>1</v>
      </c>
    </row>
    <row r="18215" customFormat="false" ht="15" hidden="false" customHeight="false" outlineLevel="0" collapsed="false">
      <c r="A18215" s="5" t="s">
        <v>458</v>
      </c>
      <c r="C18215" s="20" t="n">
        <f aca="false">IF(C18195&gt;0,Assumptions!$C$17,C18190)</f>
        <v>2</v>
      </c>
    </row>
    <row r="18216" customFormat="false" ht="15" hidden="false" customHeight="false" outlineLevel="0" collapsed="false">
      <c r="A18216" s="5" t="s">
        <v>459</v>
      </c>
      <c r="C18216" s="20" t="n">
        <f aca="false">IF(C18196&gt;0,Assumptions!$C$17,C18191)</f>
        <v>3</v>
      </c>
    </row>
    <row r="18217" customFormat="false" ht="15" hidden="false" customHeight="false" outlineLevel="0" collapsed="false">
      <c r="A18217" s="5" t="s">
        <v>460</v>
      </c>
      <c r="C18217" s="20" t="n">
        <f aca="false">IF(C18197&gt;0,Assumptions!$C$17,C18192)</f>
        <v>4</v>
      </c>
    </row>
    <row r="18218" customFormat="false" ht="15" hidden="false" customHeight="false" outlineLevel="0" collapsed="false">
      <c r="A18218" s="23" t="s">
        <v>467</v>
      </c>
      <c r="B18218" s="24"/>
      <c r="C18218" s="24"/>
      <c r="D18218" s="24"/>
      <c r="E18218" s="24"/>
      <c r="F18218" s="24"/>
      <c r="G18218" s="24"/>
      <c r="H18218" s="24"/>
      <c r="I18218" s="24"/>
      <c r="J18218" s="24"/>
      <c r="K18218" s="24"/>
    </row>
    <row r="18219" customFormat="false" ht="15" hidden="false" customHeight="false" outlineLevel="0" collapsed="false">
      <c r="A18219" s="5" t="s">
        <v>457</v>
      </c>
      <c r="C18219" s="25" t="n">
        <f aca="false">SUMPRODUCT(($C$18214:$C$18217&lt;C18214)*$C$18209:$C$18212)</f>
        <v>0</v>
      </c>
    </row>
    <row r="18220" customFormat="false" ht="15" hidden="false" customHeight="false" outlineLevel="0" collapsed="false">
      <c r="A18220" s="5" t="s">
        <v>458</v>
      </c>
      <c r="C18220" s="25" t="n">
        <f aca="false">SUMPRODUCT(($C$18214:$C$18217&lt;C18215)*$C$18209:$C$18212)</f>
        <v>152.55956</v>
      </c>
    </row>
    <row r="18221" customFormat="false" ht="15" hidden="false" customHeight="false" outlineLevel="0" collapsed="false">
      <c r="A18221" s="5" t="s">
        <v>459</v>
      </c>
      <c r="C18221" s="25" t="n">
        <f aca="false">SUMPRODUCT(($C$18214:$C$18217&lt;C18216)*$C$18209:$C$18212)</f>
        <v>674.96326</v>
      </c>
    </row>
    <row r="18222" customFormat="false" ht="15" hidden="false" customHeight="false" outlineLevel="0" collapsed="false">
      <c r="A18222" s="5" t="s">
        <v>460</v>
      </c>
      <c r="C18222" s="25" t="n">
        <f aca="false">SUMPRODUCT(($C$18214:$C$18217&lt;C18217)*$C$18209:$C$18212)</f>
        <v>931.83826</v>
      </c>
    </row>
    <row r="18223" customFormat="false" ht="15" hidden="false" customHeight="false" outlineLevel="0" collapsed="false">
      <c r="A18223" s="23" t="s">
        <v>468</v>
      </c>
      <c r="B18223" s="24"/>
      <c r="C18223" s="24"/>
      <c r="D18223" s="24"/>
      <c r="E18223" s="24"/>
      <c r="F18223" s="24"/>
      <c r="G18223" s="24"/>
      <c r="H18223" s="24"/>
      <c r="I18223" s="24"/>
      <c r="J18223" s="24"/>
      <c r="K18223" s="24"/>
    </row>
    <row r="18224" customFormat="false" ht="15" hidden="false" customHeight="false" outlineLevel="0" collapsed="false">
      <c r="A18224" s="5" t="s">
        <v>457</v>
      </c>
      <c r="C18224" s="25" t="n">
        <f aca="false">SUMPRODUCT(($C$18214:$C$18217=C18214)*$C$18209:$C$18212)</f>
        <v>152.55956</v>
      </c>
    </row>
    <row r="18225" customFormat="false" ht="15" hidden="false" customHeight="false" outlineLevel="0" collapsed="false">
      <c r="A18225" s="5" t="s">
        <v>458</v>
      </c>
      <c r="C18225" s="25" t="n">
        <f aca="false">SUMPRODUCT(($C$18214:$C$18217=C18215)*$C$18209:$C$18212)</f>
        <v>522.4037</v>
      </c>
    </row>
    <row r="18226" customFormat="false" ht="15" hidden="false" customHeight="false" outlineLevel="0" collapsed="false">
      <c r="A18226" s="5" t="s">
        <v>459</v>
      </c>
      <c r="C18226" s="25" t="n">
        <f aca="false">SUMPRODUCT(($C$18214:$C$18217=C18216)*$C$18209:$C$18212)</f>
        <v>256.875</v>
      </c>
    </row>
    <row r="18227" customFormat="false" ht="15" hidden="false" customHeight="false" outlineLevel="0" collapsed="false">
      <c r="A18227" s="5" t="s">
        <v>460</v>
      </c>
      <c r="C18227" s="25" t="n">
        <f aca="false">SUMPRODUCT(($C$18214:$C$18217=C18217)*$C$18209:$C$18212)</f>
        <v>305.625</v>
      </c>
    </row>
    <row r="18228" customFormat="false" ht="15" hidden="false" customHeight="false" outlineLevel="0" collapsed="false">
      <c r="A18228" s="23" t="s">
        <v>469</v>
      </c>
      <c r="B18228" s="24"/>
      <c r="C18228" s="24"/>
      <c r="D18228" s="24"/>
      <c r="E18228" s="24"/>
      <c r="F18228" s="24"/>
      <c r="G18228" s="24"/>
      <c r="H18228" s="24"/>
      <c r="I18228" s="24"/>
      <c r="J18228" s="24"/>
      <c r="K18228" s="24"/>
    </row>
    <row r="18229" customFormat="false" ht="15" hidden="false" customHeight="false" outlineLevel="0" collapsed="false">
      <c r="A18229" s="5" t="s">
        <v>457</v>
      </c>
      <c r="C18229" s="25" t="n">
        <f aca="false">IF(C18224=0,0,C18209/C18224*MAX(0,MIN(C18224,$C$18182-SUM($C$18199:$C$18202)-C18219)))</f>
        <v>152.55956</v>
      </c>
    </row>
    <row r="18230" customFormat="false" ht="15" hidden="false" customHeight="false" outlineLevel="0" collapsed="false">
      <c r="A18230" s="5" t="s">
        <v>458</v>
      </c>
      <c r="C18230" s="25" t="n">
        <f aca="false">IF(C18225=0,0,C18210/C18225*MAX(0,MIN(C18225,$C$18182-SUM($C$18199:$C$18202)-C18220)))</f>
        <v>522.4037</v>
      </c>
    </row>
    <row r="18231" customFormat="false" ht="15" hidden="false" customHeight="false" outlineLevel="0" collapsed="false">
      <c r="A18231" s="5" t="s">
        <v>459</v>
      </c>
      <c r="C18231" s="25" t="n">
        <f aca="false">IF(C18226=0,0,C18211/C18226*MAX(0,MIN(C18226,$C$18182-SUM($C$18199:$C$18202)-C18221)))</f>
        <v>81.517124</v>
      </c>
    </row>
    <row r="18232" customFormat="false" ht="15" hidden="false" customHeight="false" outlineLevel="0" collapsed="false">
      <c r="A18232" s="5" t="s">
        <v>460</v>
      </c>
      <c r="C18232" s="25" t="n">
        <f aca="false">IF(C18227=0,0,C18212/C18227*MAX(0,MIN(C18227,$C$18182-SUM($C$18199:$C$18202)-C18222)))</f>
        <v>0</v>
      </c>
    </row>
    <row r="18233" customFormat="false" ht="15" hidden="false" customHeight="false" outlineLevel="0" collapsed="false">
      <c r="A18233" s="23" t="s">
        <v>470</v>
      </c>
      <c r="B18233" s="24"/>
      <c r="C18233" s="24"/>
      <c r="D18233" s="24"/>
      <c r="E18233" s="24"/>
      <c r="F18233" s="24"/>
      <c r="G18233" s="24"/>
      <c r="H18233" s="24"/>
      <c r="I18233" s="24"/>
      <c r="J18233" s="24"/>
      <c r="K18233" s="24"/>
    </row>
    <row r="18234" customFormat="false" ht="15" hidden="false" customHeight="false" outlineLevel="0" collapsed="false">
      <c r="A18234" s="2" t="s">
        <v>457</v>
      </c>
      <c r="C18234" s="16" t="n">
        <f aca="false">C18199+C18229</f>
        <v>152.55956</v>
      </c>
    </row>
    <row r="18235" customFormat="false" ht="15" hidden="false" customHeight="false" outlineLevel="0" collapsed="false">
      <c r="A18235" s="2" t="s">
        <v>458</v>
      </c>
      <c r="C18235" s="16" t="n">
        <f aca="false">C18200+C18230</f>
        <v>522.4037</v>
      </c>
    </row>
    <row r="18236" customFormat="false" ht="15" hidden="false" customHeight="false" outlineLevel="0" collapsed="false">
      <c r="A18236" s="2" t="s">
        <v>459</v>
      </c>
      <c r="C18236" s="16" t="n">
        <f aca="false">C18201+C18231</f>
        <v>81.517124</v>
      </c>
    </row>
    <row r="18237" customFormat="false" ht="15" hidden="false" customHeight="false" outlineLevel="0" collapsed="false">
      <c r="A18237" s="2" t="s">
        <v>460</v>
      </c>
      <c r="C18237" s="16" t="n">
        <f aca="false">C18202+C18232</f>
        <v>0</v>
      </c>
    </row>
    <row r="18238" customFormat="false" ht="15" hidden="false" customHeight="false" outlineLevel="0" collapsed="false">
      <c r="A18238" s="23" t="s">
        <v>471</v>
      </c>
      <c r="B18238" s="24"/>
      <c r="C18238" s="24"/>
      <c r="D18238" s="24"/>
      <c r="E18238" s="24"/>
      <c r="F18238" s="24"/>
      <c r="G18238" s="24"/>
      <c r="H18238" s="24"/>
      <c r="I18238" s="24"/>
      <c r="J18238" s="24"/>
      <c r="K18238" s="24"/>
    </row>
    <row r="18239" customFormat="false" ht="15" hidden="false" customHeight="false" outlineLevel="0" collapsed="false">
      <c r="A18239" s="5" t="s">
        <v>457</v>
      </c>
      <c r="C18239" s="21" t="n">
        <f aca="false">IF(C18184=0,1,C18234/C18184)</f>
        <v>1</v>
      </c>
    </row>
    <row r="18240" customFormat="false" ht="15" hidden="false" customHeight="false" outlineLevel="0" collapsed="false">
      <c r="A18240" s="5" t="s">
        <v>458</v>
      </c>
      <c r="C18240" s="21" t="n">
        <f aca="false">IF(C18185=0,1,C18235/C18185)</f>
        <v>1</v>
      </c>
    </row>
    <row r="18241" customFormat="false" ht="15" hidden="false" customHeight="false" outlineLevel="0" collapsed="false">
      <c r="A18241" s="5" t="s">
        <v>459</v>
      </c>
      <c r="C18241" s="21" t="n">
        <f aca="false">IF(C18186=0,1,C18236/C18186)</f>
        <v>0.317341601946472</v>
      </c>
    </row>
    <row r="18242" customFormat="false" ht="15" hidden="false" customHeight="false" outlineLevel="0" collapsed="false">
      <c r="A18242" s="5" t="s">
        <v>460</v>
      </c>
      <c r="C18242" s="21" t="n">
        <f aca="false">IF(C18187=0,1,C18237/C18187)</f>
        <v>0</v>
      </c>
    </row>
    <row r="18243" customFormat="false" ht="15" hidden="false" customHeight="false" outlineLevel="0" collapsed="false">
      <c r="A18243" s="23" t="s">
        <v>472</v>
      </c>
      <c r="B18243" s="24"/>
      <c r="C18243" s="24"/>
      <c r="D18243" s="24"/>
      <c r="E18243" s="24"/>
      <c r="F18243" s="24"/>
      <c r="G18243" s="24"/>
      <c r="H18243" s="24"/>
      <c r="I18243" s="24"/>
      <c r="J18243" s="24"/>
      <c r="K18243" s="24"/>
    </row>
    <row r="18244" customFormat="false" ht="15" hidden="false" customHeight="false" outlineLevel="0" collapsed="false">
      <c r="A18244" s="5" t="s">
        <v>457</v>
      </c>
      <c r="C18244" s="25" t="n">
        <f aca="false">C18184-C18234</f>
        <v>0</v>
      </c>
    </row>
    <row r="18245" customFormat="false" ht="15" hidden="false" customHeight="false" outlineLevel="0" collapsed="false">
      <c r="A18245" s="5" t="s">
        <v>458</v>
      </c>
      <c r="C18245" s="25" t="n">
        <f aca="false">C18185-C18235</f>
        <v>0</v>
      </c>
    </row>
    <row r="18246" customFormat="false" ht="15" hidden="false" customHeight="false" outlineLevel="0" collapsed="false">
      <c r="A18246" s="5" t="s">
        <v>459</v>
      </c>
      <c r="C18246" s="25" t="n">
        <f aca="false">C18186-C18236</f>
        <v>175.357876</v>
      </c>
    </row>
    <row r="18247" customFormat="false" ht="15" hidden="false" customHeight="false" outlineLevel="0" collapsed="false">
      <c r="A18247" s="5" t="s">
        <v>460</v>
      </c>
      <c r="C18247" s="25" t="n">
        <f aca="false">C18187-C18237</f>
        <v>305.625</v>
      </c>
    </row>
    <row r="18248" customFormat="false" ht="15" hidden="false" customHeight="false" outlineLevel="0" collapsed="false">
      <c r="A18248" s="23" t="s">
        <v>473</v>
      </c>
      <c r="B18248" s="24"/>
      <c r="C18248" s="24"/>
      <c r="D18248" s="24"/>
      <c r="E18248" s="24"/>
      <c r="F18248" s="24"/>
      <c r="G18248" s="24"/>
      <c r="H18248" s="24"/>
      <c r="I18248" s="24"/>
      <c r="J18248" s="24"/>
      <c r="K18248" s="24"/>
    </row>
    <row r="18249" customFormat="false" ht="15" hidden="false" customHeight="false" outlineLevel="0" collapsed="false">
      <c r="A18249" s="5" t="s">
        <v>457</v>
      </c>
      <c r="C18249" s="21" t="n">
        <f aca="false">IF(C18184=0,0,C18244/C18184)</f>
        <v>0</v>
      </c>
    </row>
    <row r="18250" customFormat="false" ht="15" hidden="false" customHeight="false" outlineLevel="0" collapsed="false">
      <c r="A18250" s="5" t="s">
        <v>458</v>
      </c>
      <c r="C18250" s="21" t="n">
        <f aca="false">IF(C18185=0,0,C18245/C18185)</f>
        <v>0</v>
      </c>
    </row>
    <row r="18251" customFormat="false" ht="15" hidden="false" customHeight="false" outlineLevel="0" collapsed="false">
      <c r="A18251" s="5" t="s">
        <v>459</v>
      </c>
      <c r="C18251" s="21" t="n">
        <f aca="false">IF(C18186=0,0,C18246/C18186)</f>
        <v>0.682658398053528</v>
      </c>
    </row>
    <row r="18252" customFormat="false" ht="15" hidden="false" customHeight="false" outlineLevel="0" collapsed="false">
      <c r="A18252" s="5" t="s">
        <v>460</v>
      </c>
      <c r="C18252" s="21" t="n">
        <f aca="false">IF(C18187=0,0,C18247/C18187)</f>
        <v>1</v>
      </c>
    </row>
    <row r="18253" customFormat="false" ht="15" hidden="false" customHeight="false" outlineLevel="0" collapsed="false">
      <c r="A18253" s="2" t="s">
        <v>474</v>
      </c>
      <c r="C18253" s="16" t="n">
        <f aca="false">MAX(0,$C$18182-SUM($C$18199:$C$18202)-SUM($C$18209:$C$18212))</f>
        <v>0</v>
      </c>
    </row>
    <row r="18254" customFormat="false" ht="15" hidden="false" customHeight="false" outlineLevel="0" collapsed="false">
      <c r="A18254" s="5" t="s">
        <v>475</v>
      </c>
      <c r="C18254" s="25" t="n">
        <f aca="false">SUM($C$18234:$C$18237)+C18253+C18181-C18180</f>
        <v>0</v>
      </c>
    </row>
    <row r="18256" customFormat="false" ht="15" hidden="false" customHeight="false" outlineLevel="0" collapsed="false">
      <c r="A18256" s="23" t="s">
        <v>478</v>
      </c>
      <c r="B18256" s="24"/>
      <c r="C18256" s="24"/>
      <c r="D18256" s="24"/>
      <c r="E18256" s="24"/>
      <c r="F18256" s="24"/>
      <c r="G18256" s="24"/>
      <c r="H18256" s="24"/>
      <c r="I18256" s="24"/>
      <c r="J18256" s="24"/>
      <c r="K18256" s="24"/>
    </row>
    <row r="18257" customFormat="false" ht="15" hidden="false" customHeight="false" outlineLevel="0" collapsed="false">
      <c r="A18257" s="5" t="s">
        <v>479</v>
      </c>
      <c r="C18257" s="26" t="n">
        <f aca="false">Assumptions!$C$30</f>
        <v>2</v>
      </c>
    </row>
    <row r="18258" customFormat="false" ht="15" hidden="false" customHeight="false" outlineLevel="0" collapsed="false">
      <c r="A18258" s="5" t="s">
        <v>480</v>
      </c>
      <c r="C18258" s="28" t="n">
        <f aca="false">Assumptions!$C$31</f>
        <v>100</v>
      </c>
    </row>
    <row r="18259" customFormat="false" ht="15" hidden="false" customHeight="false" outlineLevel="0" collapsed="false">
      <c r="A18259" s="5" t="s">
        <v>481</v>
      </c>
      <c r="C18259" s="39" t="n">
        <f aca="false">Assumptions!$C$32</f>
        <v>78</v>
      </c>
    </row>
    <row r="18260" customFormat="false" ht="15" hidden="false" customHeight="false" outlineLevel="0" collapsed="false">
      <c r="A18260" s="5" t="s">
        <v>482</v>
      </c>
      <c r="C18260" s="25" t="n">
        <f aca="false">C18258*C18259/100*(1+Assumptions!$C$33)</f>
        <v>78.39</v>
      </c>
    </row>
    <row r="18261" customFormat="false" ht="15" hidden="false" customHeight="false" outlineLevel="0" collapsed="false">
      <c r="A18261" s="5" t="s">
        <v>483</v>
      </c>
      <c r="C18261" s="26" t="n">
        <f aca="false">Assumptions!$C$34</f>
        <v>2</v>
      </c>
    </row>
    <row r="18262" customFormat="false" ht="15" hidden="false" customHeight="false" outlineLevel="0" collapsed="false">
      <c r="A18262" s="5" t="s">
        <v>484</v>
      </c>
      <c r="C18262" s="20" t="n">
        <f aca="false">IF(C18173=1,SUMPRODUCT($G$18141:$K$18141,$G$18017:$K$18017),0)</f>
        <v>2</v>
      </c>
    </row>
    <row r="18263" customFormat="false" ht="15" hidden="false" customHeight="false" outlineLevel="0" collapsed="false">
      <c r="A18263" s="5" t="s">
        <v>485</v>
      </c>
      <c r="C18263" s="21" t="n">
        <f aca="false">IFERROR(C18258/CHOOSE(C18257,SUMPRODUCT($G$18172:$K$18172,$G$18063:$K$18063),SUMPRODUCT($G$18172:$K$18172,$G$18076:$K$18076),SUMPRODUCT($G$18172:$K$18172,$G$18089:$K$18089),SUMPRODUCT($G$18172:$K$18172,$G$18102:$K$18102)),0)</f>
        <v>0.196232339089482</v>
      </c>
    </row>
    <row r="18264" customFormat="false" ht="15" hidden="false" customHeight="false" outlineLevel="0" collapsed="false">
      <c r="A18264" s="5" t="s">
        <v>486</v>
      </c>
      <c r="C18264" s="25" t="n">
        <f aca="false">CHOOSE(C18257,C18234,C18235,C18236,C18237)*C18263</f>
        <v>102.5125</v>
      </c>
    </row>
    <row r="18265" customFormat="false" ht="15" hidden="false" customHeight="false" outlineLevel="0" collapsed="false">
      <c r="A18265" s="5" t="s">
        <v>487</v>
      </c>
      <c r="C18265" s="21" t="n">
        <f aca="false">CHOOSE(C18257,C18239,C18240,C18241,C18242)</f>
        <v>1</v>
      </c>
    </row>
    <row r="18266" customFormat="false" ht="15" hidden="false" customHeight="false" outlineLevel="0" collapsed="false">
      <c r="A18266" s="5" t="s">
        <v>488</v>
      </c>
      <c r="C18266" s="20" t="n">
        <f aca="false">IF(C18173=1,C18262,C18261)</f>
        <v>2</v>
      </c>
    </row>
    <row r="18267" customFormat="false" ht="15" hidden="false" customHeight="false" outlineLevel="0" collapsed="false">
      <c r="A18267" s="5" t="s">
        <v>489</v>
      </c>
      <c r="C18267" s="33" t="n">
        <f aca="false">CHOOSE($C$18009,Assumptions!$C$77,Assumptions!$C$96,Assumptions!$C$115)</f>
        <v>100</v>
      </c>
    </row>
    <row r="18268" customFormat="false" ht="15" hidden="false" customHeight="false" outlineLevel="0" collapsed="false">
      <c r="A18268" s="5" t="s">
        <v>490</v>
      </c>
      <c r="C18268" s="25" t="n">
        <f aca="false">INDEX($G$18026:$K$18026,C18261)*CHOOSE($C$18009,Assumptions!$C$76,Assumptions!$C$95,Assumptions!$C$114)+MAX(0,INDEX($G$18138:$K$18138,C18261))</f>
        <v>1024.40052</v>
      </c>
    </row>
    <row r="18269" customFormat="false" ht="15" hidden="false" customHeight="false" outlineLevel="0" collapsed="false">
      <c r="A18269" s="23" t="s">
        <v>491</v>
      </c>
      <c r="B18269" s="24"/>
      <c r="C18269" s="24"/>
      <c r="D18269" s="24"/>
      <c r="E18269" s="24"/>
      <c r="F18269" s="24"/>
      <c r="G18269" s="24"/>
      <c r="H18269" s="24"/>
      <c r="I18269" s="24"/>
      <c r="J18269" s="24"/>
      <c r="K18269" s="24"/>
    </row>
    <row r="18270" customFormat="false" ht="15" hidden="false" customHeight="false" outlineLevel="0" collapsed="false">
      <c r="A18270" s="5" t="s">
        <v>457</v>
      </c>
      <c r="C18270" s="25" t="n">
        <f aca="false">INDEX($G$18063:$K$18063,C18261)</f>
        <v>149.44</v>
      </c>
    </row>
    <row r="18271" customFormat="false" ht="15" hidden="false" customHeight="false" outlineLevel="0" collapsed="false">
      <c r="A18271" s="5" t="s">
        <v>458</v>
      </c>
      <c r="C18271" s="25" t="n">
        <f aca="false">INDEX($G$18076:$K$18076,C18261)</f>
        <v>509.6</v>
      </c>
    </row>
    <row r="18272" customFormat="false" ht="15" hidden="false" customHeight="false" outlineLevel="0" collapsed="false">
      <c r="A18272" s="5" t="s">
        <v>459</v>
      </c>
      <c r="C18272" s="25" t="n">
        <f aca="false">INDEX($G$18089:$K$18089,C18261)</f>
        <v>250</v>
      </c>
    </row>
    <row r="18273" customFormat="false" ht="15" hidden="false" customHeight="false" outlineLevel="0" collapsed="false">
      <c r="A18273" s="5" t="s">
        <v>460</v>
      </c>
      <c r="C18273" s="25" t="n">
        <f aca="false">INDEX($G$18102:$K$18102,C18261)</f>
        <v>300</v>
      </c>
    </row>
    <row r="18274" customFormat="false" ht="15" hidden="false" customHeight="false" outlineLevel="0" collapsed="false">
      <c r="A18274" s="23" t="s">
        <v>461</v>
      </c>
      <c r="B18274" s="24"/>
      <c r="C18274" s="24"/>
      <c r="D18274" s="24"/>
      <c r="E18274" s="24"/>
      <c r="F18274" s="24"/>
      <c r="G18274" s="24"/>
      <c r="H18274" s="24"/>
      <c r="I18274" s="24"/>
      <c r="J18274" s="24"/>
      <c r="K18274" s="24"/>
    </row>
    <row r="18275" customFormat="false" ht="15" hidden="false" customHeight="false" outlineLevel="0" collapsed="false">
      <c r="A18275" s="5" t="s">
        <v>457</v>
      </c>
      <c r="C18275" s="26" t="n">
        <f aca="false">Assumptions!$M$53</f>
        <v>1</v>
      </c>
    </row>
    <row r="18276" customFormat="false" ht="15" hidden="false" customHeight="false" outlineLevel="0" collapsed="false">
      <c r="A18276" s="5" t="s">
        <v>458</v>
      </c>
      <c r="C18276" s="26" t="n">
        <f aca="false">Assumptions!$M$54</f>
        <v>2</v>
      </c>
    </row>
    <row r="18277" customFormat="false" ht="15" hidden="false" customHeight="false" outlineLevel="0" collapsed="false">
      <c r="A18277" s="5" t="s">
        <v>459</v>
      </c>
      <c r="C18277" s="26" t="n">
        <f aca="false">Assumptions!$M$55</f>
        <v>3</v>
      </c>
    </row>
    <row r="18278" customFormat="false" ht="15" hidden="false" customHeight="false" outlineLevel="0" collapsed="false">
      <c r="A18278" s="5" t="s">
        <v>460</v>
      </c>
      <c r="C18278" s="26" t="n">
        <f aca="false">Assumptions!$M$56</f>
        <v>4</v>
      </c>
    </row>
    <row r="18279" customFormat="false" ht="15" hidden="false" customHeight="false" outlineLevel="0" collapsed="false">
      <c r="A18279" s="23" t="s">
        <v>462</v>
      </c>
      <c r="B18279" s="24"/>
      <c r="C18279" s="24"/>
      <c r="D18279" s="24"/>
      <c r="E18279" s="24"/>
      <c r="F18279" s="24"/>
      <c r="G18279" s="24"/>
      <c r="H18279" s="24"/>
      <c r="I18279" s="24"/>
      <c r="J18279" s="24"/>
      <c r="K18279" s="24"/>
    </row>
    <row r="18280" customFormat="false" ht="15" hidden="false" customHeight="false" outlineLevel="0" collapsed="false">
      <c r="A18280" s="5" t="s">
        <v>457</v>
      </c>
      <c r="C18280" s="34" t="n">
        <f aca="false">Assumptions!$Q$53</f>
        <v>0</v>
      </c>
    </row>
    <row r="18281" customFormat="false" ht="15" hidden="false" customHeight="false" outlineLevel="0" collapsed="false">
      <c r="A18281" s="5" t="s">
        <v>458</v>
      </c>
      <c r="C18281" s="34" t="n">
        <f aca="false">Assumptions!$Q$54</f>
        <v>0</v>
      </c>
    </row>
    <row r="18282" customFormat="false" ht="15" hidden="false" customHeight="false" outlineLevel="0" collapsed="false">
      <c r="A18282" s="5" t="s">
        <v>459</v>
      </c>
      <c r="C18282" s="34" t="n">
        <f aca="false">Assumptions!$Q$55</f>
        <v>0</v>
      </c>
    </row>
    <row r="18283" customFormat="false" ht="15" hidden="false" customHeight="false" outlineLevel="0" collapsed="false">
      <c r="A18283" s="5" t="s">
        <v>460</v>
      </c>
      <c r="C18283" s="34" t="n">
        <f aca="false">Assumptions!$Q$56</f>
        <v>0</v>
      </c>
    </row>
    <row r="18284" customFormat="false" ht="15" hidden="false" customHeight="false" outlineLevel="0" collapsed="false">
      <c r="A18284" s="23" t="s">
        <v>463</v>
      </c>
      <c r="B18284" s="24"/>
      <c r="C18284" s="24"/>
      <c r="D18284" s="24"/>
      <c r="E18284" s="24"/>
      <c r="F18284" s="24"/>
      <c r="G18284" s="24"/>
      <c r="H18284" s="24"/>
      <c r="I18284" s="24"/>
      <c r="J18284" s="24"/>
      <c r="K18284" s="24"/>
    </row>
    <row r="18285" customFormat="false" ht="15" hidden="false" customHeight="false" outlineLevel="0" collapsed="false">
      <c r="A18285" s="5" t="s">
        <v>457</v>
      </c>
      <c r="C18285" s="25" t="n">
        <f aca="false">IF(C18280&gt;0,MIN(C18270,C18280*$C$18268),0)</f>
        <v>0</v>
      </c>
    </row>
    <row r="18286" customFormat="false" ht="15" hidden="false" customHeight="false" outlineLevel="0" collapsed="false">
      <c r="A18286" s="5" t="s">
        <v>458</v>
      </c>
      <c r="C18286" s="25" t="n">
        <f aca="false">IF(C18281&gt;0,MIN(C18271,C18281*$C$18268),0)</f>
        <v>0</v>
      </c>
    </row>
    <row r="18287" customFormat="false" ht="15" hidden="false" customHeight="false" outlineLevel="0" collapsed="false">
      <c r="A18287" s="5" t="s">
        <v>459</v>
      </c>
      <c r="C18287" s="25" t="n">
        <f aca="false">IF(C18282&gt;0,MIN(C18272,C18282*$C$18268),0)</f>
        <v>0</v>
      </c>
    </row>
    <row r="18288" customFormat="false" ht="15" hidden="false" customHeight="false" outlineLevel="0" collapsed="false">
      <c r="A18288" s="5" t="s">
        <v>460</v>
      </c>
      <c r="C18288" s="25" t="n">
        <f aca="false">IF(C18283&gt;0,MIN(C18273,C18283*$C$18268),0)</f>
        <v>0</v>
      </c>
    </row>
    <row r="18289" customFormat="false" ht="15" hidden="false" customHeight="false" outlineLevel="0" collapsed="false">
      <c r="A18289" s="23" t="s">
        <v>464</v>
      </c>
      <c r="B18289" s="24"/>
      <c r="C18289" s="24"/>
      <c r="D18289" s="24"/>
      <c r="E18289" s="24"/>
      <c r="F18289" s="24"/>
      <c r="G18289" s="24"/>
      <c r="H18289" s="24"/>
      <c r="I18289" s="24"/>
      <c r="J18289" s="24"/>
      <c r="K18289" s="24"/>
    </row>
    <row r="18290" customFormat="false" ht="15" hidden="false" customHeight="false" outlineLevel="0" collapsed="false">
      <c r="A18290" s="5" t="s">
        <v>457</v>
      </c>
      <c r="C18290" s="25" t="n">
        <f aca="false">IF(C18280&gt;0,C18270-C18285,0)</f>
        <v>0</v>
      </c>
    </row>
    <row r="18291" customFormat="false" ht="15" hidden="false" customHeight="false" outlineLevel="0" collapsed="false">
      <c r="A18291" s="5" t="s">
        <v>458</v>
      </c>
      <c r="C18291" s="25" t="n">
        <f aca="false">IF(C18281&gt;0,C18271-C18286,0)</f>
        <v>0</v>
      </c>
    </row>
    <row r="18292" customFormat="false" ht="15" hidden="false" customHeight="false" outlineLevel="0" collapsed="false">
      <c r="A18292" s="5" t="s">
        <v>459</v>
      </c>
      <c r="C18292" s="25" t="n">
        <f aca="false">IF(C18282&gt;0,C18272-C18287,0)</f>
        <v>0</v>
      </c>
    </row>
    <row r="18293" customFormat="false" ht="15" hidden="false" customHeight="false" outlineLevel="0" collapsed="false">
      <c r="A18293" s="5" t="s">
        <v>460</v>
      </c>
      <c r="C18293" s="25" t="n">
        <f aca="false">IF(C18283&gt;0,C18273-C18288,0)</f>
        <v>0</v>
      </c>
    </row>
    <row r="18294" customFormat="false" ht="15" hidden="false" customHeight="false" outlineLevel="0" collapsed="false">
      <c r="A18294" s="23" t="s">
        <v>465</v>
      </c>
      <c r="B18294" s="24"/>
      <c r="C18294" s="24"/>
      <c r="D18294" s="24"/>
      <c r="E18294" s="24"/>
      <c r="F18294" s="24"/>
      <c r="G18294" s="24"/>
      <c r="H18294" s="24"/>
      <c r="I18294" s="24"/>
      <c r="J18294" s="24"/>
      <c r="K18294" s="24"/>
    </row>
    <row r="18295" customFormat="false" ht="15" hidden="false" customHeight="false" outlineLevel="0" collapsed="false">
      <c r="A18295" s="5" t="s">
        <v>457</v>
      </c>
      <c r="C18295" s="25" t="n">
        <f aca="false">IF(C18280&gt;0,C18290,C18270)</f>
        <v>149.44</v>
      </c>
    </row>
    <row r="18296" customFormat="false" ht="15" hidden="false" customHeight="false" outlineLevel="0" collapsed="false">
      <c r="A18296" s="5" t="s">
        <v>458</v>
      </c>
      <c r="C18296" s="25" t="n">
        <f aca="false">IF(C18281&gt;0,C18291,C18271)</f>
        <v>509.6</v>
      </c>
    </row>
    <row r="18297" customFormat="false" ht="15" hidden="false" customHeight="false" outlineLevel="0" collapsed="false">
      <c r="A18297" s="5" t="s">
        <v>459</v>
      </c>
      <c r="C18297" s="25" t="n">
        <f aca="false">IF(C18282&gt;0,C18292,C18272)</f>
        <v>250</v>
      </c>
    </row>
    <row r="18298" customFormat="false" ht="15" hidden="false" customHeight="false" outlineLevel="0" collapsed="false">
      <c r="A18298" s="5" t="s">
        <v>460</v>
      </c>
      <c r="C18298" s="25" t="n">
        <f aca="false">IF(C18283&gt;0,C18293,C18273)</f>
        <v>300</v>
      </c>
    </row>
    <row r="18299" customFormat="false" ht="15" hidden="false" customHeight="false" outlineLevel="0" collapsed="false">
      <c r="A18299" s="23" t="s">
        <v>466</v>
      </c>
      <c r="B18299" s="24"/>
      <c r="C18299" s="24"/>
      <c r="D18299" s="24"/>
      <c r="E18299" s="24"/>
      <c r="F18299" s="24"/>
      <c r="G18299" s="24"/>
      <c r="H18299" s="24"/>
      <c r="I18299" s="24"/>
      <c r="J18299" s="24"/>
      <c r="K18299" s="24"/>
    </row>
    <row r="18300" customFormat="false" ht="15" hidden="false" customHeight="false" outlineLevel="0" collapsed="false">
      <c r="A18300" s="5" t="s">
        <v>457</v>
      </c>
      <c r="C18300" s="20" t="n">
        <f aca="false">IF(C18280&gt;0,Assumptions!$C$17,C18275)</f>
        <v>1</v>
      </c>
    </row>
    <row r="18301" customFormat="false" ht="15" hidden="false" customHeight="false" outlineLevel="0" collapsed="false">
      <c r="A18301" s="5" t="s">
        <v>458</v>
      </c>
      <c r="C18301" s="20" t="n">
        <f aca="false">IF(C18281&gt;0,Assumptions!$C$17,C18276)</f>
        <v>2</v>
      </c>
    </row>
    <row r="18302" customFormat="false" ht="15" hidden="false" customHeight="false" outlineLevel="0" collapsed="false">
      <c r="A18302" s="5" t="s">
        <v>459</v>
      </c>
      <c r="C18302" s="20" t="n">
        <f aca="false">IF(C18282&gt;0,Assumptions!$C$17,C18277)</f>
        <v>3</v>
      </c>
    </row>
    <row r="18303" customFormat="false" ht="15" hidden="false" customHeight="false" outlineLevel="0" collapsed="false">
      <c r="A18303" s="5" t="s">
        <v>460</v>
      </c>
      <c r="C18303" s="20" t="n">
        <f aca="false">IF(C18283&gt;0,Assumptions!$C$17,C18278)</f>
        <v>4</v>
      </c>
    </row>
    <row r="18304" customFormat="false" ht="15" hidden="false" customHeight="false" outlineLevel="0" collapsed="false">
      <c r="A18304" s="23" t="s">
        <v>467</v>
      </c>
      <c r="B18304" s="24"/>
      <c r="C18304" s="24"/>
      <c r="D18304" s="24"/>
      <c r="E18304" s="24"/>
      <c r="F18304" s="24"/>
      <c r="G18304" s="24"/>
      <c r="H18304" s="24"/>
      <c r="I18304" s="24"/>
      <c r="J18304" s="24"/>
      <c r="K18304" s="24"/>
    </row>
    <row r="18305" customFormat="false" ht="15" hidden="false" customHeight="false" outlineLevel="0" collapsed="false">
      <c r="A18305" s="5" t="s">
        <v>457</v>
      </c>
      <c r="C18305" s="25" t="n">
        <f aca="false">SUMPRODUCT(($C$18300:$C$18303&lt;C18300)*$C$18295:$C$18298)</f>
        <v>0</v>
      </c>
    </row>
    <row r="18306" customFormat="false" ht="15" hidden="false" customHeight="false" outlineLevel="0" collapsed="false">
      <c r="A18306" s="5" t="s">
        <v>458</v>
      </c>
      <c r="C18306" s="25" t="n">
        <f aca="false">SUMPRODUCT(($C$18300:$C$18303&lt;C18301)*$C$18295:$C$18298)</f>
        <v>149.44</v>
      </c>
    </row>
    <row r="18307" customFormat="false" ht="15" hidden="false" customHeight="false" outlineLevel="0" collapsed="false">
      <c r="A18307" s="5" t="s">
        <v>459</v>
      </c>
      <c r="C18307" s="25" t="n">
        <f aca="false">SUMPRODUCT(($C$18300:$C$18303&lt;C18302)*$C$18295:$C$18298)</f>
        <v>659.04</v>
      </c>
    </row>
    <row r="18308" customFormat="false" ht="15" hidden="false" customHeight="false" outlineLevel="0" collapsed="false">
      <c r="A18308" s="5" t="s">
        <v>460</v>
      </c>
      <c r="C18308" s="25" t="n">
        <f aca="false">SUMPRODUCT(($C$18300:$C$18303&lt;C18303)*$C$18295:$C$18298)</f>
        <v>909.04</v>
      </c>
    </row>
    <row r="18309" customFormat="false" ht="15" hidden="false" customHeight="false" outlineLevel="0" collapsed="false">
      <c r="A18309" s="23" t="s">
        <v>468</v>
      </c>
      <c r="B18309" s="24"/>
      <c r="C18309" s="24"/>
      <c r="D18309" s="24"/>
      <c r="E18309" s="24"/>
      <c r="F18309" s="24"/>
      <c r="G18309" s="24"/>
      <c r="H18309" s="24"/>
      <c r="I18309" s="24"/>
      <c r="J18309" s="24"/>
      <c r="K18309" s="24"/>
    </row>
    <row r="18310" customFormat="false" ht="15" hidden="false" customHeight="false" outlineLevel="0" collapsed="false">
      <c r="A18310" s="5" t="s">
        <v>457</v>
      </c>
      <c r="C18310" s="25" t="n">
        <f aca="false">SUMPRODUCT(($C$18300:$C$18303=C18300)*$C$18295:$C$18298)</f>
        <v>149.44</v>
      </c>
    </row>
    <row r="18311" customFormat="false" ht="15" hidden="false" customHeight="false" outlineLevel="0" collapsed="false">
      <c r="A18311" s="5" t="s">
        <v>458</v>
      </c>
      <c r="C18311" s="25" t="n">
        <f aca="false">SUMPRODUCT(($C$18300:$C$18303=C18301)*$C$18295:$C$18298)</f>
        <v>509.6</v>
      </c>
    </row>
    <row r="18312" customFormat="false" ht="15" hidden="false" customHeight="false" outlineLevel="0" collapsed="false">
      <c r="A18312" s="5" t="s">
        <v>459</v>
      </c>
      <c r="C18312" s="25" t="n">
        <f aca="false">SUMPRODUCT(($C$18300:$C$18303=C18302)*$C$18295:$C$18298)</f>
        <v>250</v>
      </c>
    </row>
    <row r="18313" customFormat="false" ht="15" hidden="false" customHeight="false" outlineLevel="0" collapsed="false">
      <c r="A18313" s="5" t="s">
        <v>460</v>
      </c>
      <c r="C18313" s="25" t="n">
        <f aca="false">SUMPRODUCT(($C$18300:$C$18303=C18303)*$C$18295:$C$18298)</f>
        <v>300</v>
      </c>
    </row>
    <row r="18314" customFormat="false" ht="15" hidden="false" customHeight="false" outlineLevel="0" collapsed="false">
      <c r="A18314" s="23" t="s">
        <v>469</v>
      </c>
      <c r="B18314" s="24"/>
      <c r="C18314" s="24"/>
      <c r="D18314" s="24"/>
      <c r="E18314" s="24"/>
      <c r="F18314" s="24"/>
      <c r="G18314" s="24"/>
      <c r="H18314" s="24"/>
      <c r="I18314" s="24"/>
      <c r="J18314" s="24"/>
      <c r="K18314" s="24"/>
    </row>
    <row r="18315" customFormat="false" ht="15" hidden="false" customHeight="false" outlineLevel="0" collapsed="false">
      <c r="A18315" s="5" t="s">
        <v>457</v>
      </c>
      <c r="C18315" s="25" t="n">
        <f aca="false">IF(C18310=0,0,C18295/C18310*MAX(0,MIN(C18310,$C$18268-SUM($C$18285:$C$18288)-C18305)))</f>
        <v>149.44</v>
      </c>
    </row>
    <row r="18316" customFormat="false" ht="15" hidden="false" customHeight="false" outlineLevel="0" collapsed="false">
      <c r="A18316" s="5" t="s">
        <v>458</v>
      </c>
      <c r="C18316" s="25" t="n">
        <f aca="false">IF(C18311=0,0,C18296/C18311*MAX(0,MIN(C18311,$C$18268-SUM($C$18285:$C$18288)-C18306)))</f>
        <v>509.6</v>
      </c>
    </row>
    <row r="18317" customFormat="false" ht="15" hidden="false" customHeight="false" outlineLevel="0" collapsed="false">
      <c r="A18317" s="5" t="s">
        <v>459</v>
      </c>
      <c r="C18317" s="25" t="n">
        <f aca="false">IF(C18312=0,0,C18297/C18312*MAX(0,MIN(C18312,$C$18268-SUM($C$18285:$C$18288)-C18307)))</f>
        <v>250</v>
      </c>
    </row>
    <row r="18318" customFormat="false" ht="15" hidden="false" customHeight="false" outlineLevel="0" collapsed="false">
      <c r="A18318" s="5" t="s">
        <v>460</v>
      </c>
      <c r="C18318" s="25" t="n">
        <f aca="false">IF(C18313=0,0,C18298/C18313*MAX(0,MIN(C18313,$C$18268-SUM($C$18285:$C$18288)-C18308)))</f>
        <v>115.36052</v>
      </c>
    </row>
    <row r="18319" customFormat="false" ht="15" hidden="false" customHeight="false" outlineLevel="0" collapsed="false">
      <c r="A18319" s="23" t="s">
        <v>470</v>
      </c>
      <c r="B18319" s="24"/>
      <c r="C18319" s="24"/>
      <c r="D18319" s="24"/>
      <c r="E18319" s="24"/>
      <c r="F18319" s="24"/>
      <c r="G18319" s="24"/>
      <c r="H18319" s="24"/>
      <c r="I18319" s="24"/>
      <c r="J18319" s="24"/>
      <c r="K18319" s="24"/>
    </row>
    <row r="18320" customFormat="false" ht="15" hidden="false" customHeight="false" outlineLevel="0" collapsed="false">
      <c r="A18320" s="2" t="s">
        <v>457</v>
      </c>
      <c r="C18320" s="16" t="n">
        <f aca="false">C18285+C18315</f>
        <v>149.44</v>
      </c>
    </row>
    <row r="18321" customFormat="false" ht="15" hidden="false" customHeight="false" outlineLevel="0" collapsed="false">
      <c r="A18321" s="2" t="s">
        <v>458</v>
      </c>
      <c r="C18321" s="16" t="n">
        <f aca="false">C18286+C18316</f>
        <v>509.6</v>
      </c>
    </row>
    <row r="18322" customFormat="false" ht="15" hidden="false" customHeight="false" outlineLevel="0" collapsed="false">
      <c r="A18322" s="2" t="s">
        <v>459</v>
      </c>
      <c r="C18322" s="16" t="n">
        <f aca="false">C18287+C18317</f>
        <v>250</v>
      </c>
    </row>
    <row r="18323" customFormat="false" ht="15" hidden="false" customHeight="false" outlineLevel="0" collapsed="false">
      <c r="A18323" s="2" t="s">
        <v>460</v>
      </c>
      <c r="C18323" s="16" t="n">
        <f aca="false">C18288+C18318</f>
        <v>115.36052</v>
      </c>
    </row>
    <row r="18324" customFormat="false" ht="15" hidden="false" customHeight="false" outlineLevel="0" collapsed="false">
      <c r="A18324" s="23" t="s">
        <v>471</v>
      </c>
      <c r="B18324" s="24"/>
      <c r="C18324" s="24"/>
      <c r="D18324" s="24"/>
      <c r="E18324" s="24"/>
      <c r="F18324" s="24"/>
      <c r="G18324" s="24"/>
      <c r="H18324" s="24"/>
      <c r="I18324" s="24"/>
      <c r="J18324" s="24"/>
      <c r="K18324" s="24"/>
    </row>
    <row r="18325" customFormat="false" ht="15" hidden="false" customHeight="false" outlineLevel="0" collapsed="false">
      <c r="A18325" s="5" t="s">
        <v>457</v>
      </c>
      <c r="C18325" s="21" t="n">
        <f aca="false">IF(C18270=0,1,C18320/C18270)</f>
        <v>1</v>
      </c>
    </row>
    <row r="18326" customFormat="false" ht="15" hidden="false" customHeight="false" outlineLevel="0" collapsed="false">
      <c r="A18326" s="5" t="s">
        <v>458</v>
      </c>
      <c r="C18326" s="21" t="n">
        <f aca="false">IF(C18271=0,1,C18321/C18271)</f>
        <v>1</v>
      </c>
    </row>
    <row r="18327" customFormat="false" ht="15" hidden="false" customHeight="false" outlineLevel="0" collapsed="false">
      <c r="A18327" s="5" t="s">
        <v>459</v>
      </c>
      <c r="C18327" s="21" t="n">
        <f aca="false">IF(C18272=0,1,C18322/C18272)</f>
        <v>1</v>
      </c>
    </row>
    <row r="18328" customFormat="false" ht="15" hidden="false" customHeight="false" outlineLevel="0" collapsed="false">
      <c r="A18328" s="5" t="s">
        <v>460</v>
      </c>
      <c r="C18328" s="21" t="n">
        <f aca="false">IF(C18273=0,1,C18323/C18273)</f>
        <v>0.384535066666667</v>
      </c>
    </row>
    <row r="18329" customFormat="false" ht="15" hidden="false" customHeight="false" outlineLevel="0" collapsed="false">
      <c r="A18329" s="23" t="s">
        <v>472</v>
      </c>
      <c r="B18329" s="24"/>
      <c r="C18329" s="24"/>
      <c r="D18329" s="24"/>
      <c r="E18329" s="24"/>
      <c r="F18329" s="24"/>
      <c r="G18329" s="24"/>
      <c r="H18329" s="24"/>
      <c r="I18329" s="24"/>
      <c r="J18329" s="24"/>
      <c r="K18329" s="24"/>
    </row>
    <row r="18330" customFormat="false" ht="15" hidden="false" customHeight="false" outlineLevel="0" collapsed="false">
      <c r="A18330" s="5" t="s">
        <v>457</v>
      </c>
      <c r="C18330" s="25" t="n">
        <f aca="false">C18270-C18320</f>
        <v>0</v>
      </c>
    </row>
    <row r="18331" customFormat="false" ht="15" hidden="false" customHeight="false" outlineLevel="0" collapsed="false">
      <c r="A18331" s="5" t="s">
        <v>458</v>
      </c>
      <c r="C18331" s="25" t="n">
        <f aca="false">C18271-C18321</f>
        <v>0</v>
      </c>
    </row>
    <row r="18332" customFormat="false" ht="15" hidden="false" customHeight="false" outlineLevel="0" collapsed="false">
      <c r="A18332" s="5" t="s">
        <v>459</v>
      </c>
      <c r="C18332" s="25" t="n">
        <f aca="false">C18272-C18322</f>
        <v>0</v>
      </c>
    </row>
    <row r="18333" customFormat="false" ht="15" hidden="false" customHeight="false" outlineLevel="0" collapsed="false">
      <c r="A18333" s="5" t="s">
        <v>460</v>
      </c>
      <c r="C18333" s="25" t="n">
        <f aca="false">C18273-C18323</f>
        <v>184.63948</v>
      </c>
    </row>
    <row r="18334" customFormat="false" ht="15" hidden="false" customHeight="false" outlineLevel="0" collapsed="false">
      <c r="A18334" s="23" t="s">
        <v>473</v>
      </c>
      <c r="B18334" s="24"/>
      <c r="C18334" s="24"/>
      <c r="D18334" s="24"/>
      <c r="E18334" s="24"/>
      <c r="F18334" s="24"/>
      <c r="G18334" s="24"/>
      <c r="H18334" s="24"/>
      <c r="I18334" s="24"/>
      <c r="J18334" s="24"/>
      <c r="K18334" s="24"/>
    </row>
    <row r="18335" customFormat="false" ht="15" hidden="false" customHeight="false" outlineLevel="0" collapsed="false">
      <c r="A18335" s="5" t="s">
        <v>457</v>
      </c>
      <c r="C18335" s="21" t="n">
        <f aca="false">IF(C18270=0,0,C18330/C18270)</f>
        <v>0</v>
      </c>
    </row>
    <row r="18336" customFormat="false" ht="15" hidden="false" customHeight="false" outlineLevel="0" collapsed="false">
      <c r="A18336" s="5" t="s">
        <v>458</v>
      </c>
      <c r="C18336" s="21" t="n">
        <f aca="false">IF(C18271=0,0,C18331/C18271)</f>
        <v>0</v>
      </c>
    </row>
    <row r="18337" customFormat="false" ht="15" hidden="false" customHeight="false" outlineLevel="0" collapsed="false">
      <c r="A18337" s="5" t="s">
        <v>459</v>
      </c>
      <c r="C18337" s="21" t="n">
        <f aca="false">IF(C18272=0,0,C18332/C18272)</f>
        <v>0</v>
      </c>
    </row>
    <row r="18338" customFormat="false" ht="15" hidden="false" customHeight="false" outlineLevel="0" collapsed="false">
      <c r="A18338" s="5" t="s">
        <v>460</v>
      </c>
      <c r="C18338" s="21" t="n">
        <f aca="false">IF(C18273=0,0,C18333/C18273)</f>
        <v>0.615464933333334</v>
      </c>
    </row>
    <row r="18339" customFormat="false" ht="15" hidden="false" customHeight="false" outlineLevel="0" collapsed="false">
      <c r="A18339" s="2" t="s">
        <v>474</v>
      </c>
      <c r="C18339" s="16" t="n">
        <f aca="false">MAX(0,$C$18268-SUM($C$18285:$C$18288)-SUM($C$18295:$C$18298))</f>
        <v>0</v>
      </c>
    </row>
    <row r="18340" customFormat="false" ht="15" hidden="false" customHeight="false" outlineLevel="0" collapsed="false">
      <c r="A18340" s="5" t="s">
        <v>492</v>
      </c>
      <c r="C18340" s="33" t="n">
        <f aca="false">MIN(C18267,100*CHOOSE(C18257,C18325,C18326,C18327,C18328))</f>
        <v>100</v>
      </c>
    </row>
    <row r="18341" customFormat="false" ht="15" hidden="false" customHeight="false" outlineLevel="0" collapsed="false">
      <c r="A18341" s="5" t="s">
        <v>493</v>
      </c>
      <c r="C18341" s="20" t="n">
        <f aca="false">IF(C18173=1,C18262+Assumptions!$C$36,C18261)</f>
        <v>3</v>
      </c>
    </row>
    <row r="18342" customFormat="false" ht="15" hidden="false" customHeight="false" outlineLevel="0" collapsed="false">
      <c r="A18342" s="23" t="s">
        <v>494</v>
      </c>
      <c r="B18342" s="24"/>
      <c r="C18342" s="24"/>
      <c r="D18342" s="24"/>
      <c r="E18342" s="24"/>
      <c r="F18342" s="24"/>
      <c r="G18342" s="24"/>
      <c r="H18342" s="24"/>
      <c r="I18342" s="24"/>
      <c r="J18342" s="24"/>
      <c r="K18342" s="24"/>
    </row>
    <row r="18343" customFormat="false" ht="15" hidden="false" customHeight="false" outlineLevel="0" collapsed="false">
      <c r="A18343" s="5" t="s">
        <v>495</v>
      </c>
      <c r="C18343" s="20" t="n">
        <f aca="false">COLUMN()-COLUMN($C$1)</f>
        <v>0</v>
      </c>
      <c r="D18343" s="20" t="n">
        <f aca="false">COLUMN()-COLUMN($C$1)</f>
        <v>1</v>
      </c>
      <c r="E18343" s="20" t="n">
        <f aca="false">COLUMN()-COLUMN($C$1)</f>
        <v>2</v>
      </c>
      <c r="F18343" s="20" t="n">
        <f aca="false">COLUMN()-COLUMN($C$1)</f>
        <v>3</v>
      </c>
      <c r="G18343" s="20" t="n">
        <f aca="false">COLUMN()-COLUMN($C$1)</f>
        <v>4</v>
      </c>
      <c r="H18343" s="20" t="n">
        <f aca="false">COLUMN()-COLUMN($C$1)</f>
        <v>5</v>
      </c>
      <c r="I18343" s="20" t="n">
        <f aca="false">COLUMN()-COLUMN($C$1)</f>
        <v>6</v>
      </c>
    </row>
    <row r="18344" customFormat="false" ht="15" hidden="false" customHeight="false" outlineLevel="0" collapsed="false">
      <c r="A18344" s="5" t="s">
        <v>496</v>
      </c>
      <c r="D18344" s="30" t="n">
        <f aca="false">CHOOSE($C$18257,G18055,G18068,G18081,G18094)</f>
        <v>0.103</v>
      </c>
      <c r="E18344" s="30" t="n">
        <f aca="false">CHOOSE($C$18257,H18055,H18068,H18081,H18094)</f>
        <v>0.1005</v>
      </c>
      <c r="F18344" s="30" t="n">
        <f aca="false">CHOOSE($C$18257,I18055,I18068,I18081,I18094)</f>
        <v>0.098</v>
      </c>
      <c r="G18344" s="30" t="n">
        <f aca="false">CHOOSE($C$18257,J18055,J18068,J18081,J18094)</f>
        <v>0.11</v>
      </c>
      <c r="H18344" s="30" t="n">
        <f aca="false">CHOOSE($C$18257,K18055,K18068,K18081,K18094)</f>
        <v>0.11</v>
      </c>
    </row>
    <row r="18345" customFormat="false" ht="15" hidden="false" customHeight="false" outlineLevel="0" collapsed="false">
      <c r="A18345" s="5" t="s">
        <v>497</v>
      </c>
      <c r="D18345" s="25" t="n">
        <f aca="false">IF(D18343&lt;=$C$18266,$C$18258*D18344,0)</f>
        <v>10.3</v>
      </c>
      <c r="E18345" s="25" t="n">
        <f aca="false">IF(E18343&lt;=$C$18266,$C$18258*E18344,0)</f>
        <v>10.05</v>
      </c>
      <c r="F18345" s="25" t="n">
        <f aca="false">IF(F18343&lt;=$C$18266,$C$18258*F18344,0)</f>
        <v>0</v>
      </c>
      <c r="G18345" s="25" t="n">
        <f aca="false">IF(G18343&lt;=$C$18266,$C$18258*G18344,0)</f>
        <v>0</v>
      </c>
      <c r="H18345" s="25" t="n">
        <f aca="false">IF(H18343&lt;=$C$18266,$C$18258*H18344,0)</f>
        <v>0</v>
      </c>
    </row>
    <row r="18346" customFormat="false" ht="15" hidden="false" customHeight="false" outlineLevel="0" collapsed="false">
      <c r="A18346" s="5" t="s">
        <v>498</v>
      </c>
      <c r="D18346" s="25" t="n">
        <f aca="false">IF(AND($C$18173=0,D18343=$C$18261),$C$18258*$C$18340/100,0)+IF(AND($C$18173=1,D18343=$C$18341),$C$18264,0)</f>
        <v>0</v>
      </c>
      <c r="E18346" s="25" t="n">
        <f aca="false">IF(AND($C$18173=0,E18343=$C$18261),$C$18258*$C$18340/100,0)+IF(AND($C$18173=1,E18343=$C$18341),$C$18264,0)</f>
        <v>0</v>
      </c>
      <c r="F18346" s="25" t="n">
        <f aca="false">IF(AND($C$18173=0,F18343=$C$18261),$C$18258*$C$18340/100,0)+IF(AND($C$18173=1,F18343=$C$18341),$C$18264,0)</f>
        <v>102.5125</v>
      </c>
      <c r="G18346" s="25" t="n">
        <f aca="false">IF(AND($C$18173=0,G18343=$C$18261),$C$18258*$C$18340/100,0)+IF(AND($C$18173=1,G18343=$C$18341),$C$18264,0)</f>
        <v>0</v>
      </c>
      <c r="H18346" s="25" t="n">
        <f aca="false">IF(AND($C$18173=0,H18343=$C$18261),$C$18258*$C$18340/100,0)+IF(AND($C$18173=1,H18343=$C$18341),$C$18264,0)</f>
        <v>0</v>
      </c>
      <c r="I18346" s="25" t="n">
        <f aca="false">IF(AND($C$18173=0,I18343=$C$18261),$C$18258*$C$18340/100,0)+IF(AND($C$18173=1,I18343=$C$18341),$C$18264,0)</f>
        <v>0</v>
      </c>
    </row>
    <row r="18347" customFormat="false" ht="15" hidden="false" customHeight="false" outlineLevel="0" collapsed="false">
      <c r="A18347" s="2" t="s">
        <v>499</v>
      </c>
      <c r="C18347" s="16" t="n">
        <f aca="false">-$C$18260</f>
        <v>-78.39</v>
      </c>
      <c r="D18347" s="16" t="n">
        <f aca="false">D18345+D18346</f>
        <v>10.3</v>
      </c>
      <c r="E18347" s="16" t="n">
        <f aca="false">E18345+E18346</f>
        <v>10.05</v>
      </c>
      <c r="F18347" s="16" t="n">
        <f aca="false">F18345+F18346</f>
        <v>102.5125</v>
      </c>
      <c r="G18347" s="16" t="n">
        <f aca="false">G18345+G18346</f>
        <v>0</v>
      </c>
      <c r="H18347" s="16" t="n">
        <f aca="false">H18345+H18346</f>
        <v>0</v>
      </c>
      <c r="I18347" s="16" t="n">
        <f aca="false">I18345+I18346</f>
        <v>0</v>
      </c>
    </row>
    <row r="18348" customFormat="false" ht="15" hidden="false" customHeight="false" outlineLevel="0" collapsed="false">
      <c r="A18348" s="5" t="s">
        <v>500</v>
      </c>
      <c r="C18348" s="25" t="n">
        <f aca="false">SUM($C$18345:$I$18345)</f>
        <v>20.35</v>
      </c>
    </row>
    <row r="18349" customFormat="false" ht="15" hidden="false" customHeight="false" outlineLevel="0" collapsed="false">
      <c r="A18349" s="5" t="s">
        <v>501</v>
      </c>
      <c r="C18349" s="25" t="n">
        <f aca="false">SUM($C$18346:$I$18346)</f>
        <v>102.5125</v>
      </c>
    </row>
    <row r="18350" customFormat="false" ht="15" hidden="false" customHeight="false" outlineLevel="0" collapsed="false">
      <c r="A18350" s="5" t="s">
        <v>502</v>
      </c>
      <c r="C18350" s="25" t="n">
        <f aca="false">C18348+C18349</f>
        <v>122.8625</v>
      </c>
    </row>
    <row r="18351" customFormat="false" ht="15" hidden="false" customHeight="false" outlineLevel="0" collapsed="false">
      <c r="A18351" s="5" t="s">
        <v>503</v>
      </c>
      <c r="C18351" s="25" t="n">
        <f aca="false">C18349-C18258*C18259/100</f>
        <v>24.5125</v>
      </c>
    </row>
    <row r="18352" customFormat="false" ht="15" hidden="false" customHeight="false" outlineLevel="0" collapsed="false">
      <c r="A18352" s="5" t="s">
        <v>504</v>
      </c>
      <c r="C18352" s="25" t="n">
        <f aca="false">C18350-C18260</f>
        <v>44.4725</v>
      </c>
    </row>
    <row r="18353" customFormat="false" ht="15" hidden="false" customHeight="false" outlineLevel="0" collapsed="false">
      <c r="A18353" s="2" t="s">
        <v>385</v>
      </c>
      <c r="C18353" s="43" t="n">
        <f aca="false">C18350/C18260</f>
        <v>1.56732363821916</v>
      </c>
    </row>
    <row r="18354" customFormat="false" ht="15" hidden="false" customHeight="false" outlineLevel="0" collapsed="false">
      <c r="A18354" s="2" t="s">
        <v>384</v>
      </c>
      <c r="C18354" s="41" t="n">
        <f aca="false">IF(C18350&lt;=0,-1,IFERROR(IRR($C$18347:$I$18347,MAX(-0.9,C18353^(1/C18341)-1)),IRR($C$18347:$I$18347,0.1)))</f>
        <v>0.179713126715643</v>
      </c>
    </row>
    <row r="18355" customFormat="false" ht="15" hidden="false" customHeight="false" outlineLevel="0" collapsed="false">
      <c r="A18355" s="5" t="s">
        <v>505</v>
      </c>
      <c r="C18355" s="31" t="n">
        <f aca="false">MAX($G$18149:$K$18149)</f>
        <v>7.86221186221186</v>
      </c>
    </row>
    <row r="18356" customFormat="false" ht="15" hidden="false" customHeight="false" outlineLevel="0" collapsed="false">
      <c r="A18356" s="5" t="s">
        <v>506</v>
      </c>
      <c r="C18356" s="31" t="n">
        <f aca="false">MIN($G$18150:$K$18150)</f>
        <v>1.21473661783139</v>
      </c>
    </row>
    <row r="18357" customFormat="false" ht="15" hidden="false" customHeight="false" outlineLevel="0" collapsed="false">
      <c r="A18357" s="5" t="s">
        <v>507</v>
      </c>
      <c r="C18357" s="25" t="n">
        <f aca="false">SUM($G$18039:$K$18039)</f>
        <v>-46.97594467624</v>
      </c>
    </row>
    <row r="18361" customFormat="false" ht="15" hidden="false" customHeight="false" outlineLevel="0" collapsed="false">
      <c r="A18361" s="9" t="s">
        <v>678</v>
      </c>
      <c r="B18361" s="10"/>
      <c r="C18361" s="10"/>
      <c r="D18361" s="10"/>
      <c r="E18361" s="10"/>
      <c r="F18361" s="10"/>
      <c r="G18361" s="10"/>
      <c r="H18361" s="10"/>
      <c r="I18361" s="10"/>
      <c r="J18361" s="10"/>
      <c r="K18361" s="10"/>
    </row>
    <row r="18362" customFormat="false" ht="15" hidden="false" customHeight="false" outlineLevel="0" collapsed="false">
      <c r="A18362" s="5" t="s">
        <v>622</v>
      </c>
      <c r="C18362" s="11" t="n">
        <v>1</v>
      </c>
    </row>
    <row r="18363" customFormat="false" ht="15" hidden="false" customHeight="false" outlineLevel="0" collapsed="false">
      <c r="A18363" s="5" t="s">
        <v>623</v>
      </c>
      <c r="C18363" s="18" t="n">
        <v>0</v>
      </c>
    </row>
    <row r="18364" customFormat="false" ht="15" hidden="false" customHeight="false" outlineLevel="0" collapsed="false">
      <c r="A18364" s="5" t="s">
        <v>624</v>
      </c>
      <c r="C18364" s="18" t="n">
        <v>0</v>
      </c>
    </row>
    <row r="18365" customFormat="false" ht="15" hidden="false" customHeight="false" outlineLevel="0" collapsed="false">
      <c r="A18365" s="5" t="s">
        <v>625</v>
      </c>
      <c r="C18365" s="18" t="n">
        <v>0</v>
      </c>
    </row>
    <row r="18366" customFormat="false" ht="15" hidden="false" customHeight="false" outlineLevel="0" collapsed="false">
      <c r="A18366" s="5" t="s">
        <v>626</v>
      </c>
      <c r="C18366" s="32" t="n">
        <f aca="false">Sensitivities!$A$64</f>
        <v>2</v>
      </c>
    </row>
    <row r="18368" customFormat="false" ht="15" hidden="false" customHeight="false" outlineLevel="0" collapsed="false">
      <c r="A18368" s="23" t="s">
        <v>237</v>
      </c>
      <c r="B18368" s="24"/>
      <c r="C18368" s="24"/>
      <c r="D18368" s="24"/>
      <c r="E18368" s="24"/>
      <c r="F18368" s="24"/>
      <c r="G18368" s="24"/>
      <c r="H18368" s="24"/>
      <c r="I18368" s="24"/>
      <c r="J18368" s="24"/>
      <c r="K18368" s="24"/>
    </row>
    <row r="18369" customFormat="false" ht="15" hidden="false" customHeight="false" outlineLevel="0" collapsed="false">
      <c r="A18369" s="5" t="s">
        <v>238</v>
      </c>
      <c r="F18369" s="26" t="n">
        <f aca="false">Assumptions!$C$6</f>
        <v>2025</v>
      </c>
      <c r="G18369" s="20" t="n">
        <f aca="false">F18369+1</f>
        <v>2026</v>
      </c>
      <c r="H18369" s="20" t="n">
        <f aca="false">G18369+1</f>
        <v>2027</v>
      </c>
      <c r="I18369" s="20" t="n">
        <f aca="false">H18369+1</f>
        <v>2028</v>
      </c>
      <c r="J18369" s="20" t="n">
        <f aca="false">I18369+1</f>
        <v>2029</v>
      </c>
      <c r="K18369" s="20" t="n">
        <f aca="false">J18369+1</f>
        <v>2030</v>
      </c>
    </row>
    <row r="18370" customFormat="false" ht="15" hidden="false" customHeight="false" outlineLevel="0" collapsed="false">
      <c r="A18370" s="5" t="s">
        <v>239</v>
      </c>
      <c r="G18370" s="20" t="n">
        <f aca="false">G18369-Assumptions!$C$6</f>
        <v>1</v>
      </c>
      <c r="H18370" s="20" t="n">
        <f aca="false">H18369-Assumptions!$C$6</f>
        <v>2</v>
      </c>
      <c r="I18370" s="20" t="n">
        <f aca="false">I18369-Assumptions!$C$6</f>
        <v>3</v>
      </c>
      <c r="J18370" s="20" t="n">
        <f aca="false">J18369-Assumptions!$C$6</f>
        <v>4</v>
      </c>
      <c r="K18370" s="20" t="n">
        <f aca="false">K18369-Assumptions!$C$6</f>
        <v>5</v>
      </c>
    </row>
    <row r="18371" customFormat="false" ht="15" hidden="false" customHeight="false" outlineLevel="0" collapsed="false">
      <c r="A18371" s="5" t="s">
        <v>149</v>
      </c>
      <c r="G18371" s="21" t="n">
        <f aca="false">CHOOSE($C$18362,Assumptions!$G$65,Assumptions!$G$84,Assumptions!$G$103)+$C$18363</f>
        <v>-0.01</v>
      </c>
      <c r="H18371" s="21" t="n">
        <f aca="false">CHOOSE($C$18362,Assumptions!$H$65,Assumptions!$H$84,Assumptions!$H$103)+$C$18363</f>
        <v>-0.01</v>
      </c>
      <c r="I18371" s="21" t="n">
        <f aca="false">CHOOSE($C$18362,Assumptions!$I$65,Assumptions!$I$84,Assumptions!$I$103)+$C$18363</f>
        <v>-0.01</v>
      </c>
      <c r="J18371" s="21" t="n">
        <f aca="false">CHOOSE($C$18362,Assumptions!$J$65,Assumptions!$J$84,Assumptions!$J$103)+$C$18363</f>
        <v>-0.01</v>
      </c>
      <c r="K18371" s="21" t="n">
        <f aca="false">CHOOSE($C$18362,Assumptions!$K$65,Assumptions!$K$84,Assumptions!$K$103)+$C$18363</f>
        <v>-0.01</v>
      </c>
    </row>
    <row r="18372" customFormat="false" ht="15" hidden="false" customHeight="false" outlineLevel="0" collapsed="false">
      <c r="A18372" s="5" t="s">
        <v>150</v>
      </c>
      <c r="G18372" s="21" t="n">
        <f aca="false">CHOOSE($C$18362,Assumptions!$G$66,Assumptions!$G$85,Assumptions!$G$104)</f>
        <v>0.36</v>
      </c>
      <c r="H18372" s="21" t="n">
        <f aca="false">CHOOSE($C$18362,Assumptions!$H$66,Assumptions!$H$85,Assumptions!$H$104)</f>
        <v>0.362</v>
      </c>
      <c r="I18372" s="21" t="n">
        <f aca="false">CHOOSE($C$18362,Assumptions!$I$66,Assumptions!$I$85,Assumptions!$I$104)</f>
        <v>0.364</v>
      </c>
      <c r="J18372" s="21" t="n">
        <f aca="false">CHOOSE($C$18362,Assumptions!$J$66,Assumptions!$J$85,Assumptions!$J$104)</f>
        <v>0.366</v>
      </c>
      <c r="K18372" s="21" t="n">
        <f aca="false">CHOOSE($C$18362,Assumptions!$K$66,Assumptions!$K$85,Assumptions!$K$104)</f>
        <v>0.368</v>
      </c>
    </row>
    <row r="18373" customFormat="false" ht="15" hidden="false" customHeight="false" outlineLevel="0" collapsed="false">
      <c r="A18373" s="5" t="s">
        <v>151</v>
      </c>
      <c r="G18373" s="21" t="n">
        <f aca="false">CHOOSE($C$18362,Assumptions!$G$67,Assumptions!$G$86,Assumptions!$G$105)+$C$18364</f>
        <v>0.065</v>
      </c>
      <c r="H18373" s="21" t="n">
        <f aca="false">CHOOSE($C$18362,Assumptions!$H$67,Assumptions!$H$86,Assumptions!$H$105)+$C$18364</f>
        <v>0.067</v>
      </c>
      <c r="I18373" s="21" t="n">
        <f aca="false">CHOOSE($C$18362,Assumptions!$I$67,Assumptions!$I$86,Assumptions!$I$105)+$C$18364</f>
        <v>0.069</v>
      </c>
      <c r="J18373" s="21" t="n">
        <f aca="false">CHOOSE($C$18362,Assumptions!$J$67,Assumptions!$J$86,Assumptions!$J$105)+$C$18364</f>
        <v>0.071</v>
      </c>
      <c r="K18373" s="21" t="n">
        <f aca="false">CHOOSE($C$18362,Assumptions!$K$67,Assumptions!$K$86,Assumptions!$K$105)+$C$18364</f>
        <v>0.073</v>
      </c>
    </row>
    <row r="18374" customFormat="false" ht="15" hidden="false" customHeight="false" outlineLevel="0" collapsed="false">
      <c r="A18374" s="23" t="s">
        <v>240</v>
      </c>
      <c r="B18374" s="24"/>
      <c r="C18374" s="24"/>
      <c r="D18374" s="24"/>
      <c r="E18374" s="24"/>
      <c r="F18374" s="24"/>
      <c r="G18374" s="24"/>
      <c r="H18374" s="24"/>
      <c r="I18374" s="24"/>
      <c r="J18374" s="24"/>
      <c r="K18374" s="24"/>
    </row>
    <row r="18375" customFormat="false" ht="15" hidden="false" customHeight="false" outlineLevel="0" collapsed="false">
      <c r="A18375" s="2" t="s">
        <v>207</v>
      </c>
      <c r="F18375" s="27" t="n">
        <f aca="false">'Historical Financials'!E17</f>
        <v>2400</v>
      </c>
      <c r="G18375" s="16" t="n">
        <f aca="false">F18375*(1+G18371)</f>
        <v>2376</v>
      </c>
      <c r="H18375" s="16" t="n">
        <f aca="false">G18375*(1+H18371)</f>
        <v>2352.24</v>
      </c>
      <c r="I18375" s="16" t="n">
        <f aca="false">H18375*(1+I18371)</f>
        <v>2328.7176</v>
      </c>
      <c r="J18375" s="16" t="n">
        <f aca="false">I18375*(1+J18371)</f>
        <v>2305.430424</v>
      </c>
      <c r="K18375" s="16" t="n">
        <f aca="false">J18375*(1+K18371)</f>
        <v>2282.37611976</v>
      </c>
    </row>
    <row r="18376" customFormat="false" ht="15" hidden="false" customHeight="false" outlineLevel="0" collapsed="false">
      <c r="A18376" s="5" t="s">
        <v>217</v>
      </c>
      <c r="G18376" s="25" t="n">
        <f aca="false">G18375*(1-G18372)</f>
        <v>1520.64</v>
      </c>
      <c r="H18376" s="25" t="n">
        <f aca="false">H18375*(1-H18372)</f>
        <v>1500.72912</v>
      </c>
      <c r="I18376" s="25" t="n">
        <f aca="false">I18375*(1-I18372)</f>
        <v>1481.0643936</v>
      </c>
      <c r="J18376" s="25" t="n">
        <f aca="false">J18375*(1-J18372)</f>
        <v>1461.642888816</v>
      </c>
      <c r="K18376" s="25" t="n">
        <f aca="false">K18375*(1-K18372)</f>
        <v>1442.46170768832</v>
      </c>
    </row>
    <row r="18377" customFormat="false" ht="15" hidden="false" customHeight="false" outlineLevel="0" collapsed="false">
      <c r="A18377" s="2" t="s">
        <v>218</v>
      </c>
      <c r="G18377" s="16" t="n">
        <f aca="false">G18375-G18376</f>
        <v>855.36</v>
      </c>
      <c r="H18377" s="16" t="n">
        <f aca="false">H18375-H18376</f>
        <v>851.51088</v>
      </c>
      <c r="I18377" s="16" t="n">
        <f aca="false">I18375-I18376</f>
        <v>847.6532064</v>
      </c>
      <c r="J18377" s="16" t="n">
        <f aca="false">J18375-J18376</f>
        <v>843.787535184</v>
      </c>
      <c r="K18377" s="16" t="n">
        <f aca="false">K18375-K18376</f>
        <v>839.91441207168</v>
      </c>
    </row>
    <row r="18378" customFormat="false" ht="15" hidden="false" customHeight="false" outlineLevel="0" collapsed="false">
      <c r="A18378" s="5" t="s">
        <v>241</v>
      </c>
      <c r="G18378" s="25" t="n">
        <f aca="false">G18377-G18379</f>
        <v>700.92</v>
      </c>
      <c r="H18378" s="25" t="n">
        <f aca="false">H18377-H18379</f>
        <v>693.9108</v>
      </c>
      <c r="I18378" s="25" t="n">
        <f aca="false">I18377-I18379</f>
        <v>686.971692</v>
      </c>
      <c r="J18378" s="25" t="n">
        <f aca="false">J18377-J18379</f>
        <v>680.10197508</v>
      </c>
      <c r="K18378" s="25" t="n">
        <f aca="false">K18377-K18379</f>
        <v>673.3009553292</v>
      </c>
    </row>
    <row r="18379" customFormat="false" ht="15" hidden="false" customHeight="false" outlineLevel="0" collapsed="false">
      <c r="A18379" s="2" t="s">
        <v>242</v>
      </c>
      <c r="G18379" s="16" t="n">
        <f aca="false">G18375*G18373</f>
        <v>154.44</v>
      </c>
      <c r="H18379" s="16" t="n">
        <f aca="false">H18375*H18373</f>
        <v>157.60008</v>
      </c>
      <c r="I18379" s="16" t="n">
        <f aca="false">I18375*I18373</f>
        <v>160.6815144</v>
      </c>
      <c r="J18379" s="16" t="n">
        <f aca="false">J18375*J18373</f>
        <v>163.685560104</v>
      </c>
      <c r="K18379" s="16" t="n">
        <f aca="false">K18375*K18373</f>
        <v>166.61345674248</v>
      </c>
    </row>
    <row r="18380" customFormat="false" ht="15" hidden="false" customHeight="false" outlineLevel="0" collapsed="false">
      <c r="A18380" s="5" t="s">
        <v>243</v>
      </c>
      <c r="G18380" s="25" t="n">
        <f aca="false">G18375*'Historical Financials'!E22/'Historical Financials'!E17</f>
        <v>52.272</v>
      </c>
      <c r="H18380" s="25" t="n">
        <f aca="false">H18375*'Historical Financials'!E22/'Historical Financials'!E17</f>
        <v>51.74928</v>
      </c>
      <c r="I18380" s="25" t="n">
        <f aca="false">I18375*'Historical Financials'!E22/'Historical Financials'!E17</f>
        <v>51.2317872</v>
      </c>
      <c r="J18380" s="25" t="n">
        <f aca="false">J18375*'Historical Financials'!E22/'Historical Financials'!E17</f>
        <v>50.719469328</v>
      </c>
      <c r="K18380" s="25" t="n">
        <f aca="false">K18375*'Historical Financials'!E22/'Historical Financials'!E17</f>
        <v>50.21227463472</v>
      </c>
    </row>
    <row r="18381" customFormat="false" ht="15" hidden="false" customHeight="false" outlineLevel="0" collapsed="false">
      <c r="A18381" s="5" t="s">
        <v>244</v>
      </c>
      <c r="G18381" s="25" t="n">
        <f aca="false">G18375*'Historical Financials'!E23/'Historical Financials'!E17</f>
        <v>0</v>
      </c>
      <c r="H18381" s="25" t="n">
        <f aca="false">H18375*'Historical Financials'!E23/'Historical Financials'!E17</f>
        <v>0</v>
      </c>
      <c r="I18381" s="25" t="n">
        <f aca="false">I18375*'Historical Financials'!E23/'Historical Financials'!E17</f>
        <v>0</v>
      </c>
      <c r="J18381" s="25" t="n">
        <f aca="false">J18375*'Historical Financials'!E23/'Historical Financials'!E17</f>
        <v>0</v>
      </c>
      <c r="K18381" s="25" t="n">
        <f aca="false">K18375*'Historical Financials'!E23/'Historical Financials'!E17</f>
        <v>0</v>
      </c>
    </row>
    <row r="18382" customFormat="false" ht="15" hidden="false" customHeight="false" outlineLevel="0" collapsed="false">
      <c r="A18382" s="2" t="s">
        <v>245</v>
      </c>
      <c r="G18382" s="16" t="n">
        <f aca="false">G18379-G18380-G18381</f>
        <v>102.168</v>
      </c>
      <c r="H18382" s="16" t="n">
        <f aca="false">H18379-H18380-H18381</f>
        <v>105.8508</v>
      </c>
      <c r="I18382" s="16" t="n">
        <f aca="false">I18379-I18380-I18381</f>
        <v>109.4497272</v>
      </c>
      <c r="J18382" s="16" t="n">
        <f aca="false">J18379-J18380-J18381</f>
        <v>112.966090776</v>
      </c>
      <c r="K18382" s="16" t="n">
        <f aca="false">K18379-K18380-K18381</f>
        <v>116.40118210776</v>
      </c>
    </row>
    <row r="18383" customFormat="false" ht="15" hidden="false" customHeight="false" outlineLevel="0" collapsed="false">
      <c r="A18383" s="5" t="s">
        <v>246</v>
      </c>
      <c r="G18383" s="25" t="n">
        <f aca="false">G18409+G18422+G18435+G18448</f>
        <v>119.04</v>
      </c>
      <c r="H18383" s="25" t="n">
        <f aca="false">H18409+H18422+H18435+H18448</f>
        <v>114.21564</v>
      </c>
      <c r="I18383" s="25" t="n">
        <f aca="false">I18409+I18422+I18435+I18448</f>
        <v>126.8792</v>
      </c>
      <c r="J18383" s="25" t="n">
        <f aca="false">J18409+J18422+J18435+J18448</f>
        <v>134.749836056</v>
      </c>
      <c r="K18383" s="25" t="n">
        <f aca="false">K18409+K18422+K18435+K18448</f>
        <v>136.33146262032</v>
      </c>
    </row>
    <row r="18384" customFormat="false" ht="15" hidden="false" customHeight="false" outlineLevel="0" collapsed="false">
      <c r="A18384" s="5" t="s">
        <v>247</v>
      </c>
      <c r="G18384" s="25" t="n">
        <f aca="false">G18410+G18423+G18436+G18449</f>
        <v>0</v>
      </c>
      <c r="H18384" s="25" t="n">
        <f aca="false">H18410+H18423+H18436+H18449</f>
        <v>0</v>
      </c>
      <c r="I18384" s="25" t="n">
        <f aca="false">I18410+I18423+I18436+I18449</f>
        <v>0</v>
      </c>
      <c r="J18384" s="25" t="n">
        <f aca="false">J18410+J18423+J18436+J18449</f>
        <v>0</v>
      </c>
      <c r="K18384" s="25" t="n">
        <f aca="false">K18410+K18423+K18436+K18449</f>
        <v>0</v>
      </c>
    </row>
    <row r="18385" customFormat="false" ht="15" hidden="false" customHeight="false" outlineLevel="0" collapsed="false">
      <c r="A18385" s="5" t="s">
        <v>212</v>
      </c>
      <c r="G18385" s="25" t="n">
        <f aca="false">G18383+G18384</f>
        <v>119.04</v>
      </c>
      <c r="H18385" s="25" t="n">
        <f aca="false">H18383+H18384</f>
        <v>114.21564</v>
      </c>
      <c r="I18385" s="25" t="n">
        <f aca="false">I18383+I18384</f>
        <v>126.8792</v>
      </c>
      <c r="J18385" s="25" t="n">
        <f aca="false">J18383+J18384</f>
        <v>134.749836056</v>
      </c>
      <c r="K18385" s="25" t="n">
        <f aca="false">K18383+K18384</f>
        <v>136.33146262032</v>
      </c>
    </row>
    <row r="18386" customFormat="false" ht="15" hidden="false" customHeight="false" outlineLevel="0" collapsed="false">
      <c r="A18386" s="2" t="s">
        <v>223</v>
      </c>
      <c r="G18386" s="16" t="n">
        <f aca="false">G18382-G18385</f>
        <v>-16.872</v>
      </c>
      <c r="H18386" s="16" t="n">
        <f aca="false">H18382-H18385</f>
        <v>-8.36484</v>
      </c>
      <c r="I18386" s="16" t="n">
        <f aca="false">I18382-I18385</f>
        <v>-17.4294728</v>
      </c>
      <c r="J18386" s="16" t="n">
        <f aca="false">J18382-J18385</f>
        <v>-21.78374528</v>
      </c>
      <c r="K18386" s="16" t="n">
        <f aca="false">K18382-K18385</f>
        <v>-19.93028051256</v>
      </c>
    </row>
    <row r="18387" customFormat="false" ht="15" hidden="false" customHeight="false" outlineLevel="0" collapsed="false">
      <c r="A18387" s="5" t="s">
        <v>213</v>
      </c>
      <c r="G18387" s="25" t="n">
        <f aca="false">MAX(0,G18386)*Assumptions!$C$9</f>
        <v>0</v>
      </c>
      <c r="H18387" s="25" t="n">
        <f aca="false">MAX(0,H18386)*Assumptions!$C$9</f>
        <v>0</v>
      </c>
      <c r="I18387" s="25" t="n">
        <f aca="false">MAX(0,I18386)*Assumptions!$C$9</f>
        <v>0</v>
      </c>
      <c r="J18387" s="25" t="n">
        <f aca="false">MAX(0,J18386)*Assumptions!$C$9</f>
        <v>0</v>
      </c>
      <c r="K18387" s="25" t="n">
        <f aca="false">MAX(0,K18386)*Assumptions!$C$9</f>
        <v>0</v>
      </c>
    </row>
    <row r="18388" customFormat="false" ht="15" hidden="false" customHeight="false" outlineLevel="0" collapsed="false">
      <c r="A18388" s="2" t="s">
        <v>248</v>
      </c>
      <c r="G18388" s="16" t="n">
        <f aca="false">G18386-G18387</f>
        <v>-16.872</v>
      </c>
      <c r="H18388" s="16" t="n">
        <f aca="false">H18386-H18387</f>
        <v>-8.36484</v>
      </c>
      <c r="I18388" s="16" t="n">
        <f aca="false">I18386-I18387</f>
        <v>-17.4294728</v>
      </c>
      <c r="J18388" s="16" t="n">
        <f aca="false">J18386-J18387</f>
        <v>-21.78374528</v>
      </c>
      <c r="K18388" s="16" t="n">
        <f aca="false">K18386-K18387</f>
        <v>-19.93028051256</v>
      </c>
    </row>
    <row r="18389" customFormat="false" ht="15" hidden="false" customHeight="false" outlineLevel="0" collapsed="false">
      <c r="A18389" s="23" t="s">
        <v>249</v>
      </c>
      <c r="B18389" s="24"/>
      <c r="C18389" s="24"/>
      <c r="D18389" s="24"/>
      <c r="E18389" s="24"/>
      <c r="F18389" s="24"/>
      <c r="G18389" s="24"/>
      <c r="H18389" s="24"/>
      <c r="I18389" s="24"/>
      <c r="J18389" s="24"/>
      <c r="K18389" s="24"/>
    </row>
    <row r="18390" customFormat="false" ht="15" hidden="false" customHeight="false" outlineLevel="0" collapsed="false">
      <c r="A18390" s="5" t="s">
        <v>153</v>
      </c>
      <c r="G18390" s="25" t="n">
        <f aca="false">G18375*CHOOSE($C$18362,Assumptions!$C$69,Assumptions!$C$88,Assumptions!$C$107)</f>
        <v>47.52</v>
      </c>
      <c r="H18390" s="25" t="n">
        <f aca="false">H18375*CHOOSE($C$18362,Assumptions!$C$69,Assumptions!$C$88,Assumptions!$C$107)</f>
        <v>47.0448</v>
      </c>
      <c r="I18390" s="25" t="n">
        <f aca="false">I18375*CHOOSE($C$18362,Assumptions!$C$69,Assumptions!$C$88,Assumptions!$C$107)</f>
        <v>46.574352</v>
      </c>
      <c r="J18390" s="25" t="n">
        <f aca="false">J18375*CHOOSE($C$18362,Assumptions!$C$69,Assumptions!$C$88,Assumptions!$C$107)</f>
        <v>46.10860848</v>
      </c>
      <c r="K18390" s="25" t="n">
        <f aca="false">K18375*CHOOSE($C$18362,Assumptions!$C$69,Assumptions!$C$88,Assumptions!$C$107)</f>
        <v>45.6475223952</v>
      </c>
    </row>
    <row r="18391" customFormat="false" ht="15" hidden="false" customHeight="false" outlineLevel="0" collapsed="false">
      <c r="A18391" s="5" t="s">
        <v>250</v>
      </c>
      <c r="G18391" s="25" t="n">
        <f aca="false">CHOOSE($C$18362,Assumptions!$C$70,Assumptions!$C$89,Assumptions!$C$108)*(G18375-F18375)+CHOOSE($C$18362,Assumptions!$C$71,Assumptions!$C$90,Assumptions!$C$109)*G18375</f>
        <v>-2.88</v>
      </c>
      <c r="H18391" s="25" t="n">
        <f aca="false">CHOOSE($C$18362,Assumptions!$C$70,Assumptions!$C$89,Assumptions!$C$108)*(H18375-G18375)+CHOOSE($C$18362,Assumptions!$C$71,Assumptions!$C$90,Assumptions!$C$109)*H18375</f>
        <v>-2.85120000000003</v>
      </c>
      <c r="I18391" s="25" t="n">
        <f aca="false">CHOOSE($C$18362,Assumptions!$C$70,Assumptions!$C$89,Assumptions!$C$108)*(I18375-H18375)+CHOOSE($C$18362,Assumptions!$C$71,Assumptions!$C$90,Assumptions!$C$109)*I18375</f>
        <v>-2.82268799999998</v>
      </c>
      <c r="J18391" s="25" t="n">
        <f aca="false">CHOOSE($C$18362,Assumptions!$C$70,Assumptions!$C$89,Assumptions!$C$108)*(J18375-I18375)+CHOOSE($C$18362,Assumptions!$C$71,Assumptions!$C$90,Assumptions!$C$109)*J18375</f>
        <v>-2.79446111999998</v>
      </c>
      <c r="K18391" s="25" t="n">
        <f aca="false">CHOOSE($C$18362,Assumptions!$C$70,Assumptions!$C$89,Assumptions!$C$108)*(K18375-J18375)+CHOOSE($C$18362,Assumptions!$C$71,Assumptions!$C$90,Assumptions!$C$109)*K18375</f>
        <v>-2.7665165088</v>
      </c>
    </row>
    <row r="18392" customFormat="false" ht="15" hidden="false" customHeight="false" outlineLevel="0" collapsed="false">
      <c r="A18392" s="2" t="s">
        <v>251</v>
      </c>
      <c r="G18392" s="16" t="n">
        <f aca="false">G18388+G18380+G18381+G18384-G18390-G18391</f>
        <v>-9.24000000000001</v>
      </c>
      <c r="H18392" s="16" t="n">
        <f aca="false">H18388+H18380+H18381+H18384-H18390-H18391</f>
        <v>-0.809159999999978</v>
      </c>
      <c r="I18392" s="16" t="n">
        <f aca="false">I18388+I18380+I18381+I18384-I18390-I18391</f>
        <v>-9.94934960000002</v>
      </c>
      <c r="J18392" s="16" t="n">
        <f aca="false">J18388+J18380+J18381+J18384-J18390-J18391</f>
        <v>-14.378423312</v>
      </c>
      <c r="K18392" s="16" t="n">
        <f aca="false">K18388+K18380+K18381+K18384-K18390-K18391</f>
        <v>-12.59901176424</v>
      </c>
    </row>
    <row r="18394" customFormat="false" ht="15" hidden="false" customHeight="false" outlineLevel="0" collapsed="false">
      <c r="A18394" s="23" t="s">
        <v>253</v>
      </c>
      <c r="B18394" s="24"/>
      <c r="C18394" s="24"/>
      <c r="D18394" s="24"/>
      <c r="E18394" s="24"/>
      <c r="F18394" s="24"/>
      <c r="G18394" s="24"/>
      <c r="H18394" s="24"/>
      <c r="I18394" s="24"/>
      <c r="J18394" s="24"/>
      <c r="K18394" s="24"/>
    </row>
    <row r="18395" customFormat="false" ht="15" hidden="false" customHeight="false" outlineLevel="0" collapsed="false">
      <c r="A18395" s="5" t="s">
        <v>254</v>
      </c>
      <c r="G18395" s="29" t="n">
        <f aca="false">Assumptions!$G$49</f>
        <v>0.0425</v>
      </c>
      <c r="H18395" s="29" t="n">
        <f aca="false">Assumptions!$H$49</f>
        <v>0.04</v>
      </c>
      <c r="I18395" s="29" t="n">
        <f aca="false">Assumptions!$I$49</f>
        <v>0.0375</v>
      </c>
      <c r="J18395" s="29" t="n">
        <f aca="false">Assumptions!$J$49</f>
        <v>0.0375</v>
      </c>
      <c r="K18395" s="29" t="n">
        <f aca="false">Assumptions!$K$49</f>
        <v>0.0375</v>
      </c>
    </row>
    <row r="18396" customFormat="false" ht="15" hidden="false" customHeight="false" outlineLevel="0" collapsed="false">
      <c r="A18396" s="5" t="s">
        <v>255</v>
      </c>
      <c r="C18396" s="30" t="n">
        <f aca="false">CHOOSE($C$18362,Assumptions!$C$72,Assumptions!$C$91,Assumptions!$C$110)+$C$18365</f>
        <v>0</v>
      </c>
    </row>
    <row r="18397" customFormat="false" ht="15" hidden="false" customHeight="false" outlineLevel="0" collapsed="false">
      <c r="A18397" s="5" t="s">
        <v>256</v>
      </c>
      <c r="C18397" s="30" t="n">
        <f aca="false">CHOOSE($C$18362,Assumptions!$C$73,Assumptions!$C$92,Assumptions!$C$111)</f>
        <v>0.11</v>
      </c>
    </row>
    <row r="18398" customFormat="false" ht="15" hidden="false" customHeight="false" outlineLevel="0" collapsed="false">
      <c r="A18398" s="5" t="s">
        <v>257</v>
      </c>
      <c r="C18398" s="31" t="n">
        <f aca="false">CHOOSE($C$18362,Assumptions!$C$74,Assumptions!$C$93,Assumptions!$C$112)</f>
        <v>8.5</v>
      </c>
    </row>
    <row r="18399" customFormat="false" ht="15" hidden="false" customHeight="false" outlineLevel="0" collapsed="false">
      <c r="A18399" s="5" t="s">
        <v>258</v>
      </c>
      <c r="C18399" s="31" t="n">
        <f aca="false">CHOOSE($C$18362,Assumptions!$C$75,Assumptions!$C$94,Assumptions!$C$113)</f>
        <v>1.2</v>
      </c>
    </row>
    <row r="18400" customFormat="false" ht="15" hidden="false" customHeight="false" outlineLevel="0" collapsed="false">
      <c r="A18400" s="5" t="s">
        <v>259</v>
      </c>
      <c r="G18400" s="25" t="n">
        <f aca="false">G18405+G18418+G18431+G18444</f>
        <v>1250</v>
      </c>
      <c r="H18400" s="25" t="n">
        <f aca="false">H18405+H18418+H18431+H18444</f>
        <v>1214.24</v>
      </c>
      <c r="I18400" s="25" t="n">
        <f aca="false">I18405+I18418+I18431+I18444</f>
        <v>1209.04</v>
      </c>
      <c r="J18400" s="25" t="n">
        <f aca="false">J18405+J18418+J18431+J18444</f>
        <v>1224.9985096</v>
      </c>
      <c r="K18400" s="25" t="n">
        <f aca="false">K18405+K18418+K18431+K18444</f>
        <v>1239.376932912</v>
      </c>
    </row>
    <row r="18401" customFormat="false" ht="15" hidden="false" customHeight="false" outlineLevel="0" collapsed="false">
      <c r="A18401" s="5" t="s">
        <v>260</v>
      </c>
      <c r="G18401" s="25" t="n">
        <f aca="false">F18491</f>
        <v>45</v>
      </c>
      <c r="H18401" s="25" t="n">
        <f aca="false">G18491</f>
        <v>0</v>
      </c>
      <c r="I18401" s="25" t="n">
        <f aca="false">H18491</f>
        <v>-6.00915999999998</v>
      </c>
      <c r="J18401" s="25" t="n">
        <f aca="false">I18491</f>
        <v>0</v>
      </c>
      <c r="K18401" s="25" t="n">
        <f aca="false">J18491</f>
        <v>0</v>
      </c>
    </row>
    <row r="18402" customFormat="false" ht="15" hidden="false" customHeight="false" outlineLevel="0" collapsed="false">
      <c r="A18402" s="5" t="s">
        <v>261</v>
      </c>
      <c r="G18402" s="25" t="n">
        <f aca="false">G18405*IF(G18406=1,$C$18397,IF(Assumptions!$I$53=1,MAX(G18395,Assumptions!$G$53)+Assumptions!$F$53+$C$18396,Assumptions!$E$53))+G18418*IF(G18419=1,$C$18397,IF(Assumptions!$I$54=1,MAX(G18395,Assumptions!$G$54)+Assumptions!$F$54+$C$18396,Assumptions!$E$54))+G18431*IF(G18432=1,$C$18397,IF(Assumptions!$I$55=1,MAX(G18395,Assumptions!$G$55)+Assumptions!$F$55+$C$18396,Assumptions!$E$55))+G18444*IF(G18445=1,$C$18397,IF(Assumptions!$I$56=1,MAX(G18395,Assumptions!$G$56)+Assumptions!$F$56+$C$18396,Assumptions!$E$56))</f>
        <v>119.04</v>
      </c>
      <c r="H18402" s="25" t="n">
        <f aca="false">H18405*IF(OR(H18406=1,G18557=1),$C$18397,IF(Assumptions!$I$53=1,MAX(H18395,Assumptions!$G$53)+Assumptions!$F$53+$C$18396,Assumptions!$E$53))+H18418*IF(OR(H18419=1,G18558=1),$C$18397,IF(Assumptions!$I$54=1,MAX(H18395,Assumptions!$G$54)+Assumptions!$F$54+$C$18396,Assumptions!$E$54))+H18431*IF(OR(H18432=1,G18559=1),$C$18397,IF(Assumptions!$I$55=1,MAX(H18395,Assumptions!$G$55)+Assumptions!$F$55+$C$18396,Assumptions!$E$55))+H18444*IF(OR(H18445=1,G18560=1),$C$18397,IF(Assumptions!$I$56=1,MAX(H18395,Assumptions!$G$56)+Assumptions!$F$56+$C$18396,Assumptions!$E$56))</f>
        <v>128.6758</v>
      </c>
      <c r="I18402" s="25" t="n">
        <f aca="false">I18405*IF(OR(I18406=1,H18557=1),$C$18397,IF(Assumptions!$I$53=1,MAX(I18395,Assumptions!$G$53)+Assumptions!$F$53+$C$18396,Assumptions!$E$53))+I18418*IF(OR(I18419=1,H18558=1),$C$18397,IF(Assumptions!$I$54=1,MAX(I18395,Assumptions!$G$54)+Assumptions!$F$54+$C$18396,Assumptions!$E$54))+I18431*IF(OR(I18432=1,H18559=1),$C$18397,IF(Assumptions!$I$55=1,MAX(I18395,Assumptions!$G$55)+Assumptions!$F$55+$C$18396,Assumptions!$E$55))+I18444*IF(OR(I18445=1,H18560=1),$C$18397,IF(Assumptions!$I$56=1,MAX(I18395,Assumptions!$G$56)+Assumptions!$F$56+$C$18396,Assumptions!$E$56))</f>
        <v>132.9944</v>
      </c>
      <c r="J18402" s="25" t="n">
        <f aca="false">J18405*IF(OR(J18406=1,I18557=1),$C$18397,IF(Assumptions!$I$53=1,MAX(J18395,Assumptions!$G$53)+Assumptions!$F$53+$C$18396,Assumptions!$E$53))+J18418*IF(OR(J18419=1,I18558=1),$C$18397,IF(Assumptions!$I$54=1,MAX(J18395,Assumptions!$G$54)+Assumptions!$F$54+$C$18396,Assumptions!$E$54))+J18431*IF(OR(J18432=1,I18559=1),$C$18397,IF(Assumptions!$I$55=1,MAX(J18395,Assumptions!$G$55)+Assumptions!$F$55+$C$18396,Assumptions!$E$55))+J18444*IF(OR(J18445=1,I18560=1),$C$18397,IF(Assumptions!$I$56=1,MAX(J18395,Assumptions!$G$56)+Assumptions!$F$56+$C$18396,Assumptions!$E$56))</f>
        <v>134.749836056</v>
      </c>
      <c r="K18402" s="25" t="n">
        <f aca="false">K18405*IF(OR(K18406=1,J18557=1),$C$18397,IF(Assumptions!$I$53=1,MAX(K18395,Assumptions!$G$53)+Assumptions!$F$53+$C$18396,Assumptions!$E$53))+K18418*IF(OR(K18419=1,J18558=1),$C$18397,IF(Assumptions!$I$54=1,MAX(K18395,Assumptions!$G$54)+Assumptions!$F$54+$C$18396,Assumptions!$E$54))+K18431*IF(OR(K18432=1,J18559=1),$C$18397,IF(Assumptions!$I$55=1,MAX(K18395,Assumptions!$G$55)+Assumptions!$F$55+$C$18396,Assumptions!$E$55))+K18444*IF(OR(K18445=1,J18560=1),$C$18397,IF(Assumptions!$I$56=1,MAX(K18395,Assumptions!$G$56)+Assumptions!$F$56+$C$18396,Assumptions!$E$56))</f>
        <v>136.33146262032</v>
      </c>
    </row>
    <row r="18403" customFormat="false" ht="15" hidden="false" customHeight="false" outlineLevel="0" collapsed="false">
      <c r="A18403" s="5" t="s">
        <v>262</v>
      </c>
      <c r="G18403" s="20" t="n">
        <f aca="false">IF(G18379&lt;=0,0,IF(AND((G18400-G18401)/G18379&lt;=$C$18398,G18379/G18402&gt;=$C$18399),1,0))</f>
        <v>1</v>
      </c>
      <c r="H18403" s="20" t="n">
        <f aca="false">IF(H18379&lt;=0,0,IF(AND((H18400-H18401)/H18379&lt;=$C$18398,H18379/H18402&gt;=$C$18399),1,0))</f>
        <v>1</v>
      </c>
      <c r="I18403" s="20" t="n">
        <f aca="false">IF(I18379&lt;=0,0,IF(AND((I18400-I18401)/I18379&lt;=$C$18398,I18379/I18402&gt;=$C$18399),1,0))</f>
        <v>1</v>
      </c>
      <c r="J18403" s="20" t="n">
        <f aca="false">IF(J18379&lt;=0,0,IF(AND((J18400-J18401)/J18379&lt;=$C$18398,J18379/J18402&gt;=$C$18399),1,0))</f>
        <v>1</v>
      </c>
      <c r="K18403" s="20" t="n">
        <f aca="false">IF(K18379&lt;=0,0,IF(AND((K18400-K18401)/K18379&lt;=$C$18398,K18379/K18402&gt;=$C$18399),1,0))</f>
        <v>1</v>
      </c>
    </row>
    <row r="18404" customFormat="false" ht="15" hidden="false" customHeight="false" outlineLevel="0" collapsed="false">
      <c r="A18404" s="23" t="s">
        <v>263</v>
      </c>
      <c r="B18404" s="24"/>
      <c r="C18404" s="24"/>
      <c r="D18404" s="24"/>
      <c r="E18404" s="24"/>
      <c r="F18404" s="24"/>
      <c r="G18404" s="24"/>
      <c r="H18404" s="24"/>
      <c r="I18404" s="24"/>
      <c r="J18404" s="24"/>
      <c r="K18404" s="24"/>
    </row>
    <row r="18405" customFormat="false" ht="15" hidden="false" customHeight="false" outlineLevel="0" collapsed="false">
      <c r="A18405" s="5" t="s">
        <v>264</v>
      </c>
      <c r="G18405" s="25" t="n">
        <f aca="false">F18416</f>
        <v>180</v>
      </c>
      <c r="H18405" s="25" t="n">
        <f aca="false">G18416</f>
        <v>149.44</v>
      </c>
      <c r="I18405" s="25" t="n">
        <f aca="false">H18416</f>
        <v>149.44</v>
      </c>
      <c r="J18405" s="25" t="n">
        <f aca="false">I18416</f>
        <v>170.5985096</v>
      </c>
      <c r="K18405" s="25" t="n">
        <f aca="false">J18416</f>
        <v>190.176932912</v>
      </c>
    </row>
    <row r="18406" customFormat="false" ht="15" hidden="false" customHeight="false" outlineLevel="0" collapsed="false">
      <c r="A18406" s="5" t="s">
        <v>265</v>
      </c>
      <c r="G18406" s="20" t="n">
        <f aca="false">IF(G18369=Assumptions!$K$53,1,0)</f>
        <v>0</v>
      </c>
      <c r="H18406" s="20" t="n">
        <f aca="false">IF(H18369=Assumptions!$K$53,1,0)</f>
        <v>1</v>
      </c>
      <c r="I18406" s="20" t="n">
        <f aca="false">IF(I18369=Assumptions!$K$53,1,0)</f>
        <v>0</v>
      </c>
      <c r="J18406" s="20" t="n">
        <f aca="false">IF(J18369=Assumptions!$K$53,1,0)</f>
        <v>0</v>
      </c>
      <c r="K18406" s="20" t="n">
        <f aca="false">IF(K18369=Assumptions!$K$53,1,0)</f>
        <v>0</v>
      </c>
    </row>
    <row r="18408" customFormat="false" ht="15" hidden="false" customHeight="false" outlineLevel="0" collapsed="false">
      <c r="A18408" s="5" t="s">
        <v>266</v>
      </c>
      <c r="G18408" s="30" t="n">
        <f aca="false">IF(Assumptions!$I$53=1,MAX(G18395,Assumptions!$G$53)+Assumptions!$F$53+$C$18396,Assumptions!$E$53)</f>
        <v>0.086</v>
      </c>
      <c r="H18408" s="30" t="n">
        <f aca="false">IF(G18557=1,$C$18397,IF(Assumptions!$I$53=1,MAX(H18395,Assumptions!$G$53)+Assumptions!$F$53+$C$18396,Assumptions!$E$53))</f>
        <v>0.0835</v>
      </c>
      <c r="I18408" s="30" t="n">
        <f aca="false">IF(H18557=1,$C$18397,IF(Assumptions!$I$53=1,MAX(I18395,Assumptions!$G$53)+Assumptions!$F$53+$C$18396,Assumptions!$E$53))</f>
        <v>0.11</v>
      </c>
      <c r="J18408" s="30" t="n">
        <f aca="false">IF(I18557=1,$C$18397,IF(Assumptions!$I$53=1,MAX(J18395,Assumptions!$G$53)+Assumptions!$F$53+$C$18396,Assumptions!$E$53))</f>
        <v>0.11</v>
      </c>
      <c r="K18408" s="30" t="n">
        <f aca="false">IF(J18557=1,$C$18397,IF(Assumptions!$I$53=1,MAX(K18395,Assumptions!$G$53)+Assumptions!$F$53+$C$18396,Assumptions!$E$53))</f>
        <v>0.11</v>
      </c>
    </row>
    <row r="18409" customFormat="false" ht="15" hidden="false" customHeight="false" outlineLevel="0" collapsed="false">
      <c r="A18409" s="5" t="s">
        <v>267</v>
      </c>
      <c r="G18409" s="25" t="n">
        <f aca="false">G18405*G18408</f>
        <v>15.48</v>
      </c>
      <c r="H18409" s="25" t="n">
        <f aca="false">H18405*H18408</f>
        <v>12.47824</v>
      </c>
      <c r="I18409" s="25" t="n">
        <f aca="false">I18405*I18408</f>
        <v>16.4384</v>
      </c>
      <c r="J18409" s="25" t="n">
        <f aca="false">J18405*J18408</f>
        <v>18.765836056</v>
      </c>
      <c r="K18409" s="25" t="n">
        <f aca="false">K18405*K18408</f>
        <v>20.91946262032</v>
      </c>
    </row>
    <row r="18410" customFormat="false" ht="15" hidden="false" customHeight="false" outlineLevel="0" collapsed="false">
      <c r="A18410" s="5" t="s">
        <v>268</v>
      </c>
      <c r="G18410" s="25" t="n">
        <f aca="false">G18405*Assumptions!$H$53</f>
        <v>0</v>
      </c>
      <c r="H18410" s="25" t="n">
        <f aca="false">H18405*Assumptions!$H$53</f>
        <v>0</v>
      </c>
      <c r="I18410" s="25" t="n">
        <f aca="false">I18405*Assumptions!$H$53</f>
        <v>0</v>
      </c>
      <c r="J18410" s="25" t="n">
        <f aca="false">J18405*Assumptions!$H$53</f>
        <v>0</v>
      </c>
      <c r="K18410" s="25" t="n">
        <f aca="false">K18405*Assumptions!$H$53</f>
        <v>0</v>
      </c>
    </row>
    <row r="18411" customFormat="false" ht="15" hidden="false" customHeight="false" outlineLevel="0" collapsed="false">
      <c r="A18411" s="5" t="s">
        <v>269</v>
      </c>
      <c r="G18411" s="25" t="n">
        <f aca="false">MIN(G18405,Assumptions!$L$53*Assumptions!$C$53)</f>
        <v>0</v>
      </c>
      <c r="H18411" s="25" t="n">
        <f aca="false">MIN(H18405,Assumptions!$L$53*Assumptions!$C$53)</f>
        <v>0</v>
      </c>
      <c r="I18411" s="25" t="n">
        <f aca="false">MIN(I18405,Assumptions!$L$53*Assumptions!$C$53)</f>
        <v>0</v>
      </c>
      <c r="J18411" s="25" t="n">
        <f aca="false">MIN(J18405,Assumptions!$L$53*Assumptions!$C$53)</f>
        <v>0</v>
      </c>
      <c r="K18411" s="25" t="n">
        <f aca="false">MIN(K18405,Assumptions!$L$53*Assumptions!$C$53)</f>
        <v>0</v>
      </c>
    </row>
    <row r="18412" customFormat="false" ht="15" hidden="false" customHeight="false" outlineLevel="0" collapsed="false">
      <c r="A18412" s="5" t="s">
        <v>270</v>
      </c>
      <c r="G18412" s="25" t="n">
        <f aca="false">IF(AND(Assumptions!$P$53=1,G18369&lt;Assumptions!$K$53),MIN(MAX(0,-G18483),MAX(0,Assumptions!$D$53-G18405)),0)</f>
        <v>0</v>
      </c>
      <c r="H18412" s="25" t="n">
        <f aca="false">IF(AND(Assumptions!$P$53=1,OR(H18369&lt;Assumptions!$K$53,G18557=1)),MIN(MAX(0,-H18483),MAX(0,Assumptions!$D$53-H18405)),0)</f>
        <v>0</v>
      </c>
      <c r="I18412" s="25" t="n">
        <f aca="false">IF(AND(Assumptions!$P$53=1,OR(I18369&lt;Assumptions!$K$53,H18557=1)),MIN(MAX(0,-I18483),MAX(0,Assumptions!$D$53-I18405)),0)</f>
        <v>21.1585096</v>
      </c>
      <c r="J18412" s="25" t="n">
        <f aca="false">IF(AND(Assumptions!$P$53=1,OR(J18369&lt;Assumptions!$K$53,I18557=1)),MIN(MAX(0,-J18483),MAX(0,Assumptions!$D$53-J18405)),0)</f>
        <v>19.578423312</v>
      </c>
      <c r="K18412" s="25" t="n">
        <f aca="false">IF(AND(Assumptions!$P$53=1,OR(K18369&lt;Assumptions!$K$53,J18557=1)),MIN(MAX(0,-K18483),MAX(0,Assumptions!$D$53-K18405)),0)</f>
        <v>17.79901176424</v>
      </c>
    </row>
    <row r="18413" customFormat="false" ht="15" hidden="false" customHeight="false" outlineLevel="0" collapsed="false">
      <c r="A18413" s="5" t="s">
        <v>271</v>
      </c>
      <c r="G18413" s="25" t="n">
        <f aca="false">G18406*MIN(G18405-G18411+G18410,MAX(0,G18485-Assumptions!$C$12*G18403))</f>
        <v>0</v>
      </c>
      <c r="H18413" s="25" t="n">
        <f aca="false">H18406*MIN(H18405-H18411+H18410,MAX(0,H18485-Assumptions!$C$12*H18403))</f>
        <v>0</v>
      </c>
      <c r="I18413" s="25" t="n">
        <f aca="false">I18406*MIN(I18405-I18411+I18410,MAX(0,I18485-Assumptions!$C$12*I18403))</f>
        <v>0</v>
      </c>
      <c r="J18413" s="25" t="n">
        <f aca="false">J18406*MIN(J18405-J18411+J18410,MAX(0,J18485-Assumptions!$C$12*J18403))</f>
        <v>0</v>
      </c>
      <c r="K18413" s="25" t="n">
        <f aca="false">K18406*MIN(K18405-K18411+K18410,MAX(0,K18485-Assumptions!$C$12*K18403))</f>
        <v>0</v>
      </c>
    </row>
    <row r="18414" customFormat="false" ht="15" hidden="false" customHeight="false" outlineLevel="0" collapsed="false">
      <c r="A18414" s="5" t="s">
        <v>272</v>
      </c>
      <c r="G18414" s="25" t="n">
        <f aca="false">Assumptions!$N$53*MIN(G18405+G18412+G18410-G18411-G18413,MAX(0,G18489))</f>
        <v>30.56</v>
      </c>
      <c r="H18414" s="25" t="n">
        <f aca="false">Assumptions!$N$53*MIN(H18405+H18412+H18410-H18411-H18413,MAX(0,H18489))</f>
        <v>0</v>
      </c>
      <c r="I18414" s="25" t="n">
        <f aca="false">Assumptions!$N$53*MIN(I18405+I18412+I18410-I18411-I18413,MAX(0,I18489))</f>
        <v>0</v>
      </c>
      <c r="J18414" s="25" t="n">
        <f aca="false">Assumptions!$N$53*MIN(J18405+J18412+J18410-J18411-J18413,MAX(0,J18489))</f>
        <v>0</v>
      </c>
      <c r="K18414" s="25" t="n">
        <f aca="false">Assumptions!$N$53*MIN(K18405+K18412+K18410-K18411-K18413,MAX(0,K18489))</f>
        <v>0</v>
      </c>
    </row>
    <row r="18415" customFormat="false" ht="15" hidden="false" customHeight="false" outlineLevel="0" collapsed="false">
      <c r="A18415" s="5" t="s">
        <v>273</v>
      </c>
      <c r="G18415" s="25" t="n">
        <f aca="false">G18406*(1-G18403)*(G18405-G18411+G18410-G18413)</f>
        <v>0</v>
      </c>
      <c r="H18415" s="25" t="n">
        <f aca="false">H18406*(1-H18403)*(H18405-H18411+H18410-H18413)</f>
        <v>0</v>
      </c>
      <c r="I18415" s="25" t="n">
        <f aca="false">I18406*(1-I18403)*(I18405-I18411+I18410-I18413)</f>
        <v>0</v>
      </c>
      <c r="J18415" s="25" t="n">
        <f aca="false">J18406*(1-J18403)*(J18405-J18411+J18410-J18413)</f>
        <v>0</v>
      </c>
      <c r="K18415" s="25" t="n">
        <f aca="false">K18406*(1-K18403)*(K18405-K18411+K18410-K18413)</f>
        <v>0</v>
      </c>
    </row>
    <row r="18416" customFormat="false" ht="15" hidden="false" customHeight="false" outlineLevel="0" collapsed="false">
      <c r="A18416" s="2" t="s">
        <v>274</v>
      </c>
      <c r="F18416" s="27" t="n">
        <f aca="false">Assumptions!$C$53</f>
        <v>180</v>
      </c>
      <c r="G18416" s="16" t="n">
        <f aca="false">G18405+G18412+G18410-G18411-G18413-G18414</f>
        <v>149.44</v>
      </c>
      <c r="H18416" s="16" t="n">
        <f aca="false">H18405+H18412+H18410-H18411-H18413-H18414</f>
        <v>149.44</v>
      </c>
      <c r="I18416" s="16" t="n">
        <f aca="false">I18405+I18412+I18410-I18411-I18413-I18414</f>
        <v>170.5985096</v>
      </c>
      <c r="J18416" s="16" t="n">
        <f aca="false">J18405+J18412+J18410-J18411-J18413-J18414</f>
        <v>190.176932912</v>
      </c>
      <c r="K18416" s="16" t="n">
        <f aca="false">K18405+K18412+K18410-K18411-K18413-K18414</f>
        <v>207.97594467624</v>
      </c>
    </row>
    <row r="18417" customFormat="false" ht="15" hidden="false" customHeight="false" outlineLevel="0" collapsed="false">
      <c r="A18417" s="23" t="s">
        <v>275</v>
      </c>
      <c r="B18417" s="24"/>
      <c r="C18417" s="24"/>
      <c r="D18417" s="24"/>
      <c r="E18417" s="24"/>
      <c r="F18417" s="24"/>
      <c r="G18417" s="24"/>
      <c r="H18417" s="24"/>
      <c r="I18417" s="24"/>
      <c r="J18417" s="24"/>
      <c r="K18417" s="24"/>
    </row>
    <row r="18418" customFormat="false" ht="15" hidden="false" customHeight="false" outlineLevel="0" collapsed="false">
      <c r="A18418" s="5" t="s">
        <v>264</v>
      </c>
      <c r="G18418" s="25" t="n">
        <f aca="false">F18429</f>
        <v>520</v>
      </c>
      <c r="H18418" s="25" t="n">
        <f aca="false">G18429</f>
        <v>514.8</v>
      </c>
      <c r="I18418" s="25" t="n">
        <f aca="false">H18429</f>
        <v>509.6</v>
      </c>
      <c r="J18418" s="25" t="n">
        <f aca="false">I18429</f>
        <v>504.4</v>
      </c>
      <c r="K18418" s="25" t="n">
        <f aca="false">J18429</f>
        <v>499.2</v>
      </c>
    </row>
    <row r="18419" customFormat="false" ht="15" hidden="false" customHeight="false" outlineLevel="0" collapsed="false">
      <c r="A18419" s="5" t="s">
        <v>265</v>
      </c>
      <c r="G18419" s="20" t="n">
        <f aca="false">IF(G18369=Assumptions!$K$54,1,0)</f>
        <v>0</v>
      </c>
      <c r="H18419" s="20" t="n">
        <f aca="false">IF(H18369=Assumptions!$K$54,1,0)</f>
        <v>0</v>
      </c>
      <c r="I18419" s="20" t="n">
        <f aca="false">IF(I18369=Assumptions!$K$54,1,0)</f>
        <v>1</v>
      </c>
      <c r="J18419" s="20" t="n">
        <f aca="false">IF(J18369=Assumptions!$K$54,1,0)</f>
        <v>0</v>
      </c>
      <c r="K18419" s="20" t="n">
        <f aca="false">IF(K18369=Assumptions!$K$54,1,0)</f>
        <v>0</v>
      </c>
    </row>
    <row r="18421" customFormat="false" ht="15" hidden="false" customHeight="false" outlineLevel="0" collapsed="false">
      <c r="A18421" s="5" t="s">
        <v>266</v>
      </c>
      <c r="G18421" s="30" t="n">
        <f aca="false">IF(Assumptions!$I$54=1,MAX(G18395,Assumptions!$G$54)+Assumptions!$F$54+$C$18396,Assumptions!$E$54)</f>
        <v>0.103</v>
      </c>
      <c r="H18421" s="30" t="n">
        <f aca="false">IF(G18558=1,$C$18397,IF(Assumptions!$I$54=1,MAX(H18395,Assumptions!$G$54)+Assumptions!$F$54+$C$18396,Assumptions!$E$54))</f>
        <v>0.1005</v>
      </c>
      <c r="I18421" s="30" t="n">
        <f aca="false">IF(H18558=1,$C$18397,IF(Assumptions!$I$54=1,MAX(I18395,Assumptions!$G$54)+Assumptions!$F$54+$C$18396,Assumptions!$E$54))</f>
        <v>0.098</v>
      </c>
      <c r="J18421" s="30" t="n">
        <f aca="false">IF(I18558=1,$C$18397,IF(Assumptions!$I$54=1,MAX(J18395,Assumptions!$G$54)+Assumptions!$F$54+$C$18396,Assumptions!$E$54))</f>
        <v>0.11</v>
      </c>
      <c r="K18421" s="30" t="n">
        <f aca="false">IF(J18558=1,$C$18397,IF(Assumptions!$I$54=1,MAX(K18395,Assumptions!$G$54)+Assumptions!$F$54+$C$18396,Assumptions!$E$54))</f>
        <v>0.11</v>
      </c>
    </row>
    <row r="18422" customFormat="false" ht="15" hidden="false" customHeight="false" outlineLevel="0" collapsed="false">
      <c r="A18422" s="5" t="s">
        <v>267</v>
      </c>
      <c r="G18422" s="25" t="n">
        <f aca="false">G18418*G18421</f>
        <v>53.56</v>
      </c>
      <c r="H18422" s="25" t="n">
        <f aca="false">H18418*H18421</f>
        <v>51.7374</v>
      </c>
      <c r="I18422" s="25" t="n">
        <f aca="false">I18418*I18421</f>
        <v>49.9408</v>
      </c>
      <c r="J18422" s="25" t="n">
        <f aca="false">J18418*J18421</f>
        <v>55.484</v>
      </c>
      <c r="K18422" s="25" t="n">
        <f aca="false">K18418*K18421</f>
        <v>54.912</v>
      </c>
    </row>
    <row r="18423" customFormat="false" ht="15" hidden="false" customHeight="false" outlineLevel="0" collapsed="false">
      <c r="A18423" s="5" t="s">
        <v>268</v>
      </c>
      <c r="G18423" s="25" t="n">
        <f aca="false">G18418*Assumptions!$H$54</f>
        <v>0</v>
      </c>
      <c r="H18423" s="25" t="n">
        <f aca="false">H18418*Assumptions!$H$54</f>
        <v>0</v>
      </c>
      <c r="I18423" s="25" t="n">
        <f aca="false">I18418*Assumptions!$H$54</f>
        <v>0</v>
      </c>
      <c r="J18423" s="25" t="n">
        <f aca="false">J18418*Assumptions!$H$54</f>
        <v>0</v>
      </c>
      <c r="K18423" s="25" t="n">
        <f aca="false">K18418*Assumptions!$H$54</f>
        <v>0</v>
      </c>
    </row>
    <row r="18424" customFormat="false" ht="15" hidden="false" customHeight="false" outlineLevel="0" collapsed="false">
      <c r="A18424" s="5" t="s">
        <v>269</v>
      </c>
      <c r="G18424" s="25" t="n">
        <f aca="false">MIN(G18418,Assumptions!$L$54*Assumptions!$C$54)</f>
        <v>5.2</v>
      </c>
      <c r="H18424" s="25" t="n">
        <f aca="false">MIN(H18418,Assumptions!$L$54*Assumptions!$C$54)</f>
        <v>5.2</v>
      </c>
      <c r="I18424" s="25" t="n">
        <f aca="false">MIN(I18418,Assumptions!$L$54*Assumptions!$C$54)</f>
        <v>5.2</v>
      </c>
      <c r="J18424" s="25" t="n">
        <f aca="false">MIN(J18418,Assumptions!$L$54*Assumptions!$C$54)</f>
        <v>5.2</v>
      </c>
      <c r="K18424" s="25" t="n">
        <f aca="false">MIN(K18418,Assumptions!$L$54*Assumptions!$C$54)</f>
        <v>5.2</v>
      </c>
    </row>
    <row r="18425" customFormat="false" ht="15" hidden="false" customHeight="false" outlineLevel="0" collapsed="false">
      <c r="A18425" s="5" t="s">
        <v>270</v>
      </c>
      <c r="G18425" s="25" t="n">
        <f aca="false">IF(AND(Assumptions!$P$54=1,G18369&lt;Assumptions!$K$54),MIN(MAX(0,-G18483),MAX(0,Assumptions!$D$54-G18418)),0)</f>
        <v>0</v>
      </c>
      <c r="H18425" s="25" t="n">
        <f aca="false">IF(AND(Assumptions!$P$54=1,OR(H18369&lt;Assumptions!$K$54,G18558=1)),MIN(MAX(0,-H18483),MAX(0,Assumptions!$D$54-H18418)),0)</f>
        <v>0</v>
      </c>
      <c r="I18425" s="25" t="n">
        <f aca="false">IF(AND(Assumptions!$P$54=1,OR(I18369&lt;Assumptions!$K$54,H18558=1)),MIN(MAX(0,-I18483),MAX(0,Assumptions!$D$54-I18418)),0)</f>
        <v>0</v>
      </c>
      <c r="J18425" s="25" t="n">
        <f aca="false">IF(AND(Assumptions!$P$54=1,OR(J18369&lt;Assumptions!$K$54,I18558=1)),MIN(MAX(0,-J18483),MAX(0,Assumptions!$D$54-J18418)),0)</f>
        <v>0</v>
      </c>
      <c r="K18425" s="25" t="n">
        <f aca="false">IF(AND(Assumptions!$P$54=1,OR(K18369&lt;Assumptions!$K$54,J18558=1)),MIN(MAX(0,-K18483),MAX(0,Assumptions!$D$54-K18418)),0)</f>
        <v>0</v>
      </c>
    </row>
    <row r="18426" customFormat="false" ht="15" hidden="false" customHeight="false" outlineLevel="0" collapsed="false">
      <c r="A18426" s="5" t="s">
        <v>271</v>
      </c>
      <c r="G18426" s="25" t="n">
        <f aca="false">G18419*MIN(G18418-G18424+G18423,MAX(0,G18485-Assumptions!$C$12*G18403-G18413))</f>
        <v>0</v>
      </c>
      <c r="H18426" s="25" t="n">
        <f aca="false">H18419*MIN(H18418-H18424+H18423,MAX(0,H18485-Assumptions!$C$12*H18403-H18413))</f>
        <v>0</v>
      </c>
      <c r="I18426" s="25" t="n">
        <f aca="false">I18419*MIN(I18418-I18424+I18423,MAX(0,I18485-Assumptions!$C$12*I18403-I18413))</f>
        <v>0</v>
      </c>
      <c r="J18426" s="25" t="n">
        <f aca="false">J18419*MIN(J18418-J18424+J18423,MAX(0,J18485-Assumptions!$C$12*J18403-J18413))</f>
        <v>0</v>
      </c>
      <c r="K18426" s="25" t="n">
        <f aca="false">K18419*MIN(K18418-K18424+K18423,MAX(0,K18485-Assumptions!$C$12*K18403-K18413))</f>
        <v>0</v>
      </c>
    </row>
    <row r="18427" customFormat="false" ht="15" hidden="false" customHeight="false" outlineLevel="0" collapsed="false">
      <c r="A18427" s="5" t="s">
        <v>272</v>
      </c>
      <c r="G18427" s="25" t="n">
        <f aca="false">Assumptions!$N$54*MIN(G18418+G18425+G18423-G18424-G18426,MAX(0,G18489-G18414))</f>
        <v>0</v>
      </c>
      <c r="H18427" s="25" t="n">
        <f aca="false">Assumptions!$N$54*MIN(H18418+H18425+H18423-H18424-H18426,MAX(0,H18489-H18414))</f>
        <v>0</v>
      </c>
      <c r="I18427" s="25" t="n">
        <f aca="false">Assumptions!$N$54*MIN(I18418+I18425+I18423-I18424-I18426,MAX(0,I18489-I18414))</f>
        <v>0</v>
      </c>
      <c r="J18427" s="25" t="n">
        <f aca="false">Assumptions!$N$54*MIN(J18418+J18425+J18423-J18424-J18426,MAX(0,J18489-J18414))</f>
        <v>0</v>
      </c>
      <c r="K18427" s="25" t="n">
        <f aca="false">Assumptions!$N$54*MIN(K18418+K18425+K18423-K18424-K18426,MAX(0,K18489-K18414))</f>
        <v>0</v>
      </c>
    </row>
    <row r="18428" customFormat="false" ht="15" hidden="false" customHeight="false" outlineLevel="0" collapsed="false">
      <c r="A18428" s="5" t="s">
        <v>273</v>
      </c>
      <c r="G18428" s="25" t="n">
        <f aca="false">G18419*(1-G18403)*(G18418-G18424+G18423-G18426)</f>
        <v>0</v>
      </c>
      <c r="H18428" s="25" t="n">
        <f aca="false">H18419*(1-H18403)*(H18418-H18424+H18423-H18426)</f>
        <v>0</v>
      </c>
      <c r="I18428" s="25" t="n">
        <f aca="false">I18419*(1-I18403)*(I18418-I18424+I18423-I18426)</f>
        <v>0</v>
      </c>
      <c r="J18428" s="25" t="n">
        <f aca="false">J18419*(1-J18403)*(J18418-J18424+J18423-J18426)</f>
        <v>0</v>
      </c>
      <c r="K18428" s="25" t="n">
        <f aca="false">K18419*(1-K18403)*(K18418-K18424+K18423-K18426)</f>
        <v>0</v>
      </c>
    </row>
    <row r="18429" customFormat="false" ht="15" hidden="false" customHeight="false" outlineLevel="0" collapsed="false">
      <c r="A18429" s="2" t="s">
        <v>274</v>
      </c>
      <c r="F18429" s="27" t="n">
        <f aca="false">Assumptions!$C$54</f>
        <v>520</v>
      </c>
      <c r="G18429" s="16" t="n">
        <f aca="false">G18418+G18425+G18423-G18424-G18426-G18427</f>
        <v>514.8</v>
      </c>
      <c r="H18429" s="16" t="n">
        <f aca="false">H18418+H18425+H18423-H18424-H18426-H18427</f>
        <v>509.6</v>
      </c>
      <c r="I18429" s="16" t="n">
        <f aca="false">I18418+I18425+I18423-I18424-I18426-I18427</f>
        <v>504.4</v>
      </c>
      <c r="J18429" s="16" t="n">
        <f aca="false">J18418+J18425+J18423-J18424-J18426-J18427</f>
        <v>499.2</v>
      </c>
      <c r="K18429" s="16" t="n">
        <f aca="false">K18418+K18425+K18423-K18424-K18426-K18427</f>
        <v>494</v>
      </c>
    </row>
    <row r="18430" customFormat="false" ht="15" hidden="false" customHeight="false" outlineLevel="0" collapsed="false">
      <c r="A18430" s="23" t="s">
        <v>276</v>
      </c>
      <c r="B18430" s="24"/>
      <c r="C18430" s="24"/>
      <c r="D18430" s="24"/>
      <c r="E18430" s="24"/>
      <c r="F18430" s="24"/>
      <c r="G18430" s="24"/>
      <c r="H18430" s="24"/>
      <c r="I18430" s="24"/>
      <c r="J18430" s="24"/>
      <c r="K18430" s="24"/>
    </row>
    <row r="18431" customFormat="false" ht="15" hidden="false" customHeight="false" outlineLevel="0" collapsed="false">
      <c r="A18431" s="5" t="s">
        <v>264</v>
      </c>
      <c r="G18431" s="25" t="n">
        <f aca="false">F18442</f>
        <v>250</v>
      </c>
      <c r="H18431" s="25" t="n">
        <f aca="false">G18442</f>
        <v>250</v>
      </c>
      <c r="I18431" s="25" t="n">
        <f aca="false">H18442</f>
        <v>250</v>
      </c>
      <c r="J18431" s="25" t="n">
        <f aca="false">I18442</f>
        <v>250</v>
      </c>
      <c r="K18431" s="25" t="n">
        <f aca="false">J18442</f>
        <v>250</v>
      </c>
    </row>
    <row r="18432" customFormat="false" ht="15" hidden="false" customHeight="false" outlineLevel="0" collapsed="false">
      <c r="A18432" s="5" t="s">
        <v>265</v>
      </c>
      <c r="G18432" s="20" t="n">
        <f aca="false">IF(G18369=Assumptions!$K$55,1,0)</f>
        <v>0</v>
      </c>
      <c r="H18432" s="20" t="n">
        <f aca="false">IF(H18369=Assumptions!$K$55,1,0)</f>
        <v>0</v>
      </c>
      <c r="I18432" s="20" t="n">
        <f aca="false">IF(I18369=Assumptions!$K$55,1,0)</f>
        <v>0</v>
      </c>
      <c r="J18432" s="20" t="n">
        <f aca="false">IF(J18369=Assumptions!$K$55,1,0)</f>
        <v>1</v>
      </c>
      <c r="K18432" s="20" t="n">
        <f aca="false">IF(K18369=Assumptions!$K$55,1,0)</f>
        <v>0</v>
      </c>
    </row>
    <row r="18434" customFormat="false" ht="15" hidden="false" customHeight="false" outlineLevel="0" collapsed="false">
      <c r="A18434" s="5" t="s">
        <v>266</v>
      </c>
      <c r="G18434" s="30" t="n">
        <f aca="false">IF(Assumptions!$I$55=1,MAX(G18395,Assumptions!$G$55)+Assumptions!$F$55+$C$18396,Assumptions!$E$55)</f>
        <v>0.11</v>
      </c>
      <c r="H18434" s="30" t="n">
        <f aca="false">IF(G18559=1,$C$18397,IF(Assumptions!$I$55=1,MAX(H18395,Assumptions!$G$55)+Assumptions!$F$55+$C$18396,Assumptions!$E$55))</f>
        <v>0.11</v>
      </c>
      <c r="I18434" s="30" t="n">
        <f aca="false">IF(H18559=1,$C$18397,IF(Assumptions!$I$55=1,MAX(I18395,Assumptions!$G$55)+Assumptions!$F$55+$C$18396,Assumptions!$E$55))</f>
        <v>0.11</v>
      </c>
      <c r="J18434" s="30" t="n">
        <f aca="false">IF(I18559=1,$C$18397,IF(Assumptions!$I$55=1,MAX(J18395,Assumptions!$G$55)+Assumptions!$F$55+$C$18396,Assumptions!$E$55))</f>
        <v>0.11</v>
      </c>
      <c r="K18434" s="30" t="n">
        <f aca="false">IF(J18559=1,$C$18397,IF(Assumptions!$I$55=1,MAX(K18395,Assumptions!$G$55)+Assumptions!$F$55+$C$18396,Assumptions!$E$55))</f>
        <v>0.11</v>
      </c>
    </row>
    <row r="18435" customFormat="false" ht="15" hidden="false" customHeight="false" outlineLevel="0" collapsed="false">
      <c r="A18435" s="5" t="s">
        <v>267</v>
      </c>
      <c r="G18435" s="25" t="n">
        <f aca="false">G18431*G18434</f>
        <v>27.5</v>
      </c>
      <c r="H18435" s="25" t="n">
        <f aca="false">H18431*H18434</f>
        <v>27.5</v>
      </c>
      <c r="I18435" s="25" t="n">
        <f aca="false">I18431*I18434</f>
        <v>27.5</v>
      </c>
      <c r="J18435" s="25" t="n">
        <f aca="false">J18431*J18434</f>
        <v>27.5</v>
      </c>
      <c r="K18435" s="25" t="n">
        <f aca="false">K18431*K18434</f>
        <v>27.5</v>
      </c>
    </row>
    <row r="18436" customFormat="false" ht="15" hidden="false" customHeight="false" outlineLevel="0" collapsed="false">
      <c r="A18436" s="5" t="s">
        <v>268</v>
      </c>
      <c r="G18436" s="25" t="n">
        <f aca="false">G18431*Assumptions!$H$55</f>
        <v>0</v>
      </c>
      <c r="H18436" s="25" t="n">
        <f aca="false">H18431*Assumptions!$H$55</f>
        <v>0</v>
      </c>
      <c r="I18436" s="25" t="n">
        <f aca="false">I18431*Assumptions!$H$55</f>
        <v>0</v>
      </c>
      <c r="J18436" s="25" t="n">
        <f aca="false">J18431*Assumptions!$H$55</f>
        <v>0</v>
      </c>
      <c r="K18436" s="25" t="n">
        <f aca="false">K18431*Assumptions!$H$55</f>
        <v>0</v>
      </c>
    </row>
    <row r="18437" customFormat="false" ht="15" hidden="false" customHeight="false" outlineLevel="0" collapsed="false">
      <c r="A18437" s="5" t="s">
        <v>269</v>
      </c>
      <c r="G18437" s="25" t="n">
        <f aca="false">MIN(G18431,Assumptions!$L$55*Assumptions!$C$55)</f>
        <v>0</v>
      </c>
      <c r="H18437" s="25" t="n">
        <f aca="false">MIN(H18431,Assumptions!$L$55*Assumptions!$C$55)</f>
        <v>0</v>
      </c>
      <c r="I18437" s="25" t="n">
        <f aca="false">MIN(I18431,Assumptions!$L$55*Assumptions!$C$55)</f>
        <v>0</v>
      </c>
      <c r="J18437" s="25" t="n">
        <f aca="false">MIN(J18431,Assumptions!$L$55*Assumptions!$C$55)</f>
        <v>0</v>
      </c>
      <c r="K18437" s="25" t="n">
        <f aca="false">MIN(K18431,Assumptions!$L$55*Assumptions!$C$55)</f>
        <v>0</v>
      </c>
    </row>
    <row r="18438" customFormat="false" ht="15" hidden="false" customHeight="false" outlineLevel="0" collapsed="false">
      <c r="A18438" s="5" t="s">
        <v>270</v>
      </c>
      <c r="G18438" s="25" t="n">
        <f aca="false">IF(AND(Assumptions!$P$55=1,G18369&lt;Assumptions!$K$55),MIN(MAX(0,-G18483),MAX(0,Assumptions!$D$55-G18431)),0)</f>
        <v>0</v>
      </c>
      <c r="H18438" s="25" t="n">
        <f aca="false">IF(AND(Assumptions!$P$55=1,OR(H18369&lt;Assumptions!$K$55,G18559=1)),MIN(MAX(0,-H18483),MAX(0,Assumptions!$D$55-H18431)),0)</f>
        <v>0</v>
      </c>
      <c r="I18438" s="25" t="n">
        <f aca="false">IF(AND(Assumptions!$P$55=1,OR(I18369&lt;Assumptions!$K$55,H18559=1)),MIN(MAX(0,-I18483),MAX(0,Assumptions!$D$55-I18431)),0)</f>
        <v>0</v>
      </c>
      <c r="J18438" s="25" t="n">
        <f aca="false">IF(AND(Assumptions!$P$55=1,OR(J18369&lt;Assumptions!$K$55,I18559=1)),MIN(MAX(0,-J18483),MAX(0,Assumptions!$D$55-J18431)),0)</f>
        <v>0</v>
      </c>
      <c r="K18438" s="25" t="n">
        <f aca="false">IF(AND(Assumptions!$P$55=1,OR(K18369&lt;Assumptions!$K$55,J18559=1)),MIN(MAX(0,-K18483),MAX(0,Assumptions!$D$55-K18431)),0)</f>
        <v>0</v>
      </c>
    </row>
    <row r="18439" customFormat="false" ht="15" hidden="false" customHeight="false" outlineLevel="0" collapsed="false">
      <c r="A18439" s="5" t="s">
        <v>271</v>
      </c>
      <c r="G18439" s="25" t="n">
        <f aca="false">G18432*MIN(G18431-G18437+G18436,MAX(0,G18485-Assumptions!$C$12*G18403-G18413-G18426))</f>
        <v>0</v>
      </c>
      <c r="H18439" s="25" t="n">
        <f aca="false">H18432*MIN(H18431-H18437+H18436,MAX(0,H18485-Assumptions!$C$12*H18403-H18413-H18426))</f>
        <v>0</v>
      </c>
      <c r="I18439" s="25" t="n">
        <f aca="false">I18432*MIN(I18431-I18437+I18436,MAX(0,I18485-Assumptions!$C$12*I18403-I18413-I18426))</f>
        <v>0</v>
      </c>
      <c r="J18439" s="25" t="n">
        <f aca="false">J18432*MIN(J18431-J18437+J18436,MAX(0,J18485-Assumptions!$C$12*J18403-J18413-J18426))</f>
        <v>0</v>
      </c>
      <c r="K18439" s="25" t="n">
        <f aca="false">K18432*MIN(K18431-K18437+K18436,MAX(0,K18485-Assumptions!$C$12*K18403-K18413-K18426))</f>
        <v>0</v>
      </c>
    </row>
    <row r="18440" customFormat="false" ht="15" hidden="false" customHeight="false" outlineLevel="0" collapsed="false">
      <c r="A18440" s="5" t="s">
        <v>272</v>
      </c>
      <c r="G18440" s="25" t="n">
        <f aca="false">Assumptions!$N$55*MIN(G18431+G18438+G18436-G18437-G18439,MAX(0,G18489-G18414-G18427))</f>
        <v>0</v>
      </c>
      <c r="H18440" s="25" t="n">
        <f aca="false">Assumptions!$N$55*MIN(H18431+H18438+H18436-H18437-H18439,MAX(0,H18489-H18414-H18427))</f>
        <v>0</v>
      </c>
      <c r="I18440" s="25" t="n">
        <f aca="false">Assumptions!$N$55*MIN(I18431+I18438+I18436-I18437-I18439,MAX(0,I18489-I18414-I18427))</f>
        <v>0</v>
      </c>
      <c r="J18440" s="25" t="n">
        <f aca="false">Assumptions!$N$55*MIN(J18431+J18438+J18436-J18437-J18439,MAX(0,J18489-J18414-J18427))</f>
        <v>0</v>
      </c>
      <c r="K18440" s="25" t="n">
        <f aca="false">Assumptions!$N$55*MIN(K18431+K18438+K18436-K18437-K18439,MAX(0,K18489-K18414-K18427))</f>
        <v>0</v>
      </c>
    </row>
    <row r="18441" customFormat="false" ht="15" hidden="false" customHeight="false" outlineLevel="0" collapsed="false">
      <c r="A18441" s="5" t="s">
        <v>273</v>
      </c>
      <c r="G18441" s="25" t="n">
        <f aca="false">G18432*(1-G18403)*(G18431-G18437+G18436-G18439)</f>
        <v>0</v>
      </c>
      <c r="H18441" s="25" t="n">
        <f aca="false">H18432*(1-H18403)*(H18431-H18437+H18436-H18439)</f>
        <v>0</v>
      </c>
      <c r="I18441" s="25" t="n">
        <f aca="false">I18432*(1-I18403)*(I18431-I18437+I18436-I18439)</f>
        <v>0</v>
      </c>
      <c r="J18441" s="25" t="n">
        <f aca="false">J18432*(1-J18403)*(J18431-J18437+J18436-J18439)</f>
        <v>0</v>
      </c>
      <c r="K18441" s="25" t="n">
        <f aca="false">K18432*(1-K18403)*(K18431-K18437+K18436-K18439)</f>
        <v>0</v>
      </c>
    </row>
    <row r="18442" customFormat="false" ht="15" hidden="false" customHeight="false" outlineLevel="0" collapsed="false">
      <c r="A18442" s="2" t="s">
        <v>274</v>
      </c>
      <c r="F18442" s="27" t="n">
        <f aca="false">Assumptions!$C$55</f>
        <v>250</v>
      </c>
      <c r="G18442" s="16" t="n">
        <f aca="false">G18431+G18438+G18436-G18437-G18439-G18440</f>
        <v>250</v>
      </c>
      <c r="H18442" s="16" t="n">
        <f aca="false">H18431+H18438+H18436-H18437-H18439-H18440</f>
        <v>250</v>
      </c>
      <c r="I18442" s="16" t="n">
        <f aca="false">I18431+I18438+I18436-I18437-I18439-I18440</f>
        <v>250</v>
      </c>
      <c r="J18442" s="16" t="n">
        <f aca="false">J18431+J18438+J18436-J18437-J18439-J18440</f>
        <v>250</v>
      </c>
      <c r="K18442" s="16" t="n">
        <f aca="false">K18431+K18438+K18436-K18437-K18439-K18440</f>
        <v>250</v>
      </c>
    </row>
    <row r="18443" customFormat="false" ht="15" hidden="false" customHeight="false" outlineLevel="0" collapsed="false">
      <c r="A18443" s="23" t="s">
        <v>277</v>
      </c>
      <c r="B18443" s="24"/>
      <c r="C18443" s="24"/>
      <c r="D18443" s="24"/>
      <c r="E18443" s="24"/>
      <c r="F18443" s="24"/>
      <c r="G18443" s="24"/>
      <c r="H18443" s="24"/>
      <c r="I18443" s="24"/>
      <c r="J18443" s="24"/>
      <c r="K18443" s="24"/>
    </row>
    <row r="18444" customFormat="false" ht="15" hidden="false" customHeight="false" outlineLevel="0" collapsed="false">
      <c r="A18444" s="5" t="s">
        <v>264</v>
      </c>
      <c r="G18444" s="25" t="n">
        <f aca="false">F18455</f>
        <v>300</v>
      </c>
      <c r="H18444" s="25" t="n">
        <f aca="false">G18455</f>
        <v>300</v>
      </c>
      <c r="I18444" s="25" t="n">
        <f aca="false">H18455</f>
        <v>300</v>
      </c>
      <c r="J18444" s="25" t="n">
        <f aca="false">I18455</f>
        <v>300</v>
      </c>
      <c r="K18444" s="25" t="n">
        <f aca="false">J18455</f>
        <v>300</v>
      </c>
    </row>
    <row r="18445" customFormat="false" ht="15" hidden="false" customHeight="false" outlineLevel="0" collapsed="false">
      <c r="A18445" s="5" t="s">
        <v>265</v>
      </c>
      <c r="G18445" s="20" t="n">
        <f aca="false">IF(G18369=Assumptions!$K$56,1,0)</f>
        <v>0</v>
      </c>
      <c r="H18445" s="20" t="n">
        <f aca="false">IF(H18369=Assumptions!$K$56,1,0)</f>
        <v>1</v>
      </c>
      <c r="I18445" s="20" t="n">
        <f aca="false">IF(I18369=Assumptions!$K$56,1,0)</f>
        <v>0</v>
      </c>
      <c r="J18445" s="20" t="n">
        <f aca="false">IF(J18369=Assumptions!$K$56,1,0)</f>
        <v>0</v>
      </c>
      <c r="K18445" s="20" t="n">
        <f aca="false">IF(K18369=Assumptions!$K$56,1,0)</f>
        <v>0</v>
      </c>
    </row>
    <row r="18447" customFormat="false" ht="15" hidden="false" customHeight="false" outlineLevel="0" collapsed="false">
      <c r="A18447" s="5" t="s">
        <v>266</v>
      </c>
      <c r="G18447" s="30" t="n">
        <f aca="false">IF(Assumptions!$I$56=1,MAX(G18395,Assumptions!$G$56)+Assumptions!$F$56+$C$18396,Assumptions!$E$56)</f>
        <v>0.075</v>
      </c>
      <c r="H18447" s="30" t="n">
        <f aca="false">IF(G18560=1,$C$18397,IF(Assumptions!$I$56=1,MAX(H18395,Assumptions!$G$56)+Assumptions!$F$56+$C$18396,Assumptions!$E$56))</f>
        <v>0.075</v>
      </c>
      <c r="I18447" s="30" t="n">
        <f aca="false">IF(H18560=1,$C$18397,IF(Assumptions!$I$56=1,MAX(I18395,Assumptions!$G$56)+Assumptions!$F$56+$C$18396,Assumptions!$E$56))</f>
        <v>0.11</v>
      </c>
      <c r="J18447" s="30" t="n">
        <f aca="false">IF(I18560=1,$C$18397,IF(Assumptions!$I$56=1,MAX(J18395,Assumptions!$G$56)+Assumptions!$F$56+$C$18396,Assumptions!$E$56))</f>
        <v>0.11</v>
      </c>
      <c r="K18447" s="30" t="n">
        <f aca="false">IF(J18560=1,$C$18397,IF(Assumptions!$I$56=1,MAX(K18395,Assumptions!$G$56)+Assumptions!$F$56+$C$18396,Assumptions!$E$56))</f>
        <v>0.11</v>
      </c>
    </row>
    <row r="18448" customFormat="false" ht="15" hidden="false" customHeight="false" outlineLevel="0" collapsed="false">
      <c r="A18448" s="5" t="s">
        <v>267</v>
      </c>
      <c r="G18448" s="25" t="n">
        <f aca="false">G18444*G18447</f>
        <v>22.5</v>
      </c>
      <c r="H18448" s="25" t="n">
        <f aca="false">H18444*H18447</f>
        <v>22.5</v>
      </c>
      <c r="I18448" s="25" t="n">
        <f aca="false">I18444*I18447</f>
        <v>33</v>
      </c>
      <c r="J18448" s="25" t="n">
        <f aca="false">J18444*J18447</f>
        <v>33</v>
      </c>
      <c r="K18448" s="25" t="n">
        <f aca="false">K18444*K18447</f>
        <v>33</v>
      </c>
    </row>
    <row r="18449" customFormat="false" ht="15" hidden="false" customHeight="false" outlineLevel="0" collapsed="false">
      <c r="A18449" s="5" t="s">
        <v>268</v>
      </c>
      <c r="G18449" s="25" t="n">
        <f aca="false">G18444*Assumptions!$H$56</f>
        <v>0</v>
      </c>
      <c r="H18449" s="25" t="n">
        <f aca="false">H18444*Assumptions!$H$56</f>
        <v>0</v>
      </c>
      <c r="I18449" s="25" t="n">
        <f aca="false">I18444*Assumptions!$H$56</f>
        <v>0</v>
      </c>
      <c r="J18449" s="25" t="n">
        <f aca="false">J18444*Assumptions!$H$56</f>
        <v>0</v>
      </c>
      <c r="K18449" s="25" t="n">
        <f aca="false">K18444*Assumptions!$H$56</f>
        <v>0</v>
      </c>
    </row>
    <row r="18450" customFormat="false" ht="15" hidden="false" customHeight="false" outlineLevel="0" collapsed="false">
      <c r="A18450" s="5" t="s">
        <v>269</v>
      </c>
      <c r="G18450" s="25" t="n">
        <f aca="false">MIN(G18444,Assumptions!$L$56*Assumptions!$C$56)</f>
        <v>0</v>
      </c>
      <c r="H18450" s="25" t="n">
        <f aca="false">MIN(H18444,Assumptions!$L$56*Assumptions!$C$56)</f>
        <v>0</v>
      </c>
      <c r="I18450" s="25" t="n">
        <f aca="false">MIN(I18444,Assumptions!$L$56*Assumptions!$C$56)</f>
        <v>0</v>
      </c>
      <c r="J18450" s="25" t="n">
        <f aca="false">MIN(J18444,Assumptions!$L$56*Assumptions!$C$56)</f>
        <v>0</v>
      </c>
      <c r="K18450" s="25" t="n">
        <f aca="false">MIN(K18444,Assumptions!$L$56*Assumptions!$C$56)</f>
        <v>0</v>
      </c>
    </row>
    <row r="18451" customFormat="false" ht="15" hidden="false" customHeight="false" outlineLevel="0" collapsed="false">
      <c r="A18451" s="5" t="s">
        <v>270</v>
      </c>
      <c r="G18451" s="25" t="n">
        <f aca="false">IF(AND(Assumptions!$P$56=1,G18369&lt;Assumptions!$K$56),MIN(MAX(0,-G18483),MAX(0,Assumptions!$D$56-G18444)),0)</f>
        <v>0</v>
      </c>
      <c r="H18451" s="25" t="n">
        <f aca="false">IF(AND(Assumptions!$P$56=1,OR(H18369&lt;Assumptions!$K$56,G18560=1)),MIN(MAX(0,-H18483),MAX(0,Assumptions!$D$56-H18444)),0)</f>
        <v>0</v>
      </c>
      <c r="I18451" s="25" t="n">
        <f aca="false">IF(AND(Assumptions!$P$56=1,OR(I18369&lt;Assumptions!$K$56,H18560=1)),MIN(MAX(0,-I18483),MAX(0,Assumptions!$D$56-I18444)),0)</f>
        <v>0</v>
      </c>
      <c r="J18451" s="25" t="n">
        <f aca="false">IF(AND(Assumptions!$P$56=1,OR(J18369&lt;Assumptions!$K$56,I18560=1)),MIN(MAX(0,-J18483),MAX(0,Assumptions!$D$56-J18444)),0)</f>
        <v>0</v>
      </c>
      <c r="K18451" s="25" t="n">
        <f aca="false">IF(AND(Assumptions!$P$56=1,OR(K18369&lt;Assumptions!$K$56,J18560=1)),MIN(MAX(0,-K18483),MAX(0,Assumptions!$D$56-K18444)),0)</f>
        <v>0</v>
      </c>
    </row>
    <row r="18452" customFormat="false" ht="15" hidden="false" customHeight="false" outlineLevel="0" collapsed="false">
      <c r="A18452" s="5" t="s">
        <v>271</v>
      </c>
      <c r="G18452" s="25" t="n">
        <f aca="false">G18445*MIN(G18444-G18450+G18449,MAX(0,G18485-Assumptions!$C$12*G18403-G18413-G18426-G18439))</f>
        <v>0</v>
      </c>
      <c r="H18452" s="25" t="n">
        <f aca="false">H18445*MIN(H18444-H18450+H18449,MAX(0,H18485-Assumptions!$C$12*H18403-H18413-H18426-H18439))</f>
        <v>0</v>
      </c>
      <c r="I18452" s="25" t="n">
        <f aca="false">I18445*MIN(I18444-I18450+I18449,MAX(0,I18485-Assumptions!$C$12*I18403-I18413-I18426-I18439))</f>
        <v>0</v>
      </c>
      <c r="J18452" s="25" t="n">
        <f aca="false">J18445*MIN(J18444-J18450+J18449,MAX(0,J18485-Assumptions!$C$12*J18403-J18413-J18426-J18439))</f>
        <v>0</v>
      </c>
      <c r="K18452" s="25" t="n">
        <f aca="false">K18445*MIN(K18444-K18450+K18449,MAX(0,K18485-Assumptions!$C$12*K18403-K18413-K18426-K18439))</f>
        <v>0</v>
      </c>
    </row>
    <row r="18453" customFormat="false" ht="15" hidden="false" customHeight="false" outlineLevel="0" collapsed="false">
      <c r="A18453" s="5" t="s">
        <v>272</v>
      </c>
      <c r="G18453" s="25" t="n">
        <f aca="false">Assumptions!$N$56*MIN(G18444+G18451+G18449-G18450-G18452,MAX(0,G18489-G18414-G18427-G18440))</f>
        <v>0</v>
      </c>
      <c r="H18453" s="25" t="n">
        <f aca="false">Assumptions!$N$56*MIN(H18444+H18451+H18449-H18450-H18452,MAX(0,H18489-H18414-H18427-H18440))</f>
        <v>0</v>
      </c>
      <c r="I18453" s="25" t="n">
        <f aca="false">Assumptions!$N$56*MIN(I18444+I18451+I18449-I18450-I18452,MAX(0,I18489-I18414-I18427-I18440))</f>
        <v>0</v>
      </c>
      <c r="J18453" s="25" t="n">
        <f aca="false">Assumptions!$N$56*MIN(J18444+J18451+J18449-J18450-J18452,MAX(0,J18489-J18414-J18427-J18440))</f>
        <v>0</v>
      </c>
      <c r="K18453" s="25" t="n">
        <f aca="false">Assumptions!$N$56*MIN(K18444+K18451+K18449-K18450-K18452,MAX(0,K18489-K18414-K18427-K18440))</f>
        <v>0</v>
      </c>
    </row>
    <row r="18454" customFormat="false" ht="15" hidden="false" customHeight="false" outlineLevel="0" collapsed="false">
      <c r="A18454" s="5" t="s">
        <v>273</v>
      </c>
      <c r="G18454" s="25" t="n">
        <f aca="false">G18445*(1-G18403)*(G18444-G18450+G18449-G18452)</f>
        <v>0</v>
      </c>
      <c r="H18454" s="25" t="n">
        <f aca="false">H18445*(1-H18403)*(H18444-H18450+H18449-H18452)</f>
        <v>0</v>
      </c>
      <c r="I18454" s="25" t="n">
        <f aca="false">I18445*(1-I18403)*(I18444-I18450+I18449-I18452)</f>
        <v>0</v>
      </c>
      <c r="J18454" s="25" t="n">
        <f aca="false">J18445*(1-J18403)*(J18444-J18450+J18449-J18452)</f>
        <v>0</v>
      </c>
      <c r="K18454" s="25" t="n">
        <f aca="false">K18445*(1-K18403)*(K18444-K18450+K18449-K18452)</f>
        <v>0</v>
      </c>
    </row>
    <row r="18455" customFormat="false" ht="15" hidden="false" customHeight="false" outlineLevel="0" collapsed="false">
      <c r="A18455" s="2" t="s">
        <v>274</v>
      </c>
      <c r="F18455" s="27" t="n">
        <f aca="false">Assumptions!$C$56</f>
        <v>300</v>
      </c>
      <c r="G18455" s="16" t="n">
        <f aca="false">G18444+G18451+G18449-G18450-G18452-G18453</f>
        <v>300</v>
      </c>
      <c r="H18455" s="16" t="n">
        <f aca="false">H18444+H18451+H18449-H18450-H18452-H18453</f>
        <v>300</v>
      </c>
      <c r="I18455" s="16" t="n">
        <f aca="false">I18444+I18451+I18449-I18450-I18452-I18453</f>
        <v>300</v>
      </c>
      <c r="J18455" s="16" t="n">
        <f aca="false">J18444+J18451+J18449-J18450-J18452-J18453</f>
        <v>300</v>
      </c>
      <c r="K18455" s="16" t="n">
        <f aca="false">K18444+K18451+K18449-K18450-K18452-K18453</f>
        <v>300</v>
      </c>
    </row>
    <row r="18456" customFormat="false" ht="15" hidden="false" customHeight="false" outlineLevel="0" collapsed="false">
      <c r="A18456" s="23" t="s">
        <v>278</v>
      </c>
      <c r="B18456" s="24"/>
      <c r="C18456" s="24"/>
      <c r="D18456" s="24"/>
      <c r="E18456" s="24"/>
      <c r="F18456" s="24"/>
      <c r="G18456" s="24"/>
      <c r="H18456" s="24"/>
      <c r="I18456" s="24"/>
      <c r="J18456" s="24"/>
      <c r="K18456" s="24"/>
    </row>
    <row r="18457" customFormat="false" ht="15" hidden="false" customHeight="false" outlineLevel="0" collapsed="false">
      <c r="A18457" s="2" t="s">
        <v>279</v>
      </c>
      <c r="F18457" s="16" t="n">
        <f aca="false">F18416+F18429+F18442+F18455</f>
        <v>1250</v>
      </c>
      <c r="G18457" s="16" t="n">
        <f aca="false">G18416+G18429+G18442+G18455</f>
        <v>1214.24</v>
      </c>
      <c r="H18457" s="16" t="n">
        <f aca="false">H18416+H18429+H18442+H18455</f>
        <v>1209.04</v>
      </c>
      <c r="I18457" s="16" t="n">
        <f aca="false">I18416+I18429+I18442+I18455</f>
        <v>1224.9985096</v>
      </c>
      <c r="J18457" s="16" t="n">
        <f aca="false">J18416+J18429+J18442+J18455</f>
        <v>1239.376932912</v>
      </c>
      <c r="K18457" s="16" t="n">
        <f aca="false">K18416+K18429+K18442+K18455</f>
        <v>1251.97594467624</v>
      </c>
    </row>
    <row r="18458" customFormat="false" ht="15" hidden="false" customHeight="false" outlineLevel="0" collapsed="false">
      <c r="A18458" s="5" t="s">
        <v>280</v>
      </c>
      <c r="G18458" s="25" t="n">
        <f aca="false">G18406*Assumptions!$C$53+G18419*Assumptions!$C$54+G18432*Assumptions!$C$55+G18445*Assumptions!$C$56</f>
        <v>0</v>
      </c>
      <c r="H18458" s="25" t="n">
        <f aca="false">H18406*Assumptions!$C$53+H18419*Assumptions!$C$54+H18432*Assumptions!$C$55+H18445*Assumptions!$C$56</f>
        <v>480</v>
      </c>
      <c r="I18458" s="25" t="n">
        <f aca="false">I18406*Assumptions!$C$53+I18419*Assumptions!$C$54+I18432*Assumptions!$C$55+I18445*Assumptions!$C$56</f>
        <v>520</v>
      </c>
      <c r="J18458" s="25" t="n">
        <f aca="false">J18406*Assumptions!$C$53+J18419*Assumptions!$C$54+J18432*Assumptions!$C$55+J18445*Assumptions!$C$56</f>
        <v>250</v>
      </c>
      <c r="K18458" s="25" t="n">
        <f aca="false">K18406*Assumptions!$C$53+K18419*Assumptions!$C$54+K18432*Assumptions!$C$55+K18445*Assumptions!$C$56</f>
        <v>0</v>
      </c>
    </row>
    <row r="18459" customFormat="false" ht="15" hidden="false" customHeight="false" outlineLevel="0" collapsed="false">
      <c r="A18459" s="23" t="s">
        <v>281</v>
      </c>
      <c r="B18459" s="24"/>
      <c r="C18459" s="24"/>
      <c r="D18459" s="24"/>
      <c r="E18459" s="24"/>
      <c r="F18459" s="24"/>
      <c r="G18459" s="24"/>
      <c r="H18459" s="24"/>
      <c r="I18459" s="24"/>
      <c r="J18459" s="24"/>
      <c r="K18459" s="24"/>
    </row>
    <row r="18460" customFormat="false" ht="15" hidden="false" customHeight="false" outlineLevel="0" collapsed="false">
      <c r="A18460" s="5" t="s">
        <v>282</v>
      </c>
      <c r="C18460" s="25" t="n">
        <f aca="false">SUMPRODUCT($G$18406:$K$18406,$G$18405:$K$18405-$G$18411:$K$18411+$G$18410:$K$18410)</f>
        <v>149.44</v>
      </c>
    </row>
    <row r="18461" customFormat="false" ht="15" hidden="false" customHeight="false" outlineLevel="0" collapsed="false">
      <c r="A18461" s="5" t="s">
        <v>283</v>
      </c>
      <c r="C18461" s="25" t="n">
        <f aca="false">SUMPRODUCT($G$18406:$K$18406,$G$18413:$K$18413)</f>
        <v>0</v>
      </c>
    </row>
    <row r="18462" customFormat="false" ht="15" hidden="false" customHeight="false" outlineLevel="0" collapsed="false">
      <c r="A18462" s="5" t="s">
        <v>284</v>
      </c>
      <c r="C18462" s="5" t="str">
        <f aca="false">IF(SUM($G$18406:$K$18406)=0,"n/a (beyond horizon)",IF(SUMPRODUCT($G$18406:$K$18406,$G$18403:$K$18403)&gt;0,"REFINANCING PASS","REFINANCING FAILURE"))</f>
        <v>REFINANCING PASS</v>
      </c>
    </row>
    <row r="18463" customFormat="false" ht="15" hidden="false" customHeight="false" outlineLevel="0" collapsed="false">
      <c r="A18463" s="5" t="s">
        <v>285</v>
      </c>
      <c r="C18463" s="5" t="str">
        <f aca="false">IF(SUM($G$18406:$K$18406)=0,"n/a",IF(C18461&gt;=C18460-0.001,"Repaid from cash",IF(SUMPRODUCT($G$18406:$K$18406,$G$18403:$K$18403)&gt;0,IF(C18461&gt;0,"Partly repaid; remainder refinanced","Refinanced"),IF(SUM($G$18415:$K$18415)&gt;0.001,IF(C18461&gt;0,"Partial repayment; PAYMENT DEFAULT","PAYMENT DEFAULT"),"Repaid from cash"))))</f>
        <v>Refinanced</v>
      </c>
    </row>
    <row r="18464" customFormat="false" ht="15" hidden="false" customHeight="false" outlineLevel="0" collapsed="false">
      <c r="A18464" s="5" t="s">
        <v>286</v>
      </c>
      <c r="C18464" s="25" t="n">
        <f aca="false">SUMPRODUCT($G$18419:$K$18419,$G$18418:$K$18418-$G$18424:$K$18424+$G$18423:$K$18423)</f>
        <v>504.4</v>
      </c>
    </row>
    <row r="18465" customFormat="false" ht="15" hidden="false" customHeight="false" outlineLevel="0" collapsed="false">
      <c r="A18465" s="5" t="s">
        <v>287</v>
      </c>
      <c r="C18465" s="25" t="n">
        <f aca="false">SUMPRODUCT($G$18419:$K$18419,$G$18426:$K$18426)</f>
        <v>0</v>
      </c>
    </row>
    <row r="18466" customFormat="false" ht="15" hidden="false" customHeight="false" outlineLevel="0" collapsed="false">
      <c r="A18466" s="5" t="s">
        <v>288</v>
      </c>
      <c r="C18466" s="5" t="str">
        <f aca="false">IF(SUM($G$18419:$K$18419)=0,"n/a (beyond horizon)",IF(SUMPRODUCT($G$18419:$K$18419,$G$18403:$K$18403)&gt;0,"REFINANCING PASS","REFINANCING FAILURE"))</f>
        <v>REFINANCING PASS</v>
      </c>
    </row>
    <row r="18467" customFormat="false" ht="15" hidden="false" customHeight="false" outlineLevel="0" collapsed="false">
      <c r="A18467" s="5" t="s">
        <v>289</v>
      </c>
      <c r="C18467" s="5" t="str">
        <f aca="false">IF(SUM($G$18419:$K$18419)=0,"n/a",IF(C18465&gt;=C18464-0.001,"Repaid from cash",IF(SUMPRODUCT($G$18419:$K$18419,$G$18403:$K$18403)&gt;0,IF(C18465&gt;0,"Partly repaid; remainder refinanced","Refinanced"),IF(SUM($G$18428:$K$18428)&gt;0.001,IF(C18465&gt;0,"Partial repayment; PAYMENT DEFAULT","PAYMENT DEFAULT"),"Repaid from cash"))))</f>
        <v>Refinanced</v>
      </c>
    </row>
    <row r="18468" customFormat="false" ht="15" hidden="false" customHeight="false" outlineLevel="0" collapsed="false">
      <c r="A18468" s="5" t="s">
        <v>290</v>
      </c>
      <c r="C18468" s="25" t="n">
        <f aca="false">SUMPRODUCT($G$18432:$K$18432,$G$18431:$K$18431-$G$18437:$K$18437+$G$18436:$K$18436)</f>
        <v>250</v>
      </c>
    </row>
    <row r="18469" customFormat="false" ht="15" hidden="false" customHeight="false" outlineLevel="0" collapsed="false">
      <c r="A18469" s="5" t="s">
        <v>291</v>
      </c>
      <c r="C18469" s="25" t="n">
        <f aca="false">SUMPRODUCT($G$18432:$K$18432,$G$18439:$K$18439)</f>
        <v>0</v>
      </c>
    </row>
    <row r="18470" customFormat="false" ht="15" hidden="false" customHeight="false" outlineLevel="0" collapsed="false">
      <c r="A18470" s="5" t="s">
        <v>292</v>
      </c>
      <c r="C18470" s="5" t="str">
        <f aca="false">IF(SUM($G$18432:$K$18432)=0,"n/a (beyond horizon)",IF(SUMPRODUCT($G$18432:$K$18432,$G$18403:$K$18403)&gt;0,"REFINANCING PASS","REFINANCING FAILURE"))</f>
        <v>REFINANCING PASS</v>
      </c>
    </row>
    <row r="18471" customFormat="false" ht="15" hidden="false" customHeight="false" outlineLevel="0" collapsed="false">
      <c r="A18471" s="5" t="s">
        <v>293</v>
      </c>
      <c r="C18471" s="5" t="str">
        <f aca="false">IF(SUM($G$18432:$K$18432)=0,"n/a",IF(C18469&gt;=C18468-0.001,"Repaid from cash",IF(SUMPRODUCT($G$18432:$K$18432,$G$18403:$K$18403)&gt;0,IF(C18469&gt;0,"Partly repaid; remainder refinanced","Refinanced"),IF(SUM($G$18441:$K$18441)&gt;0.001,IF(C18469&gt;0,"Partial repayment; PAYMENT DEFAULT","PAYMENT DEFAULT"),"Repaid from cash"))))</f>
        <v>Refinanced</v>
      </c>
    </row>
    <row r="18472" customFormat="false" ht="15" hidden="false" customHeight="false" outlineLevel="0" collapsed="false">
      <c r="A18472" s="5" t="s">
        <v>294</v>
      </c>
      <c r="C18472" s="25" t="n">
        <f aca="false">SUMPRODUCT($G$18445:$K$18445,$G$18444:$K$18444-$G$18450:$K$18450+$G$18449:$K$18449)</f>
        <v>300</v>
      </c>
    </row>
    <row r="18473" customFormat="false" ht="15" hidden="false" customHeight="false" outlineLevel="0" collapsed="false">
      <c r="A18473" s="5" t="s">
        <v>295</v>
      </c>
      <c r="C18473" s="25" t="n">
        <f aca="false">SUMPRODUCT($G$18445:$K$18445,$G$18452:$K$18452)</f>
        <v>0</v>
      </c>
    </row>
    <row r="18474" customFormat="false" ht="15" hidden="false" customHeight="false" outlineLevel="0" collapsed="false">
      <c r="A18474" s="5" t="s">
        <v>296</v>
      </c>
      <c r="C18474" s="5" t="str">
        <f aca="false">IF(SUM($G$18445:$K$18445)=0,"n/a (beyond horizon)",IF(SUMPRODUCT($G$18445:$K$18445,$G$18403:$K$18403)&gt;0,"REFINANCING PASS","REFINANCING FAILURE"))</f>
        <v>REFINANCING PASS</v>
      </c>
    </row>
    <row r="18475" customFormat="false" ht="15" hidden="false" customHeight="false" outlineLevel="0" collapsed="false">
      <c r="A18475" s="5" t="s">
        <v>297</v>
      </c>
      <c r="C18475" s="5" t="str">
        <f aca="false">IF(SUM($G$18445:$K$18445)=0,"n/a",IF(C18473&gt;=C18472-0.001,"Repaid from cash",IF(SUMPRODUCT($G$18445:$K$18445,$G$18403:$K$18403)&gt;0,IF(C18473&gt;0,"Partly repaid; remainder refinanced","Refinanced"),IF(SUM($G$18454:$K$18454)&gt;0.001,IF(C18473&gt;0,"Partial repayment; PAYMENT DEFAULT","PAYMENT DEFAULT"),"Repaid from cash"))))</f>
        <v>Refinanced</v>
      </c>
    </row>
    <row r="18476" customFormat="false" ht="15" hidden="false" customHeight="false" outlineLevel="0" collapsed="false">
      <c r="A18476" s="5" t="s">
        <v>298</v>
      </c>
      <c r="C18476" s="20" t="n">
        <f aca="false">IF(C18462="REFINANCING FAILURE",1,0)+IF(C18466="REFINANCING FAILURE",1,0)+IF(C18470="REFINANCING FAILURE",1,0)+IF(C18474="REFINANCING FAILURE",1,0)</f>
        <v>0</v>
      </c>
    </row>
    <row r="18478" customFormat="false" ht="15" hidden="false" customHeight="false" outlineLevel="0" collapsed="false">
      <c r="A18478" s="23" t="s">
        <v>300</v>
      </c>
      <c r="B18478" s="24"/>
      <c r="C18478" s="24"/>
      <c r="D18478" s="24"/>
      <c r="E18478" s="24"/>
      <c r="F18478" s="24"/>
      <c r="G18478" s="24"/>
      <c r="H18478" s="24"/>
      <c r="I18478" s="24"/>
      <c r="J18478" s="24"/>
      <c r="K18478" s="24"/>
    </row>
    <row r="18479" customFormat="false" ht="15" hidden="false" customHeight="false" outlineLevel="0" collapsed="false">
      <c r="A18479" s="5" t="s">
        <v>260</v>
      </c>
      <c r="G18479" s="25" t="n">
        <f aca="false">F18491</f>
        <v>45</v>
      </c>
      <c r="H18479" s="25" t="n">
        <f aca="false">G18491</f>
        <v>0</v>
      </c>
      <c r="I18479" s="25" t="n">
        <f aca="false">H18491</f>
        <v>-6.00915999999998</v>
      </c>
      <c r="J18479" s="25" t="n">
        <f aca="false">I18491</f>
        <v>0</v>
      </c>
      <c r="K18479" s="25" t="n">
        <f aca="false">J18491</f>
        <v>0</v>
      </c>
    </row>
    <row r="18480" customFormat="false" ht="15" hidden="false" customHeight="false" outlineLevel="0" collapsed="false">
      <c r="A18480" s="5" t="s">
        <v>301</v>
      </c>
      <c r="G18480" s="25" t="n">
        <f aca="false">G18392</f>
        <v>-9.24000000000001</v>
      </c>
      <c r="H18480" s="25" t="n">
        <f aca="false">H18392</f>
        <v>-0.809159999999978</v>
      </c>
      <c r="I18480" s="25" t="n">
        <f aca="false">I18392</f>
        <v>-9.94934960000002</v>
      </c>
      <c r="J18480" s="25" t="n">
        <f aca="false">J18392</f>
        <v>-14.378423312</v>
      </c>
      <c r="K18480" s="25" t="n">
        <f aca="false">K18392</f>
        <v>-12.59901176424</v>
      </c>
    </row>
    <row r="18481" customFormat="false" ht="15" hidden="false" customHeight="false" outlineLevel="0" collapsed="false">
      <c r="A18481" s="5" t="s">
        <v>302</v>
      </c>
      <c r="G18481" s="25" t="n">
        <f aca="false">CHOOSE($C$18362,Assumptions!$G$68,Assumptions!$G$87,Assumptions!$G$106)</f>
        <v>0</v>
      </c>
      <c r="H18481" s="25" t="n">
        <f aca="false">CHOOSE($C$18362,Assumptions!$H$68,Assumptions!$H$87,Assumptions!$H$106)</f>
        <v>0</v>
      </c>
      <c r="I18481" s="25" t="n">
        <f aca="false">CHOOSE($C$18362,Assumptions!$I$68,Assumptions!$I$87,Assumptions!$I$106)</f>
        <v>0</v>
      </c>
      <c r="J18481" s="25" t="n">
        <f aca="false">CHOOSE($C$18362,Assumptions!$J$68,Assumptions!$J$87,Assumptions!$J$106)</f>
        <v>0</v>
      </c>
      <c r="K18481" s="25" t="n">
        <f aca="false">CHOOSE($C$18362,Assumptions!$K$68,Assumptions!$K$87,Assumptions!$K$106)</f>
        <v>0</v>
      </c>
    </row>
    <row r="18482" customFormat="false" ht="15" hidden="false" customHeight="false" outlineLevel="0" collapsed="false">
      <c r="A18482" s="5" t="s">
        <v>303</v>
      </c>
      <c r="G18482" s="25" t="n">
        <f aca="false">G18411+G18424+G18437+G18450</f>
        <v>5.2</v>
      </c>
      <c r="H18482" s="25" t="n">
        <f aca="false">H18411+H18424+H18437+H18450</f>
        <v>5.2</v>
      </c>
      <c r="I18482" s="25" t="n">
        <f aca="false">I18411+I18424+I18437+I18450</f>
        <v>5.2</v>
      </c>
      <c r="J18482" s="25" t="n">
        <f aca="false">J18411+J18424+J18437+J18450</f>
        <v>5.2</v>
      </c>
      <c r="K18482" s="25" t="n">
        <f aca="false">K18411+K18424+K18437+K18450</f>
        <v>5.2</v>
      </c>
    </row>
    <row r="18483" customFormat="false" ht="15" hidden="false" customHeight="false" outlineLevel="0" collapsed="false">
      <c r="A18483" s="2" t="s">
        <v>304</v>
      </c>
      <c r="G18483" s="16" t="n">
        <f aca="false">G18479+G18480+G18481-G18482</f>
        <v>30.56</v>
      </c>
      <c r="H18483" s="16" t="n">
        <f aca="false">H18479+H18480+H18481-H18482</f>
        <v>-6.00915999999998</v>
      </c>
      <c r="I18483" s="16" t="n">
        <f aca="false">I18479+I18480+I18481-I18482</f>
        <v>-21.1585096</v>
      </c>
      <c r="J18483" s="16" t="n">
        <f aca="false">J18479+J18480+J18481-J18482</f>
        <v>-19.578423312</v>
      </c>
      <c r="K18483" s="16" t="n">
        <f aca="false">K18479+K18480+K18481-K18482</f>
        <v>-17.79901176424</v>
      </c>
    </row>
    <row r="18484" customFormat="false" ht="15" hidden="false" customHeight="false" outlineLevel="0" collapsed="false">
      <c r="A18484" s="5" t="s">
        <v>305</v>
      </c>
      <c r="G18484" s="25" t="n">
        <f aca="false">G18412+G18425+G18438+G18451</f>
        <v>0</v>
      </c>
      <c r="H18484" s="25" t="n">
        <f aca="false">H18412+H18425+H18438+H18451</f>
        <v>0</v>
      </c>
      <c r="I18484" s="25" t="n">
        <f aca="false">I18412+I18425+I18438+I18451</f>
        <v>21.1585096</v>
      </c>
      <c r="J18484" s="25" t="n">
        <f aca="false">J18412+J18425+J18438+J18451</f>
        <v>19.578423312</v>
      </c>
      <c r="K18484" s="25" t="n">
        <f aca="false">K18412+K18425+K18438+K18451</f>
        <v>17.79901176424</v>
      </c>
    </row>
    <row r="18485" customFormat="false" ht="15" hidden="false" customHeight="false" outlineLevel="0" collapsed="false">
      <c r="A18485" s="2" t="s">
        <v>306</v>
      </c>
      <c r="G18485" s="16" t="n">
        <f aca="false">G18483+G18484</f>
        <v>30.56</v>
      </c>
      <c r="H18485" s="16" t="n">
        <f aca="false">H18483+H18484</f>
        <v>-6.00915999999998</v>
      </c>
      <c r="I18485" s="16" t="n">
        <f aca="false">I18483+I18484</f>
        <v>0</v>
      </c>
      <c r="J18485" s="16" t="n">
        <f aca="false">J18483+J18484</f>
        <v>0</v>
      </c>
      <c r="K18485" s="16" t="n">
        <f aca="false">K18483+K18484</f>
        <v>0</v>
      </c>
    </row>
    <row r="18486" customFormat="false" ht="15" hidden="false" customHeight="false" outlineLevel="0" collapsed="false">
      <c r="A18486" s="5" t="s">
        <v>307</v>
      </c>
      <c r="G18486" s="25" t="n">
        <f aca="false">G18413+G18426+G18439+G18452</f>
        <v>0</v>
      </c>
      <c r="H18486" s="25" t="n">
        <f aca="false">H18413+H18426+H18439+H18452</f>
        <v>0</v>
      </c>
      <c r="I18486" s="25" t="n">
        <f aca="false">I18413+I18426+I18439+I18452</f>
        <v>0</v>
      </c>
      <c r="J18486" s="25" t="n">
        <f aca="false">J18413+J18426+J18439+J18452</f>
        <v>0</v>
      </c>
      <c r="K18486" s="25" t="n">
        <f aca="false">K18413+K18426+K18439+K18452</f>
        <v>0</v>
      </c>
    </row>
    <row r="18487" customFormat="false" ht="15" hidden="false" customHeight="false" outlineLevel="0" collapsed="false">
      <c r="A18487" s="2" t="s">
        <v>308</v>
      </c>
      <c r="G18487" s="16" t="n">
        <f aca="false">G18485-G18486</f>
        <v>30.56</v>
      </c>
      <c r="H18487" s="16" t="n">
        <f aca="false">H18485-H18486</f>
        <v>-6.00915999999998</v>
      </c>
      <c r="I18487" s="16" t="n">
        <f aca="false">I18485-I18486</f>
        <v>0</v>
      </c>
      <c r="J18487" s="16" t="n">
        <f aca="false">J18485-J18486</f>
        <v>0</v>
      </c>
      <c r="K18487" s="16" t="n">
        <f aca="false">K18485-K18486</f>
        <v>0</v>
      </c>
    </row>
    <row r="18488" customFormat="false" ht="15" hidden="false" customHeight="false" outlineLevel="0" collapsed="false">
      <c r="A18488" s="5" t="s">
        <v>309</v>
      </c>
      <c r="G18488" s="25" t="n">
        <f aca="false">MAX(0,-G18487)</f>
        <v>0</v>
      </c>
      <c r="H18488" s="25" t="n">
        <f aca="false">MAX(0,-H18487)</f>
        <v>6.00915999999998</v>
      </c>
      <c r="I18488" s="25" t="n">
        <f aca="false">MAX(0,-I18487)</f>
        <v>-0</v>
      </c>
      <c r="J18488" s="25" t="n">
        <f aca="false">MAX(0,-J18487)</f>
        <v>-0</v>
      </c>
      <c r="K18488" s="25" t="n">
        <f aca="false">MAX(0,-K18487)</f>
        <v>-0</v>
      </c>
    </row>
    <row r="18489" customFormat="false" ht="15" hidden="false" customHeight="false" outlineLevel="0" collapsed="false">
      <c r="A18489" s="5" t="s">
        <v>310</v>
      </c>
      <c r="G18489" s="25" t="n">
        <f aca="false">MAX(0,G18487-Assumptions!$C$12)*Assumptions!$C$13</f>
        <v>30.56</v>
      </c>
      <c r="H18489" s="25" t="n">
        <f aca="false">MAX(0,H18487-Assumptions!$C$12)*Assumptions!$C$13</f>
        <v>0</v>
      </c>
      <c r="I18489" s="25" t="n">
        <f aca="false">MAX(0,I18487-Assumptions!$C$12)*Assumptions!$C$13</f>
        <v>0</v>
      </c>
      <c r="J18489" s="25" t="n">
        <f aca="false">MAX(0,J18487-Assumptions!$C$12)*Assumptions!$C$13</f>
        <v>0</v>
      </c>
      <c r="K18489" s="25" t="n">
        <f aca="false">MAX(0,K18487-Assumptions!$C$12)*Assumptions!$C$13</f>
        <v>0</v>
      </c>
    </row>
    <row r="18490" customFormat="false" ht="15" hidden="false" customHeight="false" outlineLevel="0" collapsed="false">
      <c r="A18490" s="5" t="s">
        <v>311</v>
      </c>
      <c r="G18490" s="25" t="n">
        <f aca="false">G18414+G18427+G18440+G18453</f>
        <v>30.56</v>
      </c>
      <c r="H18490" s="25" t="n">
        <f aca="false">H18414+H18427+H18440+H18453</f>
        <v>0</v>
      </c>
      <c r="I18490" s="25" t="n">
        <f aca="false">I18414+I18427+I18440+I18453</f>
        <v>0</v>
      </c>
      <c r="J18490" s="25" t="n">
        <f aca="false">J18414+J18427+J18440+J18453</f>
        <v>0</v>
      </c>
      <c r="K18490" s="25" t="n">
        <f aca="false">K18414+K18427+K18440+K18453</f>
        <v>0</v>
      </c>
    </row>
    <row r="18491" customFormat="false" ht="15" hidden="false" customHeight="false" outlineLevel="0" collapsed="false">
      <c r="A18491" s="2" t="s">
        <v>312</v>
      </c>
      <c r="F18491" s="27" t="n">
        <f aca="false">Assumptions!$C$11</f>
        <v>45</v>
      </c>
      <c r="G18491" s="16" t="n">
        <f aca="false">G18487-G18490</f>
        <v>0</v>
      </c>
      <c r="H18491" s="16" t="n">
        <f aca="false">H18487-H18490</f>
        <v>-6.00915999999998</v>
      </c>
      <c r="I18491" s="16" t="n">
        <f aca="false">I18487-I18490</f>
        <v>0</v>
      </c>
      <c r="J18491" s="16" t="n">
        <f aca="false">J18487-J18490</f>
        <v>0</v>
      </c>
      <c r="K18491" s="16" t="n">
        <f aca="false">K18487-K18490</f>
        <v>0</v>
      </c>
    </row>
    <row r="18492" customFormat="false" ht="15" hidden="false" customHeight="false" outlineLevel="0" collapsed="false">
      <c r="A18492" s="5" t="s">
        <v>313</v>
      </c>
      <c r="G18492" s="25" t="n">
        <f aca="false">G18415+G18428+G18441+G18454</f>
        <v>0</v>
      </c>
      <c r="H18492" s="25" t="n">
        <f aca="false">H18415+H18428+H18441+H18454</f>
        <v>0</v>
      </c>
      <c r="I18492" s="25" t="n">
        <f aca="false">I18415+I18428+I18441+I18454</f>
        <v>0</v>
      </c>
      <c r="J18492" s="25" t="n">
        <f aca="false">J18415+J18428+J18441+J18454</f>
        <v>0</v>
      </c>
      <c r="K18492" s="25" t="n">
        <f aca="false">K18415+K18428+K18441+K18454</f>
        <v>0</v>
      </c>
    </row>
    <row r="18493" customFormat="false" ht="15" hidden="false" customHeight="false" outlineLevel="0" collapsed="false">
      <c r="A18493" s="5" t="s">
        <v>314</v>
      </c>
      <c r="G18493" s="20" t="n">
        <f aca="false">IF(OR(G18488&gt;0.001,G18492&gt;0.001),1,0)</f>
        <v>0</v>
      </c>
      <c r="H18493" s="20" t="n">
        <f aca="false">IF(OR(H18488&gt;0.001,H18492&gt;0.001),1,0)</f>
        <v>1</v>
      </c>
      <c r="I18493" s="20" t="n">
        <f aca="false">IF(OR(I18488&gt;0.001,I18492&gt;0.001),1,0)</f>
        <v>0</v>
      </c>
      <c r="J18493" s="20" t="n">
        <f aca="false">IF(OR(J18488&gt;0.001,J18492&gt;0.001),1,0)</f>
        <v>0</v>
      </c>
      <c r="K18493" s="20" t="n">
        <f aca="false">IF(OR(K18488&gt;0.001,K18492&gt;0.001),1,0)</f>
        <v>0</v>
      </c>
    </row>
    <row r="18494" customFormat="false" ht="15" hidden="false" customHeight="false" outlineLevel="0" collapsed="false">
      <c r="A18494" s="5" t="s">
        <v>315</v>
      </c>
      <c r="G18494" s="20" t="n">
        <f aca="false">IF(G18493=1,1,0)</f>
        <v>0</v>
      </c>
      <c r="H18494" s="20" t="n">
        <f aca="false">IF(AND(H18493=1,SUM($G$18493:G18493)=0),1,0)</f>
        <v>1</v>
      </c>
      <c r="I18494" s="20" t="n">
        <f aca="false">IF(AND(I18493=1,SUM($G$18493:H18493)=0),1,0)</f>
        <v>0</v>
      </c>
      <c r="J18494" s="20" t="n">
        <f aca="false">IF(AND(J18493=1,SUM($G$18493:I18493)=0),1,0)</f>
        <v>0</v>
      </c>
      <c r="K18494" s="20" t="n">
        <f aca="false">IF(AND(K18493=1,SUM($G$18493:J18493)=0),1,0)</f>
        <v>0</v>
      </c>
    </row>
    <row r="18495" customFormat="false" ht="15" hidden="false" customHeight="false" outlineLevel="0" collapsed="false">
      <c r="A18495" s="5" t="s">
        <v>316</v>
      </c>
      <c r="G18495" s="25" t="n">
        <f aca="false">(G18457-F18457)-(G18484+G18384-G18482-G18486-G18490)</f>
        <v>0</v>
      </c>
      <c r="H18495" s="25" t="n">
        <f aca="false">(H18457-G18457)-(H18484+H18384-H18482-H18486-H18490)</f>
        <v>-4.52970994047064E-014</v>
      </c>
      <c r="I18495" s="25" t="n">
        <f aca="false">(I18457-H18457)-(I18484+I18384-I18482-I18486-I18490)</f>
        <v>7.46069872548105E-014</v>
      </c>
      <c r="J18495" s="25" t="n">
        <f aca="false">(J18457-I18457)-(J18484+J18384-J18482-J18486-J18490)</f>
        <v>0</v>
      </c>
      <c r="K18495" s="25" t="n">
        <f aca="false">(K18457-J18457)-(K18484+K18384-K18482-K18486-K18490)</f>
        <v>0</v>
      </c>
    </row>
    <row r="18497" customFormat="false" ht="15" hidden="false" customHeight="false" outlineLevel="0" collapsed="false">
      <c r="A18497" s="23" t="s">
        <v>318</v>
      </c>
      <c r="B18497" s="24"/>
      <c r="C18497" s="24"/>
      <c r="D18497" s="24"/>
      <c r="E18497" s="24"/>
      <c r="F18497" s="24"/>
      <c r="G18497" s="24"/>
      <c r="H18497" s="24"/>
      <c r="I18497" s="24"/>
      <c r="J18497" s="24"/>
      <c r="K18497" s="24"/>
    </row>
    <row r="18498" customFormat="false" ht="15" hidden="false" customHeight="false" outlineLevel="0" collapsed="false">
      <c r="A18498" s="5" t="s">
        <v>319</v>
      </c>
      <c r="G18498" s="25" t="n">
        <f aca="false">G18457</f>
        <v>1214.24</v>
      </c>
      <c r="H18498" s="25" t="n">
        <f aca="false">H18457</f>
        <v>1209.04</v>
      </c>
      <c r="I18498" s="25" t="n">
        <f aca="false">I18457</f>
        <v>1224.9985096</v>
      </c>
      <c r="J18498" s="25" t="n">
        <f aca="false">J18457</f>
        <v>1239.376932912</v>
      </c>
      <c r="K18498" s="25" t="n">
        <f aca="false">K18457</f>
        <v>1251.97594467624</v>
      </c>
    </row>
    <row r="18499" customFormat="false" ht="15" hidden="false" customHeight="false" outlineLevel="0" collapsed="false">
      <c r="A18499" s="5" t="s">
        <v>320</v>
      </c>
      <c r="G18499" s="25" t="n">
        <f aca="false">Assumptions!$O$53*G18416+Assumptions!$O$54*G18429+Assumptions!$O$55*G18442+Assumptions!$O$56*G18455</f>
        <v>914.24</v>
      </c>
      <c r="H18499" s="25" t="n">
        <f aca="false">Assumptions!$O$53*H18416+Assumptions!$O$54*H18429+Assumptions!$O$55*H18442+Assumptions!$O$56*H18455</f>
        <v>909.04</v>
      </c>
      <c r="I18499" s="25" t="n">
        <f aca="false">Assumptions!$O$53*I18416+Assumptions!$O$54*I18429+Assumptions!$O$55*I18442+Assumptions!$O$56*I18455</f>
        <v>924.9985096</v>
      </c>
      <c r="J18499" s="25" t="n">
        <f aca="false">Assumptions!$O$53*J18416+Assumptions!$O$54*J18429+Assumptions!$O$55*J18442+Assumptions!$O$56*J18455</f>
        <v>939.376932912</v>
      </c>
      <c r="K18499" s="25" t="n">
        <f aca="false">Assumptions!$O$53*K18416+Assumptions!$O$54*K18429+Assumptions!$O$55*K18442+Assumptions!$O$56*K18455</f>
        <v>951.97594467624</v>
      </c>
    </row>
    <row r="18500" customFormat="false" ht="15" hidden="false" customHeight="false" outlineLevel="0" collapsed="false">
      <c r="A18500" s="5" t="s">
        <v>321</v>
      </c>
      <c r="G18500" s="25" t="n">
        <f aca="false">G18498-G18491</f>
        <v>1214.24</v>
      </c>
      <c r="H18500" s="25" t="n">
        <f aca="false">H18498-H18491</f>
        <v>1215.04916</v>
      </c>
      <c r="I18500" s="25" t="n">
        <f aca="false">I18498-I18491</f>
        <v>1224.9985096</v>
      </c>
      <c r="J18500" s="25" t="n">
        <f aca="false">J18498-J18491</f>
        <v>1239.376932912</v>
      </c>
      <c r="K18500" s="25" t="n">
        <f aca="false">K18498-K18491</f>
        <v>1251.97594467624</v>
      </c>
    </row>
    <row r="18501" customFormat="false" ht="15" hidden="false" customHeight="false" outlineLevel="0" collapsed="false">
      <c r="A18501" s="5" t="s">
        <v>322</v>
      </c>
      <c r="G18501" s="31" t="n">
        <f aca="false">IF(G18379&gt;0,G18498/G18379,0)</f>
        <v>7.86221186221186</v>
      </c>
      <c r="H18501" s="31" t="n">
        <f aca="false">IF(H18379&gt;0,H18498/H18379,0)</f>
        <v>7.67156970986309</v>
      </c>
      <c r="I18501" s="31" t="n">
        <f aca="false">IF(I18379&gt;0,I18498/I18379,0)</f>
        <v>7.62376751410553</v>
      </c>
      <c r="J18501" s="31" t="n">
        <f aca="false">IF(J18379&gt;0,J18498/J18379,0)</f>
        <v>7.5716937530992</v>
      </c>
      <c r="K18501" s="31" t="n">
        <f aca="false">IF(K18379&gt;0,K18498/K18379,0)</f>
        <v>7.51425466558389</v>
      </c>
    </row>
    <row r="18502" customFormat="false" ht="15" hidden="false" customHeight="false" outlineLevel="0" collapsed="false">
      <c r="A18502" s="5" t="s">
        <v>323</v>
      </c>
      <c r="G18502" s="31" t="n">
        <f aca="false">IF(G18379&gt;0,G18500/G18379,0)</f>
        <v>7.86221186221186</v>
      </c>
      <c r="H18502" s="31" t="n">
        <f aca="false">IF(H18379&gt;0,H18500/H18379,0)</f>
        <v>7.70969887832544</v>
      </c>
      <c r="I18502" s="31" t="n">
        <f aca="false">IF(I18379&gt;0,I18500/I18379,0)</f>
        <v>7.62376751410553</v>
      </c>
      <c r="J18502" s="31" t="n">
        <f aca="false">IF(J18379&gt;0,J18500/J18379,0)</f>
        <v>7.5716937530992</v>
      </c>
      <c r="K18502" s="31" t="n">
        <f aca="false">IF(K18379&gt;0,K18500/K18379,0)</f>
        <v>7.51425466558389</v>
      </c>
    </row>
    <row r="18503" customFormat="false" ht="15" hidden="false" customHeight="false" outlineLevel="0" collapsed="false">
      <c r="A18503" s="5" t="s">
        <v>324</v>
      </c>
      <c r="G18503" s="31" t="n">
        <f aca="false">IF(G18383&gt;0,G18379/G18383,0)</f>
        <v>1.29737903225806</v>
      </c>
      <c r="H18503" s="31" t="n">
        <f aca="false">IF(H18383&gt;0,H18379/H18383,0)</f>
        <v>1.37984675303662</v>
      </c>
      <c r="I18503" s="31" t="n">
        <f aca="false">IF(I18383&gt;0,I18379/I18383,0)</f>
        <v>1.26641336326206</v>
      </c>
      <c r="J18503" s="31" t="n">
        <f aca="false">IF(J18383&gt;0,J18379/J18383,0)</f>
        <v>1.21473661783139</v>
      </c>
      <c r="K18503" s="31" t="n">
        <f aca="false">IF(K18383&gt;0,K18379/K18383,0)</f>
        <v>1.22212036414877</v>
      </c>
    </row>
    <row r="18504" customFormat="false" ht="15" hidden="false" customHeight="false" outlineLevel="0" collapsed="false">
      <c r="A18504" s="5" t="s">
        <v>325</v>
      </c>
      <c r="G18504" s="31" t="n">
        <f aca="false">IF(G18383&gt;0,G18382/G18383,0)</f>
        <v>0.858266129032258</v>
      </c>
      <c r="H18504" s="31" t="n">
        <f aca="false">IF(H18383&gt;0,H18382/H18383,0)</f>
        <v>0.926762744576837</v>
      </c>
      <c r="I18504" s="31" t="n">
        <f aca="false">IF(I18383&gt;0,I18382/I18383,0)</f>
        <v>0.862629392366913</v>
      </c>
      <c r="J18504" s="31" t="n">
        <f aca="false">IF(J18383&gt;0,J18382/J18383,0)</f>
        <v>0.838339355968144</v>
      </c>
      <c r="K18504" s="31" t="n">
        <f aca="false">IF(K18383&gt;0,K18382/K18383,0)</f>
        <v>0.853810117419004</v>
      </c>
    </row>
    <row r="18505" customFormat="false" ht="15" hidden="false" customHeight="false" outlineLevel="0" collapsed="false">
      <c r="A18505" s="5" t="s">
        <v>182</v>
      </c>
      <c r="G18505" s="21" t="n">
        <f aca="false">IF(G18498&gt;0,G18392/G18498,0)</f>
        <v>-0.00760969824746344</v>
      </c>
      <c r="H18505" s="21" t="n">
        <f aca="false">IF(H18498&gt;0,H18392/H18498,0)</f>
        <v>-0.000669258254482877</v>
      </c>
      <c r="I18505" s="21" t="n">
        <f aca="false">IF(I18498&gt;0,I18392/I18498,0)</f>
        <v>-0.00812192792238481</v>
      </c>
      <c r="J18505" s="21" t="n">
        <f aca="false">IF(J18498&gt;0,J18392/J18498,0)</f>
        <v>-0.0116013320323922</v>
      </c>
      <c r="K18505" s="21" t="n">
        <f aca="false">IF(K18498&gt;0,K18392/K18498,0)</f>
        <v>-0.0100633017893152</v>
      </c>
    </row>
    <row r="18506" customFormat="false" ht="15" hidden="false" customHeight="false" outlineLevel="0" collapsed="false">
      <c r="A18506" s="5" t="s">
        <v>326</v>
      </c>
      <c r="G18506" s="31" t="n">
        <f aca="false">IF(G18383+G18482&gt;0,(G18379-G18390-G18387)/(G18383+G18482),0)</f>
        <v>0.860592401802962</v>
      </c>
      <c r="H18506" s="31" t="n">
        <f aca="false">IF(H18383+H18482&gt;0,(H18379-H18390-H18387)/(H18383+H18482),0)</f>
        <v>0.925802348838058</v>
      </c>
      <c r="I18506" s="31" t="n">
        <f aca="false">IF(I18383+I18482&gt;0,(I18379-I18390-I18387)/(I18383+I18482),0)</f>
        <v>0.863929842094743</v>
      </c>
      <c r="J18506" s="31" t="n">
        <f aca="false">IF(J18383+J18482&gt;0,(J18379-J18390-J18387)/(J18383+J18482),0)</f>
        <v>0.840136401281331</v>
      </c>
      <c r="K18506" s="31" t="n">
        <f aca="false">IF(K18383+K18482&gt;0,(K18379-K18390-K18387)/(K18383+K18482),0)</f>
        <v>0.854692886710214</v>
      </c>
    </row>
    <row r="18507" customFormat="false" ht="15" hidden="false" customHeight="false" outlineLevel="0" collapsed="false">
      <c r="A18507" s="5" t="s">
        <v>327</v>
      </c>
      <c r="G18507" s="25" t="n">
        <f aca="false">MAX(0,G18491)+Assumptions!$P$53*MAX(0,Assumptions!$D$53-G18416)+Assumptions!$P$54*MAX(0,Assumptions!$D$54-G18429)+Assumptions!$P$55*MAX(0,Assumptions!$D$55-G18442)+Assumptions!$P$56*MAX(0,Assumptions!$D$56-G18455)</f>
        <v>150.56</v>
      </c>
      <c r="H18507" s="25" t="n">
        <f aca="false">MAX(0,H18491)+Assumptions!$P$53*MAX(0,Assumptions!$D$53-H18416)+Assumptions!$P$54*MAX(0,Assumptions!$D$54-H18429)+Assumptions!$P$55*MAX(0,Assumptions!$D$55-H18442)+Assumptions!$P$56*MAX(0,Assumptions!$D$56-H18455)</f>
        <v>150.56</v>
      </c>
      <c r="I18507" s="25" t="n">
        <f aca="false">MAX(0,I18491)+Assumptions!$P$53*MAX(0,Assumptions!$D$53-I18416)+Assumptions!$P$54*MAX(0,Assumptions!$D$54-I18429)+Assumptions!$P$55*MAX(0,Assumptions!$D$55-I18442)+Assumptions!$P$56*MAX(0,Assumptions!$D$56-I18455)</f>
        <v>129.4014904</v>
      </c>
      <c r="J18507" s="25" t="n">
        <f aca="false">MAX(0,J18491)+Assumptions!$P$53*MAX(0,Assumptions!$D$53-J18416)+Assumptions!$P$54*MAX(0,Assumptions!$D$54-J18429)+Assumptions!$P$55*MAX(0,Assumptions!$D$55-J18442)+Assumptions!$P$56*MAX(0,Assumptions!$D$56-J18455)</f>
        <v>109.823067088</v>
      </c>
      <c r="K18507" s="25" t="n">
        <f aca="false">MAX(0,K18491)+Assumptions!$P$53*MAX(0,Assumptions!$D$53-K18416)+Assumptions!$P$54*MAX(0,Assumptions!$D$54-K18429)+Assumptions!$P$55*MAX(0,Assumptions!$D$55-K18442)+Assumptions!$P$56*MAX(0,Assumptions!$D$56-K18455)</f>
        <v>92.02405532376</v>
      </c>
    </row>
    <row r="18508" customFormat="false" ht="15" hidden="false" customHeight="false" outlineLevel="0" collapsed="false">
      <c r="A18508" s="5" t="s">
        <v>328</v>
      </c>
      <c r="G18508" s="21" t="n">
        <f aca="false">IF(G18498&gt;0,G18498/(G18498+MAX(0,G18379*CHOOSE($C$18362,Assumptions!$C$76,Assumptions!$C$95,Assumptions!$C$114)-G18500)),0)</f>
        <v>1</v>
      </c>
      <c r="H18508" s="21" t="n">
        <f aca="false">IF(H18498&gt;0,H18498/(H18498+MAX(0,H18379*CHOOSE($C$18362,Assumptions!$C$76,Assumptions!$C$95,Assumptions!$C$114)-H18500)),0)</f>
        <v>1</v>
      </c>
      <c r="I18508" s="21" t="n">
        <f aca="false">IF(I18498&gt;0,I18498/(I18498+MAX(0,I18379*CHOOSE($C$18362,Assumptions!$C$76,Assumptions!$C$95,Assumptions!$C$114)-I18500)),0)</f>
        <v>1</v>
      </c>
      <c r="J18508" s="21" t="n">
        <f aca="false">IF(J18498&gt;0,J18498/(J18498+MAX(0,J18379*CHOOSE($C$18362,Assumptions!$C$76,Assumptions!$C$95,Assumptions!$C$114)-J18500)),0)</f>
        <v>1</v>
      </c>
      <c r="K18508" s="21" t="n">
        <f aca="false">IF(K18498&gt;0,K18498/(K18498+MAX(0,K18379*CHOOSE($C$18362,Assumptions!$C$76,Assumptions!$C$95,Assumptions!$C$114)-K18500)),0)</f>
        <v>1</v>
      </c>
    </row>
    <row r="18509" customFormat="false" ht="15" hidden="false" customHeight="false" outlineLevel="0" collapsed="false">
      <c r="A18509" s="5" t="s">
        <v>329</v>
      </c>
      <c r="G18509" s="21" t="n">
        <f aca="false">IF(G18498&gt;0,MAX(0,G18491)/G18498,0)</f>
        <v>0</v>
      </c>
      <c r="H18509" s="21" t="n">
        <f aca="false">IF(H18498&gt;0,MAX(0,H18491)/H18498,0)</f>
        <v>0</v>
      </c>
      <c r="I18509" s="21" t="n">
        <f aca="false">IF(I18498&gt;0,MAX(0,I18491)/I18498,0)</f>
        <v>0</v>
      </c>
      <c r="J18509" s="21" t="n">
        <f aca="false">IF(J18498&gt;0,MAX(0,J18491)/J18498,0)</f>
        <v>0</v>
      </c>
      <c r="K18509" s="21" t="n">
        <f aca="false">IF(K18498&gt;0,MAX(0,K18491)/K18498,0)</f>
        <v>0</v>
      </c>
    </row>
    <row r="18510" customFormat="false" ht="15" hidden="false" customHeight="false" outlineLevel="0" collapsed="false">
      <c r="A18510" s="5" t="s">
        <v>330</v>
      </c>
      <c r="G18510" s="25" t="n">
        <f aca="false">Assumptions!$C$27*(1-CHOOSE($C$18362,Assumptions!$C$79,Assumptions!$C$98,Assumptions!$C$117))</f>
        <v>1040</v>
      </c>
      <c r="H18510" s="25" t="n">
        <f aca="false">Assumptions!$C$27*(1-CHOOSE($C$18362,Assumptions!$C$79,Assumptions!$C$98,Assumptions!$C$117))</f>
        <v>1040</v>
      </c>
      <c r="I18510" s="25" t="n">
        <f aca="false">Assumptions!$C$27*(1-CHOOSE($C$18362,Assumptions!$C$79,Assumptions!$C$98,Assumptions!$C$117))</f>
        <v>1040</v>
      </c>
      <c r="J18510" s="25" t="n">
        <f aca="false">Assumptions!$C$27*(1-CHOOSE($C$18362,Assumptions!$C$79,Assumptions!$C$98,Assumptions!$C$117))</f>
        <v>1040</v>
      </c>
      <c r="K18510" s="25" t="n">
        <f aca="false">Assumptions!$C$27*(1-CHOOSE($C$18362,Assumptions!$C$79,Assumptions!$C$98,Assumptions!$C$117))</f>
        <v>1040</v>
      </c>
    </row>
    <row r="18511" customFormat="false" ht="15" hidden="false" customHeight="false" outlineLevel="0" collapsed="false">
      <c r="A18511" s="23" t="s">
        <v>331</v>
      </c>
      <c r="B18511" s="24"/>
      <c r="C18511" s="24"/>
      <c r="D18511" s="24"/>
      <c r="E18511" s="24"/>
      <c r="F18511" s="24"/>
      <c r="G18511" s="24"/>
      <c r="H18511" s="24"/>
      <c r="I18511" s="24"/>
      <c r="J18511" s="24"/>
      <c r="K18511" s="24"/>
    </row>
    <row r="18512" customFormat="false" ht="15" hidden="false" customHeight="false" outlineLevel="0" collapsed="false">
      <c r="A18512" s="23" t="s">
        <v>332</v>
      </c>
      <c r="B18512" s="24"/>
      <c r="C18512" s="24"/>
      <c r="D18512" s="24"/>
      <c r="E18512" s="24"/>
      <c r="F18512" s="24"/>
      <c r="G18512" s="24"/>
      <c r="H18512" s="24"/>
      <c r="I18512" s="24"/>
      <c r="J18512" s="24"/>
      <c r="K18512" s="24"/>
    </row>
    <row r="18513" customFormat="false" ht="15" hidden="false" customHeight="false" outlineLevel="0" collapsed="false">
      <c r="A18513" s="5" t="s">
        <v>333</v>
      </c>
      <c r="G18513" s="31" t="n">
        <f aca="false">IF(G18379&gt;0,G18500/G18379,99)</f>
        <v>7.86221186221186</v>
      </c>
      <c r="H18513" s="31" t="n">
        <f aca="false">IF(H18379&gt;0,H18500/H18379,99)</f>
        <v>7.70969887832544</v>
      </c>
      <c r="I18513" s="31" t="n">
        <f aca="false">IF(I18379&gt;0,I18500/I18379,99)</f>
        <v>7.62376751410553</v>
      </c>
      <c r="J18513" s="31" t="n">
        <f aca="false">IF(J18379&gt;0,J18500/J18379,99)</f>
        <v>7.5716937530992</v>
      </c>
      <c r="K18513" s="31" t="n">
        <f aca="false">IF(K18379&gt;0,K18500/K18379,99)</f>
        <v>7.51425466558389</v>
      </c>
    </row>
    <row r="18514" customFormat="false" ht="15" hidden="false" customHeight="false" outlineLevel="0" collapsed="false">
      <c r="A18514" s="5" t="s">
        <v>334</v>
      </c>
      <c r="G18514" s="32" t="n">
        <f aca="false">Assumptions!$G$61</f>
        <v>8.5</v>
      </c>
      <c r="H18514" s="32" t="n">
        <f aca="false">Assumptions!$H$61</f>
        <v>8.5</v>
      </c>
      <c r="I18514" s="32" t="n">
        <f aca="false">Assumptions!$I$61</f>
        <v>8.5</v>
      </c>
      <c r="J18514" s="32" t="n">
        <f aca="false">Assumptions!$J$61</f>
        <v>8.5</v>
      </c>
      <c r="K18514" s="32" t="n">
        <f aca="false">Assumptions!$K$61</f>
        <v>8.5</v>
      </c>
    </row>
    <row r="18515" customFormat="false" ht="15" hidden="false" customHeight="false" outlineLevel="0" collapsed="false">
      <c r="A18515" s="5" t="s">
        <v>335</v>
      </c>
      <c r="G18515" s="31" t="n">
        <f aca="false">G18514-G18513</f>
        <v>0.637788137788138</v>
      </c>
      <c r="H18515" s="31" t="n">
        <f aca="false">H18514-H18513</f>
        <v>0.790301121674557</v>
      </c>
      <c r="I18515" s="31" t="n">
        <f aca="false">I18514-I18513</f>
        <v>0.876232485894469</v>
      </c>
      <c r="J18515" s="31" t="n">
        <f aca="false">J18514-J18513</f>
        <v>0.928306246900803</v>
      </c>
      <c r="K18515" s="31" t="n">
        <f aca="false">K18514-K18513</f>
        <v>0.985745334416111</v>
      </c>
    </row>
    <row r="18516" customFormat="false" ht="15" hidden="false" customHeight="false" outlineLevel="0" collapsed="false">
      <c r="A18516" s="5" t="s">
        <v>336</v>
      </c>
      <c r="G18516" s="21" t="n">
        <f aca="false">IF(G18514=0,0,G18515/ABS(G18514))</f>
        <v>0.0750338985633103</v>
      </c>
      <c r="H18516" s="21" t="n">
        <f aca="false">IF(H18514=0,0,H18515/ABS(H18514))</f>
        <v>0.0929766025499479</v>
      </c>
      <c r="I18516" s="21" t="n">
        <f aca="false">IF(I18514=0,0,I18515/ABS(I18514))</f>
        <v>0.103086174811114</v>
      </c>
      <c r="J18516" s="21" t="n">
        <f aca="false">IF(J18514=0,0,J18515/ABS(J18514))</f>
        <v>0.109212499635389</v>
      </c>
      <c r="K18516" s="21" t="n">
        <f aca="false">IF(K18514=0,0,K18515/ABS(K18514))</f>
        <v>0.115970039343072</v>
      </c>
    </row>
    <row r="18517" customFormat="false" ht="15" hidden="false" customHeight="false" outlineLevel="0" collapsed="false">
      <c r="A18517" s="5" t="s">
        <v>337</v>
      </c>
      <c r="G18517" s="20" t="n">
        <f aca="false">IF(G18515&lt;0,1,0)</f>
        <v>0</v>
      </c>
      <c r="H18517" s="20" t="n">
        <f aca="false">IF(H18515&lt;0,1,0)</f>
        <v>0</v>
      </c>
      <c r="I18517" s="20" t="n">
        <f aca="false">IF(I18515&lt;0,1,0)</f>
        <v>0</v>
      </c>
      <c r="J18517" s="20" t="n">
        <f aca="false">IF(J18515&lt;0,1,0)</f>
        <v>0</v>
      </c>
      <c r="K18517" s="20" t="n">
        <f aca="false">IF(K18515&lt;0,1,0)</f>
        <v>0</v>
      </c>
    </row>
    <row r="18518" customFormat="false" ht="15" hidden="false" customHeight="false" outlineLevel="0" collapsed="false">
      <c r="A18518" s="5" t="s">
        <v>338</v>
      </c>
      <c r="C18518" s="20" t="n">
        <f aca="false">IFERROR(INDEX($G$18369:$K$18369,MATCH(1,$G$18517:$K$18517,0)),0)</f>
        <v>0</v>
      </c>
    </row>
    <row r="18519" customFormat="false" ht="15" hidden="false" customHeight="false" outlineLevel="0" collapsed="false">
      <c r="A18519" s="5" t="s">
        <v>339</v>
      </c>
      <c r="C18519" s="21" t="n">
        <f aca="false">MIN($G$18516:$K$18516)</f>
        <v>0.0750338985633103</v>
      </c>
    </row>
    <row r="18520" customFormat="false" ht="15" hidden="false" customHeight="false" outlineLevel="0" collapsed="false">
      <c r="A18520" s="5" t="s">
        <v>340</v>
      </c>
      <c r="G18520" s="20" t="n">
        <f aca="false">G18517</f>
        <v>0</v>
      </c>
      <c r="H18520" s="20" t="n">
        <f aca="false">H18517</f>
        <v>0</v>
      </c>
      <c r="I18520" s="20" t="n">
        <f aca="false">I18517</f>
        <v>0</v>
      </c>
      <c r="J18520" s="20" t="n">
        <f aca="false">J18517</f>
        <v>0</v>
      </c>
      <c r="K18520" s="20" t="n">
        <f aca="false">K18517</f>
        <v>0</v>
      </c>
    </row>
    <row r="18521" customFormat="false" ht="15" hidden="false" customHeight="false" outlineLevel="0" collapsed="false">
      <c r="A18521" s="5" t="s">
        <v>341</v>
      </c>
      <c r="C18521" s="20" t="n">
        <f aca="false">SUM($G$18520:$K$18520)</f>
        <v>0</v>
      </c>
    </row>
    <row r="18522" customFormat="false" ht="15" hidden="false" customHeight="false" outlineLevel="0" collapsed="false">
      <c r="A18522" s="5" t="s">
        <v>342</v>
      </c>
      <c r="C18522" s="21" t="n">
        <f aca="false">MIN(C18519)</f>
        <v>0.0750338985633103</v>
      </c>
    </row>
    <row r="18524" customFormat="false" ht="15" hidden="false" customHeight="false" outlineLevel="0" collapsed="false">
      <c r="A18524" s="23" t="s">
        <v>444</v>
      </c>
      <c r="B18524" s="24"/>
      <c r="C18524" s="24"/>
      <c r="D18524" s="24"/>
      <c r="E18524" s="24"/>
      <c r="F18524" s="24"/>
      <c r="G18524" s="24"/>
      <c r="H18524" s="24"/>
      <c r="I18524" s="24"/>
      <c r="J18524" s="24"/>
      <c r="K18524" s="24"/>
    </row>
    <row r="18525" customFormat="false" ht="15" hidden="false" customHeight="false" outlineLevel="0" collapsed="false">
      <c r="A18525" s="5" t="s">
        <v>445</v>
      </c>
      <c r="G18525" s="20" t="n">
        <f aca="false">IF($C$18526=1,G18494,IF(G18379=MIN($G$18379:$K$18379),1,0))</f>
        <v>0</v>
      </c>
      <c r="H18525" s="20" t="n">
        <f aca="false">IF($C$18526=1,H18494,IF(AND(H18379=MIN($G$18379:$K$18379),SUM($G$18525:G18525)=0),1,0))</f>
        <v>1</v>
      </c>
      <c r="I18525" s="20" t="n">
        <f aca="false">IF($C$18526=1,I18494,IF(AND(I18379=MIN($G$18379:$K$18379),SUM($G$18525:H18525)=0),1,0))</f>
        <v>0</v>
      </c>
      <c r="J18525" s="20" t="n">
        <f aca="false">IF($C$18526=1,J18494,IF(AND(J18379=MIN($G$18379:$K$18379),SUM($G$18525:I18525)=0),1,0))</f>
        <v>0</v>
      </c>
      <c r="K18525" s="20" t="n">
        <f aca="false">IF($C$18526=1,K18494,IF(AND(K18379=MIN($G$18379:$K$18379),SUM($G$18525:J18525)=0),1,0))</f>
        <v>0</v>
      </c>
    </row>
    <row r="18526" customFormat="false" ht="15" hidden="false" customHeight="false" outlineLevel="0" collapsed="false">
      <c r="A18526" s="5" t="s">
        <v>446</v>
      </c>
      <c r="C18526" s="20" t="n">
        <f aca="false">IF(SUM($G$18494:$K$18494)&gt;0,1,0)</f>
        <v>1</v>
      </c>
    </row>
    <row r="18527" customFormat="false" ht="15" hidden="false" customHeight="false" outlineLevel="0" collapsed="false">
      <c r="A18527" s="5" t="s">
        <v>447</v>
      </c>
      <c r="C18527" s="20" t="n">
        <f aca="false">SUMPRODUCT($G$18525:$K$18525,$G$18369:$K$18369)</f>
        <v>2027</v>
      </c>
    </row>
    <row r="18528" customFormat="false" ht="15" hidden="false" customHeight="false" outlineLevel="0" collapsed="false">
      <c r="A18528" s="5" t="s">
        <v>448</v>
      </c>
      <c r="C18528" s="25" t="n">
        <f aca="false">SUMPRODUCT($G$18525:$K$18525,$G$18379:$K$18379)</f>
        <v>157.60008</v>
      </c>
    </row>
    <row r="18529" customFormat="false" ht="15" hidden="false" customHeight="false" outlineLevel="0" collapsed="false">
      <c r="A18529" s="5" t="s">
        <v>449</v>
      </c>
      <c r="C18529" s="25" t="n">
        <f aca="false">MAX(0,SUMPRODUCT($G$18525:$K$18525,$G$18491:$K$18491))</f>
        <v>0</v>
      </c>
    </row>
    <row r="18530" customFormat="false" ht="15" hidden="false" customHeight="false" outlineLevel="0" collapsed="false">
      <c r="A18530" s="5" t="s">
        <v>450</v>
      </c>
      <c r="C18530" s="25" t="n">
        <f aca="false">(CHOOSE($C$18362,Assumptions!$C$78,Assumptions!$C$97,Assumptions!$C$116)+$C$18366)*C18528</f>
        <v>945.60048</v>
      </c>
    </row>
    <row r="18531" customFormat="false" ht="15" hidden="false" customHeight="false" outlineLevel="0" collapsed="false">
      <c r="A18531" s="5" t="s">
        <v>451</v>
      </c>
      <c r="C18531" s="25" t="n">
        <f aca="false">Assumptions!$C$27*(1-CHOOSE($C$18362,Assumptions!$C$79,Assumptions!$C$98,Assumptions!$C$117))*CHOOSE($C$18362,Assumptions!$C$80,Assumptions!$C$99,Assumptions!$C$118)</f>
        <v>624</v>
      </c>
    </row>
    <row r="18532" customFormat="false" ht="15" hidden="false" customHeight="false" outlineLevel="0" collapsed="false">
      <c r="A18532" s="5" t="s">
        <v>452</v>
      </c>
      <c r="C18532" s="25" t="n">
        <f aca="false">MAX(C18530,C18531)+C18529</f>
        <v>945.60048</v>
      </c>
    </row>
    <row r="18533" customFormat="false" ht="15" hidden="false" customHeight="false" outlineLevel="0" collapsed="false">
      <c r="A18533" s="2" t="s">
        <v>453</v>
      </c>
      <c r="C18533" s="16" t="n">
        <f aca="false">IF(ISNUMBER(Assumptions!$C$14),Assumptions!$C$14,C18532)</f>
        <v>945.60048</v>
      </c>
    </row>
    <row r="18534" customFormat="false" ht="15" hidden="false" customHeight="false" outlineLevel="0" collapsed="false">
      <c r="A18534" s="5" t="s">
        <v>454</v>
      </c>
      <c r="C18534" s="25" t="n">
        <f aca="false">C18533*Assumptions!$C$15</f>
        <v>37.8240192</v>
      </c>
    </row>
    <row r="18535" customFormat="false" ht="15" hidden="false" customHeight="false" outlineLevel="0" collapsed="false">
      <c r="A18535" s="2" t="s">
        <v>455</v>
      </c>
      <c r="C18535" s="16" t="n">
        <f aca="false">C18533-C18534</f>
        <v>907.7764608</v>
      </c>
    </row>
    <row r="18536" customFormat="false" ht="15" hidden="false" customHeight="false" outlineLevel="0" collapsed="false">
      <c r="A18536" s="23" t="s">
        <v>456</v>
      </c>
      <c r="B18536" s="24"/>
      <c r="C18536" s="24"/>
      <c r="D18536" s="24"/>
      <c r="E18536" s="24"/>
      <c r="F18536" s="24"/>
      <c r="G18536" s="24"/>
      <c r="H18536" s="24"/>
      <c r="I18536" s="24"/>
      <c r="J18536" s="24"/>
      <c r="K18536" s="24"/>
    </row>
    <row r="18537" customFormat="false" ht="15" hidden="false" customHeight="false" outlineLevel="0" collapsed="false">
      <c r="A18537" s="5" t="s">
        <v>457</v>
      </c>
      <c r="C18537" s="25" t="n">
        <f aca="false">SUMPRODUCT($G$18525:$K$18525,$G$18416:$K$18416)*(1+SUMPRODUCT($G$18525:$K$18525,$G$18408:$K$18408)*Assumptions!$C$16/12)</f>
        <v>152.55956</v>
      </c>
    </row>
    <row r="18538" customFormat="false" ht="15" hidden="false" customHeight="false" outlineLevel="0" collapsed="false">
      <c r="A18538" s="5" t="s">
        <v>458</v>
      </c>
      <c r="C18538" s="25" t="n">
        <f aca="false">SUMPRODUCT($G$18525:$K$18525,$G$18429:$K$18429)*(1+SUMPRODUCT($G$18525:$K$18525,$G$18421:$K$18421)*Assumptions!$C$16/12)</f>
        <v>522.4037</v>
      </c>
    </row>
    <row r="18539" customFormat="false" ht="15" hidden="false" customHeight="false" outlineLevel="0" collapsed="false">
      <c r="A18539" s="5" t="s">
        <v>459</v>
      </c>
      <c r="C18539" s="25" t="n">
        <f aca="false">SUMPRODUCT($G$18525:$K$18525,$G$18442:$K$18442)*(1+SUMPRODUCT($G$18525:$K$18525,$G$18434:$K$18434)*Assumptions!$C$16/12)</f>
        <v>256.875</v>
      </c>
    </row>
    <row r="18540" customFormat="false" ht="15" hidden="false" customHeight="false" outlineLevel="0" collapsed="false">
      <c r="A18540" s="5" t="s">
        <v>460</v>
      </c>
      <c r="C18540" s="25" t="n">
        <f aca="false">SUMPRODUCT($G$18525:$K$18525,$G$18455:$K$18455)*(1+SUMPRODUCT($G$18525:$K$18525,$G$18447:$K$18447)*Assumptions!$C$16/12)</f>
        <v>305.625</v>
      </c>
    </row>
    <row r="18541" customFormat="false" ht="15" hidden="false" customHeight="false" outlineLevel="0" collapsed="false">
      <c r="A18541" s="23" t="s">
        <v>461</v>
      </c>
      <c r="B18541" s="24"/>
      <c r="C18541" s="24"/>
      <c r="D18541" s="24"/>
      <c r="E18541" s="24"/>
      <c r="F18541" s="24"/>
      <c r="G18541" s="24"/>
      <c r="H18541" s="24"/>
      <c r="I18541" s="24"/>
      <c r="J18541" s="24"/>
      <c r="K18541" s="24"/>
    </row>
    <row r="18542" customFormat="false" ht="15" hidden="false" customHeight="false" outlineLevel="0" collapsed="false">
      <c r="A18542" s="5" t="s">
        <v>457</v>
      </c>
      <c r="C18542" s="26" t="n">
        <f aca="false">Assumptions!$M$53</f>
        <v>1</v>
      </c>
    </row>
    <row r="18543" customFormat="false" ht="15" hidden="false" customHeight="false" outlineLevel="0" collapsed="false">
      <c r="A18543" s="5" t="s">
        <v>458</v>
      </c>
      <c r="C18543" s="26" t="n">
        <f aca="false">Assumptions!$M$54</f>
        <v>2</v>
      </c>
    </row>
    <row r="18544" customFormat="false" ht="15" hidden="false" customHeight="false" outlineLevel="0" collapsed="false">
      <c r="A18544" s="5" t="s">
        <v>459</v>
      </c>
      <c r="C18544" s="26" t="n">
        <f aca="false">Assumptions!$M$55</f>
        <v>3</v>
      </c>
    </row>
    <row r="18545" customFormat="false" ht="15" hidden="false" customHeight="false" outlineLevel="0" collapsed="false">
      <c r="A18545" s="5" t="s">
        <v>460</v>
      </c>
      <c r="C18545" s="26" t="n">
        <f aca="false">Assumptions!$M$56</f>
        <v>4</v>
      </c>
    </row>
    <row r="18546" customFormat="false" ht="15" hidden="false" customHeight="false" outlineLevel="0" collapsed="false">
      <c r="A18546" s="23" t="s">
        <v>462</v>
      </c>
      <c r="B18546" s="24"/>
      <c r="C18546" s="24"/>
      <c r="D18546" s="24"/>
      <c r="E18546" s="24"/>
      <c r="F18546" s="24"/>
      <c r="G18546" s="24"/>
      <c r="H18546" s="24"/>
      <c r="I18546" s="24"/>
      <c r="J18546" s="24"/>
      <c r="K18546" s="24"/>
    </row>
    <row r="18547" customFormat="false" ht="15" hidden="false" customHeight="false" outlineLevel="0" collapsed="false">
      <c r="A18547" s="5" t="s">
        <v>457</v>
      </c>
      <c r="C18547" s="34" t="n">
        <f aca="false">Assumptions!$Q$53</f>
        <v>0</v>
      </c>
    </row>
    <row r="18548" customFormat="false" ht="15" hidden="false" customHeight="false" outlineLevel="0" collapsed="false">
      <c r="A18548" s="5" t="s">
        <v>458</v>
      </c>
      <c r="C18548" s="34" t="n">
        <f aca="false">Assumptions!$Q$54</f>
        <v>0</v>
      </c>
    </row>
    <row r="18549" customFormat="false" ht="15" hidden="false" customHeight="false" outlineLevel="0" collapsed="false">
      <c r="A18549" s="5" t="s">
        <v>459</v>
      </c>
      <c r="C18549" s="34" t="n">
        <f aca="false">Assumptions!$Q$55</f>
        <v>0</v>
      </c>
    </row>
    <row r="18550" customFormat="false" ht="15" hidden="false" customHeight="false" outlineLevel="0" collapsed="false">
      <c r="A18550" s="5" t="s">
        <v>460</v>
      </c>
      <c r="C18550" s="34" t="n">
        <f aca="false">Assumptions!$Q$56</f>
        <v>0</v>
      </c>
    </row>
    <row r="18551" customFormat="false" ht="15" hidden="false" customHeight="false" outlineLevel="0" collapsed="false">
      <c r="A18551" s="23" t="s">
        <v>463</v>
      </c>
      <c r="B18551" s="24"/>
      <c r="C18551" s="24"/>
      <c r="D18551" s="24"/>
      <c r="E18551" s="24"/>
      <c r="F18551" s="24"/>
      <c r="G18551" s="24"/>
      <c r="H18551" s="24"/>
      <c r="I18551" s="24"/>
      <c r="J18551" s="24"/>
      <c r="K18551" s="24"/>
    </row>
    <row r="18552" customFormat="false" ht="15" hidden="false" customHeight="false" outlineLevel="0" collapsed="false">
      <c r="A18552" s="5" t="s">
        <v>457</v>
      </c>
      <c r="C18552" s="25" t="n">
        <f aca="false">IF(C18547&gt;0,MIN(C18537,C18547*$C$18535),0)</f>
        <v>0</v>
      </c>
    </row>
    <row r="18553" customFormat="false" ht="15" hidden="false" customHeight="false" outlineLevel="0" collapsed="false">
      <c r="A18553" s="5" t="s">
        <v>458</v>
      </c>
      <c r="C18553" s="25" t="n">
        <f aca="false">IF(C18548&gt;0,MIN(C18538,C18548*$C$18535),0)</f>
        <v>0</v>
      </c>
    </row>
    <row r="18554" customFormat="false" ht="15" hidden="false" customHeight="false" outlineLevel="0" collapsed="false">
      <c r="A18554" s="5" t="s">
        <v>459</v>
      </c>
      <c r="C18554" s="25" t="n">
        <f aca="false">IF(C18549&gt;0,MIN(C18539,C18549*$C$18535),0)</f>
        <v>0</v>
      </c>
    </row>
    <row r="18555" customFormat="false" ht="15" hidden="false" customHeight="false" outlineLevel="0" collapsed="false">
      <c r="A18555" s="5" t="s">
        <v>460</v>
      </c>
      <c r="C18555" s="25" t="n">
        <f aca="false">IF(C18550&gt;0,MIN(C18540,C18550*$C$18535),0)</f>
        <v>0</v>
      </c>
    </row>
    <row r="18556" customFormat="false" ht="15" hidden="false" customHeight="false" outlineLevel="0" collapsed="false">
      <c r="A18556" s="23" t="s">
        <v>464</v>
      </c>
      <c r="B18556" s="24"/>
      <c r="C18556" s="24"/>
      <c r="D18556" s="24"/>
      <c r="E18556" s="24"/>
      <c r="F18556" s="24"/>
      <c r="G18556" s="24"/>
      <c r="H18556" s="24"/>
      <c r="I18556" s="24"/>
      <c r="J18556" s="24"/>
      <c r="K18556" s="24"/>
    </row>
    <row r="18557" customFormat="false" ht="15" hidden="false" customHeight="false" outlineLevel="0" collapsed="false">
      <c r="A18557" s="5" t="s">
        <v>457</v>
      </c>
      <c r="C18557" s="25" t="n">
        <f aca="false">IF(C18547&gt;0,C18537-C18552,0)</f>
        <v>0</v>
      </c>
      <c r="G18557" s="20" t="n">
        <f aca="false">IF(AND(G18406=1,G18403=1),1,0)</f>
        <v>0</v>
      </c>
      <c r="H18557" s="20" t="n">
        <f aca="false">IF(G18557=1,1,IF(AND(H18406=1,H18403=1),1,0))</f>
        <v>1</v>
      </c>
      <c r="I18557" s="20" t="n">
        <f aca="false">IF(H18557=1,1,IF(AND(I18406=1,I18403=1),1,0))</f>
        <v>1</v>
      </c>
      <c r="J18557" s="20" t="n">
        <f aca="false">IF(I18557=1,1,IF(AND(J18406=1,J18403=1),1,0))</f>
        <v>1</v>
      </c>
      <c r="K18557" s="20" t="n">
        <f aca="false">IF(J18557=1,1,IF(AND(K18406=1,K18403=1),1,0))</f>
        <v>1</v>
      </c>
    </row>
    <row r="18558" customFormat="false" ht="15" hidden="false" customHeight="false" outlineLevel="0" collapsed="false">
      <c r="A18558" s="5" t="s">
        <v>458</v>
      </c>
      <c r="C18558" s="25" t="n">
        <f aca="false">IF(C18548&gt;0,C18538-C18553,0)</f>
        <v>0</v>
      </c>
      <c r="G18558" s="20" t="n">
        <f aca="false">IF(AND(G18419=1,G18403=1),1,0)</f>
        <v>0</v>
      </c>
      <c r="H18558" s="20" t="n">
        <f aca="false">IF(G18558=1,1,IF(AND(H18419=1,H18403=1),1,0))</f>
        <v>0</v>
      </c>
      <c r="I18558" s="20" t="n">
        <f aca="false">IF(H18558=1,1,IF(AND(I18419=1,I18403=1),1,0))</f>
        <v>1</v>
      </c>
      <c r="J18558" s="20" t="n">
        <f aca="false">IF(I18558=1,1,IF(AND(J18419=1,J18403=1),1,0))</f>
        <v>1</v>
      </c>
      <c r="K18558" s="20" t="n">
        <f aca="false">IF(J18558=1,1,IF(AND(K18419=1,K18403=1),1,0))</f>
        <v>1</v>
      </c>
    </row>
    <row r="18559" customFormat="false" ht="15" hidden="false" customHeight="false" outlineLevel="0" collapsed="false">
      <c r="A18559" s="5" t="s">
        <v>459</v>
      </c>
      <c r="C18559" s="25" t="n">
        <f aca="false">IF(C18549&gt;0,C18539-C18554,0)</f>
        <v>0</v>
      </c>
      <c r="G18559" s="20" t="n">
        <f aca="false">IF(AND(G18432=1,G18403=1),1,0)</f>
        <v>0</v>
      </c>
      <c r="H18559" s="20" t="n">
        <f aca="false">IF(G18559=1,1,IF(AND(H18432=1,H18403=1),1,0))</f>
        <v>0</v>
      </c>
      <c r="I18559" s="20" t="n">
        <f aca="false">IF(H18559=1,1,IF(AND(I18432=1,I18403=1),1,0))</f>
        <v>0</v>
      </c>
      <c r="J18559" s="20" t="n">
        <f aca="false">IF(I18559=1,1,IF(AND(J18432=1,J18403=1),1,0))</f>
        <v>1</v>
      </c>
      <c r="K18559" s="20" t="n">
        <f aca="false">IF(J18559=1,1,IF(AND(K18432=1,K18403=1),1,0))</f>
        <v>1</v>
      </c>
    </row>
    <row r="18560" customFormat="false" ht="15" hidden="false" customHeight="false" outlineLevel="0" collapsed="false">
      <c r="A18560" s="5" t="s">
        <v>460</v>
      </c>
      <c r="C18560" s="25" t="n">
        <f aca="false">IF(C18550&gt;0,C18540-C18555,0)</f>
        <v>0</v>
      </c>
      <c r="G18560" s="20" t="n">
        <f aca="false">IF(AND(G18445=1,G18403=1),1,0)</f>
        <v>0</v>
      </c>
      <c r="H18560" s="20" t="n">
        <f aca="false">IF(G18560=1,1,IF(AND(H18445=1,H18403=1),1,0))</f>
        <v>1</v>
      </c>
      <c r="I18560" s="20" t="n">
        <f aca="false">IF(H18560=1,1,IF(AND(I18445=1,I18403=1),1,0))</f>
        <v>1</v>
      </c>
      <c r="J18560" s="20" t="n">
        <f aca="false">IF(I18560=1,1,IF(AND(J18445=1,J18403=1),1,0))</f>
        <v>1</v>
      </c>
      <c r="K18560" s="20" t="n">
        <f aca="false">IF(J18560=1,1,IF(AND(K18445=1,K18403=1),1,0))</f>
        <v>1</v>
      </c>
    </row>
    <row r="18561" customFormat="false" ht="15" hidden="false" customHeight="false" outlineLevel="0" collapsed="false">
      <c r="A18561" s="23" t="s">
        <v>465</v>
      </c>
      <c r="B18561" s="24"/>
      <c r="C18561" s="24"/>
      <c r="D18561" s="24"/>
      <c r="E18561" s="24"/>
      <c r="F18561" s="24"/>
      <c r="G18561" s="24"/>
      <c r="H18561" s="24"/>
      <c r="I18561" s="24"/>
      <c r="J18561" s="24"/>
      <c r="K18561" s="24"/>
    </row>
    <row r="18562" customFormat="false" ht="15" hidden="false" customHeight="false" outlineLevel="0" collapsed="false">
      <c r="A18562" s="5" t="s">
        <v>457</v>
      </c>
      <c r="C18562" s="25" t="n">
        <f aca="false">IF(C18547&gt;0,C18557,C18537)</f>
        <v>152.55956</v>
      </c>
    </row>
    <row r="18563" customFormat="false" ht="15" hidden="false" customHeight="false" outlineLevel="0" collapsed="false">
      <c r="A18563" s="5" t="s">
        <v>458</v>
      </c>
      <c r="C18563" s="25" t="n">
        <f aca="false">IF(C18548&gt;0,C18558,C18538)</f>
        <v>522.4037</v>
      </c>
    </row>
    <row r="18564" customFormat="false" ht="15" hidden="false" customHeight="false" outlineLevel="0" collapsed="false">
      <c r="A18564" s="5" t="s">
        <v>459</v>
      </c>
      <c r="C18564" s="25" t="n">
        <f aca="false">IF(C18549&gt;0,C18559,C18539)</f>
        <v>256.875</v>
      </c>
    </row>
    <row r="18565" customFormat="false" ht="15" hidden="false" customHeight="false" outlineLevel="0" collapsed="false">
      <c r="A18565" s="5" t="s">
        <v>460</v>
      </c>
      <c r="C18565" s="25" t="n">
        <f aca="false">IF(C18550&gt;0,C18560,C18540)</f>
        <v>305.625</v>
      </c>
    </row>
    <row r="18566" customFormat="false" ht="15" hidden="false" customHeight="false" outlineLevel="0" collapsed="false">
      <c r="A18566" s="23" t="s">
        <v>466</v>
      </c>
      <c r="B18566" s="24"/>
      <c r="C18566" s="24"/>
      <c r="D18566" s="24"/>
      <c r="E18566" s="24"/>
      <c r="F18566" s="24"/>
      <c r="G18566" s="24"/>
      <c r="H18566" s="24"/>
      <c r="I18566" s="24"/>
      <c r="J18566" s="24"/>
      <c r="K18566" s="24"/>
    </row>
    <row r="18567" customFormat="false" ht="15" hidden="false" customHeight="false" outlineLevel="0" collapsed="false">
      <c r="A18567" s="5" t="s">
        <v>457</v>
      </c>
      <c r="C18567" s="20" t="n">
        <f aca="false">IF(C18547&gt;0,Assumptions!$C$17,C18542)</f>
        <v>1</v>
      </c>
    </row>
    <row r="18568" customFormat="false" ht="15" hidden="false" customHeight="false" outlineLevel="0" collapsed="false">
      <c r="A18568" s="5" t="s">
        <v>458</v>
      </c>
      <c r="C18568" s="20" t="n">
        <f aca="false">IF(C18548&gt;0,Assumptions!$C$17,C18543)</f>
        <v>2</v>
      </c>
    </row>
    <row r="18569" customFormat="false" ht="15" hidden="false" customHeight="false" outlineLevel="0" collapsed="false">
      <c r="A18569" s="5" t="s">
        <v>459</v>
      </c>
      <c r="C18569" s="20" t="n">
        <f aca="false">IF(C18549&gt;0,Assumptions!$C$17,C18544)</f>
        <v>3</v>
      </c>
    </row>
    <row r="18570" customFormat="false" ht="15" hidden="false" customHeight="false" outlineLevel="0" collapsed="false">
      <c r="A18570" s="5" t="s">
        <v>460</v>
      </c>
      <c r="C18570" s="20" t="n">
        <f aca="false">IF(C18550&gt;0,Assumptions!$C$17,C18545)</f>
        <v>4</v>
      </c>
    </row>
    <row r="18571" customFormat="false" ht="15" hidden="false" customHeight="false" outlineLevel="0" collapsed="false">
      <c r="A18571" s="23" t="s">
        <v>467</v>
      </c>
      <c r="B18571" s="24"/>
      <c r="C18571" s="24"/>
      <c r="D18571" s="24"/>
      <c r="E18571" s="24"/>
      <c r="F18571" s="24"/>
      <c r="G18571" s="24"/>
      <c r="H18571" s="24"/>
      <c r="I18571" s="24"/>
      <c r="J18571" s="24"/>
      <c r="K18571" s="24"/>
    </row>
    <row r="18572" customFormat="false" ht="15" hidden="false" customHeight="false" outlineLevel="0" collapsed="false">
      <c r="A18572" s="5" t="s">
        <v>457</v>
      </c>
      <c r="C18572" s="25" t="n">
        <f aca="false">SUMPRODUCT(($C$18567:$C$18570&lt;C18567)*$C$18562:$C$18565)</f>
        <v>0</v>
      </c>
    </row>
    <row r="18573" customFormat="false" ht="15" hidden="false" customHeight="false" outlineLevel="0" collapsed="false">
      <c r="A18573" s="5" t="s">
        <v>458</v>
      </c>
      <c r="C18573" s="25" t="n">
        <f aca="false">SUMPRODUCT(($C$18567:$C$18570&lt;C18568)*$C$18562:$C$18565)</f>
        <v>152.55956</v>
      </c>
    </row>
    <row r="18574" customFormat="false" ht="15" hidden="false" customHeight="false" outlineLevel="0" collapsed="false">
      <c r="A18574" s="5" t="s">
        <v>459</v>
      </c>
      <c r="C18574" s="25" t="n">
        <f aca="false">SUMPRODUCT(($C$18567:$C$18570&lt;C18569)*$C$18562:$C$18565)</f>
        <v>674.96326</v>
      </c>
    </row>
    <row r="18575" customFormat="false" ht="15" hidden="false" customHeight="false" outlineLevel="0" collapsed="false">
      <c r="A18575" s="5" t="s">
        <v>460</v>
      </c>
      <c r="C18575" s="25" t="n">
        <f aca="false">SUMPRODUCT(($C$18567:$C$18570&lt;C18570)*$C$18562:$C$18565)</f>
        <v>931.83826</v>
      </c>
    </row>
    <row r="18576" customFormat="false" ht="15" hidden="false" customHeight="false" outlineLevel="0" collapsed="false">
      <c r="A18576" s="23" t="s">
        <v>468</v>
      </c>
      <c r="B18576" s="24"/>
      <c r="C18576" s="24"/>
      <c r="D18576" s="24"/>
      <c r="E18576" s="24"/>
      <c r="F18576" s="24"/>
      <c r="G18576" s="24"/>
      <c r="H18576" s="24"/>
      <c r="I18576" s="24"/>
      <c r="J18576" s="24"/>
      <c r="K18576" s="24"/>
    </row>
    <row r="18577" customFormat="false" ht="15" hidden="false" customHeight="false" outlineLevel="0" collapsed="false">
      <c r="A18577" s="5" t="s">
        <v>457</v>
      </c>
      <c r="C18577" s="25" t="n">
        <f aca="false">SUMPRODUCT(($C$18567:$C$18570=C18567)*$C$18562:$C$18565)</f>
        <v>152.55956</v>
      </c>
    </row>
    <row r="18578" customFormat="false" ht="15" hidden="false" customHeight="false" outlineLevel="0" collapsed="false">
      <c r="A18578" s="5" t="s">
        <v>458</v>
      </c>
      <c r="C18578" s="25" t="n">
        <f aca="false">SUMPRODUCT(($C$18567:$C$18570=C18568)*$C$18562:$C$18565)</f>
        <v>522.4037</v>
      </c>
    </row>
    <row r="18579" customFormat="false" ht="15" hidden="false" customHeight="false" outlineLevel="0" collapsed="false">
      <c r="A18579" s="5" t="s">
        <v>459</v>
      </c>
      <c r="C18579" s="25" t="n">
        <f aca="false">SUMPRODUCT(($C$18567:$C$18570=C18569)*$C$18562:$C$18565)</f>
        <v>256.875</v>
      </c>
    </row>
    <row r="18580" customFormat="false" ht="15" hidden="false" customHeight="false" outlineLevel="0" collapsed="false">
      <c r="A18580" s="5" t="s">
        <v>460</v>
      </c>
      <c r="C18580" s="25" t="n">
        <f aca="false">SUMPRODUCT(($C$18567:$C$18570=C18570)*$C$18562:$C$18565)</f>
        <v>305.625</v>
      </c>
    </row>
    <row r="18581" customFormat="false" ht="15" hidden="false" customHeight="false" outlineLevel="0" collapsed="false">
      <c r="A18581" s="23" t="s">
        <v>469</v>
      </c>
      <c r="B18581" s="24"/>
      <c r="C18581" s="24"/>
      <c r="D18581" s="24"/>
      <c r="E18581" s="24"/>
      <c r="F18581" s="24"/>
      <c r="G18581" s="24"/>
      <c r="H18581" s="24"/>
      <c r="I18581" s="24"/>
      <c r="J18581" s="24"/>
      <c r="K18581" s="24"/>
    </row>
    <row r="18582" customFormat="false" ht="15" hidden="false" customHeight="false" outlineLevel="0" collapsed="false">
      <c r="A18582" s="5" t="s">
        <v>457</v>
      </c>
      <c r="C18582" s="25" t="n">
        <f aca="false">IF(C18577=0,0,C18562/C18577*MAX(0,MIN(C18577,$C$18535-SUM($C$18552:$C$18555)-C18572)))</f>
        <v>152.55956</v>
      </c>
    </row>
    <row r="18583" customFormat="false" ht="15" hidden="false" customHeight="false" outlineLevel="0" collapsed="false">
      <c r="A18583" s="5" t="s">
        <v>458</v>
      </c>
      <c r="C18583" s="25" t="n">
        <f aca="false">IF(C18578=0,0,C18563/C18578*MAX(0,MIN(C18578,$C$18535-SUM($C$18552:$C$18555)-C18573)))</f>
        <v>522.4037</v>
      </c>
    </row>
    <row r="18584" customFormat="false" ht="15" hidden="false" customHeight="false" outlineLevel="0" collapsed="false">
      <c r="A18584" s="5" t="s">
        <v>459</v>
      </c>
      <c r="C18584" s="25" t="n">
        <f aca="false">IF(C18579=0,0,C18564/C18579*MAX(0,MIN(C18579,$C$18535-SUM($C$18552:$C$18555)-C18574)))</f>
        <v>232.8132008</v>
      </c>
    </row>
    <row r="18585" customFormat="false" ht="15" hidden="false" customHeight="false" outlineLevel="0" collapsed="false">
      <c r="A18585" s="5" t="s">
        <v>460</v>
      </c>
      <c r="C18585" s="25" t="n">
        <f aca="false">IF(C18580=0,0,C18565/C18580*MAX(0,MIN(C18580,$C$18535-SUM($C$18552:$C$18555)-C18575)))</f>
        <v>0</v>
      </c>
    </row>
    <row r="18586" customFormat="false" ht="15" hidden="false" customHeight="false" outlineLevel="0" collapsed="false">
      <c r="A18586" s="23" t="s">
        <v>470</v>
      </c>
      <c r="B18586" s="24"/>
      <c r="C18586" s="24"/>
      <c r="D18586" s="24"/>
      <c r="E18586" s="24"/>
      <c r="F18586" s="24"/>
      <c r="G18586" s="24"/>
      <c r="H18586" s="24"/>
      <c r="I18586" s="24"/>
      <c r="J18586" s="24"/>
      <c r="K18586" s="24"/>
    </row>
    <row r="18587" customFormat="false" ht="15" hidden="false" customHeight="false" outlineLevel="0" collapsed="false">
      <c r="A18587" s="2" t="s">
        <v>457</v>
      </c>
      <c r="C18587" s="16" t="n">
        <f aca="false">C18552+C18582</f>
        <v>152.55956</v>
      </c>
    </row>
    <row r="18588" customFormat="false" ht="15" hidden="false" customHeight="false" outlineLevel="0" collapsed="false">
      <c r="A18588" s="2" t="s">
        <v>458</v>
      </c>
      <c r="C18588" s="16" t="n">
        <f aca="false">C18553+C18583</f>
        <v>522.4037</v>
      </c>
    </row>
    <row r="18589" customFormat="false" ht="15" hidden="false" customHeight="false" outlineLevel="0" collapsed="false">
      <c r="A18589" s="2" t="s">
        <v>459</v>
      </c>
      <c r="C18589" s="16" t="n">
        <f aca="false">C18554+C18584</f>
        <v>232.8132008</v>
      </c>
    </row>
    <row r="18590" customFormat="false" ht="15" hidden="false" customHeight="false" outlineLevel="0" collapsed="false">
      <c r="A18590" s="2" t="s">
        <v>460</v>
      </c>
      <c r="C18590" s="16" t="n">
        <f aca="false">C18555+C18585</f>
        <v>0</v>
      </c>
    </row>
    <row r="18591" customFormat="false" ht="15" hidden="false" customHeight="false" outlineLevel="0" collapsed="false">
      <c r="A18591" s="23" t="s">
        <v>471</v>
      </c>
      <c r="B18591" s="24"/>
      <c r="C18591" s="24"/>
      <c r="D18591" s="24"/>
      <c r="E18591" s="24"/>
      <c r="F18591" s="24"/>
      <c r="G18591" s="24"/>
      <c r="H18591" s="24"/>
      <c r="I18591" s="24"/>
      <c r="J18591" s="24"/>
      <c r="K18591" s="24"/>
    </row>
    <row r="18592" customFormat="false" ht="15" hidden="false" customHeight="false" outlineLevel="0" collapsed="false">
      <c r="A18592" s="5" t="s">
        <v>457</v>
      </c>
      <c r="C18592" s="21" t="n">
        <f aca="false">IF(C18537=0,1,C18587/C18537)</f>
        <v>1</v>
      </c>
    </row>
    <row r="18593" customFormat="false" ht="15" hidden="false" customHeight="false" outlineLevel="0" collapsed="false">
      <c r="A18593" s="5" t="s">
        <v>458</v>
      </c>
      <c r="C18593" s="21" t="n">
        <f aca="false">IF(C18538=0,1,C18588/C18538)</f>
        <v>1</v>
      </c>
    </row>
    <row r="18594" customFormat="false" ht="15" hidden="false" customHeight="false" outlineLevel="0" collapsed="false">
      <c r="A18594" s="5" t="s">
        <v>459</v>
      </c>
      <c r="C18594" s="21" t="n">
        <f aca="false">IF(C18539=0,1,C18589/C18539)</f>
        <v>0.906328762238443</v>
      </c>
    </row>
    <row r="18595" customFormat="false" ht="15" hidden="false" customHeight="false" outlineLevel="0" collapsed="false">
      <c r="A18595" s="5" t="s">
        <v>460</v>
      </c>
      <c r="C18595" s="21" t="n">
        <f aca="false">IF(C18540=0,1,C18590/C18540)</f>
        <v>0</v>
      </c>
    </row>
    <row r="18596" customFormat="false" ht="15" hidden="false" customHeight="false" outlineLevel="0" collapsed="false">
      <c r="A18596" s="23" t="s">
        <v>472</v>
      </c>
      <c r="B18596" s="24"/>
      <c r="C18596" s="24"/>
      <c r="D18596" s="24"/>
      <c r="E18596" s="24"/>
      <c r="F18596" s="24"/>
      <c r="G18596" s="24"/>
      <c r="H18596" s="24"/>
      <c r="I18596" s="24"/>
      <c r="J18596" s="24"/>
      <c r="K18596" s="24"/>
    </row>
    <row r="18597" customFormat="false" ht="15" hidden="false" customHeight="false" outlineLevel="0" collapsed="false">
      <c r="A18597" s="5" t="s">
        <v>457</v>
      </c>
      <c r="C18597" s="25" t="n">
        <f aca="false">C18537-C18587</f>
        <v>0</v>
      </c>
    </row>
    <row r="18598" customFormat="false" ht="15" hidden="false" customHeight="false" outlineLevel="0" collapsed="false">
      <c r="A18598" s="5" t="s">
        <v>458</v>
      </c>
      <c r="C18598" s="25" t="n">
        <f aca="false">C18538-C18588</f>
        <v>0</v>
      </c>
    </row>
    <row r="18599" customFormat="false" ht="15" hidden="false" customHeight="false" outlineLevel="0" collapsed="false">
      <c r="A18599" s="5" t="s">
        <v>459</v>
      </c>
      <c r="C18599" s="25" t="n">
        <f aca="false">C18539-C18589</f>
        <v>24.0617992</v>
      </c>
    </row>
    <row r="18600" customFormat="false" ht="15" hidden="false" customHeight="false" outlineLevel="0" collapsed="false">
      <c r="A18600" s="5" t="s">
        <v>460</v>
      </c>
      <c r="C18600" s="25" t="n">
        <f aca="false">C18540-C18590</f>
        <v>305.625</v>
      </c>
    </row>
    <row r="18601" customFormat="false" ht="15" hidden="false" customHeight="false" outlineLevel="0" collapsed="false">
      <c r="A18601" s="23" t="s">
        <v>473</v>
      </c>
      <c r="B18601" s="24"/>
      <c r="C18601" s="24"/>
      <c r="D18601" s="24"/>
      <c r="E18601" s="24"/>
      <c r="F18601" s="24"/>
      <c r="G18601" s="24"/>
      <c r="H18601" s="24"/>
      <c r="I18601" s="24"/>
      <c r="J18601" s="24"/>
      <c r="K18601" s="24"/>
    </row>
    <row r="18602" customFormat="false" ht="15" hidden="false" customHeight="false" outlineLevel="0" collapsed="false">
      <c r="A18602" s="5" t="s">
        <v>457</v>
      </c>
      <c r="C18602" s="21" t="n">
        <f aca="false">IF(C18537=0,0,C18597/C18537)</f>
        <v>0</v>
      </c>
    </row>
    <row r="18603" customFormat="false" ht="15" hidden="false" customHeight="false" outlineLevel="0" collapsed="false">
      <c r="A18603" s="5" t="s">
        <v>458</v>
      </c>
      <c r="C18603" s="21" t="n">
        <f aca="false">IF(C18538=0,0,C18598/C18538)</f>
        <v>0</v>
      </c>
    </row>
    <row r="18604" customFormat="false" ht="15" hidden="false" customHeight="false" outlineLevel="0" collapsed="false">
      <c r="A18604" s="5" t="s">
        <v>459</v>
      </c>
      <c r="C18604" s="21" t="n">
        <f aca="false">IF(C18539=0,0,C18599/C18539)</f>
        <v>0.0936712377615572</v>
      </c>
    </row>
    <row r="18605" customFormat="false" ht="15" hidden="false" customHeight="false" outlineLevel="0" collapsed="false">
      <c r="A18605" s="5" t="s">
        <v>460</v>
      </c>
      <c r="C18605" s="21" t="n">
        <f aca="false">IF(C18540=0,0,C18600/C18540)</f>
        <v>1</v>
      </c>
    </row>
    <row r="18606" customFormat="false" ht="15" hidden="false" customHeight="false" outlineLevel="0" collapsed="false">
      <c r="A18606" s="2" t="s">
        <v>474</v>
      </c>
      <c r="C18606" s="16" t="n">
        <f aca="false">MAX(0,$C$18535-SUM($C$18552:$C$18555)-SUM($C$18562:$C$18565))</f>
        <v>0</v>
      </c>
    </row>
    <row r="18607" customFormat="false" ht="15" hidden="false" customHeight="false" outlineLevel="0" collapsed="false">
      <c r="A18607" s="5" t="s">
        <v>475</v>
      </c>
      <c r="C18607" s="25" t="n">
        <f aca="false">SUM($C$18587:$C$18590)+C18606+C18534-C18533</f>
        <v>0</v>
      </c>
    </row>
    <row r="18609" customFormat="false" ht="15" hidden="false" customHeight="false" outlineLevel="0" collapsed="false">
      <c r="A18609" s="23" t="s">
        <v>478</v>
      </c>
      <c r="B18609" s="24"/>
      <c r="C18609" s="24"/>
      <c r="D18609" s="24"/>
      <c r="E18609" s="24"/>
      <c r="F18609" s="24"/>
      <c r="G18609" s="24"/>
      <c r="H18609" s="24"/>
      <c r="I18609" s="24"/>
      <c r="J18609" s="24"/>
      <c r="K18609" s="24"/>
    </row>
    <row r="18610" customFormat="false" ht="15" hidden="false" customHeight="false" outlineLevel="0" collapsed="false">
      <c r="A18610" s="5" t="s">
        <v>479</v>
      </c>
      <c r="C18610" s="26" t="n">
        <f aca="false">Assumptions!$C$30</f>
        <v>2</v>
      </c>
    </row>
    <row r="18611" customFormat="false" ht="15" hidden="false" customHeight="false" outlineLevel="0" collapsed="false">
      <c r="A18611" s="5" t="s">
        <v>480</v>
      </c>
      <c r="C18611" s="28" t="n">
        <f aca="false">Assumptions!$C$31</f>
        <v>100</v>
      </c>
    </row>
    <row r="18612" customFormat="false" ht="15" hidden="false" customHeight="false" outlineLevel="0" collapsed="false">
      <c r="A18612" s="5" t="s">
        <v>481</v>
      </c>
      <c r="C18612" s="39" t="n">
        <f aca="false">Assumptions!$C$32</f>
        <v>78</v>
      </c>
    </row>
    <row r="18613" customFormat="false" ht="15" hidden="false" customHeight="false" outlineLevel="0" collapsed="false">
      <c r="A18613" s="5" t="s">
        <v>482</v>
      </c>
      <c r="C18613" s="25" t="n">
        <f aca="false">C18611*C18612/100*(1+Assumptions!$C$33)</f>
        <v>78.39</v>
      </c>
    </row>
    <row r="18614" customFormat="false" ht="15" hidden="false" customHeight="false" outlineLevel="0" collapsed="false">
      <c r="A18614" s="5" t="s">
        <v>483</v>
      </c>
      <c r="C18614" s="26" t="n">
        <f aca="false">Assumptions!$C$34</f>
        <v>2</v>
      </c>
    </row>
    <row r="18615" customFormat="false" ht="15" hidden="false" customHeight="false" outlineLevel="0" collapsed="false">
      <c r="A18615" s="5" t="s">
        <v>484</v>
      </c>
      <c r="C18615" s="20" t="n">
        <f aca="false">IF(C18526=1,SUMPRODUCT($G$18494:$K$18494,$G$18370:$K$18370),0)</f>
        <v>2</v>
      </c>
    </row>
    <row r="18616" customFormat="false" ht="15" hidden="false" customHeight="false" outlineLevel="0" collapsed="false">
      <c r="A18616" s="5" t="s">
        <v>485</v>
      </c>
      <c r="C18616" s="21" t="n">
        <f aca="false">IFERROR(C18611/CHOOSE(C18610,SUMPRODUCT($G$18525:$K$18525,$G$18416:$K$18416),SUMPRODUCT($G$18525:$K$18525,$G$18429:$K$18429),SUMPRODUCT($G$18525:$K$18525,$G$18442:$K$18442),SUMPRODUCT($G$18525:$K$18525,$G$18455:$K$18455)),0)</f>
        <v>0.196232339089482</v>
      </c>
    </row>
    <row r="18617" customFormat="false" ht="15" hidden="false" customHeight="false" outlineLevel="0" collapsed="false">
      <c r="A18617" s="5" t="s">
        <v>486</v>
      </c>
      <c r="C18617" s="25" t="n">
        <f aca="false">CHOOSE(C18610,C18587,C18588,C18589,C18590)*C18616</f>
        <v>102.5125</v>
      </c>
    </row>
    <row r="18618" customFormat="false" ht="15" hidden="false" customHeight="false" outlineLevel="0" collapsed="false">
      <c r="A18618" s="5" t="s">
        <v>487</v>
      </c>
      <c r="C18618" s="21" t="n">
        <f aca="false">CHOOSE(C18610,C18592,C18593,C18594,C18595)</f>
        <v>1</v>
      </c>
    </row>
    <row r="18619" customFormat="false" ht="15" hidden="false" customHeight="false" outlineLevel="0" collapsed="false">
      <c r="A18619" s="5" t="s">
        <v>488</v>
      </c>
      <c r="C18619" s="20" t="n">
        <f aca="false">IF(C18526=1,C18615,C18614)</f>
        <v>2</v>
      </c>
    </row>
    <row r="18620" customFormat="false" ht="15" hidden="false" customHeight="false" outlineLevel="0" collapsed="false">
      <c r="A18620" s="5" t="s">
        <v>489</v>
      </c>
      <c r="C18620" s="33" t="n">
        <f aca="false">CHOOSE($C$18362,Assumptions!$C$77,Assumptions!$C$96,Assumptions!$C$115)</f>
        <v>100</v>
      </c>
    </row>
    <row r="18621" customFormat="false" ht="15" hidden="false" customHeight="false" outlineLevel="0" collapsed="false">
      <c r="A18621" s="5" t="s">
        <v>490</v>
      </c>
      <c r="C18621" s="25" t="n">
        <f aca="false">INDEX($G$18379:$K$18379,C18614)*CHOOSE($C$18362,Assumptions!$C$76,Assumptions!$C$95,Assumptions!$C$114)+MAX(0,INDEX($G$18491:$K$18491,C18614))</f>
        <v>1024.40052</v>
      </c>
    </row>
    <row r="18622" customFormat="false" ht="15" hidden="false" customHeight="false" outlineLevel="0" collapsed="false">
      <c r="A18622" s="23" t="s">
        <v>491</v>
      </c>
      <c r="B18622" s="24"/>
      <c r="C18622" s="24"/>
      <c r="D18622" s="24"/>
      <c r="E18622" s="24"/>
      <c r="F18622" s="24"/>
      <c r="G18622" s="24"/>
      <c r="H18622" s="24"/>
      <c r="I18622" s="24"/>
      <c r="J18622" s="24"/>
      <c r="K18622" s="24"/>
    </row>
    <row r="18623" customFormat="false" ht="15" hidden="false" customHeight="false" outlineLevel="0" collapsed="false">
      <c r="A18623" s="5" t="s">
        <v>457</v>
      </c>
      <c r="C18623" s="25" t="n">
        <f aca="false">INDEX($G$18416:$K$18416,C18614)</f>
        <v>149.44</v>
      </c>
    </row>
    <row r="18624" customFormat="false" ht="15" hidden="false" customHeight="false" outlineLevel="0" collapsed="false">
      <c r="A18624" s="5" t="s">
        <v>458</v>
      </c>
      <c r="C18624" s="25" t="n">
        <f aca="false">INDEX($G$18429:$K$18429,C18614)</f>
        <v>509.6</v>
      </c>
    </row>
    <row r="18625" customFormat="false" ht="15" hidden="false" customHeight="false" outlineLevel="0" collapsed="false">
      <c r="A18625" s="5" t="s">
        <v>459</v>
      </c>
      <c r="C18625" s="25" t="n">
        <f aca="false">INDEX($G$18442:$K$18442,C18614)</f>
        <v>250</v>
      </c>
    </row>
    <row r="18626" customFormat="false" ht="15" hidden="false" customHeight="false" outlineLevel="0" collapsed="false">
      <c r="A18626" s="5" t="s">
        <v>460</v>
      </c>
      <c r="C18626" s="25" t="n">
        <f aca="false">INDEX($G$18455:$K$18455,C18614)</f>
        <v>300</v>
      </c>
    </row>
    <row r="18627" customFormat="false" ht="15" hidden="false" customHeight="false" outlineLevel="0" collapsed="false">
      <c r="A18627" s="23" t="s">
        <v>461</v>
      </c>
      <c r="B18627" s="24"/>
      <c r="C18627" s="24"/>
      <c r="D18627" s="24"/>
      <c r="E18627" s="24"/>
      <c r="F18627" s="24"/>
      <c r="G18627" s="24"/>
      <c r="H18627" s="24"/>
      <c r="I18627" s="24"/>
      <c r="J18627" s="24"/>
      <c r="K18627" s="24"/>
    </row>
    <row r="18628" customFormat="false" ht="15" hidden="false" customHeight="false" outlineLevel="0" collapsed="false">
      <c r="A18628" s="5" t="s">
        <v>457</v>
      </c>
      <c r="C18628" s="26" t="n">
        <f aca="false">Assumptions!$M$53</f>
        <v>1</v>
      </c>
    </row>
    <row r="18629" customFormat="false" ht="15" hidden="false" customHeight="false" outlineLevel="0" collapsed="false">
      <c r="A18629" s="5" t="s">
        <v>458</v>
      </c>
      <c r="C18629" s="26" t="n">
        <f aca="false">Assumptions!$M$54</f>
        <v>2</v>
      </c>
    </row>
    <row r="18630" customFormat="false" ht="15" hidden="false" customHeight="false" outlineLevel="0" collapsed="false">
      <c r="A18630" s="5" t="s">
        <v>459</v>
      </c>
      <c r="C18630" s="26" t="n">
        <f aca="false">Assumptions!$M$55</f>
        <v>3</v>
      </c>
    </row>
    <row r="18631" customFormat="false" ht="15" hidden="false" customHeight="false" outlineLevel="0" collapsed="false">
      <c r="A18631" s="5" t="s">
        <v>460</v>
      </c>
      <c r="C18631" s="26" t="n">
        <f aca="false">Assumptions!$M$56</f>
        <v>4</v>
      </c>
    </row>
    <row r="18632" customFormat="false" ht="15" hidden="false" customHeight="false" outlineLevel="0" collapsed="false">
      <c r="A18632" s="23" t="s">
        <v>462</v>
      </c>
      <c r="B18632" s="24"/>
      <c r="C18632" s="24"/>
      <c r="D18632" s="24"/>
      <c r="E18632" s="24"/>
      <c r="F18632" s="24"/>
      <c r="G18632" s="24"/>
      <c r="H18632" s="24"/>
      <c r="I18632" s="24"/>
      <c r="J18632" s="24"/>
      <c r="K18632" s="24"/>
    </row>
    <row r="18633" customFormat="false" ht="15" hidden="false" customHeight="false" outlineLevel="0" collapsed="false">
      <c r="A18633" s="5" t="s">
        <v>457</v>
      </c>
      <c r="C18633" s="34" t="n">
        <f aca="false">Assumptions!$Q$53</f>
        <v>0</v>
      </c>
    </row>
    <row r="18634" customFormat="false" ht="15" hidden="false" customHeight="false" outlineLevel="0" collapsed="false">
      <c r="A18634" s="5" t="s">
        <v>458</v>
      </c>
      <c r="C18634" s="34" t="n">
        <f aca="false">Assumptions!$Q$54</f>
        <v>0</v>
      </c>
    </row>
    <row r="18635" customFormat="false" ht="15" hidden="false" customHeight="false" outlineLevel="0" collapsed="false">
      <c r="A18635" s="5" t="s">
        <v>459</v>
      </c>
      <c r="C18635" s="34" t="n">
        <f aca="false">Assumptions!$Q$55</f>
        <v>0</v>
      </c>
    </row>
    <row r="18636" customFormat="false" ht="15" hidden="false" customHeight="false" outlineLevel="0" collapsed="false">
      <c r="A18636" s="5" t="s">
        <v>460</v>
      </c>
      <c r="C18636" s="34" t="n">
        <f aca="false">Assumptions!$Q$56</f>
        <v>0</v>
      </c>
    </row>
    <row r="18637" customFormat="false" ht="15" hidden="false" customHeight="false" outlineLevel="0" collapsed="false">
      <c r="A18637" s="23" t="s">
        <v>463</v>
      </c>
      <c r="B18637" s="24"/>
      <c r="C18637" s="24"/>
      <c r="D18637" s="24"/>
      <c r="E18637" s="24"/>
      <c r="F18637" s="24"/>
      <c r="G18637" s="24"/>
      <c r="H18637" s="24"/>
      <c r="I18637" s="24"/>
      <c r="J18637" s="24"/>
      <c r="K18637" s="24"/>
    </row>
    <row r="18638" customFormat="false" ht="15" hidden="false" customHeight="false" outlineLevel="0" collapsed="false">
      <c r="A18638" s="5" t="s">
        <v>457</v>
      </c>
      <c r="C18638" s="25" t="n">
        <f aca="false">IF(C18633&gt;0,MIN(C18623,C18633*$C$18621),0)</f>
        <v>0</v>
      </c>
    </row>
    <row r="18639" customFormat="false" ht="15" hidden="false" customHeight="false" outlineLevel="0" collapsed="false">
      <c r="A18639" s="5" t="s">
        <v>458</v>
      </c>
      <c r="C18639" s="25" t="n">
        <f aca="false">IF(C18634&gt;0,MIN(C18624,C18634*$C$18621),0)</f>
        <v>0</v>
      </c>
    </row>
    <row r="18640" customFormat="false" ht="15" hidden="false" customHeight="false" outlineLevel="0" collapsed="false">
      <c r="A18640" s="5" t="s">
        <v>459</v>
      </c>
      <c r="C18640" s="25" t="n">
        <f aca="false">IF(C18635&gt;0,MIN(C18625,C18635*$C$18621),0)</f>
        <v>0</v>
      </c>
    </row>
    <row r="18641" customFormat="false" ht="15" hidden="false" customHeight="false" outlineLevel="0" collapsed="false">
      <c r="A18641" s="5" t="s">
        <v>460</v>
      </c>
      <c r="C18641" s="25" t="n">
        <f aca="false">IF(C18636&gt;0,MIN(C18626,C18636*$C$18621),0)</f>
        <v>0</v>
      </c>
    </row>
    <row r="18642" customFormat="false" ht="15" hidden="false" customHeight="false" outlineLevel="0" collapsed="false">
      <c r="A18642" s="23" t="s">
        <v>464</v>
      </c>
      <c r="B18642" s="24"/>
      <c r="C18642" s="24"/>
      <c r="D18642" s="24"/>
      <c r="E18642" s="24"/>
      <c r="F18642" s="24"/>
      <c r="G18642" s="24"/>
      <c r="H18642" s="24"/>
      <c r="I18642" s="24"/>
      <c r="J18642" s="24"/>
      <c r="K18642" s="24"/>
    </row>
    <row r="18643" customFormat="false" ht="15" hidden="false" customHeight="false" outlineLevel="0" collapsed="false">
      <c r="A18643" s="5" t="s">
        <v>457</v>
      </c>
      <c r="C18643" s="25" t="n">
        <f aca="false">IF(C18633&gt;0,C18623-C18638,0)</f>
        <v>0</v>
      </c>
    </row>
    <row r="18644" customFormat="false" ht="15" hidden="false" customHeight="false" outlineLevel="0" collapsed="false">
      <c r="A18644" s="5" t="s">
        <v>458</v>
      </c>
      <c r="C18644" s="25" t="n">
        <f aca="false">IF(C18634&gt;0,C18624-C18639,0)</f>
        <v>0</v>
      </c>
    </row>
    <row r="18645" customFormat="false" ht="15" hidden="false" customHeight="false" outlineLevel="0" collapsed="false">
      <c r="A18645" s="5" t="s">
        <v>459</v>
      </c>
      <c r="C18645" s="25" t="n">
        <f aca="false">IF(C18635&gt;0,C18625-C18640,0)</f>
        <v>0</v>
      </c>
    </row>
    <row r="18646" customFormat="false" ht="15" hidden="false" customHeight="false" outlineLevel="0" collapsed="false">
      <c r="A18646" s="5" t="s">
        <v>460</v>
      </c>
      <c r="C18646" s="25" t="n">
        <f aca="false">IF(C18636&gt;0,C18626-C18641,0)</f>
        <v>0</v>
      </c>
    </row>
    <row r="18647" customFormat="false" ht="15" hidden="false" customHeight="false" outlineLevel="0" collapsed="false">
      <c r="A18647" s="23" t="s">
        <v>465</v>
      </c>
      <c r="B18647" s="24"/>
      <c r="C18647" s="24"/>
      <c r="D18647" s="24"/>
      <c r="E18647" s="24"/>
      <c r="F18647" s="24"/>
      <c r="G18647" s="24"/>
      <c r="H18647" s="24"/>
      <c r="I18647" s="24"/>
      <c r="J18647" s="24"/>
      <c r="K18647" s="24"/>
    </row>
    <row r="18648" customFormat="false" ht="15" hidden="false" customHeight="false" outlineLevel="0" collapsed="false">
      <c r="A18648" s="5" t="s">
        <v>457</v>
      </c>
      <c r="C18648" s="25" t="n">
        <f aca="false">IF(C18633&gt;0,C18643,C18623)</f>
        <v>149.44</v>
      </c>
    </row>
    <row r="18649" customFormat="false" ht="15" hidden="false" customHeight="false" outlineLevel="0" collapsed="false">
      <c r="A18649" s="5" t="s">
        <v>458</v>
      </c>
      <c r="C18649" s="25" t="n">
        <f aca="false">IF(C18634&gt;0,C18644,C18624)</f>
        <v>509.6</v>
      </c>
    </row>
    <row r="18650" customFormat="false" ht="15" hidden="false" customHeight="false" outlineLevel="0" collapsed="false">
      <c r="A18650" s="5" t="s">
        <v>459</v>
      </c>
      <c r="C18650" s="25" t="n">
        <f aca="false">IF(C18635&gt;0,C18645,C18625)</f>
        <v>250</v>
      </c>
    </row>
    <row r="18651" customFormat="false" ht="15" hidden="false" customHeight="false" outlineLevel="0" collapsed="false">
      <c r="A18651" s="5" t="s">
        <v>460</v>
      </c>
      <c r="C18651" s="25" t="n">
        <f aca="false">IF(C18636&gt;0,C18646,C18626)</f>
        <v>300</v>
      </c>
    </row>
    <row r="18652" customFormat="false" ht="15" hidden="false" customHeight="false" outlineLevel="0" collapsed="false">
      <c r="A18652" s="23" t="s">
        <v>466</v>
      </c>
      <c r="B18652" s="24"/>
      <c r="C18652" s="24"/>
      <c r="D18652" s="24"/>
      <c r="E18652" s="24"/>
      <c r="F18652" s="24"/>
      <c r="G18652" s="24"/>
      <c r="H18652" s="24"/>
      <c r="I18652" s="24"/>
      <c r="J18652" s="24"/>
      <c r="K18652" s="24"/>
    </row>
    <row r="18653" customFormat="false" ht="15" hidden="false" customHeight="false" outlineLevel="0" collapsed="false">
      <c r="A18653" s="5" t="s">
        <v>457</v>
      </c>
      <c r="C18653" s="20" t="n">
        <f aca="false">IF(C18633&gt;0,Assumptions!$C$17,C18628)</f>
        <v>1</v>
      </c>
    </row>
    <row r="18654" customFormat="false" ht="15" hidden="false" customHeight="false" outlineLevel="0" collapsed="false">
      <c r="A18654" s="5" t="s">
        <v>458</v>
      </c>
      <c r="C18654" s="20" t="n">
        <f aca="false">IF(C18634&gt;0,Assumptions!$C$17,C18629)</f>
        <v>2</v>
      </c>
    </row>
    <row r="18655" customFormat="false" ht="15" hidden="false" customHeight="false" outlineLevel="0" collapsed="false">
      <c r="A18655" s="5" t="s">
        <v>459</v>
      </c>
      <c r="C18655" s="20" t="n">
        <f aca="false">IF(C18635&gt;0,Assumptions!$C$17,C18630)</f>
        <v>3</v>
      </c>
    </row>
    <row r="18656" customFormat="false" ht="15" hidden="false" customHeight="false" outlineLevel="0" collapsed="false">
      <c r="A18656" s="5" t="s">
        <v>460</v>
      </c>
      <c r="C18656" s="20" t="n">
        <f aca="false">IF(C18636&gt;0,Assumptions!$C$17,C18631)</f>
        <v>4</v>
      </c>
    </row>
    <row r="18657" customFormat="false" ht="15" hidden="false" customHeight="false" outlineLevel="0" collapsed="false">
      <c r="A18657" s="23" t="s">
        <v>467</v>
      </c>
      <c r="B18657" s="24"/>
      <c r="C18657" s="24"/>
      <c r="D18657" s="24"/>
      <c r="E18657" s="24"/>
      <c r="F18657" s="24"/>
      <c r="G18657" s="24"/>
      <c r="H18657" s="24"/>
      <c r="I18657" s="24"/>
      <c r="J18657" s="24"/>
      <c r="K18657" s="24"/>
    </row>
    <row r="18658" customFormat="false" ht="15" hidden="false" customHeight="false" outlineLevel="0" collapsed="false">
      <c r="A18658" s="5" t="s">
        <v>457</v>
      </c>
      <c r="C18658" s="25" t="n">
        <f aca="false">SUMPRODUCT(($C$18653:$C$18656&lt;C18653)*$C$18648:$C$18651)</f>
        <v>0</v>
      </c>
    </row>
    <row r="18659" customFormat="false" ht="15" hidden="false" customHeight="false" outlineLevel="0" collapsed="false">
      <c r="A18659" s="5" t="s">
        <v>458</v>
      </c>
      <c r="C18659" s="25" t="n">
        <f aca="false">SUMPRODUCT(($C$18653:$C$18656&lt;C18654)*$C$18648:$C$18651)</f>
        <v>149.44</v>
      </c>
    </row>
    <row r="18660" customFormat="false" ht="15" hidden="false" customHeight="false" outlineLevel="0" collapsed="false">
      <c r="A18660" s="5" t="s">
        <v>459</v>
      </c>
      <c r="C18660" s="25" t="n">
        <f aca="false">SUMPRODUCT(($C$18653:$C$18656&lt;C18655)*$C$18648:$C$18651)</f>
        <v>659.04</v>
      </c>
    </row>
    <row r="18661" customFormat="false" ht="15" hidden="false" customHeight="false" outlineLevel="0" collapsed="false">
      <c r="A18661" s="5" t="s">
        <v>460</v>
      </c>
      <c r="C18661" s="25" t="n">
        <f aca="false">SUMPRODUCT(($C$18653:$C$18656&lt;C18656)*$C$18648:$C$18651)</f>
        <v>909.04</v>
      </c>
    </row>
    <row r="18662" customFormat="false" ht="15" hidden="false" customHeight="false" outlineLevel="0" collapsed="false">
      <c r="A18662" s="23" t="s">
        <v>468</v>
      </c>
      <c r="B18662" s="24"/>
      <c r="C18662" s="24"/>
      <c r="D18662" s="24"/>
      <c r="E18662" s="24"/>
      <c r="F18662" s="24"/>
      <c r="G18662" s="24"/>
      <c r="H18662" s="24"/>
      <c r="I18662" s="24"/>
      <c r="J18662" s="24"/>
      <c r="K18662" s="24"/>
    </row>
    <row r="18663" customFormat="false" ht="15" hidden="false" customHeight="false" outlineLevel="0" collapsed="false">
      <c r="A18663" s="5" t="s">
        <v>457</v>
      </c>
      <c r="C18663" s="25" t="n">
        <f aca="false">SUMPRODUCT(($C$18653:$C$18656=C18653)*$C$18648:$C$18651)</f>
        <v>149.44</v>
      </c>
    </row>
    <row r="18664" customFormat="false" ht="15" hidden="false" customHeight="false" outlineLevel="0" collapsed="false">
      <c r="A18664" s="5" t="s">
        <v>458</v>
      </c>
      <c r="C18664" s="25" t="n">
        <f aca="false">SUMPRODUCT(($C$18653:$C$18656=C18654)*$C$18648:$C$18651)</f>
        <v>509.6</v>
      </c>
    </row>
    <row r="18665" customFormat="false" ht="15" hidden="false" customHeight="false" outlineLevel="0" collapsed="false">
      <c r="A18665" s="5" t="s">
        <v>459</v>
      </c>
      <c r="C18665" s="25" t="n">
        <f aca="false">SUMPRODUCT(($C$18653:$C$18656=C18655)*$C$18648:$C$18651)</f>
        <v>250</v>
      </c>
    </row>
    <row r="18666" customFormat="false" ht="15" hidden="false" customHeight="false" outlineLevel="0" collapsed="false">
      <c r="A18666" s="5" t="s">
        <v>460</v>
      </c>
      <c r="C18666" s="25" t="n">
        <f aca="false">SUMPRODUCT(($C$18653:$C$18656=C18656)*$C$18648:$C$18651)</f>
        <v>300</v>
      </c>
    </row>
    <row r="18667" customFormat="false" ht="15" hidden="false" customHeight="false" outlineLevel="0" collapsed="false">
      <c r="A18667" s="23" t="s">
        <v>469</v>
      </c>
      <c r="B18667" s="24"/>
      <c r="C18667" s="24"/>
      <c r="D18667" s="24"/>
      <c r="E18667" s="24"/>
      <c r="F18667" s="24"/>
      <c r="G18667" s="24"/>
      <c r="H18667" s="24"/>
      <c r="I18667" s="24"/>
      <c r="J18667" s="24"/>
      <c r="K18667" s="24"/>
    </row>
    <row r="18668" customFormat="false" ht="15" hidden="false" customHeight="false" outlineLevel="0" collapsed="false">
      <c r="A18668" s="5" t="s">
        <v>457</v>
      </c>
      <c r="C18668" s="25" t="n">
        <f aca="false">IF(C18663=0,0,C18648/C18663*MAX(0,MIN(C18663,$C$18621-SUM($C$18638:$C$18641)-C18658)))</f>
        <v>149.44</v>
      </c>
    </row>
    <row r="18669" customFormat="false" ht="15" hidden="false" customHeight="false" outlineLevel="0" collapsed="false">
      <c r="A18669" s="5" t="s">
        <v>458</v>
      </c>
      <c r="C18669" s="25" t="n">
        <f aca="false">IF(C18664=0,0,C18649/C18664*MAX(0,MIN(C18664,$C$18621-SUM($C$18638:$C$18641)-C18659)))</f>
        <v>509.6</v>
      </c>
    </row>
    <row r="18670" customFormat="false" ht="15" hidden="false" customHeight="false" outlineLevel="0" collapsed="false">
      <c r="A18670" s="5" t="s">
        <v>459</v>
      </c>
      <c r="C18670" s="25" t="n">
        <f aca="false">IF(C18665=0,0,C18650/C18665*MAX(0,MIN(C18665,$C$18621-SUM($C$18638:$C$18641)-C18660)))</f>
        <v>250</v>
      </c>
    </row>
    <row r="18671" customFormat="false" ht="15" hidden="false" customHeight="false" outlineLevel="0" collapsed="false">
      <c r="A18671" s="5" t="s">
        <v>460</v>
      </c>
      <c r="C18671" s="25" t="n">
        <f aca="false">IF(C18666=0,0,C18651/C18666*MAX(0,MIN(C18666,$C$18621-SUM($C$18638:$C$18641)-C18661)))</f>
        <v>115.36052</v>
      </c>
    </row>
    <row r="18672" customFormat="false" ht="15" hidden="false" customHeight="false" outlineLevel="0" collapsed="false">
      <c r="A18672" s="23" t="s">
        <v>470</v>
      </c>
      <c r="B18672" s="24"/>
      <c r="C18672" s="24"/>
      <c r="D18672" s="24"/>
      <c r="E18672" s="24"/>
      <c r="F18672" s="24"/>
      <c r="G18672" s="24"/>
      <c r="H18672" s="24"/>
      <c r="I18672" s="24"/>
      <c r="J18672" s="24"/>
      <c r="K18672" s="24"/>
    </row>
    <row r="18673" customFormat="false" ht="15" hidden="false" customHeight="false" outlineLevel="0" collapsed="false">
      <c r="A18673" s="2" t="s">
        <v>457</v>
      </c>
      <c r="C18673" s="16" t="n">
        <f aca="false">C18638+C18668</f>
        <v>149.44</v>
      </c>
    </row>
    <row r="18674" customFormat="false" ht="15" hidden="false" customHeight="false" outlineLevel="0" collapsed="false">
      <c r="A18674" s="2" t="s">
        <v>458</v>
      </c>
      <c r="C18674" s="16" t="n">
        <f aca="false">C18639+C18669</f>
        <v>509.6</v>
      </c>
    </row>
    <row r="18675" customFormat="false" ht="15" hidden="false" customHeight="false" outlineLevel="0" collapsed="false">
      <c r="A18675" s="2" t="s">
        <v>459</v>
      </c>
      <c r="C18675" s="16" t="n">
        <f aca="false">C18640+C18670</f>
        <v>250</v>
      </c>
    </row>
    <row r="18676" customFormat="false" ht="15" hidden="false" customHeight="false" outlineLevel="0" collapsed="false">
      <c r="A18676" s="2" t="s">
        <v>460</v>
      </c>
      <c r="C18676" s="16" t="n">
        <f aca="false">C18641+C18671</f>
        <v>115.36052</v>
      </c>
    </row>
    <row r="18677" customFormat="false" ht="15" hidden="false" customHeight="false" outlineLevel="0" collapsed="false">
      <c r="A18677" s="23" t="s">
        <v>471</v>
      </c>
      <c r="B18677" s="24"/>
      <c r="C18677" s="24"/>
      <c r="D18677" s="24"/>
      <c r="E18677" s="24"/>
      <c r="F18677" s="24"/>
      <c r="G18677" s="24"/>
      <c r="H18677" s="24"/>
      <c r="I18677" s="24"/>
      <c r="J18677" s="24"/>
      <c r="K18677" s="24"/>
    </row>
    <row r="18678" customFormat="false" ht="15" hidden="false" customHeight="false" outlineLevel="0" collapsed="false">
      <c r="A18678" s="5" t="s">
        <v>457</v>
      </c>
      <c r="C18678" s="21" t="n">
        <f aca="false">IF(C18623=0,1,C18673/C18623)</f>
        <v>1</v>
      </c>
    </row>
    <row r="18679" customFormat="false" ht="15" hidden="false" customHeight="false" outlineLevel="0" collapsed="false">
      <c r="A18679" s="5" t="s">
        <v>458</v>
      </c>
      <c r="C18679" s="21" t="n">
        <f aca="false">IF(C18624=0,1,C18674/C18624)</f>
        <v>1</v>
      </c>
    </row>
    <row r="18680" customFormat="false" ht="15" hidden="false" customHeight="false" outlineLevel="0" collapsed="false">
      <c r="A18680" s="5" t="s">
        <v>459</v>
      </c>
      <c r="C18680" s="21" t="n">
        <f aca="false">IF(C18625=0,1,C18675/C18625)</f>
        <v>1</v>
      </c>
    </row>
    <row r="18681" customFormat="false" ht="15" hidden="false" customHeight="false" outlineLevel="0" collapsed="false">
      <c r="A18681" s="5" t="s">
        <v>460</v>
      </c>
      <c r="C18681" s="21" t="n">
        <f aca="false">IF(C18626=0,1,C18676/C18626)</f>
        <v>0.384535066666667</v>
      </c>
    </row>
    <row r="18682" customFormat="false" ht="15" hidden="false" customHeight="false" outlineLevel="0" collapsed="false">
      <c r="A18682" s="23" t="s">
        <v>472</v>
      </c>
      <c r="B18682" s="24"/>
      <c r="C18682" s="24"/>
      <c r="D18682" s="24"/>
      <c r="E18682" s="24"/>
      <c r="F18682" s="24"/>
      <c r="G18682" s="24"/>
      <c r="H18682" s="24"/>
      <c r="I18682" s="24"/>
      <c r="J18682" s="24"/>
      <c r="K18682" s="24"/>
    </row>
    <row r="18683" customFormat="false" ht="15" hidden="false" customHeight="false" outlineLevel="0" collapsed="false">
      <c r="A18683" s="5" t="s">
        <v>457</v>
      </c>
      <c r="C18683" s="25" t="n">
        <f aca="false">C18623-C18673</f>
        <v>0</v>
      </c>
    </row>
    <row r="18684" customFormat="false" ht="15" hidden="false" customHeight="false" outlineLevel="0" collapsed="false">
      <c r="A18684" s="5" t="s">
        <v>458</v>
      </c>
      <c r="C18684" s="25" t="n">
        <f aca="false">C18624-C18674</f>
        <v>0</v>
      </c>
    </row>
    <row r="18685" customFormat="false" ht="15" hidden="false" customHeight="false" outlineLevel="0" collapsed="false">
      <c r="A18685" s="5" t="s">
        <v>459</v>
      </c>
      <c r="C18685" s="25" t="n">
        <f aca="false">C18625-C18675</f>
        <v>0</v>
      </c>
    </row>
    <row r="18686" customFormat="false" ht="15" hidden="false" customHeight="false" outlineLevel="0" collapsed="false">
      <c r="A18686" s="5" t="s">
        <v>460</v>
      </c>
      <c r="C18686" s="25" t="n">
        <f aca="false">C18626-C18676</f>
        <v>184.63948</v>
      </c>
    </row>
    <row r="18687" customFormat="false" ht="15" hidden="false" customHeight="false" outlineLevel="0" collapsed="false">
      <c r="A18687" s="23" t="s">
        <v>473</v>
      </c>
      <c r="B18687" s="24"/>
      <c r="C18687" s="24"/>
      <c r="D18687" s="24"/>
      <c r="E18687" s="24"/>
      <c r="F18687" s="24"/>
      <c r="G18687" s="24"/>
      <c r="H18687" s="24"/>
      <c r="I18687" s="24"/>
      <c r="J18687" s="24"/>
      <c r="K18687" s="24"/>
    </row>
    <row r="18688" customFormat="false" ht="15" hidden="false" customHeight="false" outlineLevel="0" collapsed="false">
      <c r="A18688" s="5" t="s">
        <v>457</v>
      </c>
      <c r="C18688" s="21" t="n">
        <f aca="false">IF(C18623=0,0,C18683/C18623)</f>
        <v>0</v>
      </c>
    </row>
    <row r="18689" customFormat="false" ht="15" hidden="false" customHeight="false" outlineLevel="0" collapsed="false">
      <c r="A18689" s="5" t="s">
        <v>458</v>
      </c>
      <c r="C18689" s="21" t="n">
        <f aca="false">IF(C18624=0,0,C18684/C18624)</f>
        <v>0</v>
      </c>
    </row>
    <row r="18690" customFormat="false" ht="15" hidden="false" customHeight="false" outlineLevel="0" collapsed="false">
      <c r="A18690" s="5" t="s">
        <v>459</v>
      </c>
      <c r="C18690" s="21" t="n">
        <f aca="false">IF(C18625=0,0,C18685/C18625)</f>
        <v>0</v>
      </c>
    </row>
    <row r="18691" customFormat="false" ht="15" hidden="false" customHeight="false" outlineLevel="0" collapsed="false">
      <c r="A18691" s="5" t="s">
        <v>460</v>
      </c>
      <c r="C18691" s="21" t="n">
        <f aca="false">IF(C18626=0,0,C18686/C18626)</f>
        <v>0.615464933333334</v>
      </c>
    </row>
    <row r="18692" customFormat="false" ht="15" hidden="false" customHeight="false" outlineLevel="0" collapsed="false">
      <c r="A18692" s="2" t="s">
        <v>474</v>
      </c>
      <c r="C18692" s="16" t="n">
        <f aca="false">MAX(0,$C$18621-SUM($C$18638:$C$18641)-SUM($C$18648:$C$18651))</f>
        <v>0</v>
      </c>
    </row>
    <row r="18693" customFormat="false" ht="15" hidden="false" customHeight="false" outlineLevel="0" collapsed="false">
      <c r="A18693" s="5" t="s">
        <v>492</v>
      </c>
      <c r="C18693" s="33" t="n">
        <f aca="false">MIN(C18620,100*CHOOSE(C18610,C18678,C18679,C18680,C18681))</f>
        <v>100</v>
      </c>
    </row>
    <row r="18694" customFormat="false" ht="15" hidden="false" customHeight="false" outlineLevel="0" collapsed="false">
      <c r="A18694" s="5" t="s">
        <v>493</v>
      </c>
      <c r="C18694" s="20" t="n">
        <f aca="false">IF(C18526=1,C18615+Assumptions!$C$36,C18614)</f>
        <v>3</v>
      </c>
    </row>
    <row r="18695" customFormat="false" ht="15" hidden="false" customHeight="false" outlineLevel="0" collapsed="false">
      <c r="A18695" s="23" t="s">
        <v>494</v>
      </c>
      <c r="B18695" s="24"/>
      <c r="C18695" s="24"/>
      <c r="D18695" s="24"/>
      <c r="E18695" s="24"/>
      <c r="F18695" s="24"/>
      <c r="G18695" s="24"/>
      <c r="H18695" s="24"/>
      <c r="I18695" s="24"/>
      <c r="J18695" s="24"/>
      <c r="K18695" s="24"/>
    </row>
    <row r="18696" customFormat="false" ht="15" hidden="false" customHeight="false" outlineLevel="0" collapsed="false">
      <c r="A18696" s="5" t="s">
        <v>495</v>
      </c>
      <c r="C18696" s="20" t="n">
        <f aca="false">COLUMN()-COLUMN($C$1)</f>
        <v>0</v>
      </c>
      <c r="D18696" s="20" t="n">
        <f aca="false">COLUMN()-COLUMN($C$1)</f>
        <v>1</v>
      </c>
      <c r="E18696" s="20" t="n">
        <f aca="false">COLUMN()-COLUMN($C$1)</f>
        <v>2</v>
      </c>
      <c r="F18696" s="20" t="n">
        <f aca="false">COLUMN()-COLUMN($C$1)</f>
        <v>3</v>
      </c>
      <c r="G18696" s="20" t="n">
        <f aca="false">COLUMN()-COLUMN($C$1)</f>
        <v>4</v>
      </c>
      <c r="H18696" s="20" t="n">
        <f aca="false">COLUMN()-COLUMN($C$1)</f>
        <v>5</v>
      </c>
      <c r="I18696" s="20" t="n">
        <f aca="false">COLUMN()-COLUMN($C$1)</f>
        <v>6</v>
      </c>
    </row>
    <row r="18697" customFormat="false" ht="15" hidden="false" customHeight="false" outlineLevel="0" collapsed="false">
      <c r="A18697" s="5" t="s">
        <v>496</v>
      </c>
      <c r="D18697" s="30" t="n">
        <f aca="false">CHOOSE($C$18610,G18408,G18421,G18434,G18447)</f>
        <v>0.103</v>
      </c>
      <c r="E18697" s="30" t="n">
        <f aca="false">CHOOSE($C$18610,H18408,H18421,H18434,H18447)</f>
        <v>0.1005</v>
      </c>
      <c r="F18697" s="30" t="n">
        <f aca="false">CHOOSE($C$18610,I18408,I18421,I18434,I18447)</f>
        <v>0.098</v>
      </c>
      <c r="G18697" s="30" t="n">
        <f aca="false">CHOOSE($C$18610,J18408,J18421,J18434,J18447)</f>
        <v>0.11</v>
      </c>
      <c r="H18697" s="30" t="n">
        <f aca="false">CHOOSE($C$18610,K18408,K18421,K18434,K18447)</f>
        <v>0.11</v>
      </c>
    </row>
    <row r="18698" customFormat="false" ht="15" hidden="false" customHeight="false" outlineLevel="0" collapsed="false">
      <c r="A18698" s="5" t="s">
        <v>497</v>
      </c>
      <c r="D18698" s="25" t="n">
        <f aca="false">IF(D18696&lt;=$C$18619,$C$18611*D18697,0)</f>
        <v>10.3</v>
      </c>
      <c r="E18698" s="25" t="n">
        <f aca="false">IF(E18696&lt;=$C$18619,$C$18611*E18697,0)</f>
        <v>10.05</v>
      </c>
      <c r="F18698" s="25" t="n">
        <f aca="false">IF(F18696&lt;=$C$18619,$C$18611*F18697,0)</f>
        <v>0</v>
      </c>
      <c r="G18698" s="25" t="n">
        <f aca="false">IF(G18696&lt;=$C$18619,$C$18611*G18697,0)</f>
        <v>0</v>
      </c>
      <c r="H18698" s="25" t="n">
        <f aca="false">IF(H18696&lt;=$C$18619,$C$18611*H18697,0)</f>
        <v>0</v>
      </c>
    </row>
    <row r="18699" customFormat="false" ht="15" hidden="false" customHeight="false" outlineLevel="0" collapsed="false">
      <c r="A18699" s="5" t="s">
        <v>498</v>
      </c>
      <c r="D18699" s="25" t="n">
        <f aca="false">IF(AND($C$18526=0,D18696=$C$18614),$C$18611*$C$18693/100,0)+IF(AND($C$18526=1,D18696=$C$18694),$C$18617,0)</f>
        <v>0</v>
      </c>
      <c r="E18699" s="25" t="n">
        <f aca="false">IF(AND($C$18526=0,E18696=$C$18614),$C$18611*$C$18693/100,0)+IF(AND($C$18526=1,E18696=$C$18694),$C$18617,0)</f>
        <v>0</v>
      </c>
      <c r="F18699" s="25" t="n">
        <f aca="false">IF(AND($C$18526=0,F18696=$C$18614),$C$18611*$C$18693/100,0)+IF(AND($C$18526=1,F18696=$C$18694),$C$18617,0)</f>
        <v>102.5125</v>
      </c>
      <c r="G18699" s="25" t="n">
        <f aca="false">IF(AND($C$18526=0,G18696=$C$18614),$C$18611*$C$18693/100,0)+IF(AND($C$18526=1,G18696=$C$18694),$C$18617,0)</f>
        <v>0</v>
      </c>
      <c r="H18699" s="25" t="n">
        <f aca="false">IF(AND($C$18526=0,H18696=$C$18614),$C$18611*$C$18693/100,0)+IF(AND($C$18526=1,H18696=$C$18694),$C$18617,0)</f>
        <v>0</v>
      </c>
      <c r="I18699" s="25" t="n">
        <f aca="false">IF(AND($C$18526=0,I18696=$C$18614),$C$18611*$C$18693/100,0)+IF(AND($C$18526=1,I18696=$C$18694),$C$18617,0)</f>
        <v>0</v>
      </c>
    </row>
    <row r="18700" customFormat="false" ht="15" hidden="false" customHeight="false" outlineLevel="0" collapsed="false">
      <c r="A18700" s="2" t="s">
        <v>499</v>
      </c>
      <c r="C18700" s="16" t="n">
        <f aca="false">-$C$18613</f>
        <v>-78.39</v>
      </c>
      <c r="D18700" s="16" t="n">
        <f aca="false">D18698+D18699</f>
        <v>10.3</v>
      </c>
      <c r="E18700" s="16" t="n">
        <f aca="false">E18698+E18699</f>
        <v>10.05</v>
      </c>
      <c r="F18700" s="16" t="n">
        <f aca="false">F18698+F18699</f>
        <v>102.5125</v>
      </c>
      <c r="G18700" s="16" t="n">
        <f aca="false">G18698+G18699</f>
        <v>0</v>
      </c>
      <c r="H18700" s="16" t="n">
        <f aca="false">H18698+H18699</f>
        <v>0</v>
      </c>
      <c r="I18700" s="16" t="n">
        <f aca="false">I18698+I18699</f>
        <v>0</v>
      </c>
    </row>
    <row r="18701" customFormat="false" ht="15" hidden="false" customHeight="false" outlineLevel="0" collapsed="false">
      <c r="A18701" s="5" t="s">
        <v>500</v>
      </c>
      <c r="C18701" s="25" t="n">
        <f aca="false">SUM($C$18698:$I$18698)</f>
        <v>20.35</v>
      </c>
    </row>
    <row r="18702" customFormat="false" ht="15" hidden="false" customHeight="false" outlineLevel="0" collapsed="false">
      <c r="A18702" s="5" t="s">
        <v>501</v>
      </c>
      <c r="C18702" s="25" t="n">
        <f aca="false">SUM($C$18699:$I$18699)</f>
        <v>102.5125</v>
      </c>
    </row>
    <row r="18703" customFormat="false" ht="15" hidden="false" customHeight="false" outlineLevel="0" collapsed="false">
      <c r="A18703" s="5" t="s">
        <v>502</v>
      </c>
      <c r="C18703" s="25" t="n">
        <f aca="false">C18701+C18702</f>
        <v>122.8625</v>
      </c>
    </row>
    <row r="18704" customFormat="false" ht="15" hidden="false" customHeight="false" outlineLevel="0" collapsed="false">
      <c r="A18704" s="5" t="s">
        <v>503</v>
      </c>
      <c r="C18704" s="25" t="n">
        <f aca="false">C18702-C18611*C18612/100</f>
        <v>24.5125</v>
      </c>
    </row>
    <row r="18705" customFormat="false" ht="15" hidden="false" customHeight="false" outlineLevel="0" collapsed="false">
      <c r="A18705" s="5" t="s">
        <v>504</v>
      </c>
      <c r="C18705" s="25" t="n">
        <f aca="false">C18703-C18613</f>
        <v>44.4725</v>
      </c>
    </row>
    <row r="18706" customFormat="false" ht="15" hidden="false" customHeight="false" outlineLevel="0" collapsed="false">
      <c r="A18706" s="2" t="s">
        <v>385</v>
      </c>
      <c r="C18706" s="43" t="n">
        <f aca="false">C18703/C18613</f>
        <v>1.56732363821916</v>
      </c>
    </row>
    <row r="18707" customFormat="false" ht="15" hidden="false" customHeight="false" outlineLevel="0" collapsed="false">
      <c r="A18707" s="2" t="s">
        <v>384</v>
      </c>
      <c r="C18707" s="41" t="n">
        <f aca="false">IF(C18703&lt;=0,-1,IFERROR(IRR($C$18700:$I$18700,MAX(-0.9,C18706^(1/C18694)-1)),IRR($C$18700:$I$18700,0.1)))</f>
        <v>0.179713126715643</v>
      </c>
    </row>
    <row r="18708" customFormat="false" ht="15" hidden="false" customHeight="false" outlineLevel="0" collapsed="false">
      <c r="A18708" s="5" t="s">
        <v>505</v>
      </c>
      <c r="C18708" s="31" t="n">
        <f aca="false">MAX($G$18502:$K$18502)</f>
        <v>7.86221186221186</v>
      </c>
    </row>
    <row r="18709" customFormat="false" ht="15" hidden="false" customHeight="false" outlineLevel="0" collapsed="false">
      <c r="A18709" s="5" t="s">
        <v>506</v>
      </c>
      <c r="C18709" s="31" t="n">
        <f aca="false">MIN($G$18503:$K$18503)</f>
        <v>1.21473661783139</v>
      </c>
    </row>
    <row r="18710" customFormat="false" ht="15" hidden="false" customHeight="false" outlineLevel="0" collapsed="false">
      <c r="A18710" s="5" t="s">
        <v>507</v>
      </c>
      <c r="C18710" s="25" t="n">
        <f aca="false">SUM($G$18392:$K$18392)</f>
        <v>-46.97594467624</v>
      </c>
    </row>
    <row r="18714" customFormat="false" ht="15" hidden="false" customHeight="false" outlineLevel="0" collapsed="false">
      <c r="A18714" s="9" t="s">
        <v>679</v>
      </c>
      <c r="B18714" s="10"/>
      <c r="C18714" s="10"/>
      <c r="D18714" s="10"/>
      <c r="E18714" s="10"/>
      <c r="F18714" s="10"/>
      <c r="G18714" s="10"/>
      <c r="H18714" s="10"/>
      <c r="I18714" s="10"/>
      <c r="J18714" s="10"/>
      <c r="K18714" s="10"/>
    </row>
    <row r="18715" customFormat="false" ht="15" hidden="false" customHeight="false" outlineLevel="0" collapsed="false">
      <c r="A18715" s="5" t="s">
        <v>622</v>
      </c>
      <c r="C18715" s="11" t="n">
        <v>2</v>
      </c>
    </row>
    <row r="18716" customFormat="false" ht="15" hidden="false" customHeight="false" outlineLevel="0" collapsed="false">
      <c r="A18716" s="5" t="s">
        <v>623</v>
      </c>
      <c r="C18716" s="18" t="n">
        <v>0</v>
      </c>
    </row>
    <row r="18717" customFormat="false" ht="15" hidden="false" customHeight="false" outlineLevel="0" collapsed="false">
      <c r="A18717" s="5" t="s">
        <v>624</v>
      </c>
      <c r="C18717" s="18" t="n">
        <v>0</v>
      </c>
    </row>
    <row r="18718" customFormat="false" ht="15" hidden="false" customHeight="false" outlineLevel="0" collapsed="false">
      <c r="A18718" s="5" t="s">
        <v>625</v>
      </c>
      <c r="C18718" s="18" t="n">
        <v>0</v>
      </c>
    </row>
    <row r="18719" customFormat="false" ht="15" hidden="false" customHeight="false" outlineLevel="0" collapsed="false">
      <c r="A18719" s="5" t="s">
        <v>626</v>
      </c>
      <c r="C18719" s="32" t="n">
        <f aca="false">Sensitivities!$A$60</f>
        <v>-2</v>
      </c>
    </row>
    <row r="18721" customFormat="false" ht="15" hidden="false" customHeight="false" outlineLevel="0" collapsed="false">
      <c r="A18721" s="23" t="s">
        <v>237</v>
      </c>
      <c r="B18721" s="24"/>
      <c r="C18721" s="24"/>
      <c r="D18721" s="24"/>
      <c r="E18721" s="24"/>
      <c r="F18721" s="24"/>
      <c r="G18721" s="24"/>
      <c r="H18721" s="24"/>
      <c r="I18721" s="24"/>
      <c r="J18721" s="24"/>
      <c r="K18721" s="24"/>
    </row>
    <row r="18722" customFormat="false" ht="15" hidden="false" customHeight="false" outlineLevel="0" collapsed="false">
      <c r="A18722" s="5" t="s">
        <v>238</v>
      </c>
      <c r="F18722" s="26" t="n">
        <f aca="false">Assumptions!$C$6</f>
        <v>2025</v>
      </c>
      <c r="G18722" s="20" t="n">
        <f aca="false">F18722+1</f>
        <v>2026</v>
      </c>
      <c r="H18722" s="20" t="n">
        <f aca="false">G18722+1</f>
        <v>2027</v>
      </c>
      <c r="I18722" s="20" t="n">
        <f aca="false">H18722+1</f>
        <v>2028</v>
      </c>
      <c r="J18722" s="20" t="n">
        <f aca="false">I18722+1</f>
        <v>2029</v>
      </c>
      <c r="K18722" s="20" t="n">
        <f aca="false">J18722+1</f>
        <v>2030</v>
      </c>
    </row>
    <row r="18723" customFormat="false" ht="15" hidden="false" customHeight="false" outlineLevel="0" collapsed="false">
      <c r="A18723" s="5" t="s">
        <v>239</v>
      </c>
      <c r="G18723" s="20" t="n">
        <f aca="false">G18722-Assumptions!$C$6</f>
        <v>1</v>
      </c>
      <c r="H18723" s="20" t="n">
        <f aca="false">H18722-Assumptions!$C$6</f>
        <v>2</v>
      </c>
      <c r="I18723" s="20" t="n">
        <f aca="false">I18722-Assumptions!$C$6</f>
        <v>3</v>
      </c>
      <c r="J18723" s="20" t="n">
        <f aca="false">J18722-Assumptions!$C$6</f>
        <v>4</v>
      </c>
      <c r="K18723" s="20" t="n">
        <f aca="false">K18722-Assumptions!$C$6</f>
        <v>5</v>
      </c>
    </row>
    <row r="18724" customFormat="false" ht="15" hidden="false" customHeight="false" outlineLevel="0" collapsed="false">
      <c r="A18724" s="5" t="s">
        <v>149</v>
      </c>
      <c r="G18724" s="21" t="n">
        <f aca="false">CHOOSE($C$18715,Assumptions!$G$65,Assumptions!$G$84,Assumptions!$G$103)+$C$18716</f>
        <v>-0.078</v>
      </c>
      <c r="H18724" s="21" t="n">
        <f aca="false">CHOOSE($C$18715,Assumptions!$H$65,Assumptions!$H$84,Assumptions!$H$103)+$C$18716</f>
        <v>-0.039</v>
      </c>
      <c r="I18724" s="21" t="n">
        <f aca="false">CHOOSE($C$18715,Assumptions!$I$65,Assumptions!$I$84,Assumptions!$I$103)+$C$18716</f>
        <v>-0.005</v>
      </c>
      <c r="J18724" s="21" t="n">
        <f aca="false">CHOOSE($C$18715,Assumptions!$J$65,Assumptions!$J$84,Assumptions!$J$103)+$C$18716</f>
        <v>-0.01</v>
      </c>
      <c r="K18724" s="21" t="n">
        <f aca="false">CHOOSE($C$18715,Assumptions!$K$65,Assumptions!$K$84,Assumptions!$K$103)+$C$18716</f>
        <v>-0.01</v>
      </c>
    </row>
    <row r="18725" customFormat="false" ht="15" hidden="false" customHeight="false" outlineLevel="0" collapsed="false">
      <c r="A18725" s="5" t="s">
        <v>150</v>
      </c>
      <c r="G18725" s="21" t="n">
        <f aca="false">CHOOSE($C$18715,Assumptions!$G$66,Assumptions!$G$85,Assumptions!$G$104)</f>
        <v>0.33</v>
      </c>
      <c r="H18725" s="21" t="n">
        <f aca="false">CHOOSE($C$18715,Assumptions!$H$66,Assumptions!$H$85,Assumptions!$H$104)</f>
        <v>0.318</v>
      </c>
      <c r="I18725" s="21" t="n">
        <f aca="false">CHOOSE($C$18715,Assumptions!$I$66,Assumptions!$I$85,Assumptions!$I$104)</f>
        <v>0.324</v>
      </c>
      <c r="J18725" s="21" t="n">
        <f aca="false">CHOOSE($C$18715,Assumptions!$J$66,Assumptions!$J$85,Assumptions!$J$104)</f>
        <v>0.33</v>
      </c>
      <c r="K18725" s="21" t="n">
        <f aca="false">CHOOSE($C$18715,Assumptions!$K$66,Assumptions!$K$85,Assumptions!$K$104)</f>
        <v>0.336</v>
      </c>
    </row>
    <row r="18726" customFormat="false" ht="15" hidden="false" customHeight="false" outlineLevel="0" collapsed="false">
      <c r="A18726" s="5" t="s">
        <v>151</v>
      </c>
      <c r="G18726" s="21" t="n">
        <f aca="false">CHOOSE($C$18715,Assumptions!$G$67,Assumptions!$G$86,Assumptions!$G$105)+$C$18717</f>
        <v>0.035</v>
      </c>
      <c r="H18726" s="21" t="n">
        <f aca="false">CHOOSE($C$18715,Assumptions!$H$67,Assumptions!$H$86,Assumptions!$H$105)+$C$18717</f>
        <v>0.023</v>
      </c>
      <c r="I18726" s="21" t="n">
        <f aca="false">CHOOSE($C$18715,Assumptions!$I$67,Assumptions!$I$86,Assumptions!$I$105)+$C$18717</f>
        <v>0.029</v>
      </c>
      <c r="J18726" s="21" t="n">
        <f aca="false">CHOOSE($C$18715,Assumptions!$J$67,Assumptions!$J$86,Assumptions!$J$105)+$C$18717</f>
        <v>0.035</v>
      </c>
      <c r="K18726" s="21" t="n">
        <f aca="false">CHOOSE($C$18715,Assumptions!$K$67,Assumptions!$K$86,Assumptions!$K$105)+$C$18717</f>
        <v>0.041</v>
      </c>
    </row>
    <row r="18727" customFormat="false" ht="15" hidden="false" customHeight="false" outlineLevel="0" collapsed="false">
      <c r="A18727" s="23" t="s">
        <v>240</v>
      </c>
      <c r="B18727" s="24"/>
      <c r="C18727" s="24"/>
      <c r="D18727" s="24"/>
      <c r="E18727" s="24"/>
      <c r="F18727" s="24"/>
      <c r="G18727" s="24"/>
      <c r="H18727" s="24"/>
      <c r="I18727" s="24"/>
      <c r="J18727" s="24"/>
      <c r="K18727" s="24"/>
    </row>
    <row r="18728" customFormat="false" ht="15" hidden="false" customHeight="false" outlineLevel="0" collapsed="false">
      <c r="A18728" s="2" t="s">
        <v>207</v>
      </c>
      <c r="F18728" s="27" t="n">
        <f aca="false">'Historical Financials'!E17</f>
        <v>2400</v>
      </c>
      <c r="G18728" s="16" t="n">
        <f aca="false">F18728*(1+G18724)</f>
        <v>2212.8</v>
      </c>
      <c r="H18728" s="16" t="n">
        <f aca="false">G18728*(1+H18724)</f>
        <v>2126.5008</v>
      </c>
      <c r="I18728" s="16" t="n">
        <f aca="false">H18728*(1+I18724)</f>
        <v>2115.868296</v>
      </c>
      <c r="J18728" s="16" t="n">
        <f aca="false">I18728*(1+J18724)</f>
        <v>2094.70961304</v>
      </c>
      <c r="K18728" s="16" t="n">
        <f aca="false">J18728*(1+K18724)</f>
        <v>2073.7625169096</v>
      </c>
    </row>
    <row r="18729" customFormat="false" ht="15" hidden="false" customHeight="false" outlineLevel="0" collapsed="false">
      <c r="A18729" s="5" t="s">
        <v>217</v>
      </c>
      <c r="G18729" s="25" t="n">
        <f aca="false">G18728*(1-G18725)</f>
        <v>1482.576</v>
      </c>
      <c r="H18729" s="25" t="n">
        <f aca="false">H18728*(1-H18725)</f>
        <v>1450.2735456</v>
      </c>
      <c r="I18729" s="25" t="n">
        <f aca="false">I18728*(1-I18725)</f>
        <v>1430.326968096</v>
      </c>
      <c r="J18729" s="25" t="n">
        <f aca="false">J18728*(1-J18725)</f>
        <v>1403.4554407368</v>
      </c>
      <c r="K18729" s="25" t="n">
        <f aca="false">K18728*(1-K18725)</f>
        <v>1376.97831122797</v>
      </c>
    </row>
    <row r="18730" customFormat="false" ht="15" hidden="false" customHeight="false" outlineLevel="0" collapsed="false">
      <c r="A18730" s="2" t="s">
        <v>218</v>
      </c>
      <c r="G18730" s="16" t="n">
        <f aca="false">G18728-G18729</f>
        <v>730.224</v>
      </c>
      <c r="H18730" s="16" t="n">
        <f aca="false">H18728-H18729</f>
        <v>676.2272544</v>
      </c>
      <c r="I18730" s="16" t="n">
        <f aca="false">I18728-I18729</f>
        <v>685.541327904</v>
      </c>
      <c r="J18730" s="16" t="n">
        <f aca="false">J18728-J18729</f>
        <v>691.2541723032</v>
      </c>
      <c r="K18730" s="16" t="n">
        <f aca="false">K18728-K18729</f>
        <v>696.784205681626</v>
      </c>
    </row>
    <row r="18731" customFormat="false" ht="15" hidden="false" customHeight="false" outlineLevel="0" collapsed="false">
      <c r="A18731" s="5" t="s">
        <v>241</v>
      </c>
      <c r="G18731" s="25" t="n">
        <f aca="false">G18730-G18732</f>
        <v>652.776</v>
      </c>
      <c r="H18731" s="25" t="n">
        <f aca="false">H18730-H18732</f>
        <v>627.317736</v>
      </c>
      <c r="I18731" s="25" t="n">
        <f aca="false">I18730-I18732</f>
        <v>624.18114732</v>
      </c>
      <c r="J18731" s="25" t="n">
        <f aca="false">J18730-J18732</f>
        <v>617.9393358468</v>
      </c>
      <c r="K18731" s="25" t="n">
        <f aca="false">K18730-K18732</f>
        <v>611.759942488332</v>
      </c>
    </row>
    <row r="18732" customFormat="false" ht="15" hidden="false" customHeight="false" outlineLevel="0" collapsed="false">
      <c r="A18732" s="2" t="s">
        <v>242</v>
      </c>
      <c r="G18732" s="16" t="n">
        <f aca="false">G18728*G18726</f>
        <v>77.448</v>
      </c>
      <c r="H18732" s="16" t="n">
        <f aca="false">H18728*H18726</f>
        <v>48.9095184</v>
      </c>
      <c r="I18732" s="16" t="n">
        <f aca="false">I18728*I18726</f>
        <v>61.360180584</v>
      </c>
      <c r="J18732" s="16" t="n">
        <f aca="false">J18728*J18726</f>
        <v>73.3148364564</v>
      </c>
      <c r="K18732" s="16" t="n">
        <f aca="false">K18728*K18726</f>
        <v>85.0242631932936</v>
      </c>
    </row>
    <row r="18733" customFormat="false" ht="15" hidden="false" customHeight="false" outlineLevel="0" collapsed="false">
      <c r="A18733" s="5" t="s">
        <v>243</v>
      </c>
      <c r="G18733" s="25" t="n">
        <f aca="false">G18728*'Historical Financials'!E22/'Historical Financials'!E17</f>
        <v>48.6816</v>
      </c>
      <c r="H18733" s="25" t="n">
        <f aca="false">H18728*'Historical Financials'!E22/'Historical Financials'!E17</f>
        <v>46.7830176</v>
      </c>
      <c r="I18733" s="25" t="n">
        <f aca="false">I18728*'Historical Financials'!E22/'Historical Financials'!E17</f>
        <v>46.549102512</v>
      </c>
      <c r="J18733" s="25" t="n">
        <f aca="false">J18728*'Historical Financials'!E22/'Historical Financials'!E17</f>
        <v>46.08361148688</v>
      </c>
      <c r="K18733" s="25" t="n">
        <f aca="false">K18728*'Historical Financials'!E22/'Historical Financials'!E17</f>
        <v>45.6227753720112</v>
      </c>
    </row>
    <row r="18734" customFormat="false" ht="15" hidden="false" customHeight="false" outlineLevel="0" collapsed="false">
      <c r="A18734" s="5" t="s">
        <v>244</v>
      </c>
      <c r="G18734" s="25" t="n">
        <f aca="false">G18728*'Historical Financials'!E23/'Historical Financials'!E17</f>
        <v>0</v>
      </c>
      <c r="H18734" s="25" t="n">
        <f aca="false">H18728*'Historical Financials'!E23/'Historical Financials'!E17</f>
        <v>0</v>
      </c>
      <c r="I18734" s="25" t="n">
        <f aca="false">I18728*'Historical Financials'!E23/'Historical Financials'!E17</f>
        <v>0</v>
      </c>
      <c r="J18734" s="25" t="n">
        <f aca="false">J18728*'Historical Financials'!E23/'Historical Financials'!E17</f>
        <v>0</v>
      </c>
      <c r="K18734" s="25" t="n">
        <f aca="false">K18728*'Historical Financials'!E23/'Historical Financials'!E17</f>
        <v>0</v>
      </c>
    </row>
    <row r="18735" customFormat="false" ht="15" hidden="false" customHeight="false" outlineLevel="0" collapsed="false">
      <c r="A18735" s="2" t="s">
        <v>245</v>
      </c>
      <c r="G18735" s="16" t="n">
        <f aca="false">G18732-G18733-G18734</f>
        <v>28.7664</v>
      </c>
      <c r="H18735" s="16" t="n">
        <f aca="false">H18732-H18733-H18734</f>
        <v>2.12650079999998</v>
      </c>
      <c r="I18735" s="16" t="n">
        <f aca="false">I18732-I18733-I18734</f>
        <v>14.811078072</v>
      </c>
      <c r="J18735" s="16" t="n">
        <f aca="false">J18732-J18733-J18734</f>
        <v>27.23122496952</v>
      </c>
      <c r="K18735" s="16" t="n">
        <f aca="false">K18732-K18733-K18734</f>
        <v>39.4014878212824</v>
      </c>
    </row>
    <row r="18736" customFormat="false" ht="15" hidden="false" customHeight="false" outlineLevel="0" collapsed="false">
      <c r="A18736" s="5" t="s">
        <v>246</v>
      </c>
      <c r="G18736" s="25" t="n">
        <f aca="false">G18762+G18775+G18788+G18801</f>
        <v>129.54</v>
      </c>
      <c r="H18736" s="25" t="n">
        <f aca="false">H18762+H18775+H18788+H18801</f>
        <v>130.7646348</v>
      </c>
      <c r="I18736" s="25" t="n">
        <f aca="false">I18762+I18775+I18788+I18801</f>
        <v>128.3492928</v>
      </c>
      <c r="J18736" s="25" t="n">
        <f aca="false">J18762+J18775+J18788+J18801</f>
        <v>127.7616928</v>
      </c>
      <c r="K18736" s="25" t="n">
        <f aca="false">K18762+K18775+K18788+K18801</f>
        <v>127.1740928</v>
      </c>
    </row>
    <row r="18737" customFormat="false" ht="15" hidden="false" customHeight="false" outlineLevel="0" collapsed="false">
      <c r="A18737" s="5" t="s">
        <v>247</v>
      </c>
      <c r="G18737" s="25" t="n">
        <f aca="false">G18763+G18776+G18789+G18802</f>
        <v>0</v>
      </c>
      <c r="H18737" s="25" t="n">
        <f aca="false">H18763+H18776+H18789+H18802</f>
        <v>0</v>
      </c>
      <c r="I18737" s="25" t="n">
        <f aca="false">I18763+I18776+I18789+I18802</f>
        <v>0</v>
      </c>
      <c r="J18737" s="25" t="n">
        <f aca="false">J18763+J18776+J18789+J18802</f>
        <v>0</v>
      </c>
      <c r="K18737" s="25" t="n">
        <f aca="false">K18763+K18776+K18789+K18802</f>
        <v>0</v>
      </c>
    </row>
    <row r="18738" customFormat="false" ht="15" hidden="false" customHeight="false" outlineLevel="0" collapsed="false">
      <c r="A18738" s="5" t="s">
        <v>212</v>
      </c>
      <c r="G18738" s="25" t="n">
        <f aca="false">G18736+G18737</f>
        <v>129.54</v>
      </c>
      <c r="H18738" s="25" t="n">
        <f aca="false">H18736+H18737</f>
        <v>130.7646348</v>
      </c>
      <c r="I18738" s="25" t="n">
        <f aca="false">I18736+I18737</f>
        <v>128.3492928</v>
      </c>
      <c r="J18738" s="25" t="n">
        <f aca="false">J18736+J18737</f>
        <v>127.7616928</v>
      </c>
      <c r="K18738" s="25" t="n">
        <f aca="false">K18736+K18737</f>
        <v>127.1740928</v>
      </c>
    </row>
    <row r="18739" customFormat="false" ht="15" hidden="false" customHeight="false" outlineLevel="0" collapsed="false">
      <c r="A18739" s="2" t="s">
        <v>223</v>
      </c>
      <c r="G18739" s="16" t="n">
        <f aca="false">G18735-G18738</f>
        <v>-100.7736</v>
      </c>
      <c r="H18739" s="16" t="n">
        <f aca="false">H18735-H18738</f>
        <v>-128.638134</v>
      </c>
      <c r="I18739" s="16" t="n">
        <f aca="false">I18735-I18738</f>
        <v>-113.538214728</v>
      </c>
      <c r="J18739" s="16" t="n">
        <f aca="false">J18735-J18738</f>
        <v>-100.53046783048</v>
      </c>
      <c r="K18739" s="16" t="n">
        <f aca="false">K18735-K18738</f>
        <v>-87.7726049787176</v>
      </c>
    </row>
    <row r="18740" customFormat="false" ht="15" hidden="false" customHeight="false" outlineLevel="0" collapsed="false">
      <c r="A18740" s="5" t="s">
        <v>213</v>
      </c>
      <c r="G18740" s="25" t="n">
        <f aca="false">MAX(0,G18739)*Assumptions!$C$9</f>
        <v>0</v>
      </c>
      <c r="H18740" s="25" t="n">
        <f aca="false">MAX(0,H18739)*Assumptions!$C$9</f>
        <v>0</v>
      </c>
      <c r="I18740" s="25" t="n">
        <f aca="false">MAX(0,I18739)*Assumptions!$C$9</f>
        <v>0</v>
      </c>
      <c r="J18740" s="25" t="n">
        <f aca="false">MAX(0,J18739)*Assumptions!$C$9</f>
        <v>0</v>
      </c>
      <c r="K18740" s="25" t="n">
        <f aca="false">MAX(0,K18739)*Assumptions!$C$9</f>
        <v>0</v>
      </c>
    </row>
    <row r="18741" customFormat="false" ht="15" hidden="false" customHeight="false" outlineLevel="0" collapsed="false">
      <c r="A18741" s="2" t="s">
        <v>248</v>
      </c>
      <c r="G18741" s="16" t="n">
        <f aca="false">G18739-G18740</f>
        <v>-100.7736</v>
      </c>
      <c r="H18741" s="16" t="n">
        <f aca="false">H18739-H18740</f>
        <v>-128.638134</v>
      </c>
      <c r="I18741" s="16" t="n">
        <f aca="false">I18739-I18740</f>
        <v>-113.538214728</v>
      </c>
      <c r="J18741" s="16" t="n">
        <f aca="false">J18739-J18740</f>
        <v>-100.53046783048</v>
      </c>
      <c r="K18741" s="16" t="n">
        <f aca="false">K18739-K18740</f>
        <v>-87.7726049787176</v>
      </c>
    </row>
    <row r="18742" customFormat="false" ht="15" hidden="false" customHeight="false" outlineLevel="0" collapsed="false">
      <c r="A18742" s="23" t="s">
        <v>249</v>
      </c>
      <c r="B18742" s="24"/>
      <c r="C18742" s="24"/>
      <c r="D18742" s="24"/>
      <c r="E18742" s="24"/>
      <c r="F18742" s="24"/>
      <c r="G18742" s="24"/>
      <c r="H18742" s="24"/>
      <c r="I18742" s="24"/>
      <c r="J18742" s="24"/>
      <c r="K18742" s="24"/>
    </row>
    <row r="18743" customFormat="false" ht="15" hidden="false" customHeight="false" outlineLevel="0" collapsed="false">
      <c r="A18743" s="5" t="s">
        <v>153</v>
      </c>
      <c r="G18743" s="25" t="n">
        <f aca="false">G18728*CHOOSE($C$18715,Assumptions!$C$69,Assumptions!$C$88,Assumptions!$C$107)</f>
        <v>42.0432</v>
      </c>
      <c r="H18743" s="25" t="n">
        <f aca="false">H18728*CHOOSE($C$18715,Assumptions!$C$69,Assumptions!$C$88,Assumptions!$C$107)</f>
        <v>40.4035152</v>
      </c>
      <c r="I18743" s="25" t="n">
        <f aca="false">I18728*CHOOSE($C$18715,Assumptions!$C$69,Assumptions!$C$88,Assumptions!$C$107)</f>
        <v>40.201497624</v>
      </c>
      <c r="J18743" s="25" t="n">
        <f aca="false">J18728*CHOOSE($C$18715,Assumptions!$C$69,Assumptions!$C$88,Assumptions!$C$107)</f>
        <v>39.79948264776</v>
      </c>
      <c r="K18743" s="25" t="n">
        <f aca="false">K18728*CHOOSE($C$18715,Assumptions!$C$69,Assumptions!$C$88,Assumptions!$C$107)</f>
        <v>39.4014878212824</v>
      </c>
    </row>
    <row r="18744" customFormat="false" ht="15" hidden="false" customHeight="false" outlineLevel="0" collapsed="false">
      <c r="A18744" s="5" t="s">
        <v>250</v>
      </c>
      <c r="G18744" s="25" t="n">
        <f aca="false">CHOOSE($C$18715,Assumptions!$C$70,Assumptions!$C$89,Assumptions!$C$108)*(G18728-F18728)+CHOOSE($C$18715,Assumptions!$C$71,Assumptions!$C$90,Assumptions!$C$109)*G18728</f>
        <v>-18.0384</v>
      </c>
      <c r="H18744" s="25" t="n">
        <f aca="false">CHOOSE($C$18715,Assumptions!$C$70,Assumptions!$C$89,Assumptions!$C$108)*(H18728-G18728)+CHOOSE($C$18715,Assumptions!$C$71,Assumptions!$C$90,Assumptions!$C$109)*H18728</f>
        <v>-6.10290239999999</v>
      </c>
      <c r="I18744" s="25" t="n">
        <f aca="false">CHOOSE($C$18715,Assumptions!$C$70,Assumptions!$C$89,Assumptions!$C$108)*(I18728-H18728)+CHOOSE($C$18715,Assumptions!$C$71,Assumptions!$C$90,Assumptions!$C$109)*I18728</f>
        <v>2.95583611199998</v>
      </c>
      <c r="J18744" s="25" t="n">
        <f aca="false">CHOOSE($C$18715,Assumptions!$C$70,Assumptions!$C$89,Assumptions!$C$108)*(J18728-I18728)+CHOOSE($C$18715,Assumptions!$C$71,Assumptions!$C$90,Assumptions!$C$109)*J18728</f>
        <v>1.65037727087999</v>
      </c>
      <c r="K18744" s="25" t="n">
        <f aca="false">CHOOSE($C$18715,Assumptions!$C$70,Assumptions!$C$89,Assumptions!$C$108)*(K18728-J18728)+CHOOSE($C$18715,Assumptions!$C$71,Assumptions!$C$90,Assumptions!$C$109)*K18728</f>
        <v>1.63387349817119</v>
      </c>
    </row>
    <row r="18745" customFormat="false" ht="15" hidden="false" customHeight="false" outlineLevel="0" collapsed="false">
      <c r="A18745" s="2" t="s">
        <v>251</v>
      </c>
      <c r="G18745" s="16" t="n">
        <f aca="false">G18741+G18733+G18734+G18737-G18743-G18744</f>
        <v>-76.0968</v>
      </c>
      <c r="H18745" s="16" t="n">
        <f aca="false">H18741+H18733+H18734+H18737-H18743-H18744</f>
        <v>-116.1557292</v>
      </c>
      <c r="I18745" s="16" t="n">
        <f aca="false">I18741+I18733+I18734+I18737-I18743-I18744</f>
        <v>-110.146445952</v>
      </c>
      <c r="J18745" s="16" t="n">
        <f aca="false">J18741+J18733+J18734+J18737-J18743-J18744</f>
        <v>-95.89671626224</v>
      </c>
      <c r="K18745" s="16" t="n">
        <f aca="false">K18741+K18733+K18734+K18737-K18743-K18744</f>
        <v>-83.18519092616</v>
      </c>
    </row>
    <row r="18747" customFormat="false" ht="15" hidden="false" customHeight="false" outlineLevel="0" collapsed="false">
      <c r="A18747" s="23" t="s">
        <v>253</v>
      </c>
      <c r="B18747" s="24"/>
      <c r="C18747" s="24"/>
      <c r="D18747" s="24"/>
      <c r="E18747" s="24"/>
      <c r="F18747" s="24"/>
      <c r="G18747" s="24"/>
      <c r="H18747" s="24"/>
      <c r="I18747" s="24"/>
      <c r="J18747" s="24"/>
      <c r="K18747" s="24"/>
    </row>
    <row r="18748" customFormat="false" ht="15" hidden="false" customHeight="false" outlineLevel="0" collapsed="false">
      <c r="A18748" s="5" t="s">
        <v>254</v>
      </c>
      <c r="G18748" s="29" t="n">
        <f aca="false">Assumptions!$G$49</f>
        <v>0.0425</v>
      </c>
      <c r="H18748" s="29" t="n">
        <f aca="false">Assumptions!$H$49</f>
        <v>0.04</v>
      </c>
      <c r="I18748" s="29" t="n">
        <f aca="false">Assumptions!$I$49</f>
        <v>0.0375</v>
      </c>
      <c r="J18748" s="29" t="n">
        <f aca="false">Assumptions!$J$49</f>
        <v>0.0375</v>
      </c>
      <c r="K18748" s="29" t="n">
        <f aca="false">Assumptions!$K$49</f>
        <v>0.0375</v>
      </c>
    </row>
    <row r="18749" customFormat="false" ht="15" hidden="false" customHeight="false" outlineLevel="0" collapsed="false">
      <c r="A18749" s="5" t="s">
        <v>255</v>
      </c>
      <c r="C18749" s="30" t="n">
        <f aca="false">CHOOSE($C$18715,Assumptions!$C$72,Assumptions!$C$91,Assumptions!$C$110)+$C$18718</f>
        <v>0.015</v>
      </c>
    </row>
    <row r="18750" customFormat="false" ht="15" hidden="false" customHeight="false" outlineLevel="0" collapsed="false">
      <c r="A18750" s="5" t="s">
        <v>256</v>
      </c>
      <c r="C18750" s="30" t="n">
        <f aca="false">CHOOSE($C$18715,Assumptions!$C$73,Assumptions!$C$92,Assumptions!$C$111)</f>
        <v>0.135</v>
      </c>
    </row>
    <row r="18751" customFormat="false" ht="15" hidden="false" customHeight="false" outlineLevel="0" collapsed="false">
      <c r="A18751" s="5" t="s">
        <v>257</v>
      </c>
      <c r="C18751" s="31" t="n">
        <f aca="false">CHOOSE($C$18715,Assumptions!$C$74,Assumptions!$C$93,Assumptions!$C$112)</f>
        <v>5.5</v>
      </c>
    </row>
    <row r="18752" customFormat="false" ht="15" hidden="false" customHeight="false" outlineLevel="0" collapsed="false">
      <c r="A18752" s="5" t="s">
        <v>258</v>
      </c>
      <c r="C18752" s="31" t="n">
        <f aca="false">CHOOSE($C$18715,Assumptions!$C$75,Assumptions!$C$94,Assumptions!$C$113)</f>
        <v>1.8</v>
      </c>
    </row>
    <row r="18753" customFormat="false" ht="15" hidden="false" customHeight="false" outlineLevel="0" collapsed="false">
      <c r="A18753" s="5" t="s">
        <v>259</v>
      </c>
      <c r="G18753" s="25" t="n">
        <f aca="false">G18758+G18771+G18784+G18797</f>
        <v>1250</v>
      </c>
      <c r="H18753" s="25" t="n">
        <f aca="false">H18758+H18771+H18784+H18797</f>
        <v>1281.0968</v>
      </c>
      <c r="I18753" s="25" t="n">
        <f aca="false">I18758+I18771+I18784+I18797</f>
        <v>1275.8968</v>
      </c>
      <c r="J18753" s="25" t="n">
        <f aca="false">J18758+J18771+J18784+J18797</f>
        <v>1270.6968</v>
      </c>
      <c r="K18753" s="25" t="n">
        <f aca="false">K18758+K18771+K18784+K18797</f>
        <v>1265.4968</v>
      </c>
    </row>
    <row r="18754" customFormat="false" ht="15" hidden="false" customHeight="false" outlineLevel="0" collapsed="false">
      <c r="A18754" s="5" t="s">
        <v>260</v>
      </c>
      <c r="G18754" s="25" t="n">
        <f aca="false">F18844</f>
        <v>45</v>
      </c>
      <c r="H18754" s="25" t="n">
        <f aca="false">G18844</f>
        <v>0</v>
      </c>
      <c r="I18754" s="25" t="n">
        <f aca="false">H18844</f>
        <v>-121.3557292</v>
      </c>
      <c r="J18754" s="25" t="n">
        <f aca="false">I18844</f>
        <v>-236.702175152</v>
      </c>
      <c r="K18754" s="25" t="n">
        <f aca="false">J18844</f>
        <v>-337.79889141424</v>
      </c>
    </row>
    <row r="18755" customFormat="false" ht="15" hidden="false" customHeight="false" outlineLevel="0" collapsed="false">
      <c r="A18755" s="5" t="s">
        <v>261</v>
      </c>
      <c r="G18755" s="25" t="n">
        <f aca="false">G18758*IF(G18759=1,$C$18750,IF(Assumptions!$I$53=1,MAX(G18748,Assumptions!$G$53)+Assumptions!$F$53+$C$18749,Assumptions!$E$53))+G18771*IF(G18772=1,$C$18750,IF(Assumptions!$I$54=1,MAX(G18748,Assumptions!$G$54)+Assumptions!$F$54+$C$18749,Assumptions!$E$54))+G18784*IF(G18785=1,$C$18750,IF(Assumptions!$I$55=1,MAX(G18748,Assumptions!$G$55)+Assumptions!$F$55+$C$18749,Assumptions!$E$55))+G18797*IF(G18798=1,$C$18750,IF(Assumptions!$I$56=1,MAX(G18748,Assumptions!$G$56)+Assumptions!$F$56+$C$18749,Assumptions!$E$56))</f>
        <v>129.54</v>
      </c>
      <c r="H18755" s="25" t="n">
        <f aca="false">H18758*IF(OR(H18759=1,G18910=1),$C$18750,IF(Assumptions!$I$53=1,MAX(H18748,Assumptions!$G$53)+Assumptions!$F$53+$C$18749,Assumptions!$E$53))+H18771*IF(OR(H18772=1,G18911=1),$C$18750,IF(Assumptions!$I$54=1,MAX(H18748,Assumptions!$G$54)+Assumptions!$F$54+$C$18749,Assumptions!$E$54))+H18784*IF(OR(H18785=1,G18912=1),$C$18750,IF(Assumptions!$I$55=1,MAX(H18748,Assumptions!$G$55)+Assumptions!$F$55+$C$18749,Assumptions!$E$55))+H18797*IF(OR(H18798=1,G18913=1),$C$18750,IF(Assumptions!$I$56=1,MAX(H18748,Assumptions!$G$56)+Assumptions!$F$56+$C$18749,Assumptions!$E$56))</f>
        <v>156.659468</v>
      </c>
      <c r="I18755" s="25" t="n">
        <f aca="false">I18758*IF(OR(I18759=1,H18910=1),$C$18750,IF(Assumptions!$I$53=1,MAX(I18748,Assumptions!$G$53)+Assumptions!$F$53+$C$18749,Assumptions!$E$53))+I18771*IF(OR(I18772=1,H18911=1),$C$18750,IF(Assumptions!$I$54=1,MAX(I18748,Assumptions!$G$54)+Assumptions!$F$54+$C$18749,Assumptions!$E$54))+I18784*IF(OR(I18785=1,H18912=1),$C$18750,IF(Assumptions!$I$55=1,MAX(I18748,Assumptions!$G$55)+Assumptions!$F$55+$C$18749,Assumptions!$E$55))+I18797*IF(OR(I18798=1,H18913=1),$C$18750,IF(Assumptions!$I$56=1,MAX(I18748,Assumptions!$G$56)+Assumptions!$F$56+$C$18749,Assumptions!$E$56))</f>
        <v>139.5604928</v>
      </c>
      <c r="J18755" s="25" t="n">
        <f aca="false">J18758*IF(OR(J18759=1,I18910=1),$C$18750,IF(Assumptions!$I$53=1,MAX(J18748,Assumptions!$G$53)+Assumptions!$F$53+$C$18749,Assumptions!$E$53))+J18771*IF(OR(J18772=1,I18911=1),$C$18750,IF(Assumptions!$I$54=1,MAX(J18748,Assumptions!$G$54)+Assumptions!$F$54+$C$18749,Assumptions!$E$54))+J18784*IF(OR(J18785=1,I18912=1),$C$18750,IF(Assumptions!$I$55=1,MAX(J18748,Assumptions!$G$55)+Assumptions!$F$55+$C$18749,Assumptions!$E$55))+J18797*IF(OR(J18798=1,I18913=1),$C$18750,IF(Assumptions!$I$56=1,MAX(J18748,Assumptions!$G$56)+Assumptions!$F$56+$C$18749,Assumptions!$E$56))</f>
        <v>134.0116928</v>
      </c>
      <c r="K18755" s="25" t="n">
        <f aca="false">K18758*IF(OR(K18759=1,J18910=1),$C$18750,IF(Assumptions!$I$53=1,MAX(K18748,Assumptions!$G$53)+Assumptions!$F$53+$C$18749,Assumptions!$E$53))+K18771*IF(OR(K18772=1,J18911=1),$C$18750,IF(Assumptions!$I$54=1,MAX(K18748,Assumptions!$G$54)+Assumptions!$F$54+$C$18749,Assumptions!$E$54))+K18784*IF(OR(K18785=1,J18912=1),$C$18750,IF(Assumptions!$I$55=1,MAX(K18748,Assumptions!$G$55)+Assumptions!$F$55+$C$18749,Assumptions!$E$55))+K18797*IF(OR(K18798=1,J18913=1),$C$18750,IF(Assumptions!$I$56=1,MAX(K18748,Assumptions!$G$56)+Assumptions!$F$56+$C$18749,Assumptions!$E$56))</f>
        <v>127.1740928</v>
      </c>
    </row>
    <row r="18756" customFormat="false" ht="15" hidden="false" customHeight="false" outlineLevel="0" collapsed="false">
      <c r="A18756" s="5" t="s">
        <v>262</v>
      </c>
      <c r="G18756" s="20" t="n">
        <f aca="false">IF(G18732&lt;=0,0,IF(AND((G18753-G18754)/G18732&lt;=$C$18751,G18732/G18755&gt;=$C$18752),1,0))</f>
        <v>0</v>
      </c>
      <c r="H18756" s="20" t="n">
        <f aca="false">IF(H18732&lt;=0,0,IF(AND((H18753-H18754)/H18732&lt;=$C$18751,H18732/H18755&gt;=$C$18752),1,0))</f>
        <v>0</v>
      </c>
      <c r="I18756" s="20" t="n">
        <f aca="false">IF(I18732&lt;=0,0,IF(AND((I18753-I18754)/I18732&lt;=$C$18751,I18732/I18755&gt;=$C$18752),1,0))</f>
        <v>0</v>
      </c>
      <c r="J18756" s="20" t="n">
        <f aca="false">IF(J18732&lt;=0,0,IF(AND((J18753-J18754)/J18732&lt;=$C$18751,J18732/J18755&gt;=$C$18752),1,0))</f>
        <v>0</v>
      </c>
      <c r="K18756" s="20" t="n">
        <f aca="false">IF(K18732&lt;=0,0,IF(AND((K18753-K18754)/K18732&lt;=$C$18751,K18732/K18755&gt;=$C$18752),1,0))</f>
        <v>0</v>
      </c>
    </row>
    <row r="18757" customFormat="false" ht="15" hidden="false" customHeight="false" outlineLevel="0" collapsed="false">
      <c r="A18757" s="23" t="s">
        <v>263</v>
      </c>
      <c r="B18757" s="24"/>
      <c r="C18757" s="24"/>
      <c r="D18757" s="24"/>
      <c r="E18757" s="24"/>
      <c r="F18757" s="24"/>
      <c r="G18757" s="24"/>
      <c r="H18757" s="24"/>
      <c r="I18757" s="24"/>
      <c r="J18757" s="24"/>
      <c r="K18757" s="24"/>
    </row>
    <row r="18758" customFormat="false" ht="15" hidden="false" customHeight="false" outlineLevel="0" collapsed="false">
      <c r="A18758" s="5" t="s">
        <v>264</v>
      </c>
      <c r="G18758" s="25" t="n">
        <f aca="false">F18769</f>
        <v>180</v>
      </c>
      <c r="H18758" s="25" t="n">
        <f aca="false">G18769</f>
        <v>216.2968</v>
      </c>
      <c r="I18758" s="25" t="n">
        <f aca="false">H18769</f>
        <v>216.2968</v>
      </c>
      <c r="J18758" s="25" t="n">
        <f aca="false">I18769</f>
        <v>216.2968</v>
      </c>
      <c r="K18758" s="25" t="n">
        <f aca="false">J18769</f>
        <v>216.2968</v>
      </c>
    </row>
    <row r="18759" customFormat="false" ht="15" hidden="false" customHeight="false" outlineLevel="0" collapsed="false">
      <c r="A18759" s="5" t="s">
        <v>265</v>
      </c>
      <c r="G18759" s="20" t="n">
        <f aca="false">IF(G18722=Assumptions!$K$53,1,0)</f>
        <v>0</v>
      </c>
      <c r="H18759" s="20" t="n">
        <f aca="false">IF(H18722=Assumptions!$K$53,1,0)</f>
        <v>1</v>
      </c>
      <c r="I18759" s="20" t="n">
        <f aca="false">IF(I18722=Assumptions!$K$53,1,0)</f>
        <v>0</v>
      </c>
      <c r="J18759" s="20" t="n">
        <f aca="false">IF(J18722=Assumptions!$K$53,1,0)</f>
        <v>0</v>
      </c>
      <c r="K18759" s="20" t="n">
        <f aca="false">IF(K18722=Assumptions!$K$53,1,0)</f>
        <v>0</v>
      </c>
    </row>
    <row r="18761" customFormat="false" ht="15" hidden="false" customHeight="false" outlineLevel="0" collapsed="false">
      <c r="A18761" s="5" t="s">
        <v>266</v>
      </c>
      <c r="G18761" s="30" t="n">
        <f aca="false">IF(Assumptions!$I$53=1,MAX(G18748,Assumptions!$G$53)+Assumptions!$F$53+$C$18749,Assumptions!$E$53)</f>
        <v>0.101</v>
      </c>
      <c r="H18761" s="30" t="n">
        <f aca="false">IF(G18910=1,$C$18750,IF(Assumptions!$I$53=1,MAX(H18748,Assumptions!$G$53)+Assumptions!$F$53+$C$18749,Assumptions!$E$53))</f>
        <v>0.0985</v>
      </c>
      <c r="I18761" s="30" t="n">
        <f aca="false">IF(H18910=1,$C$18750,IF(Assumptions!$I$53=1,MAX(I18748,Assumptions!$G$53)+Assumptions!$F$53+$C$18749,Assumptions!$E$53))</f>
        <v>0.096</v>
      </c>
      <c r="J18761" s="30" t="n">
        <f aca="false">IF(I18910=1,$C$18750,IF(Assumptions!$I$53=1,MAX(J18748,Assumptions!$G$53)+Assumptions!$F$53+$C$18749,Assumptions!$E$53))</f>
        <v>0.096</v>
      </c>
      <c r="K18761" s="30" t="n">
        <f aca="false">IF(J18910=1,$C$18750,IF(Assumptions!$I$53=1,MAX(K18748,Assumptions!$G$53)+Assumptions!$F$53+$C$18749,Assumptions!$E$53))</f>
        <v>0.096</v>
      </c>
    </row>
    <row r="18762" customFormat="false" ht="15" hidden="false" customHeight="false" outlineLevel="0" collapsed="false">
      <c r="A18762" s="5" t="s">
        <v>267</v>
      </c>
      <c r="G18762" s="25" t="n">
        <f aca="false">G18758*G18761</f>
        <v>18.18</v>
      </c>
      <c r="H18762" s="25" t="n">
        <f aca="false">H18758*H18761</f>
        <v>21.3052348</v>
      </c>
      <c r="I18762" s="25" t="n">
        <f aca="false">I18758*I18761</f>
        <v>20.7644928</v>
      </c>
      <c r="J18762" s="25" t="n">
        <f aca="false">J18758*J18761</f>
        <v>20.7644928</v>
      </c>
      <c r="K18762" s="25" t="n">
        <f aca="false">K18758*K18761</f>
        <v>20.7644928</v>
      </c>
    </row>
    <row r="18763" customFormat="false" ht="15" hidden="false" customHeight="false" outlineLevel="0" collapsed="false">
      <c r="A18763" s="5" t="s">
        <v>268</v>
      </c>
      <c r="G18763" s="25" t="n">
        <f aca="false">G18758*Assumptions!$H$53</f>
        <v>0</v>
      </c>
      <c r="H18763" s="25" t="n">
        <f aca="false">H18758*Assumptions!$H$53</f>
        <v>0</v>
      </c>
      <c r="I18763" s="25" t="n">
        <f aca="false">I18758*Assumptions!$H$53</f>
        <v>0</v>
      </c>
      <c r="J18763" s="25" t="n">
        <f aca="false">J18758*Assumptions!$H$53</f>
        <v>0</v>
      </c>
      <c r="K18763" s="25" t="n">
        <f aca="false">K18758*Assumptions!$H$53</f>
        <v>0</v>
      </c>
    </row>
    <row r="18764" customFormat="false" ht="15" hidden="false" customHeight="false" outlineLevel="0" collapsed="false">
      <c r="A18764" s="5" t="s">
        <v>269</v>
      </c>
      <c r="G18764" s="25" t="n">
        <f aca="false">MIN(G18758,Assumptions!$L$53*Assumptions!$C$53)</f>
        <v>0</v>
      </c>
      <c r="H18764" s="25" t="n">
        <f aca="false">MIN(H18758,Assumptions!$L$53*Assumptions!$C$53)</f>
        <v>0</v>
      </c>
      <c r="I18764" s="25" t="n">
        <f aca="false">MIN(I18758,Assumptions!$L$53*Assumptions!$C$53)</f>
        <v>0</v>
      </c>
      <c r="J18764" s="25" t="n">
        <f aca="false">MIN(J18758,Assumptions!$L$53*Assumptions!$C$53)</f>
        <v>0</v>
      </c>
      <c r="K18764" s="25" t="n">
        <f aca="false">MIN(K18758,Assumptions!$L$53*Assumptions!$C$53)</f>
        <v>0</v>
      </c>
    </row>
    <row r="18765" customFormat="false" ht="15" hidden="false" customHeight="false" outlineLevel="0" collapsed="false">
      <c r="A18765" s="5" t="s">
        <v>270</v>
      </c>
      <c r="G18765" s="25" t="n">
        <f aca="false">IF(AND(Assumptions!$P$53=1,G18722&lt;Assumptions!$K$53),MIN(MAX(0,-G18836),MAX(0,Assumptions!$D$53-G18758)),0)</f>
        <v>36.2968000000001</v>
      </c>
      <c r="H18765" s="25" t="n">
        <f aca="false">IF(AND(Assumptions!$P$53=1,OR(H18722&lt;Assumptions!$K$53,G18910=1)),MIN(MAX(0,-H18836),MAX(0,Assumptions!$D$53-H18758)),0)</f>
        <v>0</v>
      </c>
      <c r="I18765" s="25" t="n">
        <f aca="false">IF(AND(Assumptions!$P$53=1,OR(I18722&lt;Assumptions!$K$53,H18910=1)),MIN(MAX(0,-I18836),MAX(0,Assumptions!$D$53-I18758)),0)</f>
        <v>0</v>
      </c>
      <c r="J18765" s="25" t="n">
        <f aca="false">IF(AND(Assumptions!$P$53=1,OR(J18722&lt;Assumptions!$K$53,I18910=1)),MIN(MAX(0,-J18836),MAX(0,Assumptions!$D$53-J18758)),0)</f>
        <v>0</v>
      </c>
      <c r="K18765" s="25" t="n">
        <f aca="false">IF(AND(Assumptions!$P$53=1,OR(K18722&lt;Assumptions!$K$53,J18910=1)),MIN(MAX(0,-K18836),MAX(0,Assumptions!$D$53-K18758)),0)</f>
        <v>0</v>
      </c>
    </row>
    <row r="18766" customFormat="false" ht="15" hidden="false" customHeight="false" outlineLevel="0" collapsed="false">
      <c r="A18766" s="5" t="s">
        <v>271</v>
      </c>
      <c r="G18766" s="25" t="n">
        <f aca="false">G18759*MIN(G18758-G18764+G18763,MAX(0,G18838-Assumptions!$C$12*G18756))</f>
        <v>0</v>
      </c>
      <c r="H18766" s="25" t="n">
        <f aca="false">H18759*MIN(H18758-H18764+H18763,MAX(0,H18838-Assumptions!$C$12*H18756))</f>
        <v>0</v>
      </c>
      <c r="I18766" s="25" t="n">
        <f aca="false">I18759*MIN(I18758-I18764+I18763,MAX(0,I18838-Assumptions!$C$12*I18756))</f>
        <v>0</v>
      </c>
      <c r="J18766" s="25" t="n">
        <f aca="false">J18759*MIN(J18758-J18764+J18763,MAX(0,J18838-Assumptions!$C$12*J18756))</f>
        <v>0</v>
      </c>
      <c r="K18766" s="25" t="n">
        <f aca="false">K18759*MIN(K18758-K18764+K18763,MAX(0,K18838-Assumptions!$C$12*K18756))</f>
        <v>0</v>
      </c>
    </row>
    <row r="18767" customFormat="false" ht="15" hidden="false" customHeight="false" outlineLevel="0" collapsed="false">
      <c r="A18767" s="5" t="s">
        <v>272</v>
      </c>
      <c r="G18767" s="25" t="n">
        <f aca="false">Assumptions!$N$53*MIN(G18758+G18765+G18763-G18764-G18766,MAX(0,G18842))</f>
        <v>0</v>
      </c>
      <c r="H18767" s="25" t="n">
        <f aca="false">Assumptions!$N$53*MIN(H18758+H18765+H18763-H18764-H18766,MAX(0,H18842))</f>
        <v>0</v>
      </c>
      <c r="I18767" s="25" t="n">
        <f aca="false">Assumptions!$N$53*MIN(I18758+I18765+I18763-I18764-I18766,MAX(0,I18842))</f>
        <v>0</v>
      </c>
      <c r="J18767" s="25" t="n">
        <f aca="false">Assumptions!$N$53*MIN(J18758+J18765+J18763-J18764-J18766,MAX(0,J18842))</f>
        <v>0</v>
      </c>
      <c r="K18767" s="25" t="n">
        <f aca="false">Assumptions!$N$53*MIN(K18758+K18765+K18763-K18764-K18766,MAX(0,K18842))</f>
        <v>0</v>
      </c>
    </row>
    <row r="18768" customFormat="false" ht="15" hidden="false" customHeight="false" outlineLevel="0" collapsed="false">
      <c r="A18768" s="5" t="s">
        <v>273</v>
      </c>
      <c r="G18768" s="25" t="n">
        <f aca="false">G18759*(1-G18756)*(G18758-G18764+G18763-G18766)</f>
        <v>0</v>
      </c>
      <c r="H18768" s="25" t="n">
        <f aca="false">H18759*(1-H18756)*(H18758-H18764+H18763-H18766)</f>
        <v>216.2968</v>
      </c>
      <c r="I18768" s="25" t="n">
        <f aca="false">I18759*(1-I18756)*(I18758-I18764+I18763-I18766)</f>
        <v>0</v>
      </c>
      <c r="J18768" s="25" t="n">
        <f aca="false">J18759*(1-J18756)*(J18758-J18764+J18763-J18766)</f>
        <v>0</v>
      </c>
      <c r="K18768" s="25" t="n">
        <f aca="false">K18759*(1-K18756)*(K18758-K18764+K18763-K18766)</f>
        <v>0</v>
      </c>
    </row>
    <row r="18769" customFormat="false" ht="15" hidden="false" customHeight="false" outlineLevel="0" collapsed="false">
      <c r="A18769" s="2" t="s">
        <v>274</v>
      </c>
      <c r="F18769" s="27" t="n">
        <f aca="false">Assumptions!$C$53</f>
        <v>180</v>
      </c>
      <c r="G18769" s="16" t="n">
        <f aca="false">G18758+G18765+G18763-G18764-G18766-G18767</f>
        <v>216.2968</v>
      </c>
      <c r="H18769" s="16" t="n">
        <f aca="false">H18758+H18765+H18763-H18764-H18766-H18767</f>
        <v>216.2968</v>
      </c>
      <c r="I18769" s="16" t="n">
        <f aca="false">I18758+I18765+I18763-I18764-I18766-I18767</f>
        <v>216.2968</v>
      </c>
      <c r="J18769" s="16" t="n">
        <f aca="false">J18758+J18765+J18763-J18764-J18766-J18767</f>
        <v>216.2968</v>
      </c>
      <c r="K18769" s="16" t="n">
        <f aca="false">K18758+K18765+K18763-K18764-K18766-K18767</f>
        <v>216.2968</v>
      </c>
    </row>
    <row r="18770" customFormat="false" ht="15" hidden="false" customHeight="false" outlineLevel="0" collapsed="false">
      <c r="A18770" s="23" t="s">
        <v>275</v>
      </c>
      <c r="B18770" s="24"/>
      <c r="C18770" s="24"/>
      <c r="D18770" s="24"/>
      <c r="E18770" s="24"/>
      <c r="F18770" s="24"/>
      <c r="G18770" s="24"/>
      <c r="H18770" s="24"/>
      <c r="I18770" s="24"/>
      <c r="J18770" s="24"/>
      <c r="K18770" s="24"/>
    </row>
    <row r="18771" customFormat="false" ht="15" hidden="false" customHeight="false" outlineLevel="0" collapsed="false">
      <c r="A18771" s="5" t="s">
        <v>264</v>
      </c>
      <c r="G18771" s="25" t="n">
        <f aca="false">F18782</f>
        <v>520</v>
      </c>
      <c r="H18771" s="25" t="n">
        <f aca="false">G18782</f>
        <v>514.8</v>
      </c>
      <c r="I18771" s="25" t="n">
        <f aca="false">H18782</f>
        <v>509.6</v>
      </c>
      <c r="J18771" s="25" t="n">
        <f aca="false">I18782</f>
        <v>504.4</v>
      </c>
      <c r="K18771" s="25" t="n">
        <f aca="false">J18782</f>
        <v>499.2</v>
      </c>
    </row>
    <row r="18772" customFormat="false" ht="15" hidden="false" customHeight="false" outlineLevel="0" collapsed="false">
      <c r="A18772" s="5" t="s">
        <v>265</v>
      </c>
      <c r="G18772" s="20" t="n">
        <f aca="false">IF(G18722=Assumptions!$K$54,1,0)</f>
        <v>0</v>
      </c>
      <c r="H18772" s="20" t="n">
        <f aca="false">IF(H18722=Assumptions!$K$54,1,0)</f>
        <v>0</v>
      </c>
      <c r="I18772" s="20" t="n">
        <f aca="false">IF(I18722=Assumptions!$K$54,1,0)</f>
        <v>1</v>
      </c>
      <c r="J18772" s="20" t="n">
        <f aca="false">IF(J18722=Assumptions!$K$54,1,0)</f>
        <v>0</v>
      </c>
      <c r="K18772" s="20" t="n">
        <f aca="false">IF(K18722=Assumptions!$K$54,1,0)</f>
        <v>0</v>
      </c>
    </row>
    <row r="18774" customFormat="false" ht="15" hidden="false" customHeight="false" outlineLevel="0" collapsed="false">
      <c r="A18774" s="5" t="s">
        <v>266</v>
      </c>
      <c r="G18774" s="30" t="n">
        <f aca="false">IF(Assumptions!$I$54=1,MAX(G18748,Assumptions!$G$54)+Assumptions!$F$54+$C$18749,Assumptions!$E$54)</f>
        <v>0.118</v>
      </c>
      <c r="H18774" s="30" t="n">
        <f aca="false">IF(G18911=1,$C$18750,IF(Assumptions!$I$54=1,MAX(H18748,Assumptions!$G$54)+Assumptions!$F$54+$C$18749,Assumptions!$E$54))</f>
        <v>0.1155</v>
      </c>
      <c r="I18774" s="30" t="n">
        <f aca="false">IF(H18911=1,$C$18750,IF(Assumptions!$I$54=1,MAX(I18748,Assumptions!$G$54)+Assumptions!$F$54+$C$18749,Assumptions!$E$54))</f>
        <v>0.113</v>
      </c>
      <c r="J18774" s="30" t="n">
        <f aca="false">IF(I18911=1,$C$18750,IF(Assumptions!$I$54=1,MAX(J18748,Assumptions!$G$54)+Assumptions!$F$54+$C$18749,Assumptions!$E$54))</f>
        <v>0.113</v>
      </c>
      <c r="K18774" s="30" t="n">
        <f aca="false">IF(J18911=1,$C$18750,IF(Assumptions!$I$54=1,MAX(K18748,Assumptions!$G$54)+Assumptions!$F$54+$C$18749,Assumptions!$E$54))</f>
        <v>0.113</v>
      </c>
    </row>
    <row r="18775" customFormat="false" ht="15" hidden="false" customHeight="false" outlineLevel="0" collapsed="false">
      <c r="A18775" s="5" t="s">
        <v>267</v>
      </c>
      <c r="G18775" s="25" t="n">
        <f aca="false">G18771*G18774</f>
        <v>61.36</v>
      </c>
      <c r="H18775" s="25" t="n">
        <f aca="false">H18771*H18774</f>
        <v>59.4594</v>
      </c>
      <c r="I18775" s="25" t="n">
        <f aca="false">I18771*I18774</f>
        <v>57.5848</v>
      </c>
      <c r="J18775" s="25" t="n">
        <f aca="false">J18771*J18774</f>
        <v>56.9972</v>
      </c>
      <c r="K18775" s="25" t="n">
        <f aca="false">K18771*K18774</f>
        <v>56.4096</v>
      </c>
    </row>
    <row r="18776" customFormat="false" ht="15" hidden="false" customHeight="false" outlineLevel="0" collapsed="false">
      <c r="A18776" s="5" t="s">
        <v>268</v>
      </c>
      <c r="G18776" s="25" t="n">
        <f aca="false">G18771*Assumptions!$H$54</f>
        <v>0</v>
      </c>
      <c r="H18776" s="25" t="n">
        <f aca="false">H18771*Assumptions!$H$54</f>
        <v>0</v>
      </c>
      <c r="I18776" s="25" t="n">
        <f aca="false">I18771*Assumptions!$H$54</f>
        <v>0</v>
      </c>
      <c r="J18776" s="25" t="n">
        <f aca="false">J18771*Assumptions!$H$54</f>
        <v>0</v>
      </c>
      <c r="K18776" s="25" t="n">
        <f aca="false">K18771*Assumptions!$H$54</f>
        <v>0</v>
      </c>
    </row>
    <row r="18777" customFormat="false" ht="15" hidden="false" customHeight="false" outlineLevel="0" collapsed="false">
      <c r="A18777" s="5" t="s">
        <v>269</v>
      </c>
      <c r="G18777" s="25" t="n">
        <f aca="false">MIN(G18771,Assumptions!$L$54*Assumptions!$C$54)</f>
        <v>5.2</v>
      </c>
      <c r="H18777" s="25" t="n">
        <f aca="false">MIN(H18771,Assumptions!$L$54*Assumptions!$C$54)</f>
        <v>5.2</v>
      </c>
      <c r="I18777" s="25" t="n">
        <f aca="false">MIN(I18771,Assumptions!$L$54*Assumptions!$C$54)</f>
        <v>5.2</v>
      </c>
      <c r="J18777" s="25" t="n">
        <f aca="false">MIN(J18771,Assumptions!$L$54*Assumptions!$C$54)</f>
        <v>5.2</v>
      </c>
      <c r="K18777" s="25" t="n">
        <f aca="false">MIN(K18771,Assumptions!$L$54*Assumptions!$C$54)</f>
        <v>5.2</v>
      </c>
    </row>
    <row r="18778" customFormat="false" ht="15" hidden="false" customHeight="false" outlineLevel="0" collapsed="false">
      <c r="A18778" s="5" t="s">
        <v>270</v>
      </c>
      <c r="G18778" s="25" t="n">
        <f aca="false">IF(AND(Assumptions!$P$54=1,G18722&lt;Assumptions!$K$54),MIN(MAX(0,-G18836),MAX(0,Assumptions!$D$54-G18771)),0)</f>
        <v>0</v>
      </c>
      <c r="H18778" s="25" t="n">
        <f aca="false">IF(AND(Assumptions!$P$54=1,OR(H18722&lt;Assumptions!$K$54,G18911=1)),MIN(MAX(0,-H18836),MAX(0,Assumptions!$D$54-H18771)),0)</f>
        <v>0</v>
      </c>
      <c r="I18778" s="25" t="n">
        <f aca="false">IF(AND(Assumptions!$P$54=1,OR(I18722&lt;Assumptions!$K$54,H18911=1)),MIN(MAX(0,-I18836),MAX(0,Assumptions!$D$54-I18771)),0)</f>
        <v>0</v>
      </c>
      <c r="J18778" s="25" t="n">
        <f aca="false">IF(AND(Assumptions!$P$54=1,OR(J18722&lt;Assumptions!$K$54,I18911=1)),MIN(MAX(0,-J18836),MAX(0,Assumptions!$D$54-J18771)),0)</f>
        <v>0</v>
      </c>
      <c r="K18778" s="25" t="n">
        <f aca="false">IF(AND(Assumptions!$P$54=1,OR(K18722&lt;Assumptions!$K$54,J18911=1)),MIN(MAX(0,-K18836),MAX(0,Assumptions!$D$54-K18771)),0)</f>
        <v>0</v>
      </c>
    </row>
    <row r="18779" customFormat="false" ht="15" hidden="false" customHeight="false" outlineLevel="0" collapsed="false">
      <c r="A18779" s="5" t="s">
        <v>271</v>
      </c>
      <c r="G18779" s="25" t="n">
        <f aca="false">G18772*MIN(G18771-G18777+G18776,MAX(0,G18838-Assumptions!$C$12*G18756-G18766))</f>
        <v>0</v>
      </c>
      <c r="H18779" s="25" t="n">
        <f aca="false">H18772*MIN(H18771-H18777+H18776,MAX(0,H18838-Assumptions!$C$12*H18756-H18766))</f>
        <v>0</v>
      </c>
      <c r="I18779" s="25" t="n">
        <f aca="false">I18772*MIN(I18771-I18777+I18776,MAX(0,I18838-Assumptions!$C$12*I18756-I18766))</f>
        <v>0</v>
      </c>
      <c r="J18779" s="25" t="n">
        <f aca="false">J18772*MIN(J18771-J18777+J18776,MAX(0,J18838-Assumptions!$C$12*J18756-J18766))</f>
        <v>0</v>
      </c>
      <c r="K18779" s="25" t="n">
        <f aca="false">K18772*MIN(K18771-K18777+K18776,MAX(0,K18838-Assumptions!$C$12*K18756-K18766))</f>
        <v>0</v>
      </c>
    </row>
    <row r="18780" customFormat="false" ht="15" hidden="false" customHeight="false" outlineLevel="0" collapsed="false">
      <c r="A18780" s="5" t="s">
        <v>272</v>
      </c>
      <c r="G18780" s="25" t="n">
        <f aca="false">Assumptions!$N$54*MIN(G18771+G18778+G18776-G18777-G18779,MAX(0,G18842-G18767))</f>
        <v>0</v>
      </c>
      <c r="H18780" s="25" t="n">
        <f aca="false">Assumptions!$N$54*MIN(H18771+H18778+H18776-H18777-H18779,MAX(0,H18842-H18767))</f>
        <v>0</v>
      </c>
      <c r="I18780" s="25" t="n">
        <f aca="false">Assumptions!$N$54*MIN(I18771+I18778+I18776-I18777-I18779,MAX(0,I18842-I18767))</f>
        <v>0</v>
      </c>
      <c r="J18780" s="25" t="n">
        <f aca="false">Assumptions!$N$54*MIN(J18771+J18778+J18776-J18777-J18779,MAX(0,J18842-J18767))</f>
        <v>0</v>
      </c>
      <c r="K18780" s="25" t="n">
        <f aca="false">Assumptions!$N$54*MIN(K18771+K18778+K18776-K18777-K18779,MAX(0,K18842-K18767))</f>
        <v>0</v>
      </c>
    </row>
    <row r="18781" customFormat="false" ht="15" hidden="false" customHeight="false" outlineLevel="0" collapsed="false">
      <c r="A18781" s="5" t="s">
        <v>273</v>
      </c>
      <c r="G18781" s="25" t="n">
        <f aca="false">G18772*(1-G18756)*(G18771-G18777+G18776-G18779)</f>
        <v>0</v>
      </c>
      <c r="H18781" s="25" t="n">
        <f aca="false">H18772*(1-H18756)*(H18771-H18777+H18776-H18779)</f>
        <v>0</v>
      </c>
      <c r="I18781" s="25" t="n">
        <f aca="false">I18772*(1-I18756)*(I18771-I18777+I18776-I18779)</f>
        <v>504.4</v>
      </c>
      <c r="J18781" s="25" t="n">
        <f aca="false">J18772*(1-J18756)*(J18771-J18777+J18776-J18779)</f>
        <v>0</v>
      </c>
      <c r="K18781" s="25" t="n">
        <f aca="false">K18772*(1-K18756)*(K18771-K18777+K18776-K18779)</f>
        <v>0</v>
      </c>
    </row>
    <row r="18782" customFormat="false" ht="15" hidden="false" customHeight="false" outlineLevel="0" collapsed="false">
      <c r="A18782" s="2" t="s">
        <v>274</v>
      </c>
      <c r="F18782" s="27" t="n">
        <f aca="false">Assumptions!$C$54</f>
        <v>520</v>
      </c>
      <c r="G18782" s="16" t="n">
        <f aca="false">G18771+G18778+G18776-G18777-G18779-G18780</f>
        <v>514.8</v>
      </c>
      <c r="H18782" s="16" t="n">
        <f aca="false">H18771+H18778+H18776-H18777-H18779-H18780</f>
        <v>509.6</v>
      </c>
      <c r="I18782" s="16" t="n">
        <f aca="false">I18771+I18778+I18776-I18777-I18779-I18780</f>
        <v>504.4</v>
      </c>
      <c r="J18782" s="16" t="n">
        <f aca="false">J18771+J18778+J18776-J18777-J18779-J18780</f>
        <v>499.2</v>
      </c>
      <c r="K18782" s="16" t="n">
        <f aca="false">K18771+K18778+K18776-K18777-K18779-K18780</f>
        <v>494</v>
      </c>
    </row>
    <row r="18783" customFormat="false" ht="15" hidden="false" customHeight="false" outlineLevel="0" collapsed="false">
      <c r="A18783" s="23" t="s">
        <v>276</v>
      </c>
      <c r="B18783" s="24"/>
      <c r="C18783" s="24"/>
      <c r="D18783" s="24"/>
      <c r="E18783" s="24"/>
      <c r="F18783" s="24"/>
      <c r="G18783" s="24"/>
      <c r="H18783" s="24"/>
      <c r="I18783" s="24"/>
      <c r="J18783" s="24"/>
      <c r="K18783" s="24"/>
    </row>
    <row r="18784" customFormat="false" ht="15" hidden="false" customHeight="false" outlineLevel="0" collapsed="false">
      <c r="A18784" s="5" t="s">
        <v>264</v>
      </c>
      <c r="G18784" s="25" t="n">
        <f aca="false">F18795</f>
        <v>250</v>
      </c>
      <c r="H18784" s="25" t="n">
        <f aca="false">G18795</f>
        <v>250</v>
      </c>
      <c r="I18784" s="25" t="n">
        <f aca="false">H18795</f>
        <v>250</v>
      </c>
      <c r="J18784" s="25" t="n">
        <f aca="false">I18795</f>
        <v>250</v>
      </c>
      <c r="K18784" s="25" t="n">
        <f aca="false">J18795</f>
        <v>250</v>
      </c>
    </row>
    <row r="18785" customFormat="false" ht="15" hidden="false" customHeight="false" outlineLevel="0" collapsed="false">
      <c r="A18785" s="5" t="s">
        <v>265</v>
      </c>
      <c r="G18785" s="20" t="n">
        <f aca="false">IF(G18722=Assumptions!$K$55,1,0)</f>
        <v>0</v>
      </c>
      <c r="H18785" s="20" t="n">
        <f aca="false">IF(H18722=Assumptions!$K$55,1,0)</f>
        <v>0</v>
      </c>
      <c r="I18785" s="20" t="n">
        <f aca="false">IF(I18722=Assumptions!$K$55,1,0)</f>
        <v>0</v>
      </c>
      <c r="J18785" s="20" t="n">
        <f aca="false">IF(J18722=Assumptions!$K$55,1,0)</f>
        <v>1</v>
      </c>
      <c r="K18785" s="20" t="n">
        <f aca="false">IF(K18722=Assumptions!$K$55,1,0)</f>
        <v>0</v>
      </c>
    </row>
    <row r="18787" customFormat="false" ht="15" hidden="false" customHeight="false" outlineLevel="0" collapsed="false">
      <c r="A18787" s="5" t="s">
        <v>266</v>
      </c>
      <c r="G18787" s="30" t="n">
        <f aca="false">IF(Assumptions!$I$55=1,MAX(G18748,Assumptions!$G$55)+Assumptions!$F$55+$C$18749,Assumptions!$E$55)</f>
        <v>0.11</v>
      </c>
      <c r="H18787" s="30" t="n">
        <f aca="false">IF(G18912=1,$C$18750,IF(Assumptions!$I$55=1,MAX(H18748,Assumptions!$G$55)+Assumptions!$F$55+$C$18749,Assumptions!$E$55))</f>
        <v>0.11</v>
      </c>
      <c r="I18787" s="30" t="n">
        <f aca="false">IF(H18912=1,$C$18750,IF(Assumptions!$I$55=1,MAX(I18748,Assumptions!$G$55)+Assumptions!$F$55+$C$18749,Assumptions!$E$55))</f>
        <v>0.11</v>
      </c>
      <c r="J18787" s="30" t="n">
        <f aca="false">IF(I18912=1,$C$18750,IF(Assumptions!$I$55=1,MAX(J18748,Assumptions!$G$55)+Assumptions!$F$55+$C$18749,Assumptions!$E$55))</f>
        <v>0.11</v>
      </c>
      <c r="K18787" s="30" t="n">
        <f aca="false">IF(J18912=1,$C$18750,IF(Assumptions!$I$55=1,MAX(K18748,Assumptions!$G$55)+Assumptions!$F$55+$C$18749,Assumptions!$E$55))</f>
        <v>0.11</v>
      </c>
    </row>
    <row r="18788" customFormat="false" ht="15" hidden="false" customHeight="false" outlineLevel="0" collapsed="false">
      <c r="A18788" s="5" t="s">
        <v>267</v>
      </c>
      <c r="G18788" s="25" t="n">
        <f aca="false">G18784*G18787</f>
        <v>27.5</v>
      </c>
      <c r="H18788" s="25" t="n">
        <f aca="false">H18784*H18787</f>
        <v>27.5</v>
      </c>
      <c r="I18788" s="25" t="n">
        <f aca="false">I18784*I18787</f>
        <v>27.5</v>
      </c>
      <c r="J18788" s="25" t="n">
        <f aca="false">J18784*J18787</f>
        <v>27.5</v>
      </c>
      <c r="K18788" s="25" t="n">
        <f aca="false">K18784*K18787</f>
        <v>27.5</v>
      </c>
    </row>
    <row r="18789" customFormat="false" ht="15" hidden="false" customHeight="false" outlineLevel="0" collapsed="false">
      <c r="A18789" s="5" t="s">
        <v>268</v>
      </c>
      <c r="G18789" s="25" t="n">
        <f aca="false">G18784*Assumptions!$H$55</f>
        <v>0</v>
      </c>
      <c r="H18789" s="25" t="n">
        <f aca="false">H18784*Assumptions!$H$55</f>
        <v>0</v>
      </c>
      <c r="I18789" s="25" t="n">
        <f aca="false">I18784*Assumptions!$H$55</f>
        <v>0</v>
      </c>
      <c r="J18789" s="25" t="n">
        <f aca="false">J18784*Assumptions!$H$55</f>
        <v>0</v>
      </c>
      <c r="K18789" s="25" t="n">
        <f aca="false">K18784*Assumptions!$H$55</f>
        <v>0</v>
      </c>
    </row>
    <row r="18790" customFormat="false" ht="15" hidden="false" customHeight="false" outlineLevel="0" collapsed="false">
      <c r="A18790" s="5" t="s">
        <v>269</v>
      </c>
      <c r="G18790" s="25" t="n">
        <f aca="false">MIN(G18784,Assumptions!$L$55*Assumptions!$C$55)</f>
        <v>0</v>
      </c>
      <c r="H18790" s="25" t="n">
        <f aca="false">MIN(H18784,Assumptions!$L$55*Assumptions!$C$55)</f>
        <v>0</v>
      </c>
      <c r="I18790" s="25" t="n">
        <f aca="false">MIN(I18784,Assumptions!$L$55*Assumptions!$C$55)</f>
        <v>0</v>
      </c>
      <c r="J18790" s="25" t="n">
        <f aca="false">MIN(J18784,Assumptions!$L$55*Assumptions!$C$55)</f>
        <v>0</v>
      </c>
      <c r="K18790" s="25" t="n">
        <f aca="false">MIN(K18784,Assumptions!$L$55*Assumptions!$C$55)</f>
        <v>0</v>
      </c>
    </row>
    <row r="18791" customFormat="false" ht="15" hidden="false" customHeight="false" outlineLevel="0" collapsed="false">
      <c r="A18791" s="5" t="s">
        <v>270</v>
      </c>
      <c r="G18791" s="25" t="n">
        <f aca="false">IF(AND(Assumptions!$P$55=1,G18722&lt;Assumptions!$K$55),MIN(MAX(0,-G18836),MAX(0,Assumptions!$D$55-G18784)),0)</f>
        <v>0</v>
      </c>
      <c r="H18791" s="25" t="n">
        <f aca="false">IF(AND(Assumptions!$P$55=1,OR(H18722&lt;Assumptions!$K$55,G18912=1)),MIN(MAX(0,-H18836),MAX(0,Assumptions!$D$55-H18784)),0)</f>
        <v>0</v>
      </c>
      <c r="I18791" s="25" t="n">
        <f aca="false">IF(AND(Assumptions!$P$55=1,OR(I18722&lt;Assumptions!$K$55,H18912=1)),MIN(MAX(0,-I18836),MAX(0,Assumptions!$D$55-I18784)),0)</f>
        <v>0</v>
      </c>
      <c r="J18791" s="25" t="n">
        <f aca="false">IF(AND(Assumptions!$P$55=1,OR(J18722&lt;Assumptions!$K$55,I18912=1)),MIN(MAX(0,-J18836),MAX(0,Assumptions!$D$55-J18784)),0)</f>
        <v>0</v>
      </c>
      <c r="K18791" s="25" t="n">
        <f aca="false">IF(AND(Assumptions!$P$55=1,OR(K18722&lt;Assumptions!$K$55,J18912=1)),MIN(MAX(0,-K18836),MAX(0,Assumptions!$D$55-K18784)),0)</f>
        <v>0</v>
      </c>
    </row>
    <row r="18792" customFormat="false" ht="15" hidden="false" customHeight="false" outlineLevel="0" collapsed="false">
      <c r="A18792" s="5" t="s">
        <v>271</v>
      </c>
      <c r="G18792" s="25" t="n">
        <f aca="false">G18785*MIN(G18784-G18790+G18789,MAX(0,G18838-Assumptions!$C$12*G18756-G18766-G18779))</f>
        <v>0</v>
      </c>
      <c r="H18792" s="25" t="n">
        <f aca="false">H18785*MIN(H18784-H18790+H18789,MAX(0,H18838-Assumptions!$C$12*H18756-H18766-H18779))</f>
        <v>0</v>
      </c>
      <c r="I18792" s="25" t="n">
        <f aca="false">I18785*MIN(I18784-I18790+I18789,MAX(0,I18838-Assumptions!$C$12*I18756-I18766-I18779))</f>
        <v>0</v>
      </c>
      <c r="J18792" s="25" t="n">
        <f aca="false">J18785*MIN(J18784-J18790+J18789,MAX(0,J18838-Assumptions!$C$12*J18756-J18766-J18779))</f>
        <v>0</v>
      </c>
      <c r="K18792" s="25" t="n">
        <f aca="false">K18785*MIN(K18784-K18790+K18789,MAX(0,K18838-Assumptions!$C$12*K18756-K18766-K18779))</f>
        <v>0</v>
      </c>
    </row>
    <row r="18793" customFormat="false" ht="15" hidden="false" customHeight="false" outlineLevel="0" collapsed="false">
      <c r="A18793" s="5" t="s">
        <v>272</v>
      </c>
      <c r="G18793" s="25" t="n">
        <f aca="false">Assumptions!$N$55*MIN(G18784+G18791+G18789-G18790-G18792,MAX(0,G18842-G18767-G18780))</f>
        <v>0</v>
      </c>
      <c r="H18793" s="25" t="n">
        <f aca="false">Assumptions!$N$55*MIN(H18784+H18791+H18789-H18790-H18792,MAX(0,H18842-H18767-H18780))</f>
        <v>0</v>
      </c>
      <c r="I18793" s="25" t="n">
        <f aca="false">Assumptions!$N$55*MIN(I18784+I18791+I18789-I18790-I18792,MAX(0,I18842-I18767-I18780))</f>
        <v>0</v>
      </c>
      <c r="J18793" s="25" t="n">
        <f aca="false">Assumptions!$N$55*MIN(J18784+J18791+J18789-J18790-J18792,MAX(0,J18842-J18767-J18780))</f>
        <v>0</v>
      </c>
      <c r="K18793" s="25" t="n">
        <f aca="false">Assumptions!$N$55*MIN(K18784+K18791+K18789-K18790-K18792,MAX(0,K18842-K18767-K18780))</f>
        <v>0</v>
      </c>
    </row>
    <row r="18794" customFormat="false" ht="15" hidden="false" customHeight="false" outlineLevel="0" collapsed="false">
      <c r="A18794" s="5" t="s">
        <v>273</v>
      </c>
      <c r="G18794" s="25" t="n">
        <f aca="false">G18785*(1-G18756)*(G18784-G18790+G18789-G18792)</f>
        <v>0</v>
      </c>
      <c r="H18794" s="25" t="n">
        <f aca="false">H18785*(1-H18756)*(H18784-H18790+H18789-H18792)</f>
        <v>0</v>
      </c>
      <c r="I18794" s="25" t="n">
        <f aca="false">I18785*(1-I18756)*(I18784-I18790+I18789-I18792)</f>
        <v>0</v>
      </c>
      <c r="J18794" s="25" t="n">
        <f aca="false">J18785*(1-J18756)*(J18784-J18790+J18789-J18792)</f>
        <v>250</v>
      </c>
      <c r="K18794" s="25" t="n">
        <f aca="false">K18785*(1-K18756)*(K18784-K18790+K18789-K18792)</f>
        <v>0</v>
      </c>
    </row>
    <row r="18795" customFormat="false" ht="15" hidden="false" customHeight="false" outlineLevel="0" collapsed="false">
      <c r="A18795" s="2" t="s">
        <v>274</v>
      </c>
      <c r="F18795" s="27" t="n">
        <f aca="false">Assumptions!$C$55</f>
        <v>250</v>
      </c>
      <c r="G18795" s="16" t="n">
        <f aca="false">G18784+G18791+G18789-G18790-G18792-G18793</f>
        <v>250</v>
      </c>
      <c r="H18795" s="16" t="n">
        <f aca="false">H18784+H18791+H18789-H18790-H18792-H18793</f>
        <v>250</v>
      </c>
      <c r="I18795" s="16" t="n">
        <f aca="false">I18784+I18791+I18789-I18790-I18792-I18793</f>
        <v>250</v>
      </c>
      <c r="J18795" s="16" t="n">
        <f aca="false">J18784+J18791+J18789-J18790-J18792-J18793</f>
        <v>250</v>
      </c>
      <c r="K18795" s="16" t="n">
        <f aca="false">K18784+K18791+K18789-K18790-K18792-K18793</f>
        <v>250</v>
      </c>
    </row>
    <row r="18796" customFormat="false" ht="15" hidden="false" customHeight="false" outlineLevel="0" collapsed="false">
      <c r="A18796" s="23" t="s">
        <v>277</v>
      </c>
      <c r="B18796" s="24"/>
      <c r="C18796" s="24"/>
      <c r="D18796" s="24"/>
      <c r="E18796" s="24"/>
      <c r="F18796" s="24"/>
      <c r="G18796" s="24"/>
      <c r="H18796" s="24"/>
      <c r="I18796" s="24"/>
      <c r="J18796" s="24"/>
      <c r="K18796" s="24"/>
    </row>
    <row r="18797" customFormat="false" ht="15" hidden="false" customHeight="false" outlineLevel="0" collapsed="false">
      <c r="A18797" s="5" t="s">
        <v>264</v>
      </c>
      <c r="G18797" s="25" t="n">
        <f aca="false">F18808</f>
        <v>300</v>
      </c>
      <c r="H18797" s="25" t="n">
        <f aca="false">G18808</f>
        <v>300</v>
      </c>
      <c r="I18797" s="25" t="n">
        <f aca="false">H18808</f>
        <v>300</v>
      </c>
      <c r="J18797" s="25" t="n">
        <f aca="false">I18808</f>
        <v>300</v>
      </c>
      <c r="K18797" s="25" t="n">
        <f aca="false">J18808</f>
        <v>300</v>
      </c>
    </row>
    <row r="18798" customFormat="false" ht="15" hidden="false" customHeight="false" outlineLevel="0" collapsed="false">
      <c r="A18798" s="5" t="s">
        <v>265</v>
      </c>
      <c r="G18798" s="20" t="n">
        <f aca="false">IF(G18722=Assumptions!$K$56,1,0)</f>
        <v>0</v>
      </c>
      <c r="H18798" s="20" t="n">
        <f aca="false">IF(H18722=Assumptions!$K$56,1,0)</f>
        <v>1</v>
      </c>
      <c r="I18798" s="20" t="n">
        <f aca="false">IF(I18722=Assumptions!$K$56,1,0)</f>
        <v>0</v>
      </c>
      <c r="J18798" s="20" t="n">
        <f aca="false">IF(J18722=Assumptions!$K$56,1,0)</f>
        <v>0</v>
      </c>
      <c r="K18798" s="20" t="n">
        <f aca="false">IF(K18722=Assumptions!$K$56,1,0)</f>
        <v>0</v>
      </c>
    </row>
    <row r="18800" customFormat="false" ht="15" hidden="false" customHeight="false" outlineLevel="0" collapsed="false">
      <c r="A18800" s="5" t="s">
        <v>266</v>
      </c>
      <c r="G18800" s="30" t="n">
        <f aca="false">IF(Assumptions!$I$56=1,MAX(G18748,Assumptions!$G$56)+Assumptions!$F$56+$C$18749,Assumptions!$E$56)</f>
        <v>0.075</v>
      </c>
      <c r="H18800" s="30" t="n">
        <f aca="false">IF(G18913=1,$C$18750,IF(Assumptions!$I$56=1,MAX(H18748,Assumptions!$G$56)+Assumptions!$F$56+$C$18749,Assumptions!$E$56))</f>
        <v>0.075</v>
      </c>
      <c r="I18800" s="30" t="n">
        <f aca="false">IF(H18913=1,$C$18750,IF(Assumptions!$I$56=1,MAX(I18748,Assumptions!$G$56)+Assumptions!$F$56+$C$18749,Assumptions!$E$56))</f>
        <v>0.075</v>
      </c>
      <c r="J18800" s="30" t="n">
        <f aca="false">IF(I18913=1,$C$18750,IF(Assumptions!$I$56=1,MAX(J18748,Assumptions!$G$56)+Assumptions!$F$56+$C$18749,Assumptions!$E$56))</f>
        <v>0.075</v>
      </c>
      <c r="K18800" s="30" t="n">
        <f aca="false">IF(J18913=1,$C$18750,IF(Assumptions!$I$56=1,MAX(K18748,Assumptions!$G$56)+Assumptions!$F$56+$C$18749,Assumptions!$E$56))</f>
        <v>0.075</v>
      </c>
    </row>
    <row r="18801" customFormat="false" ht="15" hidden="false" customHeight="false" outlineLevel="0" collapsed="false">
      <c r="A18801" s="5" t="s">
        <v>267</v>
      </c>
      <c r="G18801" s="25" t="n">
        <f aca="false">G18797*G18800</f>
        <v>22.5</v>
      </c>
      <c r="H18801" s="25" t="n">
        <f aca="false">H18797*H18800</f>
        <v>22.5</v>
      </c>
      <c r="I18801" s="25" t="n">
        <f aca="false">I18797*I18800</f>
        <v>22.5</v>
      </c>
      <c r="J18801" s="25" t="n">
        <f aca="false">J18797*J18800</f>
        <v>22.5</v>
      </c>
      <c r="K18801" s="25" t="n">
        <f aca="false">K18797*K18800</f>
        <v>22.5</v>
      </c>
    </row>
    <row r="18802" customFormat="false" ht="15" hidden="false" customHeight="false" outlineLevel="0" collapsed="false">
      <c r="A18802" s="5" t="s">
        <v>268</v>
      </c>
      <c r="G18802" s="25" t="n">
        <f aca="false">G18797*Assumptions!$H$56</f>
        <v>0</v>
      </c>
      <c r="H18802" s="25" t="n">
        <f aca="false">H18797*Assumptions!$H$56</f>
        <v>0</v>
      </c>
      <c r="I18802" s="25" t="n">
        <f aca="false">I18797*Assumptions!$H$56</f>
        <v>0</v>
      </c>
      <c r="J18802" s="25" t="n">
        <f aca="false">J18797*Assumptions!$H$56</f>
        <v>0</v>
      </c>
      <c r="K18802" s="25" t="n">
        <f aca="false">K18797*Assumptions!$H$56</f>
        <v>0</v>
      </c>
    </row>
    <row r="18803" customFormat="false" ht="15" hidden="false" customHeight="false" outlineLevel="0" collapsed="false">
      <c r="A18803" s="5" t="s">
        <v>269</v>
      </c>
      <c r="G18803" s="25" t="n">
        <f aca="false">MIN(G18797,Assumptions!$L$56*Assumptions!$C$56)</f>
        <v>0</v>
      </c>
      <c r="H18803" s="25" t="n">
        <f aca="false">MIN(H18797,Assumptions!$L$56*Assumptions!$C$56)</f>
        <v>0</v>
      </c>
      <c r="I18803" s="25" t="n">
        <f aca="false">MIN(I18797,Assumptions!$L$56*Assumptions!$C$56)</f>
        <v>0</v>
      </c>
      <c r="J18803" s="25" t="n">
        <f aca="false">MIN(J18797,Assumptions!$L$56*Assumptions!$C$56)</f>
        <v>0</v>
      </c>
      <c r="K18803" s="25" t="n">
        <f aca="false">MIN(K18797,Assumptions!$L$56*Assumptions!$C$56)</f>
        <v>0</v>
      </c>
    </row>
    <row r="18804" customFormat="false" ht="15" hidden="false" customHeight="false" outlineLevel="0" collapsed="false">
      <c r="A18804" s="5" t="s">
        <v>270</v>
      </c>
      <c r="G18804" s="25" t="n">
        <f aca="false">IF(AND(Assumptions!$P$56=1,G18722&lt;Assumptions!$K$56),MIN(MAX(0,-G18836),MAX(0,Assumptions!$D$56-G18797)),0)</f>
        <v>0</v>
      </c>
      <c r="H18804" s="25" t="n">
        <f aca="false">IF(AND(Assumptions!$P$56=1,OR(H18722&lt;Assumptions!$K$56,G18913=1)),MIN(MAX(0,-H18836),MAX(0,Assumptions!$D$56-H18797)),0)</f>
        <v>0</v>
      </c>
      <c r="I18804" s="25" t="n">
        <f aca="false">IF(AND(Assumptions!$P$56=1,OR(I18722&lt;Assumptions!$K$56,H18913=1)),MIN(MAX(0,-I18836),MAX(0,Assumptions!$D$56-I18797)),0)</f>
        <v>0</v>
      </c>
      <c r="J18804" s="25" t="n">
        <f aca="false">IF(AND(Assumptions!$P$56=1,OR(J18722&lt;Assumptions!$K$56,I18913=1)),MIN(MAX(0,-J18836),MAX(0,Assumptions!$D$56-J18797)),0)</f>
        <v>0</v>
      </c>
      <c r="K18804" s="25" t="n">
        <f aca="false">IF(AND(Assumptions!$P$56=1,OR(K18722&lt;Assumptions!$K$56,J18913=1)),MIN(MAX(0,-K18836),MAX(0,Assumptions!$D$56-K18797)),0)</f>
        <v>0</v>
      </c>
    </row>
    <row r="18805" customFormat="false" ht="15" hidden="false" customHeight="false" outlineLevel="0" collapsed="false">
      <c r="A18805" s="5" t="s">
        <v>271</v>
      </c>
      <c r="G18805" s="25" t="n">
        <f aca="false">G18798*MIN(G18797-G18803+G18802,MAX(0,G18838-Assumptions!$C$12*G18756-G18766-G18779-G18792))</f>
        <v>0</v>
      </c>
      <c r="H18805" s="25" t="n">
        <f aca="false">H18798*MIN(H18797-H18803+H18802,MAX(0,H18838-Assumptions!$C$12*H18756-H18766-H18779-H18792))</f>
        <v>0</v>
      </c>
      <c r="I18805" s="25" t="n">
        <f aca="false">I18798*MIN(I18797-I18803+I18802,MAX(0,I18838-Assumptions!$C$12*I18756-I18766-I18779-I18792))</f>
        <v>0</v>
      </c>
      <c r="J18805" s="25" t="n">
        <f aca="false">J18798*MIN(J18797-J18803+J18802,MAX(0,J18838-Assumptions!$C$12*J18756-J18766-J18779-J18792))</f>
        <v>0</v>
      </c>
      <c r="K18805" s="25" t="n">
        <f aca="false">K18798*MIN(K18797-K18803+K18802,MAX(0,K18838-Assumptions!$C$12*K18756-K18766-K18779-K18792))</f>
        <v>0</v>
      </c>
    </row>
    <row r="18806" customFormat="false" ht="15" hidden="false" customHeight="false" outlineLevel="0" collapsed="false">
      <c r="A18806" s="5" t="s">
        <v>272</v>
      </c>
      <c r="G18806" s="25" t="n">
        <f aca="false">Assumptions!$N$56*MIN(G18797+G18804+G18802-G18803-G18805,MAX(0,G18842-G18767-G18780-G18793))</f>
        <v>0</v>
      </c>
      <c r="H18806" s="25" t="n">
        <f aca="false">Assumptions!$N$56*MIN(H18797+H18804+H18802-H18803-H18805,MAX(0,H18842-H18767-H18780-H18793))</f>
        <v>0</v>
      </c>
      <c r="I18806" s="25" t="n">
        <f aca="false">Assumptions!$N$56*MIN(I18797+I18804+I18802-I18803-I18805,MAX(0,I18842-I18767-I18780-I18793))</f>
        <v>0</v>
      </c>
      <c r="J18806" s="25" t="n">
        <f aca="false">Assumptions!$N$56*MIN(J18797+J18804+J18802-J18803-J18805,MAX(0,J18842-J18767-J18780-J18793))</f>
        <v>0</v>
      </c>
      <c r="K18806" s="25" t="n">
        <f aca="false">Assumptions!$N$56*MIN(K18797+K18804+K18802-K18803-K18805,MAX(0,K18842-K18767-K18780-K18793))</f>
        <v>0</v>
      </c>
    </row>
    <row r="18807" customFormat="false" ht="15" hidden="false" customHeight="false" outlineLevel="0" collapsed="false">
      <c r="A18807" s="5" t="s">
        <v>273</v>
      </c>
      <c r="G18807" s="25" t="n">
        <f aca="false">G18798*(1-G18756)*(G18797-G18803+G18802-G18805)</f>
        <v>0</v>
      </c>
      <c r="H18807" s="25" t="n">
        <f aca="false">H18798*(1-H18756)*(H18797-H18803+H18802-H18805)</f>
        <v>300</v>
      </c>
      <c r="I18807" s="25" t="n">
        <f aca="false">I18798*(1-I18756)*(I18797-I18803+I18802-I18805)</f>
        <v>0</v>
      </c>
      <c r="J18807" s="25" t="n">
        <f aca="false">J18798*(1-J18756)*(J18797-J18803+J18802-J18805)</f>
        <v>0</v>
      </c>
      <c r="K18807" s="25" t="n">
        <f aca="false">K18798*(1-K18756)*(K18797-K18803+K18802-K18805)</f>
        <v>0</v>
      </c>
    </row>
    <row r="18808" customFormat="false" ht="15" hidden="false" customHeight="false" outlineLevel="0" collapsed="false">
      <c r="A18808" s="2" t="s">
        <v>274</v>
      </c>
      <c r="F18808" s="27" t="n">
        <f aca="false">Assumptions!$C$56</f>
        <v>300</v>
      </c>
      <c r="G18808" s="16" t="n">
        <f aca="false">G18797+G18804+G18802-G18803-G18805-G18806</f>
        <v>300</v>
      </c>
      <c r="H18808" s="16" t="n">
        <f aca="false">H18797+H18804+H18802-H18803-H18805-H18806</f>
        <v>300</v>
      </c>
      <c r="I18808" s="16" t="n">
        <f aca="false">I18797+I18804+I18802-I18803-I18805-I18806</f>
        <v>300</v>
      </c>
      <c r="J18808" s="16" t="n">
        <f aca="false">J18797+J18804+J18802-J18803-J18805-J18806</f>
        <v>300</v>
      </c>
      <c r="K18808" s="16" t="n">
        <f aca="false">K18797+K18804+K18802-K18803-K18805-K18806</f>
        <v>300</v>
      </c>
    </row>
    <row r="18809" customFormat="false" ht="15" hidden="false" customHeight="false" outlineLevel="0" collapsed="false">
      <c r="A18809" s="23" t="s">
        <v>278</v>
      </c>
      <c r="B18809" s="24"/>
      <c r="C18809" s="24"/>
      <c r="D18809" s="24"/>
      <c r="E18809" s="24"/>
      <c r="F18809" s="24"/>
      <c r="G18809" s="24"/>
      <c r="H18809" s="24"/>
      <c r="I18809" s="24"/>
      <c r="J18809" s="24"/>
      <c r="K18809" s="24"/>
    </row>
    <row r="18810" customFormat="false" ht="15" hidden="false" customHeight="false" outlineLevel="0" collapsed="false">
      <c r="A18810" s="2" t="s">
        <v>279</v>
      </c>
      <c r="F18810" s="16" t="n">
        <f aca="false">F18769+F18782+F18795+F18808</f>
        <v>1250</v>
      </c>
      <c r="G18810" s="16" t="n">
        <f aca="false">G18769+G18782+G18795+G18808</f>
        <v>1281.0968</v>
      </c>
      <c r="H18810" s="16" t="n">
        <f aca="false">H18769+H18782+H18795+H18808</f>
        <v>1275.8968</v>
      </c>
      <c r="I18810" s="16" t="n">
        <f aca="false">I18769+I18782+I18795+I18808</f>
        <v>1270.6968</v>
      </c>
      <c r="J18810" s="16" t="n">
        <f aca="false">J18769+J18782+J18795+J18808</f>
        <v>1265.4968</v>
      </c>
      <c r="K18810" s="16" t="n">
        <f aca="false">K18769+K18782+K18795+K18808</f>
        <v>1260.2968</v>
      </c>
    </row>
    <row r="18811" customFormat="false" ht="15" hidden="false" customHeight="false" outlineLevel="0" collapsed="false">
      <c r="A18811" s="5" t="s">
        <v>280</v>
      </c>
      <c r="G18811" s="25" t="n">
        <f aca="false">G18759*Assumptions!$C$53+G18772*Assumptions!$C$54+G18785*Assumptions!$C$55+G18798*Assumptions!$C$56</f>
        <v>0</v>
      </c>
      <c r="H18811" s="25" t="n">
        <f aca="false">H18759*Assumptions!$C$53+H18772*Assumptions!$C$54+H18785*Assumptions!$C$55+H18798*Assumptions!$C$56</f>
        <v>480</v>
      </c>
      <c r="I18811" s="25" t="n">
        <f aca="false">I18759*Assumptions!$C$53+I18772*Assumptions!$C$54+I18785*Assumptions!$C$55+I18798*Assumptions!$C$56</f>
        <v>520</v>
      </c>
      <c r="J18811" s="25" t="n">
        <f aca="false">J18759*Assumptions!$C$53+J18772*Assumptions!$C$54+J18785*Assumptions!$C$55+J18798*Assumptions!$C$56</f>
        <v>250</v>
      </c>
      <c r="K18811" s="25" t="n">
        <f aca="false">K18759*Assumptions!$C$53+K18772*Assumptions!$C$54+K18785*Assumptions!$C$55+K18798*Assumptions!$C$56</f>
        <v>0</v>
      </c>
    </row>
    <row r="18812" customFormat="false" ht="15" hidden="false" customHeight="false" outlineLevel="0" collapsed="false">
      <c r="A18812" s="23" t="s">
        <v>281</v>
      </c>
      <c r="B18812" s="24"/>
      <c r="C18812" s="24"/>
      <c r="D18812" s="24"/>
      <c r="E18812" s="24"/>
      <c r="F18812" s="24"/>
      <c r="G18812" s="24"/>
      <c r="H18812" s="24"/>
      <c r="I18812" s="24"/>
      <c r="J18812" s="24"/>
      <c r="K18812" s="24"/>
    </row>
    <row r="18813" customFormat="false" ht="15" hidden="false" customHeight="false" outlineLevel="0" collapsed="false">
      <c r="A18813" s="5" t="s">
        <v>282</v>
      </c>
      <c r="C18813" s="25" t="n">
        <f aca="false">SUMPRODUCT($G$18759:$K$18759,$G$18758:$K$18758-$G$18764:$K$18764+$G$18763:$K$18763)</f>
        <v>216.2968</v>
      </c>
    </row>
    <row r="18814" customFormat="false" ht="15" hidden="false" customHeight="false" outlineLevel="0" collapsed="false">
      <c r="A18814" s="5" t="s">
        <v>283</v>
      </c>
      <c r="C18814" s="25" t="n">
        <f aca="false">SUMPRODUCT($G$18759:$K$18759,$G$18766:$K$18766)</f>
        <v>0</v>
      </c>
    </row>
    <row r="18815" customFormat="false" ht="15" hidden="false" customHeight="false" outlineLevel="0" collapsed="false">
      <c r="A18815" s="5" t="s">
        <v>284</v>
      </c>
      <c r="C18815" s="5" t="str">
        <f aca="false">IF(SUM($G$18759:$K$18759)=0,"n/a (beyond horizon)",IF(SUMPRODUCT($G$18759:$K$18759,$G$18756:$K$18756)&gt;0,"REFINANCING PASS","REFINANCING FAILURE"))</f>
        <v>REFINANCING FAILURE</v>
      </c>
    </row>
    <row r="18816" customFormat="false" ht="15" hidden="false" customHeight="false" outlineLevel="0" collapsed="false">
      <c r="A18816" s="5" t="s">
        <v>285</v>
      </c>
      <c r="C18816" s="5" t="str">
        <f aca="false">IF(SUM($G$18759:$K$18759)=0,"n/a",IF(C18814&gt;=C18813-0.001,"Repaid from cash",IF(SUMPRODUCT($G$18759:$K$18759,$G$18756:$K$18756)&gt;0,IF(C18814&gt;0,"Partly repaid; remainder refinanced","Refinanced"),IF(SUM($G$18768:$K$18768)&gt;0.001,IF(C18814&gt;0,"Partial repayment; PAYMENT DEFAULT","PAYMENT DEFAULT"),"Repaid from cash"))))</f>
        <v>PAYMENT DEFAULT</v>
      </c>
    </row>
    <row r="18817" customFormat="false" ht="15" hidden="false" customHeight="false" outlineLevel="0" collapsed="false">
      <c r="A18817" s="5" t="s">
        <v>286</v>
      </c>
      <c r="C18817" s="25" t="n">
        <f aca="false">SUMPRODUCT($G$18772:$K$18772,$G$18771:$K$18771-$G$18777:$K$18777+$G$18776:$K$18776)</f>
        <v>504.4</v>
      </c>
    </row>
    <row r="18818" customFormat="false" ht="15" hidden="false" customHeight="false" outlineLevel="0" collapsed="false">
      <c r="A18818" s="5" t="s">
        <v>287</v>
      </c>
      <c r="C18818" s="25" t="n">
        <f aca="false">SUMPRODUCT($G$18772:$K$18772,$G$18779:$K$18779)</f>
        <v>0</v>
      </c>
    </row>
    <row r="18819" customFormat="false" ht="15" hidden="false" customHeight="false" outlineLevel="0" collapsed="false">
      <c r="A18819" s="5" t="s">
        <v>288</v>
      </c>
      <c r="C18819" s="5" t="str">
        <f aca="false">IF(SUM($G$18772:$K$18772)=0,"n/a (beyond horizon)",IF(SUMPRODUCT($G$18772:$K$18772,$G$18756:$K$18756)&gt;0,"REFINANCING PASS","REFINANCING FAILURE"))</f>
        <v>REFINANCING FAILURE</v>
      </c>
    </row>
    <row r="18820" customFormat="false" ht="15" hidden="false" customHeight="false" outlineLevel="0" collapsed="false">
      <c r="A18820" s="5" t="s">
        <v>289</v>
      </c>
      <c r="C18820" s="5" t="str">
        <f aca="false">IF(SUM($G$18772:$K$18772)=0,"n/a",IF(C18818&gt;=C18817-0.001,"Repaid from cash",IF(SUMPRODUCT($G$18772:$K$18772,$G$18756:$K$18756)&gt;0,IF(C18818&gt;0,"Partly repaid; remainder refinanced","Refinanced"),IF(SUM($G$18781:$K$18781)&gt;0.001,IF(C18818&gt;0,"Partial repayment; PAYMENT DEFAULT","PAYMENT DEFAULT"),"Repaid from cash"))))</f>
        <v>PAYMENT DEFAULT</v>
      </c>
    </row>
    <row r="18821" customFormat="false" ht="15" hidden="false" customHeight="false" outlineLevel="0" collapsed="false">
      <c r="A18821" s="5" t="s">
        <v>290</v>
      </c>
      <c r="C18821" s="25" t="n">
        <f aca="false">SUMPRODUCT($G$18785:$K$18785,$G$18784:$K$18784-$G$18790:$K$18790+$G$18789:$K$18789)</f>
        <v>250</v>
      </c>
    </row>
    <row r="18822" customFormat="false" ht="15" hidden="false" customHeight="false" outlineLevel="0" collapsed="false">
      <c r="A18822" s="5" t="s">
        <v>291</v>
      </c>
      <c r="C18822" s="25" t="n">
        <f aca="false">SUMPRODUCT($G$18785:$K$18785,$G$18792:$K$18792)</f>
        <v>0</v>
      </c>
    </row>
    <row r="18823" customFormat="false" ht="15" hidden="false" customHeight="false" outlineLevel="0" collapsed="false">
      <c r="A18823" s="5" t="s">
        <v>292</v>
      </c>
      <c r="C18823" s="5" t="str">
        <f aca="false">IF(SUM($G$18785:$K$18785)=0,"n/a (beyond horizon)",IF(SUMPRODUCT($G$18785:$K$18785,$G$18756:$K$18756)&gt;0,"REFINANCING PASS","REFINANCING FAILURE"))</f>
        <v>REFINANCING FAILURE</v>
      </c>
    </row>
    <row r="18824" customFormat="false" ht="15" hidden="false" customHeight="false" outlineLevel="0" collapsed="false">
      <c r="A18824" s="5" t="s">
        <v>293</v>
      </c>
      <c r="C18824" s="5" t="str">
        <f aca="false">IF(SUM($G$18785:$K$18785)=0,"n/a",IF(C18822&gt;=C18821-0.001,"Repaid from cash",IF(SUMPRODUCT($G$18785:$K$18785,$G$18756:$K$18756)&gt;0,IF(C18822&gt;0,"Partly repaid; remainder refinanced","Refinanced"),IF(SUM($G$18794:$K$18794)&gt;0.001,IF(C18822&gt;0,"Partial repayment; PAYMENT DEFAULT","PAYMENT DEFAULT"),"Repaid from cash"))))</f>
        <v>PAYMENT DEFAULT</v>
      </c>
    </row>
    <row r="18825" customFormat="false" ht="15" hidden="false" customHeight="false" outlineLevel="0" collapsed="false">
      <c r="A18825" s="5" t="s">
        <v>294</v>
      </c>
      <c r="C18825" s="25" t="n">
        <f aca="false">SUMPRODUCT($G$18798:$K$18798,$G$18797:$K$18797-$G$18803:$K$18803+$G$18802:$K$18802)</f>
        <v>300</v>
      </c>
    </row>
    <row r="18826" customFormat="false" ht="15" hidden="false" customHeight="false" outlineLevel="0" collapsed="false">
      <c r="A18826" s="5" t="s">
        <v>295</v>
      </c>
      <c r="C18826" s="25" t="n">
        <f aca="false">SUMPRODUCT($G$18798:$K$18798,$G$18805:$K$18805)</f>
        <v>0</v>
      </c>
    </row>
    <row r="18827" customFormat="false" ht="15" hidden="false" customHeight="false" outlineLevel="0" collapsed="false">
      <c r="A18827" s="5" t="s">
        <v>296</v>
      </c>
      <c r="C18827" s="5" t="str">
        <f aca="false">IF(SUM($G$18798:$K$18798)=0,"n/a (beyond horizon)",IF(SUMPRODUCT($G$18798:$K$18798,$G$18756:$K$18756)&gt;0,"REFINANCING PASS","REFINANCING FAILURE"))</f>
        <v>REFINANCING FAILURE</v>
      </c>
    </row>
    <row r="18828" customFormat="false" ht="15" hidden="false" customHeight="false" outlineLevel="0" collapsed="false">
      <c r="A18828" s="5" t="s">
        <v>297</v>
      </c>
      <c r="C18828" s="5" t="str">
        <f aca="false">IF(SUM($G$18798:$K$18798)=0,"n/a",IF(C18826&gt;=C18825-0.001,"Repaid from cash",IF(SUMPRODUCT($G$18798:$K$18798,$G$18756:$K$18756)&gt;0,IF(C18826&gt;0,"Partly repaid; remainder refinanced","Refinanced"),IF(SUM($G$18807:$K$18807)&gt;0.001,IF(C18826&gt;0,"Partial repayment; PAYMENT DEFAULT","PAYMENT DEFAULT"),"Repaid from cash"))))</f>
        <v>PAYMENT DEFAULT</v>
      </c>
    </row>
    <row r="18829" customFormat="false" ht="15" hidden="false" customHeight="false" outlineLevel="0" collapsed="false">
      <c r="A18829" s="5" t="s">
        <v>298</v>
      </c>
      <c r="C18829" s="20" t="n">
        <f aca="false">IF(C18815="REFINANCING FAILURE",1,0)+IF(C18819="REFINANCING FAILURE",1,0)+IF(C18823="REFINANCING FAILURE",1,0)+IF(C18827="REFINANCING FAILURE",1,0)</f>
        <v>4</v>
      </c>
    </row>
    <row r="18831" customFormat="false" ht="15" hidden="false" customHeight="false" outlineLevel="0" collapsed="false">
      <c r="A18831" s="23" t="s">
        <v>300</v>
      </c>
      <c r="B18831" s="24"/>
      <c r="C18831" s="24"/>
      <c r="D18831" s="24"/>
      <c r="E18831" s="24"/>
      <c r="F18831" s="24"/>
      <c r="G18831" s="24"/>
      <c r="H18831" s="24"/>
      <c r="I18831" s="24"/>
      <c r="J18831" s="24"/>
      <c r="K18831" s="24"/>
    </row>
    <row r="18832" customFormat="false" ht="15" hidden="false" customHeight="false" outlineLevel="0" collapsed="false">
      <c r="A18832" s="5" t="s">
        <v>260</v>
      </c>
      <c r="G18832" s="25" t="n">
        <f aca="false">F18844</f>
        <v>45</v>
      </c>
      <c r="H18832" s="25" t="n">
        <f aca="false">G18844</f>
        <v>0</v>
      </c>
      <c r="I18832" s="25" t="n">
        <f aca="false">H18844</f>
        <v>-121.3557292</v>
      </c>
      <c r="J18832" s="25" t="n">
        <f aca="false">I18844</f>
        <v>-236.702175152</v>
      </c>
      <c r="K18832" s="25" t="n">
        <f aca="false">J18844</f>
        <v>-337.79889141424</v>
      </c>
    </row>
    <row r="18833" customFormat="false" ht="15" hidden="false" customHeight="false" outlineLevel="0" collapsed="false">
      <c r="A18833" s="5" t="s">
        <v>301</v>
      </c>
      <c r="G18833" s="25" t="n">
        <f aca="false">G18745</f>
        <v>-76.0968</v>
      </c>
      <c r="H18833" s="25" t="n">
        <f aca="false">H18745</f>
        <v>-116.1557292</v>
      </c>
      <c r="I18833" s="25" t="n">
        <f aca="false">I18745</f>
        <v>-110.146445952</v>
      </c>
      <c r="J18833" s="25" t="n">
        <f aca="false">J18745</f>
        <v>-95.89671626224</v>
      </c>
      <c r="K18833" s="25" t="n">
        <f aca="false">K18745</f>
        <v>-83.18519092616</v>
      </c>
    </row>
    <row r="18834" customFormat="false" ht="15" hidden="false" customHeight="false" outlineLevel="0" collapsed="false">
      <c r="A18834" s="5" t="s">
        <v>302</v>
      </c>
      <c r="G18834" s="25" t="n">
        <f aca="false">CHOOSE($C$18715,Assumptions!$G$68,Assumptions!$G$87,Assumptions!$G$106)</f>
        <v>0</v>
      </c>
      <c r="H18834" s="25" t="n">
        <f aca="false">CHOOSE($C$18715,Assumptions!$H$68,Assumptions!$H$87,Assumptions!$H$106)</f>
        <v>0</v>
      </c>
      <c r="I18834" s="25" t="n">
        <f aca="false">CHOOSE($C$18715,Assumptions!$I$68,Assumptions!$I$87,Assumptions!$I$106)</f>
        <v>0</v>
      </c>
      <c r="J18834" s="25" t="n">
        <f aca="false">CHOOSE($C$18715,Assumptions!$J$68,Assumptions!$J$87,Assumptions!$J$106)</f>
        <v>0</v>
      </c>
      <c r="K18834" s="25" t="n">
        <f aca="false">CHOOSE($C$18715,Assumptions!$K$68,Assumptions!$K$87,Assumptions!$K$106)</f>
        <v>0</v>
      </c>
    </row>
    <row r="18835" customFormat="false" ht="15" hidden="false" customHeight="false" outlineLevel="0" collapsed="false">
      <c r="A18835" s="5" t="s">
        <v>303</v>
      </c>
      <c r="G18835" s="25" t="n">
        <f aca="false">G18764+G18777+G18790+G18803</f>
        <v>5.2</v>
      </c>
      <c r="H18835" s="25" t="n">
        <f aca="false">H18764+H18777+H18790+H18803</f>
        <v>5.2</v>
      </c>
      <c r="I18835" s="25" t="n">
        <f aca="false">I18764+I18777+I18790+I18803</f>
        <v>5.2</v>
      </c>
      <c r="J18835" s="25" t="n">
        <f aca="false">J18764+J18777+J18790+J18803</f>
        <v>5.2</v>
      </c>
      <c r="K18835" s="25" t="n">
        <f aca="false">K18764+K18777+K18790+K18803</f>
        <v>5.2</v>
      </c>
    </row>
    <row r="18836" customFormat="false" ht="15" hidden="false" customHeight="false" outlineLevel="0" collapsed="false">
      <c r="A18836" s="2" t="s">
        <v>304</v>
      </c>
      <c r="G18836" s="16" t="n">
        <f aca="false">G18832+G18833+G18834-G18835</f>
        <v>-36.2968000000001</v>
      </c>
      <c r="H18836" s="16" t="n">
        <f aca="false">H18832+H18833+H18834-H18835</f>
        <v>-121.3557292</v>
      </c>
      <c r="I18836" s="16" t="n">
        <f aca="false">I18832+I18833+I18834-I18835</f>
        <v>-236.702175152</v>
      </c>
      <c r="J18836" s="16" t="n">
        <f aca="false">J18832+J18833+J18834-J18835</f>
        <v>-337.79889141424</v>
      </c>
      <c r="K18836" s="16" t="n">
        <f aca="false">K18832+K18833+K18834-K18835</f>
        <v>-426.1840823404</v>
      </c>
    </row>
    <row r="18837" customFormat="false" ht="15" hidden="false" customHeight="false" outlineLevel="0" collapsed="false">
      <c r="A18837" s="5" t="s">
        <v>305</v>
      </c>
      <c r="G18837" s="25" t="n">
        <f aca="false">G18765+G18778+G18791+G18804</f>
        <v>36.2968000000001</v>
      </c>
      <c r="H18837" s="25" t="n">
        <f aca="false">H18765+H18778+H18791+H18804</f>
        <v>0</v>
      </c>
      <c r="I18837" s="25" t="n">
        <f aca="false">I18765+I18778+I18791+I18804</f>
        <v>0</v>
      </c>
      <c r="J18837" s="25" t="n">
        <f aca="false">J18765+J18778+J18791+J18804</f>
        <v>0</v>
      </c>
      <c r="K18837" s="25" t="n">
        <f aca="false">K18765+K18778+K18791+K18804</f>
        <v>0</v>
      </c>
    </row>
    <row r="18838" customFormat="false" ht="15" hidden="false" customHeight="false" outlineLevel="0" collapsed="false">
      <c r="A18838" s="2" t="s">
        <v>306</v>
      </c>
      <c r="G18838" s="16" t="n">
        <f aca="false">G18836+G18837</f>
        <v>0</v>
      </c>
      <c r="H18838" s="16" t="n">
        <f aca="false">H18836+H18837</f>
        <v>-121.3557292</v>
      </c>
      <c r="I18838" s="16" t="n">
        <f aca="false">I18836+I18837</f>
        <v>-236.702175152</v>
      </c>
      <c r="J18838" s="16" t="n">
        <f aca="false">J18836+J18837</f>
        <v>-337.79889141424</v>
      </c>
      <c r="K18838" s="16" t="n">
        <f aca="false">K18836+K18837</f>
        <v>-426.1840823404</v>
      </c>
    </row>
    <row r="18839" customFormat="false" ht="15" hidden="false" customHeight="false" outlineLevel="0" collapsed="false">
      <c r="A18839" s="5" t="s">
        <v>307</v>
      </c>
      <c r="G18839" s="25" t="n">
        <f aca="false">G18766+G18779+G18792+G18805</f>
        <v>0</v>
      </c>
      <c r="H18839" s="25" t="n">
        <f aca="false">H18766+H18779+H18792+H18805</f>
        <v>0</v>
      </c>
      <c r="I18839" s="25" t="n">
        <f aca="false">I18766+I18779+I18792+I18805</f>
        <v>0</v>
      </c>
      <c r="J18839" s="25" t="n">
        <f aca="false">J18766+J18779+J18792+J18805</f>
        <v>0</v>
      </c>
      <c r="K18839" s="25" t="n">
        <f aca="false">K18766+K18779+K18792+K18805</f>
        <v>0</v>
      </c>
    </row>
    <row r="18840" customFormat="false" ht="15" hidden="false" customHeight="false" outlineLevel="0" collapsed="false">
      <c r="A18840" s="2" t="s">
        <v>308</v>
      </c>
      <c r="G18840" s="16" t="n">
        <f aca="false">G18838-G18839</f>
        <v>0</v>
      </c>
      <c r="H18840" s="16" t="n">
        <f aca="false">H18838-H18839</f>
        <v>-121.3557292</v>
      </c>
      <c r="I18840" s="16" t="n">
        <f aca="false">I18838-I18839</f>
        <v>-236.702175152</v>
      </c>
      <c r="J18840" s="16" t="n">
        <f aca="false">J18838-J18839</f>
        <v>-337.79889141424</v>
      </c>
      <c r="K18840" s="16" t="n">
        <f aca="false">K18838-K18839</f>
        <v>-426.1840823404</v>
      </c>
    </row>
    <row r="18841" customFormat="false" ht="15" hidden="false" customHeight="false" outlineLevel="0" collapsed="false">
      <c r="A18841" s="5" t="s">
        <v>309</v>
      </c>
      <c r="G18841" s="25" t="n">
        <f aca="false">MAX(0,-G18840)</f>
        <v>-0</v>
      </c>
      <c r="H18841" s="25" t="n">
        <f aca="false">MAX(0,-H18840)</f>
        <v>121.3557292</v>
      </c>
      <c r="I18841" s="25" t="n">
        <f aca="false">MAX(0,-I18840)</f>
        <v>236.702175152</v>
      </c>
      <c r="J18841" s="25" t="n">
        <f aca="false">MAX(0,-J18840)</f>
        <v>337.79889141424</v>
      </c>
      <c r="K18841" s="25" t="n">
        <f aca="false">MAX(0,-K18840)</f>
        <v>426.1840823404</v>
      </c>
    </row>
    <row r="18842" customFormat="false" ht="15" hidden="false" customHeight="false" outlineLevel="0" collapsed="false">
      <c r="A18842" s="5" t="s">
        <v>310</v>
      </c>
      <c r="G18842" s="25" t="n">
        <f aca="false">MAX(0,G18840-Assumptions!$C$12)*Assumptions!$C$13</f>
        <v>0</v>
      </c>
      <c r="H18842" s="25" t="n">
        <f aca="false">MAX(0,H18840-Assumptions!$C$12)*Assumptions!$C$13</f>
        <v>0</v>
      </c>
      <c r="I18842" s="25" t="n">
        <f aca="false">MAX(0,I18840-Assumptions!$C$12)*Assumptions!$C$13</f>
        <v>0</v>
      </c>
      <c r="J18842" s="25" t="n">
        <f aca="false">MAX(0,J18840-Assumptions!$C$12)*Assumptions!$C$13</f>
        <v>0</v>
      </c>
      <c r="K18842" s="25" t="n">
        <f aca="false">MAX(0,K18840-Assumptions!$C$12)*Assumptions!$C$13</f>
        <v>0</v>
      </c>
    </row>
    <row r="18843" customFormat="false" ht="15" hidden="false" customHeight="false" outlineLevel="0" collapsed="false">
      <c r="A18843" s="5" t="s">
        <v>311</v>
      </c>
      <c r="G18843" s="25" t="n">
        <f aca="false">G18767+G18780+G18793+G18806</f>
        <v>0</v>
      </c>
      <c r="H18843" s="25" t="n">
        <f aca="false">H18767+H18780+H18793+H18806</f>
        <v>0</v>
      </c>
      <c r="I18843" s="25" t="n">
        <f aca="false">I18767+I18780+I18793+I18806</f>
        <v>0</v>
      </c>
      <c r="J18843" s="25" t="n">
        <f aca="false">J18767+J18780+J18793+J18806</f>
        <v>0</v>
      </c>
      <c r="K18843" s="25" t="n">
        <f aca="false">K18767+K18780+K18793+K18806</f>
        <v>0</v>
      </c>
    </row>
    <row r="18844" customFormat="false" ht="15" hidden="false" customHeight="false" outlineLevel="0" collapsed="false">
      <c r="A18844" s="2" t="s">
        <v>312</v>
      </c>
      <c r="F18844" s="27" t="n">
        <f aca="false">Assumptions!$C$11</f>
        <v>45</v>
      </c>
      <c r="G18844" s="16" t="n">
        <f aca="false">G18840-G18843</f>
        <v>0</v>
      </c>
      <c r="H18844" s="16" t="n">
        <f aca="false">H18840-H18843</f>
        <v>-121.3557292</v>
      </c>
      <c r="I18844" s="16" t="n">
        <f aca="false">I18840-I18843</f>
        <v>-236.702175152</v>
      </c>
      <c r="J18844" s="16" t="n">
        <f aca="false">J18840-J18843</f>
        <v>-337.79889141424</v>
      </c>
      <c r="K18844" s="16" t="n">
        <f aca="false">K18840-K18843</f>
        <v>-426.1840823404</v>
      </c>
    </row>
    <row r="18845" customFormat="false" ht="15" hidden="false" customHeight="false" outlineLevel="0" collapsed="false">
      <c r="A18845" s="5" t="s">
        <v>313</v>
      </c>
      <c r="G18845" s="25" t="n">
        <f aca="false">G18768+G18781+G18794+G18807</f>
        <v>0</v>
      </c>
      <c r="H18845" s="25" t="n">
        <f aca="false">H18768+H18781+H18794+H18807</f>
        <v>516.2968</v>
      </c>
      <c r="I18845" s="25" t="n">
        <f aca="false">I18768+I18781+I18794+I18807</f>
        <v>504.4</v>
      </c>
      <c r="J18845" s="25" t="n">
        <f aca="false">J18768+J18781+J18794+J18807</f>
        <v>250</v>
      </c>
      <c r="K18845" s="25" t="n">
        <f aca="false">K18768+K18781+K18794+K18807</f>
        <v>0</v>
      </c>
    </row>
    <row r="18846" customFormat="false" ht="15" hidden="false" customHeight="false" outlineLevel="0" collapsed="false">
      <c r="A18846" s="5" t="s">
        <v>314</v>
      </c>
      <c r="G18846" s="20" t="n">
        <f aca="false">IF(OR(G18841&gt;0.001,G18845&gt;0.001),1,0)</f>
        <v>0</v>
      </c>
      <c r="H18846" s="20" t="n">
        <f aca="false">IF(OR(H18841&gt;0.001,H18845&gt;0.001),1,0)</f>
        <v>1</v>
      </c>
      <c r="I18846" s="20" t="n">
        <f aca="false">IF(OR(I18841&gt;0.001,I18845&gt;0.001),1,0)</f>
        <v>1</v>
      </c>
      <c r="J18846" s="20" t="n">
        <f aca="false">IF(OR(J18841&gt;0.001,J18845&gt;0.001),1,0)</f>
        <v>1</v>
      </c>
      <c r="K18846" s="20" t="n">
        <f aca="false">IF(OR(K18841&gt;0.001,K18845&gt;0.001),1,0)</f>
        <v>1</v>
      </c>
    </row>
    <row r="18847" customFormat="false" ht="15" hidden="false" customHeight="false" outlineLevel="0" collapsed="false">
      <c r="A18847" s="5" t="s">
        <v>315</v>
      </c>
      <c r="G18847" s="20" t="n">
        <f aca="false">IF(G18846=1,1,0)</f>
        <v>0</v>
      </c>
      <c r="H18847" s="20" t="n">
        <f aca="false">IF(AND(H18846=1,SUM($G$18846:G18846)=0),1,0)</f>
        <v>1</v>
      </c>
      <c r="I18847" s="20" t="n">
        <f aca="false">IF(AND(I18846=1,SUM($G$18846:H18846)=0),1,0)</f>
        <v>0</v>
      </c>
      <c r="J18847" s="20" t="n">
        <f aca="false">IF(AND(J18846=1,SUM($G$18846:I18846)=0),1,0)</f>
        <v>0</v>
      </c>
      <c r="K18847" s="20" t="n">
        <f aca="false">IF(AND(K18846=1,SUM($G$18846:J18846)=0),1,0)</f>
        <v>0</v>
      </c>
    </row>
    <row r="18848" customFormat="false" ht="15" hidden="false" customHeight="false" outlineLevel="0" collapsed="false">
      <c r="A18848" s="5" t="s">
        <v>316</v>
      </c>
      <c r="G18848" s="25" t="n">
        <f aca="false">(G18810-F18810)-(G18837+G18737-G18835-G18839-G18843)</f>
        <v>0</v>
      </c>
      <c r="H18848" s="25" t="n">
        <f aca="false">(H18810-G18810)-(H18837+H18737-H18835-H18839-H18843)</f>
        <v>-4.52970994047064E-014</v>
      </c>
      <c r="I18848" s="25" t="n">
        <f aca="false">(I18810-H18810)-(I18837+I18737-I18835-I18839-I18843)</f>
        <v>1.82076576038526E-013</v>
      </c>
      <c r="J18848" s="25" t="n">
        <f aca="false">(J18810-I18810)-(J18837+J18737-J18835-J18839-J18843)</f>
        <v>-2.72670774847938E-013</v>
      </c>
      <c r="K18848" s="25" t="n">
        <f aca="false">(K18810-J18810)-(K18837+K18737-K18835-K18839-K18843)</f>
        <v>1.82076576038526E-013</v>
      </c>
    </row>
    <row r="18850" customFormat="false" ht="15" hidden="false" customHeight="false" outlineLevel="0" collapsed="false">
      <c r="A18850" s="23" t="s">
        <v>318</v>
      </c>
      <c r="B18850" s="24"/>
      <c r="C18850" s="24"/>
      <c r="D18850" s="24"/>
      <c r="E18850" s="24"/>
      <c r="F18850" s="24"/>
      <c r="G18850" s="24"/>
      <c r="H18850" s="24"/>
      <c r="I18850" s="24"/>
      <c r="J18850" s="24"/>
      <c r="K18850" s="24"/>
    </row>
    <row r="18851" customFormat="false" ht="15" hidden="false" customHeight="false" outlineLevel="0" collapsed="false">
      <c r="A18851" s="5" t="s">
        <v>319</v>
      </c>
      <c r="G18851" s="25" t="n">
        <f aca="false">G18810</f>
        <v>1281.0968</v>
      </c>
      <c r="H18851" s="25" t="n">
        <f aca="false">H18810</f>
        <v>1275.8968</v>
      </c>
      <c r="I18851" s="25" t="n">
        <f aca="false">I18810</f>
        <v>1270.6968</v>
      </c>
      <c r="J18851" s="25" t="n">
        <f aca="false">J18810</f>
        <v>1265.4968</v>
      </c>
      <c r="K18851" s="25" t="n">
        <f aca="false">K18810</f>
        <v>1260.2968</v>
      </c>
    </row>
    <row r="18852" customFormat="false" ht="15" hidden="false" customHeight="false" outlineLevel="0" collapsed="false">
      <c r="A18852" s="5" t="s">
        <v>320</v>
      </c>
      <c r="G18852" s="25" t="n">
        <f aca="false">Assumptions!$O$53*G18769+Assumptions!$O$54*G18782+Assumptions!$O$55*G18795+Assumptions!$O$56*G18808</f>
        <v>981.0968</v>
      </c>
      <c r="H18852" s="25" t="n">
        <f aca="false">Assumptions!$O$53*H18769+Assumptions!$O$54*H18782+Assumptions!$O$55*H18795+Assumptions!$O$56*H18808</f>
        <v>975.8968</v>
      </c>
      <c r="I18852" s="25" t="n">
        <f aca="false">Assumptions!$O$53*I18769+Assumptions!$O$54*I18782+Assumptions!$O$55*I18795+Assumptions!$O$56*I18808</f>
        <v>970.6968</v>
      </c>
      <c r="J18852" s="25" t="n">
        <f aca="false">Assumptions!$O$53*J18769+Assumptions!$O$54*J18782+Assumptions!$O$55*J18795+Assumptions!$O$56*J18808</f>
        <v>965.4968</v>
      </c>
      <c r="K18852" s="25" t="n">
        <f aca="false">Assumptions!$O$53*K18769+Assumptions!$O$54*K18782+Assumptions!$O$55*K18795+Assumptions!$O$56*K18808</f>
        <v>960.2968</v>
      </c>
    </row>
    <row r="18853" customFormat="false" ht="15" hidden="false" customHeight="false" outlineLevel="0" collapsed="false">
      <c r="A18853" s="5" t="s">
        <v>321</v>
      </c>
      <c r="G18853" s="25" t="n">
        <f aca="false">G18851-G18844</f>
        <v>1281.0968</v>
      </c>
      <c r="H18853" s="25" t="n">
        <f aca="false">H18851-H18844</f>
        <v>1397.2525292</v>
      </c>
      <c r="I18853" s="25" t="n">
        <f aca="false">I18851-I18844</f>
        <v>1507.398975152</v>
      </c>
      <c r="J18853" s="25" t="n">
        <f aca="false">J18851-J18844</f>
        <v>1603.29569141424</v>
      </c>
      <c r="K18853" s="25" t="n">
        <f aca="false">K18851-K18844</f>
        <v>1686.4808823404</v>
      </c>
    </row>
    <row r="18854" customFormat="false" ht="15" hidden="false" customHeight="false" outlineLevel="0" collapsed="false">
      <c r="A18854" s="5" t="s">
        <v>322</v>
      </c>
      <c r="G18854" s="31" t="n">
        <f aca="false">IF(G18732&gt;0,G18851/G18732,0)</f>
        <v>16.5413800227249</v>
      </c>
      <c r="H18854" s="31" t="n">
        <f aca="false">IF(H18732&gt;0,H18851/H18732,0)</f>
        <v>26.0868812807611</v>
      </c>
      <c r="I18854" s="31" t="n">
        <f aca="false">IF(I18732&gt;0,I18851/I18732,0)</f>
        <v>20.7088178018065</v>
      </c>
      <c r="J18854" s="31" t="n">
        <f aca="false">IF(J18732&gt;0,J18851/J18732,0)</f>
        <v>17.2611283222678</v>
      </c>
      <c r="K18854" s="31" t="n">
        <f aca="false">IF(K18732&gt;0,K18851/K18732,0)</f>
        <v>14.8227900209479</v>
      </c>
    </row>
    <row r="18855" customFormat="false" ht="15" hidden="false" customHeight="false" outlineLevel="0" collapsed="false">
      <c r="A18855" s="5" t="s">
        <v>323</v>
      </c>
      <c r="G18855" s="31" t="n">
        <f aca="false">IF(G18732&gt;0,G18853/G18732,0)</f>
        <v>16.5413800227249</v>
      </c>
      <c r="H18855" s="31" t="n">
        <f aca="false">IF(H18732&gt;0,H18853/H18732,0)</f>
        <v>28.5681105622991</v>
      </c>
      <c r="I18855" s="31" t="n">
        <f aca="false">IF(I18732&gt;0,I18853/I18732,0)</f>
        <v>24.5664038274533</v>
      </c>
      <c r="J18855" s="31" t="n">
        <f aca="false">IF(J18732&gt;0,J18853/J18732,0)</f>
        <v>21.8686389946149</v>
      </c>
      <c r="K18855" s="31" t="n">
        <f aca="false">IF(K18732&gt;0,K18853/K18732,0)</f>
        <v>19.8352895867661</v>
      </c>
    </row>
    <row r="18856" customFormat="false" ht="15" hidden="false" customHeight="false" outlineLevel="0" collapsed="false">
      <c r="A18856" s="5" t="s">
        <v>324</v>
      </c>
      <c r="G18856" s="31" t="n">
        <f aca="false">IF(G18736&gt;0,G18732/G18736,0)</f>
        <v>0.597869383974062</v>
      </c>
      <c r="H18856" s="31" t="n">
        <f aca="false">IF(H18736&gt;0,H18732/H18736,0)</f>
        <v>0.374027109660081</v>
      </c>
      <c r="I18856" s="31" t="n">
        <f aca="false">IF(I18736&gt;0,I18732/I18736,0)</f>
        <v>0.478071824514175</v>
      </c>
      <c r="J18856" s="31" t="n">
        <f aca="false">IF(J18736&gt;0,J18732/J18736,0)</f>
        <v>0.573840521753012</v>
      </c>
      <c r="K18856" s="31" t="n">
        <f aca="false">IF(K18736&gt;0,K18732/K18736,0)</f>
        <v>0.668565910880975</v>
      </c>
    </row>
    <row r="18857" customFormat="false" ht="15" hidden="false" customHeight="false" outlineLevel="0" collapsed="false">
      <c r="A18857" s="5" t="s">
        <v>325</v>
      </c>
      <c r="G18857" s="31" t="n">
        <f aca="false">IF(G18736&gt;0,G18735/G18736,0)</f>
        <v>0.222065771190366</v>
      </c>
      <c r="H18857" s="31" t="n">
        <f aca="false">IF(H18736&gt;0,H18735/H18736,0)</f>
        <v>0.0162620482460903</v>
      </c>
      <c r="I18857" s="31" t="n">
        <f aca="false">IF(I18736&gt;0,I18735/I18736,0)</f>
        <v>0.115396647296525</v>
      </c>
      <c r="J18857" s="31" t="n">
        <f aca="false">IF(J18736&gt;0,J18735/J18736,0)</f>
        <v>0.213140765222547</v>
      </c>
      <c r="K18857" s="31" t="n">
        <f aca="false">IF(K18736&gt;0,K18735/K18736,0)</f>
        <v>0.309823226993622</v>
      </c>
    </row>
    <row r="18858" customFormat="false" ht="15" hidden="false" customHeight="false" outlineLevel="0" collapsed="false">
      <c r="A18858" s="5" t="s">
        <v>182</v>
      </c>
      <c r="G18858" s="21" t="n">
        <f aca="false">IF(G18851&gt;0,G18745/G18851,0)</f>
        <v>-0.0593997268590477</v>
      </c>
      <c r="H18858" s="21" t="n">
        <f aca="false">IF(H18851&gt;0,H18745/H18851,0)</f>
        <v>-0.0910384987249753</v>
      </c>
      <c r="I18858" s="21" t="n">
        <f aca="false">IF(I18851&gt;0,I18745/I18851,0)</f>
        <v>-0.086681925973214</v>
      </c>
      <c r="J18858" s="21" t="n">
        <f aca="false">IF(J18851&gt;0,J18745/J18851,0)</f>
        <v>-0.0757779207835532</v>
      </c>
      <c r="K18858" s="21" t="n">
        <f aca="false">IF(K18851&gt;0,K18745/K18851,0)</f>
        <v>-0.0660044450848086</v>
      </c>
    </row>
    <row r="18859" customFormat="false" ht="15" hidden="false" customHeight="false" outlineLevel="0" collapsed="false">
      <c r="A18859" s="5" t="s">
        <v>326</v>
      </c>
      <c r="G18859" s="31" t="n">
        <f aca="false">IF(G18736+G18835&gt;0,(G18732-G18743-G18740)/(G18736+G18835),0)</f>
        <v>0.262763841472466</v>
      </c>
      <c r="H18859" s="31" t="n">
        <f aca="false">IF(H18736+H18835&gt;0,(H18732-H18743-H18740)/(H18736+H18835),0)</f>
        <v>0.0625604092748976</v>
      </c>
      <c r="I18859" s="31" t="n">
        <f aca="false">IF(I18736+I18835&gt;0,(I18732-I18743-I18740)/(I18736+I18835),0)</f>
        <v>0.158433508080696</v>
      </c>
      <c r="J18859" s="31" t="n">
        <f aca="false">IF(J18736+J18835&gt;0,(J18732-J18743-J18740)/(J18736+J18835),0)</f>
        <v>0.252067742993116</v>
      </c>
      <c r="K18859" s="31" t="n">
        <f aca="false">IF(K18736+K18835&gt;0,(K18732-K18743-K18740)/(K18736+K18835),0)</f>
        <v>0.344650334570687</v>
      </c>
    </row>
    <row r="18860" customFormat="false" ht="15" hidden="false" customHeight="false" outlineLevel="0" collapsed="false">
      <c r="A18860" s="5" t="s">
        <v>327</v>
      </c>
      <c r="G18860" s="25" t="n">
        <f aca="false">MAX(0,G18844)+Assumptions!$P$53*MAX(0,Assumptions!$D$53-G18769)+Assumptions!$P$54*MAX(0,Assumptions!$D$54-G18782)+Assumptions!$P$55*MAX(0,Assumptions!$D$55-G18795)+Assumptions!$P$56*MAX(0,Assumptions!$D$56-G18808)</f>
        <v>83.7032</v>
      </c>
      <c r="H18860" s="25" t="n">
        <f aca="false">MAX(0,H18844)+Assumptions!$P$53*MAX(0,Assumptions!$D$53-H18769)+Assumptions!$P$54*MAX(0,Assumptions!$D$54-H18782)+Assumptions!$P$55*MAX(0,Assumptions!$D$55-H18795)+Assumptions!$P$56*MAX(0,Assumptions!$D$56-H18808)</f>
        <v>83.7032</v>
      </c>
      <c r="I18860" s="25" t="n">
        <f aca="false">MAX(0,I18844)+Assumptions!$P$53*MAX(0,Assumptions!$D$53-I18769)+Assumptions!$P$54*MAX(0,Assumptions!$D$54-I18782)+Assumptions!$P$55*MAX(0,Assumptions!$D$55-I18795)+Assumptions!$P$56*MAX(0,Assumptions!$D$56-I18808)</f>
        <v>83.7032</v>
      </c>
      <c r="J18860" s="25" t="n">
        <f aca="false">MAX(0,J18844)+Assumptions!$P$53*MAX(0,Assumptions!$D$53-J18769)+Assumptions!$P$54*MAX(0,Assumptions!$D$54-J18782)+Assumptions!$P$55*MAX(0,Assumptions!$D$55-J18795)+Assumptions!$P$56*MAX(0,Assumptions!$D$56-J18808)</f>
        <v>83.7032</v>
      </c>
      <c r="K18860" s="25" t="n">
        <f aca="false">MAX(0,K18844)+Assumptions!$P$53*MAX(0,Assumptions!$D$53-K18769)+Assumptions!$P$54*MAX(0,Assumptions!$D$54-K18782)+Assumptions!$P$55*MAX(0,Assumptions!$D$55-K18795)+Assumptions!$P$56*MAX(0,Assumptions!$D$56-K18808)</f>
        <v>83.7032</v>
      </c>
    </row>
    <row r="18861" customFormat="false" ht="15" hidden="false" customHeight="false" outlineLevel="0" collapsed="false">
      <c r="A18861" s="5" t="s">
        <v>328</v>
      </c>
      <c r="G18861" s="21" t="n">
        <f aca="false">IF(G18851&gt;0,G18851/(G18851+MAX(0,G18732*CHOOSE($C$18715,Assumptions!$C$76,Assumptions!$C$95,Assumptions!$C$114)-G18853)),0)</f>
        <v>1</v>
      </c>
      <c r="H18861" s="21" t="n">
        <f aca="false">IF(H18851&gt;0,H18851/(H18851+MAX(0,H18732*CHOOSE($C$18715,Assumptions!$C$76,Assumptions!$C$95,Assumptions!$C$114)-H18853)),0)</f>
        <v>1</v>
      </c>
      <c r="I18861" s="21" t="n">
        <f aca="false">IF(I18851&gt;0,I18851/(I18851+MAX(0,I18732*CHOOSE($C$18715,Assumptions!$C$76,Assumptions!$C$95,Assumptions!$C$114)-I18853)),0)</f>
        <v>1</v>
      </c>
      <c r="J18861" s="21" t="n">
        <f aca="false">IF(J18851&gt;0,J18851/(J18851+MAX(0,J18732*CHOOSE($C$18715,Assumptions!$C$76,Assumptions!$C$95,Assumptions!$C$114)-J18853)),0)</f>
        <v>1</v>
      </c>
      <c r="K18861" s="21" t="n">
        <f aca="false">IF(K18851&gt;0,K18851/(K18851+MAX(0,K18732*CHOOSE($C$18715,Assumptions!$C$76,Assumptions!$C$95,Assumptions!$C$114)-K18853)),0)</f>
        <v>1</v>
      </c>
    </row>
    <row r="18862" customFormat="false" ht="15" hidden="false" customHeight="false" outlineLevel="0" collapsed="false">
      <c r="A18862" s="5" t="s">
        <v>329</v>
      </c>
      <c r="G18862" s="21" t="n">
        <f aca="false">IF(G18851&gt;0,MAX(0,G18844)/G18851,0)</f>
        <v>0</v>
      </c>
      <c r="H18862" s="21" t="n">
        <f aca="false">IF(H18851&gt;0,MAX(0,H18844)/H18851,0)</f>
        <v>0</v>
      </c>
      <c r="I18862" s="21" t="n">
        <f aca="false">IF(I18851&gt;0,MAX(0,I18844)/I18851,0)</f>
        <v>0</v>
      </c>
      <c r="J18862" s="21" t="n">
        <f aca="false">IF(J18851&gt;0,MAX(0,J18844)/J18851,0)</f>
        <v>0</v>
      </c>
      <c r="K18862" s="21" t="n">
        <f aca="false">IF(K18851&gt;0,MAX(0,K18844)/K18851,0)</f>
        <v>0</v>
      </c>
    </row>
    <row r="18863" customFormat="false" ht="15" hidden="false" customHeight="false" outlineLevel="0" collapsed="false">
      <c r="A18863" s="5" t="s">
        <v>330</v>
      </c>
      <c r="G18863" s="25" t="n">
        <f aca="false">Assumptions!$C$27*(1-CHOOSE($C$18715,Assumptions!$C$79,Assumptions!$C$98,Assumptions!$C$117))</f>
        <v>884</v>
      </c>
      <c r="H18863" s="25" t="n">
        <f aca="false">Assumptions!$C$27*(1-CHOOSE($C$18715,Assumptions!$C$79,Assumptions!$C$98,Assumptions!$C$117))</f>
        <v>884</v>
      </c>
      <c r="I18863" s="25" t="n">
        <f aca="false">Assumptions!$C$27*(1-CHOOSE($C$18715,Assumptions!$C$79,Assumptions!$C$98,Assumptions!$C$117))</f>
        <v>884</v>
      </c>
      <c r="J18863" s="25" t="n">
        <f aca="false">Assumptions!$C$27*(1-CHOOSE($C$18715,Assumptions!$C$79,Assumptions!$C$98,Assumptions!$C$117))</f>
        <v>884</v>
      </c>
      <c r="K18863" s="25" t="n">
        <f aca="false">Assumptions!$C$27*(1-CHOOSE($C$18715,Assumptions!$C$79,Assumptions!$C$98,Assumptions!$C$117))</f>
        <v>884</v>
      </c>
    </row>
    <row r="18864" customFormat="false" ht="15" hidden="false" customHeight="false" outlineLevel="0" collapsed="false">
      <c r="A18864" s="23" t="s">
        <v>331</v>
      </c>
      <c r="B18864" s="24"/>
      <c r="C18864" s="24"/>
      <c r="D18864" s="24"/>
      <c r="E18864" s="24"/>
      <c r="F18864" s="24"/>
      <c r="G18864" s="24"/>
      <c r="H18864" s="24"/>
      <c r="I18864" s="24"/>
      <c r="J18864" s="24"/>
      <c r="K18864" s="24"/>
    </row>
    <row r="18865" customFormat="false" ht="15" hidden="false" customHeight="false" outlineLevel="0" collapsed="false">
      <c r="A18865" s="23" t="s">
        <v>332</v>
      </c>
      <c r="B18865" s="24"/>
      <c r="C18865" s="24"/>
      <c r="D18865" s="24"/>
      <c r="E18865" s="24"/>
      <c r="F18865" s="24"/>
      <c r="G18865" s="24"/>
      <c r="H18865" s="24"/>
      <c r="I18865" s="24"/>
      <c r="J18865" s="24"/>
      <c r="K18865" s="24"/>
    </row>
    <row r="18866" customFormat="false" ht="15" hidden="false" customHeight="false" outlineLevel="0" collapsed="false">
      <c r="A18866" s="5" t="s">
        <v>333</v>
      </c>
      <c r="G18866" s="31" t="n">
        <f aca="false">IF(G18732&gt;0,G18853/G18732,99)</f>
        <v>16.5413800227249</v>
      </c>
      <c r="H18866" s="31" t="n">
        <f aca="false">IF(H18732&gt;0,H18853/H18732,99)</f>
        <v>28.5681105622991</v>
      </c>
      <c r="I18866" s="31" t="n">
        <f aca="false">IF(I18732&gt;0,I18853/I18732,99)</f>
        <v>24.5664038274533</v>
      </c>
      <c r="J18866" s="31" t="n">
        <f aca="false">IF(J18732&gt;0,J18853/J18732,99)</f>
        <v>21.8686389946149</v>
      </c>
      <c r="K18866" s="31" t="n">
        <f aca="false">IF(K18732&gt;0,K18853/K18732,99)</f>
        <v>19.8352895867661</v>
      </c>
    </row>
    <row r="18867" customFormat="false" ht="15" hidden="false" customHeight="false" outlineLevel="0" collapsed="false">
      <c r="A18867" s="5" t="s">
        <v>334</v>
      </c>
      <c r="G18867" s="32" t="n">
        <f aca="false">Assumptions!$G$61</f>
        <v>8.5</v>
      </c>
      <c r="H18867" s="32" t="n">
        <f aca="false">Assumptions!$H$61</f>
        <v>8.5</v>
      </c>
      <c r="I18867" s="32" t="n">
        <f aca="false">Assumptions!$I$61</f>
        <v>8.5</v>
      </c>
      <c r="J18867" s="32" t="n">
        <f aca="false">Assumptions!$J$61</f>
        <v>8.5</v>
      </c>
      <c r="K18867" s="32" t="n">
        <f aca="false">Assumptions!$K$61</f>
        <v>8.5</v>
      </c>
    </row>
    <row r="18868" customFormat="false" ht="15" hidden="false" customHeight="false" outlineLevel="0" collapsed="false">
      <c r="A18868" s="5" t="s">
        <v>335</v>
      </c>
      <c r="G18868" s="31" t="n">
        <f aca="false">G18867-G18866</f>
        <v>-8.04138002272492</v>
      </c>
      <c r="H18868" s="31" t="n">
        <f aca="false">H18867-H18866</f>
        <v>-20.0681105622991</v>
      </c>
      <c r="I18868" s="31" t="n">
        <f aca="false">I18867-I18866</f>
        <v>-16.0664038274533</v>
      </c>
      <c r="J18868" s="31" t="n">
        <f aca="false">J18867-J18866</f>
        <v>-13.3686389946149</v>
      </c>
      <c r="K18868" s="31" t="n">
        <f aca="false">K18867-K18866</f>
        <v>-11.3352895867661</v>
      </c>
    </row>
    <row r="18869" customFormat="false" ht="15" hidden="false" customHeight="false" outlineLevel="0" collapsed="false">
      <c r="A18869" s="5" t="s">
        <v>336</v>
      </c>
      <c r="G18869" s="21" t="n">
        <f aca="false">IF(G18867=0,0,G18868/ABS(G18867))</f>
        <v>-0.946044708555873</v>
      </c>
      <c r="H18869" s="21" t="n">
        <f aca="false">IF(H18867=0,0,H18868/ABS(H18867))</f>
        <v>-2.36095418379989</v>
      </c>
      <c r="I18869" s="21" t="n">
        <f aca="false">IF(I18867=0,0,I18868/ABS(I18867))</f>
        <v>-1.89016515617097</v>
      </c>
      <c r="J18869" s="21" t="n">
        <f aca="false">IF(J18867=0,0,J18868/ABS(J18867))</f>
        <v>-1.57278105818998</v>
      </c>
      <c r="K18869" s="21" t="n">
        <f aca="false">IF(K18867=0,0,K18868/ABS(K18867))</f>
        <v>-1.33356348079602</v>
      </c>
    </row>
    <row r="18870" customFormat="false" ht="15" hidden="false" customHeight="false" outlineLevel="0" collapsed="false">
      <c r="A18870" s="5" t="s">
        <v>337</v>
      </c>
      <c r="G18870" s="20" t="n">
        <f aca="false">IF(G18868&lt;0,1,0)</f>
        <v>1</v>
      </c>
      <c r="H18870" s="20" t="n">
        <f aca="false">IF(H18868&lt;0,1,0)</f>
        <v>1</v>
      </c>
      <c r="I18870" s="20" t="n">
        <f aca="false">IF(I18868&lt;0,1,0)</f>
        <v>1</v>
      </c>
      <c r="J18870" s="20" t="n">
        <f aca="false">IF(J18868&lt;0,1,0)</f>
        <v>1</v>
      </c>
      <c r="K18870" s="20" t="n">
        <f aca="false">IF(K18868&lt;0,1,0)</f>
        <v>1</v>
      </c>
    </row>
    <row r="18871" customFormat="false" ht="15" hidden="false" customHeight="false" outlineLevel="0" collapsed="false">
      <c r="A18871" s="5" t="s">
        <v>338</v>
      </c>
      <c r="C18871" s="20" t="n">
        <f aca="false">IFERROR(INDEX($G$18722:$K$18722,MATCH(1,$G$18870:$K$18870,0)),0)</f>
        <v>2026</v>
      </c>
    </row>
    <row r="18872" customFormat="false" ht="15" hidden="false" customHeight="false" outlineLevel="0" collapsed="false">
      <c r="A18872" s="5" t="s">
        <v>339</v>
      </c>
      <c r="C18872" s="21" t="n">
        <f aca="false">MIN($G$18869:$K$18869)</f>
        <v>-2.36095418379989</v>
      </c>
    </row>
    <row r="18873" customFormat="false" ht="15" hidden="false" customHeight="false" outlineLevel="0" collapsed="false">
      <c r="A18873" s="5" t="s">
        <v>340</v>
      </c>
      <c r="G18873" s="20" t="n">
        <f aca="false">G18870</f>
        <v>1</v>
      </c>
      <c r="H18873" s="20" t="n">
        <f aca="false">H18870</f>
        <v>1</v>
      </c>
      <c r="I18873" s="20" t="n">
        <f aca="false">I18870</f>
        <v>1</v>
      </c>
      <c r="J18873" s="20" t="n">
        <f aca="false">J18870</f>
        <v>1</v>
      </c>
      <c r="K18873" s="20" t="n">
        <f aca="false">K18870</f>
        <v>1</v>
      </c>
    </row>
    <row r="18874" customFormat="false" ht="15" hidden="false" customHeight="false" outlineLevel="0" collapsed="false">
      <c r="A18874" s="5" t="s">
        <v>341</v>
      </c>
      <c r="C18874" s="20" t="n">
        <f aca="false">SUM($G$18873:$K$18873)</f>
        <v>5</v>
      </c>
    </row>
    <row r="18875" customFormat="false" ht="15" hidden="false" customHeight="false" outlineLevel="0" collapsed="false">
      <c r="A18875" s="5" t="s">
        <v>342</v>
      </c>
      <c r="C18875" s="21" t="n">
        <f aca="false">MIN(C18872)</f>
        <v>-2.36095418379989</v>
      </c>
    </row>
    <row r="18877" customFormat="false" ht="15" hidden="false" customHeight="false" outlineLevel="0" collapsed="false">
      <c r="A18877" s="23" t="s">
        <v>444</v>
      </c>
      <c r="B18877" s="24"/>
      <c r="C18877" s="24"/>
      <c r="D18877" s="24"/>
      <c r="E18877" s="24"/>
      <c r="F18877" s="24"/>
      <c r="G18877" s="24"/>
      <c r="H18877" s="24"/>
      <c r="I18877" s="24"/>
      <c r="J18877" s="24"/>
      <c r="K18877" s="24"/>
    </row>
    <row r="18878" customFormat="false" ht="15" hidden="false" customHeight="false" outlineLevel="0" collapsed="false">
      <c r="A18878" s="5" t="s">
        <v>445</v>
      </c>
      <c r="G18878" s="20" t="n">
        <f aca="false">IF($C$18879=1,G18847,IF(G18732=MIN($G$18732:$K$18732),1,0))</f>
        <v>0</v>
      </c>
      <c r="H18878" s="20" t="n">
        <f aca="false">IF($C$18879=1,H18847,IF(AND(H18732=MIN($G$18732:$K$18732),SUM($G$18878:G18878)=0),1,0))</f>
        <v>1</v>
      </c>
      <c r="I18878" s="20" t="n">
        <f aca="false">IF($C$18879=1,I18847,IF(AND(I18732=MIN($G$18732:$K$18732),SUM($G$18878:H18878)=0),1,0))</f>
        <v>0</v>
      </c>
      <c r="J18878" s="20" t="n">
        <f aca="false">IF($C$18879=1,J18847,IF(AND(J18732=MIN($G$18732:$K$18732),SUM($G$18878:I18878)=0),1,0))</f>
        <v>0</v>
      </c>
      <c r="K18878" s="20" t="n">
        <f aca="false">IF($C$18879=1,K18847,IF(AND(K18732=MIN($G$18732:$K$18732),SUM($G$18878:J18878)=0),1,0))</f>
        <v>0</v>
      </c>
    </row>
    <row r="18879" customFormat="false" ht="15" hidden="false" customHeight="false" outlineLevel="0" collapsed="false">
      <c r="A18879" s="5" t="s">
        <v>446</v>
      </c>
      <c r="C18879" s="20" t="n">
        <f aca="false">IF(SUM($G$18847:$K$18847)&gt;0,1,0)</f>
        <v>1</v>
      </c>
    </row>
    <row r="18880" customFormat="false" ht="15" hidden="false" customHeight="false" outlineLevel="0" collapsed="false">
      <c r="A18880" s="5" t="s">
        <v>447</v>
      </c>
      <c r="C18880" s="20" t="n">
        <f aca="false">SUMPRODUCT($G$18878:$K$18878,$G$18722:$K$18722)</f>
        <v>2027</v>
      </c>
    </row>
    <row r="18881" customFormat="false" ht="15" hidden="false" customHeight="false" outlineLevel="0" collapsed="false">
      <c r="A18881" s="5" t="s">
        <v>448</v>
      </c>
      <c r="C18881" s="25" t="n">
        <f aca="false">SUMPRODUCT($G$18878:$K$18878,$G$18732:$K$18732)</f>
        <v>48.9095184</v>
      </c>
    </row>
    <row r="18882" customFormat="false" ht="15" hidden="false" customHeight="false" outlineLevel="0" collapsed="false">
      <c r="A18882" s="5" t="s">
        <v>449</v>
      </c>
      <c r="C18882" s="25" t="n">
        <f aca="false">MAX(0,SUMPRODUCT($G$18878:$K$18878,$G$18844:$K$18844))</f>
        <v>0</v>
      </c>
    </row>
    <row r="18883" customFormat="false" ht="15" hidden="false" customHeight="false" outlineLevel="0" collapsed="false">
      <c r="A18883" s="5" t="s">
        <v>450</v>
      </c>
      <c r="C18883" s="25" t="n">
        <f aca="false">(CHOOSE($C$18715,Assumptions!$C$78,Assumptions!$C$97,Assumptions!$C$116)+$C$18719)*C18881</f>
        <v>97.8190368</v>
      </c>
    </row>
    <row r="18884" customFormat="false" ht="15" hidden="false" customHeight="false" outlineLevel="0" collapsed="false">
      <c r="A18884" s="5" t="s">
        <v>451</v>
      </c>
      <c r="C18884" s="25" t="n">
        <f aca="false">Assumptions!$C$27*(1-CHOOSE($C$18715,Assumptions!$C$79,Assumptions!$C$98,Assumptions!$C$117))*CHOOSE($C$18715,Assumptions!$C$80,Assumptions!$C$99,Assumptions!$C$118)</f>
        <v>530.4</v>
      </c>
    </row>
    <row r="18885" customFormat="false" ht="15" hidden="false" customHeight="false" outlineLevel="0" collapsed="false">
      <c r="A18885" s="5" t="s">
        <v>452</v>
      </c>
      <c r="C18885" s="25" t="n">
        <f aca="false">MAX(C18883,C18884)+C18882</f>
        <v>530.4</v>
      </c>
    </row>
    <row r="18886" customFormat="false" ht="15" hidden="false" customHeight="false" outlineLevel="0" collapsed="false">
      <c r="A18886" s="2" t="s">
        <v>453</v>
      </c>
      <c r="C18886" s="16" t="n">
        <f aca="false">IF(ISNUMBER(Assumptions!$C$14),Assumptions!$C$14,C18885)</f>
        <v>530.4</v>
      </c>
    </row>
    <row r="18887" customFormat="false" ht="15" hidden="false" customHeight="false" outlineLevel="0" collapsed="false">
      <c r="A18887" s="5" t="s">
        <v>454</v>
      </c>
      <c r="C18887" s="25" t="n">
        <f aca="false">C18886*Assumptions!$C$15</f>
        <v>21.216</v>
      </c>
    </row>
    <row r="18888" customFormat="false" ht="15" hidden="false" customHeight="false" outlineLevel="0" collapsed="false">
      <c r="A18888" s="2" t="s">
        <v>455</v>
      </c>
      <c r="C18888" s="16" t="n">
        <f aca="false">C18886-C18887</f>
        <v>509.184</v>
      </c>
    </row>
    <row r="18889" customFormat="false" ht="15" hidden="false" customHeight="false" outlineLevel="0" collapsed="false">
      <c r="A18889" s="23" t="s">
        <v>456</v>
      </c>
      <c r="B18889" s="24"/>
      <c r="C18889" s="24"/>
      <c r="D18889" s="24"/>
      <c r="E18889" s="24"/>
      <c r="F18889" s="24"/>
      <c r="G18889" s="24"/>
      <c r="H18889" s="24"/>
      <c r="I18889" s="24"/>
      <c r="J18889" s="24"/>
      <c r="K18889" s="24"/>
    </row>
    <row r="18890" customFormat="false" ht="15" hidden="false" customHeight="false" outlineLevel="0" collapsed="false">
      <c r="A18890" s="5" t="s">
        <v>457</v>
      </c>
      <c r="C18890" s="25" t="n">
        <f aca="false">SUMPRODUCT($G$18878:$K$18878,$G$18769:$K$18769)*(1+SUMPRODUCT($G$18878:$K$18878,$G$18761:$K$18761)*Assumptions!$C$16/12)</f>
        <v>221.6231087</v>
      </c>
    </row>
    <row r="18891" customFormat="false" ht="15" hidden="false" customHeight="false" outlineLevel="0" collapsed="false">
      <c r="A18891" s="5" t="s">
        <v>458</v>
      </c>
      <c r="C18891" s="25" t="n">
        <f aca="false">SUMPRODUCT($G$18878:$K$18878,$G$18782:$K$18782)*(1+SUMPRODUCT($G$18878:$K$18878,$G$18774:$K$18774)*Assumptions!$C$16/12)</f>
        <v>524.3147</v>
      </c>
    </row>
    <row r="18892" customFormat="false" ht="15" hidden="false" customHeight="false" outlineLevel="0" collapsed="false">
      <c r="A18892" s="5" t="s">
        <v>459</v>
      </c>
      <c r="C18892" s="25" t="n">
        <f aca="false">SUMPRODUCT($G$18878:$K$18878,$G$18795:$K$18795)*(1+SUMPRODUCT($G$18878:$K$18878,$G$18787:$K$18787)*Assumptions!$C$16/12)</f>
        <v>256.875</v>
      </c>
    </row>
    <row r="18893" customFormat="false" ht="15" hidden="false" customHeight="false" outlineLevel="0" collapsed="false">
      <c r="A18893" s="5" t="s">
        <v>460</v>
      </c>
      <c r="C18893" s="25" t="n">
        <f aca="false">SUMPRODUCT($G$18878:$K$18878,$G$18808:$K$18808)*(1+SUMPRODUCT($G$18878:$K$18878,$G$18800:$K$18800)*Assumptions!$C$16/12)</f>
        <v>305.625</v>
      </c>
    </row>
    <row r="18894" customFormat="false" ht="15" hidden="false" customHeight="false" outlineLevel="0" collapsed="false">
      <c r="A18894" s="23" t="s">
        <v>461</v>
      </c>
      <c r="B18894" s="24"/>
      <c r="C18894" s="24"/>
      <c r="D18894" s="24"/>
      <c r="E18894" s="24"/>
      <c r="F18894" s="24"/>
      <c r="G18894" s="24"/>
      <c r="H18894" s="24"/>
      <c r="I18894" s="24"/>
      <c r="J18894" s="24"/>
      <c r="K18894" s="24"/>
    </row>
    <row r="18895" customFormat="false" ht="15" hidden="false" customHeight="false" outlineLevel="0" collapsed="false">
      <c r="A18895" s="5" t="s">
        <v>457</v>
      </c>
      <c r="C18895" s="26" t="n">
        <f aca="false">Assumptions!$M$53</f>
        <v>1</v>
      </c>
    </row>
    <row r="18896" customFormat="false" ht="15" hidden="false" customHeight="false" outlineLevel="0" collapsed="false">
      <c r="A18896" s="5" t="s">
        <v>458</v>
      </c>
      <c r="C18896" s="26" t="n">
        <f aca="false">Assumptions!$M$54</f>
        <v>2</v>
      </c>
    </row>
    <row r="18897" customFormat="false" ht="15" hidden="false" customHeight="false" outlineLevel="0" collapsed="false">
      <c r="A18897" s="5" t="s">
        <v>459</v>
      </c>
      <c r="C18897" s="26" t="n">
        <f aca="false">Assumptions!$M$55</f>
        <v>3</v>
      </c>
    </row>
    <row r="18898" customFormat="false" ht="15" hidden="false" customHeight="false" outlineLevel="0" collapsed="false">
      <c r="A18898" s="5" t="s">
        <v>460</v>
      </c>
      <c r="C18898" s="26" t="n">
        <f aca="false">Assumptions!$M$56</f>
        <v>4</v>
      </c>
    </row>
    <row r="18899" customFormat="false" ht="15" hidden="false" customHeight="false" outlineLevel="0" collapsed="false">
      <c r="A18899" s="23" t="s">
        <v>462</v>
      </c>
      <c r="B18899" s="24"/>
      <c r="C18899" s="24"/>
      <c r="D18899" s="24"/>
      <c r="E18899" s="24"/>
      <c r="F18899" s="24"/>
      <c r="G18899" s="24"/>
      <c r="H18899" s="24"/>
      <c r="I18899" s="24"/>
      <c r="J18899" s="24"/>
      <c r="K18899" s="24"/>
    </row>
    <row r="18900" customFormat="false" ht="15" hidden="false" customHeight="false" outlineLevel="0" collapsed="false">
      <c r="A18900" s="5" t="s">
        <v>457</v>
      </c>
      <c r="C18900" s="34" t="n">
        <f aca="false">Assumptions!$Q$53</f>
        <v>0</v>
      </c>
    </row>
    <row r="18901" customFormat="false" ht="15" hidden="false" customHeight="false" outlineLevel="0" collapsed="false">
      <c r="A18901" s="5" t="s">
        <v>458</v>
      </c>
      <c r="C18901" s="34" t="n">
        <f aca="false">Assumptions!$Q$54</f>
        <v>0</v>
      </c>
    </row>
    <row r="18902" customFormat="false" ht="15" hidden="false" customHeight="false" outlineLevel="0" collapsed="false">
      <c r="A18902" s="5" t="s">
        <v>459</v>
      </c>
      <c r="C18902" s="34" t="n">
        <f aca="false">Assumptions!$Q$55</f>
        <v>0</v>
      </c>
    </row>
    <row r="18903" customFormat="false" ht="15" hidden="false" customHeight="false" outlineLevel="0" collapsed="false">
      <c r="A18903" s="5" t="s">
        <v>460</v>
      </c>
      <c r="C18903" s="34" t="n">
        <f aca="false">Assumptions!$Q$56</f>
        <v>0</v>
      </c>
    </row>
    <row r="18904" customFormat="false" ht="15" hidden="false" customHeight="false" outlineLevel="0" collapsed="false">
      <c r="A18904" s="23" t="s">
        <v>463</v>
      </c>
      <c r="B18904" s="24"/>
      <c r="C18904" s="24"/>
      <c r="D18904" s="24"/>
      <c r="E18904" s="24"/>
      <c r="F18904" s="24"/>
      <c r="G18904" s="24"/>
      <c r="H18904" s="24"/>
      <c r="I18904" s="24"/>
      <c r="J18904" s="24"/>
      <c r="K18904" s="24"/>
    </row>
    <row r="18905" customFormat="false" ht="15" hidden="false" customHeight="false" outlineLevel="0" collapsed="false">
      <c r="A18905" s="5" t="s">
        <v>457</v>
      </c>
      <c r="C18905" s="25" t="n">
        <f aca="false">IF(C18900&gt;0,MIN(C18890,C18900*$C$18888),0)</f>
        <v>0</v>
      </c>
    </row>
    <row r="18906" customFormat="false" ht="15" hidden="false" customHeight="false" outlineLevel="0" collapsed="false">
      <c r="A18906" s="5" t="s">
        <v>458</v>
      </c>
      <c r="C18906" s="25" t="n">
        <f aca="false">IF(C18901&gt;0,MIN(C18891,C18901*$C$18888),0)</f>
        <v>0</v>
      </c>
    </row>
    <row r="18907" customFormat="false" ht="15" hidden="false" customHeight="false" outlineLevel="0" collapsed="false">
      <c r="A18907" s="5" t="s">
        <v>459</v>
      </c>
      <c r="C18907" s="25" t="n">
        <f aca="false">IF(C18902&gt;0,MIN(C18892,C18902*$C$18888),0)</f>
        <v>0</v>
      </c>
    </row>
    <row r="18908" customFormat="false" ht="15" hidden="false" customHeight="false" outlineLevel="0" collapsed="false">
      <c r="A18908" s="5" t="s">
        <v>460</v>
      </c>
      <c r="C18908" s="25" t="n">
        <f aca="false">IF(C18903&gt;0,MIN(C18893,C18903*$C$18888),0)</f>
        <v>0</v>
      </c>
    </row>
    <row r="18909" customFormat="false" ht="15" hidden="false" customHeight="false" outlineLevel="0" collapsed="false">
      <c r="A18909" s="23" t="s">
        <v>464</v>
      </c>
      <c r="B18909" s="24"/>
      <c r="C18909" s="24"/>
      <c r="D18909" s="24"/>
      <c r="E18909" s="24"/>
      <c r="F18909" s="24"/>
      <c r="G18909" s="24"/>
      <c r="H18909" s="24"/>
      <c r="I18909" s="24"/>
      <c r="J18909" s="24"/>
      <c r="K18909" s="24"/>
    </row>
    <row r="18910" customFormat="false" ht="15" hidden="false" customHeight="false" outlineLevel="0" collapsed="false">
      <c r="A18910" s="5" t="s">
        <v>457</v>
      </c>
      <c r="C18910" s="25" t="n">
        <f aca="false">IF(C18900&gt;0,C18890-C18905,0)</f>
        <v>0</v>
      </c>
      <c r="G18910" s="20" t="n">
        <f aca="false">IF(AND(G18759=1,G18756=1),1,0)</f>
        <v>0</v>
      </c>
      <c r="H18910" s="20" t="n">
        <f aca="false">IF(G18910=1,1,IF(AND(H18759=1,H18756=1),1,0))</f>
        <v>0</v>
      </c>
      <c r="I18910" s="20" t="n">
        <f aca="false">IF(H18910=1,1,IF(AND(I18759=1,I18756=1),1,0))</f>
        <v>0</v>
      </c>
      <c r="J18910" s="20" t="n">
        <f aca="false">IF(I18910=1,1,IF(AND(J18759=1,J18756=1),1,0))</f>
        <v>0</v>
      </c>
      <c r="K18910" s="20" t="n">
        <f aca="false">IF(J18910=1,1,IF(AND(K18759=1,K18756=1),1,0))</f>
        <v>0</v>
      </c>
    </row>
    <row r="18911" customFormat="false" ht="15" hidden="false" customHeight="false" outlineLevel="0" collapsed="false">
      <c r="A18911" s="5" t="s">
        <v>458</v>
      </c>
      <c r="C18911" s="25" t="n">
        <f aca="false">IF(C18901&gt;0,C18891-C18906,0)</f>
        <v>0</v>
      </c>
      <c r="G18911" s="20" t="n">
        <f aca="false">IF(AND(G18772=1,G18756=1),1,0)</f>
        <v>0</v>
      </c>
      <c r="H18911" s="20" t="n">
        <f aca="false">IF(G18911=1,1,IF(AND(H18772=1,H18756=1),1,0))</f>
        <v>0</v>
      </c>
      <c r="I18911" s="20" t="n">
        <f aca="false">IF(H18911=1,1,IF(AND(I18772=1,I18756=1),1,0))</f>
        <v>0</v>
      </c>
      <c r="J18911" s="20" t="n">
        <f aca="false">IF(I18911=1,1,IF(AND(J18772=1,J18756=1),1,0))</f>
        <v>0</v>
      </c>
      <c r="K18911" s="20" t="n">
        <f aca="false">IF(J18911=1,1,IF(AND(K18772=1,K18756=1),1,0))</f>
        <v>0</v>
      </c>
    </row>
    <row r="18912" customFormat="false" ht="15" hidden="false" customHeight="false" outlineLevel="0" collapsed="false">
      <c r="A18912" s="5" t="s">
        <v>459</v>
      </c>
      <c r="C18912" s="25" t="n">
        <f aca="false">IF(C18902&gt;0,C18892-C18907,0)</f>
        <v>0</v>
      </c>
      <c r="G18912" s="20" t="n">
        <f aca="false">IF(AND(G18785=1,G18756=1),1,0)</f>
        <v>0</v>
      </c>
      <c r="H18912" s="20" t="n">
        <f aca="false">IF(G18912=1,1,IF(AND(H18785=1,H18756=1),1,0))</f>
        <v>0</v>
      </c>
      <c r="I18912" s="20" t="n">
        <f aca="false">IF(H18912=1,1,IF(AND(I18785=1,I18756=1),1,0))</f>
        <v>0</v>
      </c>
      <c r="J18912" s="20" t="n">
        <f aca="false">IF(I18912=1,1,IF(AND(J18785=1,J18756=1),1,0))</f>
        <v>0</v>
      </c>
      <c r="K18912" s="20" t="n">
        <f aca="false">IF(J18912=1,1,IF(AND(K18785=1,K18756=1),1,0))</f>
        <v>0</v>
      </c>
    </row>
    <row r="18913" customFormat="false" ht="15" hidden="false" customHeight="false" outlineLevel="0" collapsed="false">
      <c r="A18913" s="5" t="s">
        <v>460</v>
      </c>
      <c r="C18913" s="25" t="n">
        <f aca="false">IF(C18903&gt;0,C18893-C18908,0)</f>
        <v>0</v>
      </c>
      <c r="G18913" s="20" t="n">
        <f aca="false">IF(AND(G18798=1,G18756=1),1,0)</f>
        <v>0</v>
      </c>
      <c r="H18913" s="20" t="n">
        <f aca="false">IF(G18913=1,1,IF(AND(H18798=1,H18756=1),1,0))</f>
        <v>0</v>
      </c>
      <c r="I18913" s="20" t="n">
        <f aca="false">IF(H18913=1,1,IF(AND(I18798=1,I18756=1),1,0))</f>
        <v>0</v>
      </c>
      <c r="J18913" s="20" t="n">
        <f aca="false">IF(I18913=1,1,IF(AND(J18798=1,J18756=1),1,0))</f>
        <v>0</v>
      </c>
      <c r="K18913" s="20" t="n">
        <f aca="false">IF(J18913=1,1,IF(AND(K18798=1,K18756=1),1,0))</f>
        <v>0</v>
      </c>
    </row>
    <row r="18914" customFormat="false" ht="15" hidden="false" customHeight="false" outlineLevel="0" collapsed="false">
      <c r="A18914" s="23" t="s">
        <v>465</v>
      </c>
      <c r="B18914" s="24"/>
      <c r="C18914" s="24"/>
      <c r="D18914" s="24"/>
      <c r="E18914" s="24"/>
      <c r="F18914" s="24"/>
      <c r="G18914" s="24"/>
      <c r="H18914" s="24"/>
      <c r="I18914" s="24"/>
      <c r="J18914" s="24"/>
      <c r="K18914" s="24"/>
    </row>
    <row r="18915" customFormat="false" ht="15" hidden="false" customHeight="false" outlineLevel="0" collapsed="false">
      <c r="A18915" s="5" t="s">
        <v>457</v>
      </c>
      <c r="C18915" s="25" t="n">
        <f aca="false">IF(C18900&gt;0,C18910,C18890)</f>
        <v>221.6231087</v>
      </c>
    </row>
    <row r="18916" customFormat="false" ht="15" hidden="false" customHeight="false" outlineLevel="0" collapsed="false">
      <c r="A18916" s="5" t="s">
        <v>458</v>
      </c>
      <c r="C18916" s="25" t="n">
        <f aca="false">IF(C18901&gt;0,C18911,C18891)</f>
        <v>524.3147</v>
      </c>
    </row>
    <row r="18917" customFormat="false" ht="15" hidden="false" customHeight="false" outlineLevel="0" collapsed="false">
      <c r="A18917" s="5" t="s">
        <v>459</v>
      </c>
      <c r="C18917" s="25" t="n">
        <f aca="false">IF(C18902&gt;0,C18912,C18892)</f>
        <v>256.875</v>
      </c>
    </row>
    <row r="18918" customFormat="false" ht="15" hidden="false" customHeight="false" outlineLevel="0" collapsed="false">
      <c r="A18918" s="5" t="s">
        <v>460</v>
      </c>
      <c r="C18918" s="25" t="n">
        <f aca="false">IF(C18903&gt;0,C18913,C18893)</f>
        <v>305.625</v>
      </c>
    </row>
    <row r="18919" customFormat="false" ht="15" hidden="false" customHeight="false" outlineLevel="0" collapsed="false">
      <c r="A18919" s="23" t="s">
        <v>466</v>
      </c>
      <c r="B18919" s="24"/>
      <c r="C18919" s="24"/>
      <c r="D18919" s="24"/>
      <c r="E18919" s="24"/>
      <c r="F18919" s="24"/>
      <c r="G18919" s="24"/>
      <c r="H18919" s="24"/>
      <c r="I18919" s="24"/>
      <c r="J18919" s="24"/>
      <c r="K18919" s="24"/>
    </row>
    <row r="18920" customFormat="false" ht="15" hidden="false" customHeight="false" outlineLevel="0" collapsed="false">
      <c r="A18920" s="5" t="s">
        <v>457</v>
      </c>
      <c r="C18920" s="20" t="n">
        <f aca="false">IF(C18900&gt;0,Assumptions!$C$17,C18895)</f>
        <v>1</v>
      </c>
    </row>
    <row r="18921" customFormat="false" ht="15" hidden="false" customHeight="false" outlineLevel="0" collapsed="false">
      <c r="A18921" s="5" t="s">
        <v>458</v>
      </c>
      <c r="C18921" s="20" t="n">
        <f aca="false">IF(C18901&gt;0,Assumptions!$C$17,C18896)</f>
        <v>2</v>
      </c>
    </row>
    <row r="18922" customFormat="false" ht="15" hidden="false" customHeight="false" outlineLevel="0" collapsed="false">
      <c r="A18922" s="5" t="s">
        <v>459</v>
      </c>
      <c r="C18922" s="20" t="n">
        <f aca="false">IF(C18902&gt;0,Assumptions!$C$17,C18897)</f>
        <v>3</v>
      </c>
    </row>
    <row r="18923" customFormat="false" ht="15" hidden="false" customHeight="false" outlineLevel="0" collapsed="false">
      <c r="A18923" s="5" t="s">
        <v>460</v>
      </c>
      <c r="C18923" s="20" t="n">
        <f aca="false">IF(C18903&gt;0,Assumptions!$C$17,C18898)</f>
        <v>4</v>
      </c>
    </row>
    <row r="18924" customFormat="false" ht="15" hidden="false" customHeight="false" outlineLevel="0" collapsed="false">
      <c r="A18924" s="23" t="s">
        <v>467</v>
      </c>
      <c r="B18924" s="24"/>
      <c r="C18924" s="24"/>
      <c r="D18924" s="24"/>
      <c r="E18924" s="24"/>
      <c r="F18924" s="24"/>
      <c r="G18924" s="24"/>
      <c r="H18924" s="24"/>
      <c r="I18924" s="24"/>
      <c r="J18924" s="24"/>
      <c r="K18924" s="24"/>
    </row>
    <row r="18925" customFormat="false" ht="15" hidden="false" customHeight="false" outlineLevel="0" collapsed="false">
      <c r="A18925" s="5" t="s">
        <v>457</v>
      </c>
      <c r="C18925" s="25" t="n">
        <f aca="false">SUMPRODUCT(($C$18920:$C$18923&lt;C18920)*$C$18915:$C$18918)</f>
        <v>0</v>
      </c>
    </row>
    <row r="18926" customFormat="false" ht="15" hidden="false" customHeight="false" outlineLevel="0" collapsed="false">
      <c r="A18926" s="5" t="s">
        <v>458</v>
      </c>
      <c r="C18926" s="25" t="n">
        <f aca="false">SUMPRODUCT(($C$18920:$C$18923&lt;C18921)*$C$18915:$C$18918)</f>
        <v>221.6231087</v>
      </c>
    </row>
    <row r="18927" customFormat="false" ht="15" hidden="false" customHeight="false" outlineLevel="0" collapsed="false">
      <c r="A18927" s="5" t="s">
        <v>459</v>
      </c>
      <c r="C18927" s="25" t="n">
        <f aca="false">SUMPRODUCT(($C$18920:$C$18923&lt;C18922)*$C$18915:$C$18918)</f>
        <v>745.9378087</v>
      </c>
    </row>
    <row r="18928" customFormat="false" ht="15" hidden="false" customHeight="false" outlineLevel="0" collapsed="false">
      <c r="A18928" s="5" t="s">
        <v>460</v>
      </c>
      <c r="C18928" s="25" t="n">
        <f aca="false">SUMPRODUCT(($C$18920:$C$18923&lt;C18923)*$C$18915:$C$18918)</f>
        <v>1002.8128087</v>
      </c>
    </row>
    <row r="18929" customFormat="false" ht="15" hidden="false" customHeight="false" outlineLevel="0" collapsed="false">
      <c r="A18929" s="23" t="s">
        <v>468</v>
      </c>
      <c r="B18929" s="24"/>
      <c r="C18929" s="24"/>
      <c r="D18929" s="24"/>
      <c r="E18929" s="24"/>
      <c r="F18929" s="24"/>
      <c r="G18929" s="24"/>
      <c r="H18929" s="24"/>
      <c r="I18929" s="24"/>
      <c r="J18929" s="24"/>
      <c r="K18929" s="24"/>
    </row>
    <row r="18930" customFormat="false" ht="15" hidden="false" customHeight="false" outlineLevel="0" collapsed="false">
      <c r="A18930" s="5" t="s">
        <v>457</v>
      </c>
      <c r="C18930" s="25" t="n">
        <f aca="false">SUMPRODUCT(($C$18920:$C$18923=C18920)*$C$18915:$C$18918)</f>
        <v>221.6231087</v>
      </c>
    </row>
    <row r="18931" customFormat="false" ht="15" hidden="false" customHeight="false" outlineLevel="0" collapsed="false">
      <c r="A18931" s="5" t="s">
        <v>458</v>
      </c>
      <c r="C18931" s="25" t="n">
        <f aca="false">SUMPRODUCT(($C$18920:$C$18923=C18921)*$C$18915:$C$18918)</f>
        <v>524.3147</v>
      </c>
    </row>
    <row r="18932" customFormat="false" ht="15" hidden="false" customHeight="false" outlineLevel="0" collapsed="false">
      <c r="A18932" s="5" t="s">
        <v>459</v>
      </c>
      <c r="C18932" s="25" t="n">
        <f aca="false">SUMPRODUCT(($C$18920:$C$18923=C18922)*$C$18915:$C$18918)</f>
        <v>256.875</v>
      </c>
    </row>
    <row r="18933" customFormat="false" ht="15" hidden="false" customHeight="false" outlineLevel="0" collapsed="false">
      <c r="A18933" s="5" t="s">
        <v>460</v>
      </c>
      <c r="C18933" s="25" t="n">
        <f aca="false">SUMPRODUCT(($C$18920:$C$18923=C18923)*$C$18915:$C$18918)</f>
        <v>305.625</v>
      </c>
    </row>
    <row r="18934" customFormat="false" ht="15" hidden="false" customHeight="false" outlineLevel="0" collapsed="false">
      <c r="A18934" s="23" t="s">
        <v>469</v>
      </c>
      <c r="B18934" s="24"/>
      <c r="C18934" s="24"/>
      <c r="D18934" s="24"/>
      <c r="E18934" s="24"/>
      <c r="F18934" s="24"/>
      <c r="G18934" s="24"/>
      <c r="H18934" s="24"/>
      <c r="I18934" s="24"/>
      <c r="J18934" s="24"/>
      <c r="K18934" s="24"/>
    </row>
    <row r="18935" customFormat="false" ht="15" hidden="false" customHeight="false" outlineLevel="0" collapsed="false">
      <c r="A18935" s="5" t="s">
        <v>457</v>
      </c>
      <c r="C18935" s="25" t="n">
        <f aca="false">IF(C18930=0,0,C18915/C18930*MAX(0,MIN(C18930,$C$18888-SUM($C$18905:$C$18908)-C18925)))</f>
        <v>221.6231087</v>
      </c>
    </row>
    <row r="18936" customFormat="false" ht="15" hidden="false" customHeight="false" outlineLevel="0" collapsed="false">
      <c r="A18936" s="5" t="s">
        <v>458</v>
      </c>
      <c r="C18936" s="25" t="n">
        <f aca="false">IF(C18931=0,0,C18916/C18931*MAX(0,MIN(C18931,$C$18888-SUM($C$18905:$C$18908)-C18926)))</f>
        <v>287.5608913</v>
      </c>
    </row>
    <row r="18937" customFormat="false" ht="15" hidden="false" customHeight="false" outlineLevel="0" collapsed="false">
      <c r="A18937" s="5" t="s">
        <v>459</v>
      </c>
      <c r="C18937" s="25" t="n">
        <f aca="false">IF(C18932=0,0,C18917/C18932*MAX(0,MIN(C18932,$C$18888-SUM($C$18905:$C$18908)-C18927)))</f>
        <v>0</v>
      </c>
    </row>
    <row r="18938" customFormat="false" ht="15" hidden="false" customHeight="false" outlineLevel="0" collapsed="false">
      <c r="A18938" s="5" t="s">
        <v>460</v>
      </c>
      <c r="C18938" s="25" t="n">
        <f aca="false">IF(C18933=0,0,C18918/C18933*MAX(0,MIN(C18933,$C$18888-SUM($C$18905:$C$18908)-C18928)))</f>
        <v>0</v>
      </c>
    </row>
    <row r="18939" customFormat="false" ht="15" hidden="false" customHeight="false" outlineLevel="0" collapsed="false">
      <c r="A18939" s="23" t="s">
        <v>470</v>
      </c>
      <c r="B18939" s="24"/>
      <c r="C18939" s="24"/>
      <c r="D18939" s="24"/>
      <c r="E18939" s="24"/>
      <c r="F18939" s="24"/>
      <c r="G18939" s="24"/>
      <c r="H18939" s="24"/>
      <c r="I18939" s="24"/>
      <c r="J18939" s="24"/>
      <c r="K18939" s="24"/>
    </row>
    <row r="18940" customFormat="false" ht="15" hidden="false" customHeight="false" outlineLevel="0" collapsed="false">
      <c r="A18940" s="2" t="s">
        <v>457</v>
      </c>
      <c r="C18940" s="16" t="n">
        <f aca="false">C18905+C18935</f>
        <v>221.6231087</v>
      </c>
    </row>
    <row r="18941" customFormat="false" ht="15" hidden="false" customHeight="false" outlineLevel="0" collapsed="false">
      <c r="A18941" s="2" t="s">
        <v>458</v>
      </c>
      <c r="C18941" s="16" t="n">
        <f aca="false">C18906+C18936</f>
        <v>287.5608913</v>
      </c>
    </row>
    <row r="18942" customFormat="false" ht="15" hidden="false" customHeight="false" outlineLevel="0" collapsed="false">
      <c r="A18942" s="2" t="s">
        <v>459</v>
      </c>
      <c r="C18942" s="16" t="n">
        <f aca="false">C18907+C18937</f>
        <v>0</v>
      </c>
    </row>
    <row r="18943" customFormat="false" ht="15" hidden="false" customHeight="false" outlineLevel="0" collapsed="false">
      <c r="A18943" s="2" t="s">
        <v>460</v>
      </c>
      <c r="C18943" s="16" t="n">
        <f aca="false">C18908+C18938</f>
        <v>0</v>
      </c>
    </row>
    <row r="18944" customFormat="false" ht="15" hidden="false" customHeight="false" outlineLevel="0" collapsed="false">
      <c r="A18944" s="23" t="s">
        <v>471</v>
      </c>
      <c r="B18944" s="24"/>
      <c r="C18944" s="24"/>
      <c r="D18944" s="24"/>
      <c r="E18944" s="24"/>
      <c r="F18944" s="24"/>
      <c r="G18944" s="24"/>
      <c r="H18944" s="24"/>
      <c r="I18944" s="24"/>
      <c r="J18944" s="24"/>
      <c r="K18944" s="24"/>
    </row>
    <row r="18945" customFormat="false" ht="15" hidden="false" customHeight="false" outlineLevel="0" collapsed="false">
      <c r="A18945" s="5" t="s">
        <v>457</v>
      </c>
      <c r="C18945" s="21" t="n">
        <f aca="false">IF(C18890=0,1,C18940/C18890)</f>
        <v>1</v>
      </c>
    </row>
    <row r="18946" customFormat="false" ht="15" hidden="false" customHeight="false" outlineLevel="0" collapsed="false">
      <c r="A18946" s="5" t="s">
        <v>458</v>
      </c>
      <c r="C18946" s="21" t="n">
        <f aca="false">IF(C18891=0,1,C18941/C18891)</f>
        <v>0.548450942344359</v>
      </c>
    </row>
    <row r="18947" customFormat="false" ht="15" hidden="false" customHeight="false" outlineLevel="0" collapsed="false">
      <c r="A18947" s="5" t="s">
        <v>459</v>
      </c>
      <c r="C18947" s="21" t="n">
        <f aca="false">IF(C18892=0,1,C18942/C18892)</f>
        <v>0</v>
      </c>
    </row>
    <row r="18948" customFormat="false" ht="15" hidden="false" customHeight="false" outlineLevel="0" collapsed="false">
      <c r="A18948" s="5" t="s">
        <v>460</v>
      </c>
      <c r="C18948" s="21" t="n">
        <f aca="false">IF(C18893=0,1,C18943/C18893)</f>
        <v>0</v>
      </c>
    </row>
    <row r="18949" customFormat="false" ht="15" hidden="false" customHeight="false" outlineLevel="0" collapsed="false">
      <c r="A18949" s="23" t="s">
        <v>472</v>
      </c>
      <c r="B18949" s="24"/>
      <c r="C18949" s="24"/>
      <c r="D18949" s="24"/>
      <c r="E18949" s="24"/>
      <c r="F18949" s="24"/>
      <c r="G18949" s="24"/>
      <c r="H18949" s="24"/>
      <c r="I18949" s="24"/>
      <c r="J18949" s="24"/>
      <c r="K18949" s="24"/>
    </row>
    <row r="18950" customFormat="false" ht="15" hidden="false" customHeight="false" outlineLevel="0" collapsed="false">
      <c r="A18950" s="5" t="s">
        <v>457</v>
      </c>
      <c r="C18950" s="25" t="n">
        <f aca="false">C18890-C18940</f>
        <v>0</v>
      </c>
    </row>
    <row r="18951" customFormat="false" ht="15" hidden="false" customHeight="false" outlineLevel="0" collapsed="false">
      <c r="A18951" s="5" t="s">
        <v>458</v>
      </c>
      <c r="C18951" s="25" t="n">
        <f aca="false">C18891-C18941</f>
        <v>236.7538087</v>
      </c>
    </row>
    <row r="18952" customFormat="false" ht="15" hidden="false" customHeight="false" outlineLevel="0" collapsed="false">
      <c r="A18952" s="5" t="s">
        <v>459</v>
      </c>
      <c r="C18952" s="25" t="n">
        <f aca="false">C18892-C18942</f>
        <v>256.875</v>
      </c>
    </row>
    <row r="18953" customFormat="false" ht="15" hidden="false" customHeight="false" outlineLevel="0" collapsed="false">
      <c r="A18953" s="5" t="s">
        <v>460</v>
      </c>
      <c r="C18953" s="25" t="n">
        <f aca="false">C18893-C18943</f>
        <v>305.625</v>
      </c>
    </row>
    <row r="18954" customFormat="false" ht="15" hidden="false" customHeight="false" outlineLevel="0" collapsed="false">
      <c r="A18954" s="23" t="s">
        <v>473</v>
      </c>
      <c r="B18954" s="24"/>
      <c r="C18954" s="24"/>
      <c r="D18954" s="24"/>
      <c r="E18954" s="24"/>
      <c r="F18954" s="24"/>
      <c r="G18954" s="24"/>
      <c r="H18954" s="24"/>
      <c r="I18954" s="24"/>
      <c r="J18954" s="24"/>
      <c r="K18954" s="24"/>
    </row>
    <row r="18955" customFormat="false" ht="15" hidden="false" customHeight="false" outlineLevel="0" collapsed="false">
      <c r="A18955" s="5" t="s">
        <v>457</v>
      </c>
      <c r="C18955" s="21" t="n">
        <f aca="false">IF(C18890=0,0,C18950/C18890)</f>
        <v>0</v>
      </c>
    </row>
    <row r="18956" customFormat="false" ht="15" hidden="false" customHeight="false" outlineLevel="0" collapsed="false">
      <c r="A18956" s="5" t="s">
        <v>458</v>
      </c>
      <c r="C18956" s="21" t="n">
        <f aca="false">IF(C18891=0,0,C18951/C18891)</f>
        <v>0.451549057655641</v>
      </c>
    </row>
    <row r="18957" customFormat="false" ht="15" hidden="false" customHeight="false" outlineLevel="0" collapsed="false">
      <c r="A18957" s="5" t="s">
        <v>459</v>
      </c>
      <c r="C18957" s="21" t="n">
        <f aca="false">IF(C18892=0,0,C18952/C18892)</f>
        <v>1</v>
      </c>
    </row>
    <row r="18958" customFormat="false" ht="15" hidden="false" customHeight="false" outlineLevel="0" collapsed="false">
      <c r="A18958" s="5" t="s">
        <v>460</v>
      </c>
      <c r="C18958" s="21" t="n">
        <f aca="false">IF(C18893=0,0,C18953/C18893)</f>
        <v>1</v>
      </c>
    </row>
    <row r="18959" customFormat="false" ht="15" hidden="false" customHeight="false" outlineLevel="0" collapsed="false">
      <c r="A18959" s="2" t="s">
        <v>474</v>
      </c>
      <c r="C18959" s="16" t="n">
        <f aca="false">MAX(0,$C$18888-SUM($C$18905:$C$18908)-SUM($C$18915:$C$18918))</f>
        <v>0</v>
      </c>
    </row>
    <row r="18960" customFormat="false" ht="15" hidden="false" customHeight="false" outlineLevel="0" collapsed="false">
      <c r="A18960" s="5" t="s">
        <v>475</v>
      </c>
      <c r="C18960" s="25" t="n">
        <f aca="false">SUM($C$18940:$C$18943)+C18959+C18887-C18886</f>
        <v>0</v>
      </c>
    </row>
    <row r="18962" customFormat="false" ht="15" hidden="false" customHeight="false" outlineLevel="0" collapsed="false">
      <c r="A18962" s="23" t="s">
        <v>478</v>
      </c>
      <c r="B18962" s="24"/>
      <c r="C18962" s="24"/>
      <c r="D18962" s="24"/>
      <c r="E18962" s="24"/>
      <c r="F18962" s="24"/>
      <c r="G18962" s="24"/>
      <c r="H18962" s="24"/>
      <c r="I18962" s="24"/>
      <c r="J18962" s="24"/>
      <c r="K18962" s="24"/>
    </row>
    <row r="18963" customFormat="false" ht="15" hidden="false" customHeight="false" outlineLevel="0" collapsed="false">
      <c r="A18963" s="5" t="s">
        <v>479</v>
      </c>
      <c r="C18963" s="26" t="n">
        <f aca="false">Assumptions!$C$30</f>
        <v>2</v>
      </c>
    </row>
    <row r="18964" customFormat="false" ht="15" hidden="false" customHeight="false" outlineLevel="0" collapsed="false">
      <c r="A18964" s="5" t="s">
        <v>480</v>
      </c>
      <c r="C18964" s="28" t="n">
        <f aca="false">Assumptions!$C$31</f>
        <v>100</v>
      </c>
    </row>
    <row r="18965" customFormat="false" ht="15" hidden="false" customHeight="false" outlineLevel="0" collapsed="false">
      <c r="A18965" s="5" t="s">
        <v>481</v>
      </c>
      <c r="C18965" s="39" t="n">
        <f aca="false">Assumptions!$C$32</f>
        <v>78</v>
      </c>
    </row>
    <row r="18966" customFormat="false" ht="15" hidden="false" customHeight="false" outlineLevel="0" collapsed="false">
      <c r="A18966" s="5" t="s">
        <v>482</v>
      </c>
      <c r="C18966" s="25" t="n">
        <f aca="false">C18964*C18965/100*(1+Assumptions!$C$33)</f>
        <v>78.39</v>
      </c>
    </row>
    <row r="18967" customFormat="false" ht="15" hidden="false" customHeight="false" outlineLevel="0" collapsed="false">
      <c r="A18967" s="5" t="s">
        <v>483</v>
      </c>
      <c r="C18967" s="26" t="n">
        <f aca="false">Assumptions!$C$34</f>
        <v>2</v>
      </c>
    </row>
    <row r="18968" customFormat="false" ht="15" hidden="false" customHeight="false" outlineLevel="0" collapsed="false">
      <c r="A18968" s="5" t="s">
        <v>484</v>
      </c>
      <c r="C18968" s="20" t="n">
        <f aca="false">IF(C18879=1,SUMPRODUCT($G$18847:$K$18847,$G$18723:$K$18723),0)</f>
        <v>2</v>
      </c>
    </row>
    <row r="18969" customFormat="false" ht="15" hidden="false" customHeight="false" outlineLevel="0" collapsed="false">
      <c r="A18969" s="5" t="s">
        <v>485</v>
      </c>
      <c r="C18969" s="21" t="n">
        <f aca="false">IFERROR(C18964/CHOOSE(C18963,SUMPRODUCT($G$18878:$K$18878,$G$18769:$K$18769),SUMPRODUCT($G$18878:$K$18878,$G$18782:$K$18782),SUMPRODUCT($G$18878:$K$18878,$G$18795:$K$18795),SUMPRODUCT($G$18878:$K$18878,$G$18808:$K$18808)),0)</f>
        <v>0.196232339089482</v>
      </c>
    </row>
    <row r="18970" customFormat="false" ht="15" hidden="false" customHeight="false" outlineLevel="0" collapsed="false">
      <c r="A18970" s="5" t="s">
        <v>486</v>
      </c>
      <c r="C18970" s="25" t="n">
        <f aca="false">CHOOSE(C18963,C18940,C18941,C18942,C18943)*C18969</f>
        <v>56.4287463304553</v>
      </c>
    </row>
    <row r="18971" customFormat="false" ht="15" hidden="false" customHeight="false" outlineLevel="0" collapsed="false">
      <c r="A18971" s="5" t="s">
        <v>487</v>
      </c>
      <c r="C18971" s="21" t="n">
        <f aca="false">CHOOSE(C18963,C18945,C18946,C18947,C18948)</f>
        <v>0.548450942344359</v>
      </c>
    </row>
    <row r="18972" customFormat="false" ht="15" hidden="false" customHeight="false" outlineLevel="0" collapsed="false">
      <c r="A18972" s="5" t="s">
        <v>488</v>
      </c>
      <c r="C18972" s="20" t="n">
        <f aca="false">IF(C18879=1,C18968,C18967)</f>
        <v>2</v>
      </c>
    </row>
    <row r="18973" customFormat="false" ht="15" hidden="false" customHeight="false" outlineLevel="0" collapsed="false">
      <c r="A18973" s="5" t="s">
        <v>489</v>
      </c>
      <c r="C18973" s="33" t="n">
        <f aca="false">CHOOSE($C$18715,Assumptions!$C$77,Assumptions!$C$96,Assumptions!$C$115)</f>
        <v>90</v>
      </c>
    </row>
    <row r="18974" customFormat="false" ht="15" hidden="false" customHeight="false" outlineLevel="0" collapsed="false">
      <c r="A18974" s="5" t="s">
        <v>490</v>
      </c>
      <c r="C18974" s="25" t="n">
        <f aca="false">INDEX($G$18732:$K$18732,C18967)*CHOOSE($C$18715,Assumptions!$C$76,Assumptions!$C$95,Assumptions!$C$114)+MAX(0,INDEX($G$18844:$K$18844,C18967))</f>
        <v>244.547592</v>
      </c>
    </row>
    <row r="18975" customFormat="false" ht="15" hidden="false" customHeight="false" outlineLevel="0" collapsed="false">
      <c r="A18975" s="23" t="s">
        <v>491</v>
      </c>
      <c r="B18975" s="24"/>
      <c r="C18975" s="24"/>
      <c r="D18975" s="24"/>
      <c r="E18975" s="24"/>
      <c r="F18975" s="24"/>
      <c r="G18975" s="24"/>
      <c r="H18975" s="24"/>
      <c r="I18975" s="24"/>
      <c r="J18975" s="24"/>
      <c r="K18975" s="24"/>
    </row>
    <row r="18976" customFormat="false" ht="15" hidden="false" customHeight="false" outlineLevel="0" collapsed="false">
      <c r="A18976" s="5" t="s">
        <v>457</v>
      </c>
      <c r="C18976" s="25" t="n">
        <f aca="false">INDEX($G$18769:$K$18769,C18967)</f>
        <v>216.2968</v>
      </c>
    </row>
    <row r="18977" customFormat="false" ht="15" hidden="false" customHeight="false" outlineLevel="0" collapsed="false">
      <c r="A18977" s="5" t="s">
        <v>458</v>
      </c>
      <c r="C18977" s="25" t="n">
        <f aca="false">INDEX($G$18782:$K$18782,C18967)</f>
        <v>509.6</v>
      </c>
    </row>
    <row r="18978" customFormat="false" ht="15" hidden="false" customHeight="false" outlineLevel="0" collapsed="false">
      <c r="A18978" s="5" t="s">
        <v>459</v>
      </c>
      <c r="C18978" s="25" t="n">
        <f aca="false">INDEX($G$18795:$K$18795,C18967)</f>
        <v>250</v>
      </c>
    </row>
    <row r="18979" customFormat="false" ht="15" hidden="false" customHeight="false" outlineLevel="0" collapsed="false">
      <c r="A18979" s="5" t="s">
        <v>460</v>
      </c>
      <c r="C18979" s="25" t="n">
        <f aca="false">INDEX($G$18808:$K$18808,C18967)</f>
        <v>300</v>
      </c>
    </row>
    <row r="18980" customFormat="false" ht="15" hidden="false" customHeight="false" outlineLevel="0" collapsed="false">
      <c r="A18980" s="23" t="s">
        <v>461</v>
      </c>
      <c r="B18980" s="24"/>
      <c r="C18980" s="24"/>
      <c r="D18980" s="24"/>
      <c r="E18980" s="24"/>
      <c r="F18980" s="24"/>
      <c r="G18980" s="24"/>
      <c r="H18980" s="24"/>
      <c r="I18980" s="24"/>
      <c r="J18980" s="24"/>
      <c r="K18980" s="24"/>
    </row>
    <row r="18981" customFormat="false" ht="15" hidden="false" customHeight="false" outlineLevel="0" collapsed="false">
      <c r="A18981" s="5" t="s">
        <v>457</v>
      </c>
      <c r="C18981" s="26" t="n">
        <f aca="false">Assumptions!$M$53</f>
        <v>1</v>
      </c>
    </row>
    <row r="18982" customFormat="false" ht="15" hidden="false" customHeight="false" outlineLevel="0" collapsed="false">
      <c r="A18982" s="5" t="s">
        <v>458</v>
      </c>
      <c r="C18982" s="26" t="n">
        <f aca="false">Assumptions!$M$54</f>
        <v>2</v>
      </c>
    </row>
    <row r="18983" customFormat="false" ht="15" hidden="false" customHeight="false" outlineLevel="0" collapsed="false">
      <c r="A18983" s="5" t="s">
        <v>459</v>
      </c>
      <c r="C18983" s="26" t="n">
        <f aca="false">Assumptions!$M$55</f>
        <v>3</v>
      </c>
    </row>
    <row r="18984" customFormat="false" ht="15" hidden="false" customHeight="false" outlineLevel="0" collapsed="false">
      <c r="A18984" s="5" t="s">
        <v>460</v>
      </c>
      <c r="C18984" s="26" t="n">
        <f aca="false">Assumptions!$M$56</f>
        <v>4</v>
      </c>
    </row>
    <row r="18985" customFormat="false" ht="15" hidden="false" customHeight="false" outlineLevel="0" collapsed="false">
      <c r="A18985" s="23" t="s">
        <v>462</v>
      </c>
      <c r="B18985" s="24"/>
      <c r="C18985" s="24"/>
      <c r="D18985" s="24"/>
      <c r="E18985" s="24"/>
      <c r="F18985" s="24"/>
      <c r="G18985" s="24"/>
      <c r="H18985" s="24"/>
      <c r="I18985" s="24"/>
      <c r="J18985" s="24"/>
      <c r="K18985" s="24"/>
    </row>
    <row r="18986" customFormat="false" ht="15" hidden="false" customHeight="false" outlineLevel="0" collapsed="false">
      <c r="A18986" s="5" t="s">
        <v>457</v>
      </c>
      <c r="C18986" s="34" t="n">
        <f aca="false">Assumptions!$Q$53</f>
        <v>0</v>
      </c>
    </row>
    <row r="18987" customFormat="false" ht="15" hidden="false" customHeight="false" outlineLevel="0" collapsed="false">
      <c r="A18987" s="5" t="s">
        <v>458</v>
      </c>
      <c r="C18987" s="34" t="n">
        <f aca="false">Assumptions!$Q$54</f>
        <v>0</v>
      </c>
    </row>
    <row r="18988" customFormat="false" ht="15" hidden="false" customHeight="false" outlineLevel="0" collapsed="false">
      <c r="A18988" s="5" t="s">
        <v>459</v>
      </c>
      <c r="C18988" s="34" t="n">
        <f aca="false">Assumptions!$Q$55</f>
        <v>0</v>
      </c>
    </row>
    <row r="18989" customFormat="false" ht="15" hidden="false" customHeight="false" outlineLevel="0" collapsed="false">
      <c r="A18989" s="5" t="s">
        <v>460</v>
      </c>
      <c r="C18989" s="34" t="n">
        <f aca="false">Assumptions!$Q$56</f>
        <v>0</v>
      </c>
    </row>
    <row r="18990" customFormat="false" ht="15" hidden="false" customHeight="false" outlineLevel="0" collapsed="false">
      <c r="A18990" s="23" t="s">
        <v>463</v>
      </c>
      <c r="B18990" s="24"/>
      <c r="C18990" s="24"/>
      <c r="D18990" s="24"/>
      <c r="E18990" s="24"/>
      <c r="F18990" s="24"/>
      <c r="G18990" s="24"/>
      <c r="H18990" s="24"/>
      <c r="I18990" s="24"/>
      <c r="J18990" s="24"/>
      <c r="K18990" s="24"/>
    </row>
    <row r="18991" customFormat="false" ht="15" hidden="false" customHeight="false" outlineLevel="0" collapsed="false">
      <c r="A18991" s="5" t="s">
        <v>457</v>
      </c>
      <c r="C18991" s="25" t="n">
        <f aca="false">IF(C18986&gt;0,MIN(C18976,C18986*$C$18974),0)</f>
        <v>0</v>
      </c>
    </row>
    <row r="18992" customFormat="false" ht="15" hidden="false" customHeight="false" outlineLevel="0" collapsed="false">
      <c r="A18992" s="5" t="s">
        <v>458</v>
      </c>
      <c r="C18992" s="25" t="n">
        <f aca="false">IF(C18987&gt;0,MIN(C18977,C18987*$C$18974),0)</f>
        <v>0</v>
      </c>
    </row>
    <row r="18993" customFormat="false" ht="15" hidden="false" customHeight="false" outlineLevel="0" collapsed="false">
      <c r="A18993" s="5" t="s">
        <v>459</v>
      </c>
      <c r="C18993" s="25" t="n">
        <f aca="false">IF(C18988&gt;0,MIN(C18978,C18988*$C$18974),0)</f>
        <v>0</v>
      </c>
    </row>
    <row r="18994" customFormat="false" ht="15" hidden="false" customHeight="false" outlineLevel="0" collapsed="false">
      <c r="A18994" s="5" t="s">
        <v>460</v>
      </c>
      <c r="C18994" s="25" t="n">
        <f aca="false">IF(C18989&gt;0,MIN(C18979,C18989*$C$18974),0)</f>
        <v>0</v>
      </c>
    </row>
    <row r="18995" customFormat="false" ht="15" hidden="false" customHeight="false" outlineLevel="0" collapsed="false">
      <c r="A18995" s="23" t="s">
        <v>464</v>
      </c>
      <c r="B18995" s="24"/>
      <c r="C18995" s="24"/>
      <c r="D18995" s="24"/>
      <c r="E18995" s="24"/>
      <c r="F18995" s="24"/>
      <c r="G18995" s="24"/>
      <c r="H18995" s="24"/>
      <c r="I18995" s="24"/>
      <c r="J18995" s="24"/>
      <c r="K18995" s="24"/>
    </row>
    <row r="18996" customFormat="false" ht="15" hidden="false" customHeight="false" outlineLevel="0" collapsed="false">
      <c r="A18996" s="5" t="s">
        <v>457</v>
      </c>
      <c r="C18996" s="25" t="n">
        <f aca="false">IF(C18986&gt;0,C18976-C18991,0)</f>
        <v>0</v>
      </c>
    </row>
    <row r="18997" customFormat="false" ht="15" hidden="false" customHeight="false" outlineLevel="0" collapsed="false">
      <c r="A18997" s="5" t="s">
        <v>458</v>
      </c>
      <c r="C18997" s="25" t="n">
        <f aca="false">IF(C18987&gt;0,C18977-C18992,0)</f>
        <v>0</v>
      </c>
    </row>
    <row r="18998" customFormat="false" ht="15" hidden="false" customHeight="false" outlineLevel="0" collapsed="false">
      <c r="A18998" s="5" t="s">
        <v>459</v>
      </c>
      <c r="C18998" s="25" t="n">
        <f aca="false">IF(C18988&gt;0,C18978-C18993,0)</f>
        <v>0</v>
      </c>
    </row>
    <row r="18999" customFormat="false" ht="15" hidden="false" customHeight="false" outlineLevel="0" collapsed="false">
      <c r="A18999" s="5" t="s">
        <v>460</v>
      </c>
      <c r="C18999" s="25" t="n">
        <f aca="false">IF(C18989&gt;0,C18979-C18994,0)</f>
        <v>0</v>
      </c>
    </row>
    <row r="19000" customFormat="false" ht="15" hidden="false" customHeight="false" outlineLevel="0" collapsed="false">
      <c r="A19000" s="23" t="s">
        <v>465</v>
      </c>
      <c r="B19000" s="24"/>
      <c r="C19000" s="24"/>
      <c r="D19000" s="24"/>
      <c r="E19000" s="24"/>
      <c r="F19000" s="24"/>
      <c r="G19000" s="24"/>
      <c r="H19000" s="24"/>
      <c r="I19000" s="24"/>
      <c r="J19000" s="24"/>
      <c r="K19000" s="24"/>
    </row>
    <row r="19001" customFormat="false" ht="15" hidden="false" customHeight="false" outlineLevel="0" collapsed="false">
      <c r="A19001" s="5" t="s">
        <v>457</v>
      </c>
      <c r="C19001" s="25" t="n">
        <f aca="false">IF(C18986&gt;0,C18996,C18976)</f>
        <v>216.2968</v>
      </c>
    </row>
    <row r="19002" customFormat="false" ht="15" hidden="false" customHeight="false" outlineLevel="0" collapsed="false">
      <c r="A19002" s="5" t="s">
        <v>458</v>
      </c>
      <c r="C19002" s="25" t="n">
        <f aca="false">IF(C18987&gt;0,C18997,C18977)</f>
        <v>509.6</v>
      </c>
    </row>
    <row r="19003" customFormat="false" ht="15" hidden="false" customHeight="false" outlineLevel="0" collapsed="false">
      <c r="A19003" s="5" t="s">
        <v>459</v>
      </c>
      <c r="C19003" s="25" t="n">
        <f aca="false">IF(C18988&gt;0,C18998,C18978)</f>
        <v>250</v>
      </c>
    </row>
    <row r="19004" customFormat="false" ht="15" hidden="false" customHeight="false" outlineLevel="0" collapsed="false">
      <c r="A19004" s="5" t="s">
        <v>460</v>
      </c>
      <c r="C19004" s="25" t="n">
        <f aca="false">IF(C18989&gt;0,C18999,C18979)</f>
        <v>300</v>
      </c>
    </row>
    <row r="19005" customFormat="false" ht="15" hidden="false" customHeight="false" outlineLevel="0" collapsed="false">
      <c r="A19005" s="23" t="s">
        <v>466</v>
      </c>
      <c r="B19005" s="24"/>
      <c r="C19005" s="24"/>
      <c r="D19005" s="24"/>
      <c r="E19005" s="24"/>
      <c r="F19005" s="24"/>
      <c r="G19005" s="24"/>
      <c r="H19005" s="24"/>
      <c r="I19005" s="24"/>
      <c r="J19005" s="24"/>
      <c r="K19005" s="24"/>
    </row>
    <row r="19006" customFormat="false" ht="15" hidden="false" customHeight="false" outlineLevel="0" collapsed="false">
      <c r="A19006" s="5" t="s">
        <v>457</v>
      </c>
      <c r="C19006" s="20" t="n">
        <f aca="false">IF(C18986&gt;0,Assumptions!$C$17,C18981)</f>
        <v>1</v>
      </c>
    </row>
    <row r="19007" customFormat="false" ht="15" hidden="false" customHeight="false" outlineLevel="0" collapsed="false">
      <c r="A19007" s="5" t="s">
        <v>458</v>
      </c>
      <c r="C19007" s="20" t="n">
        <f aca="false">IF(C18987&gt;0,Assumptions!$C$17,C18982)</f>
        <v>2</v>
      </c>
    </row>
    <row r="19008" customFormat="false" ht="15" hidden="false" customHeight="false" outlineLevel="0" collapsed="false">
      <c r="A19008" s="5" t="s">
        <v>459</v>
      </c>
      <c r="C19008" s="20" t="n">
        <f aca="false">IF(C18988&gt;0,Assumptions!$C$17,C18983)</f>
        <v>3</v>
      </c>
    </row>
    <row r="19009" customFormat="false" ht="15" hidden="false" customHeight="false" outlineLevel="0" collapsed="false">
      <c r="A19009" s="5" t="s">
        <v>460</v>
      </c>
      <c r="C19009" s="20" t="n">
        <f aca="false">IF(C18989&gt;0,Assumptions!$C$17,C18984)</f>
        <v>4</v>
      </c>
    </row>
    <row r="19010" customFormat="false" ht="15" hidden="false" customHeight="false" outlineLevel="0" collapsed="false">
      <c r="A19010" s="23" t="s">
        <v>467</v>
      </c>
      <c r="B19010" s="24"/>
      <c r="C19010" s="24"/>
      <c r="D19010" s="24"/>
      <c r="E19010" s="24"/>
      <c r="F19010" s="24"/>
      <c r="G19010" s="24"/>
      <c r="H19010" s="24"/>
      <c r="I19010" s="24"/>
      <c r="J19010" s="24"/>
      <c r="K19010" s="24"/>
    </row>
    <row r="19011" customFormat="false" ht="15" hidden="false" customHeight="false" outlineLevel="0" collapsed="false">
      <c r="A19011" s="5" t="s">
        <v>457</v>
      </c>
      <c r="C19011" s="25" t="n">
        <f aca="false">SUMPRODUCT(($C$19006:$C$19009&lt;C19006)*$C$19001:$C$19004)</f>
        <v>0</v>
      </c>
    </row>
    <row r="19012" customFormat="false" ht="15" hidden="false" customHeight="false" outlineLevel="0" collapsed="false">
      <c r="A19012" s="5" t="s">
        <v>458</v>
      </c>
      <c r="C19012" s="25" t="n">
        <f aca="false">SUMPRODUCT(($C$19006:$C$19009&lt;C19007)*$C$19001:$C$19004)</f>
        <v>216.2968</v>
      </c>
    </row>
    <row r="19013" customFormat="false" ht="15" hidden="false" customHeight="false" outlineLevel="0" collapsed="false">
      <c r="A19013" s="5" t="s">
        <v>459</v>
      </c>
      <c r="C19013" s="25" t="n">
        <f aca="false">SUMPRODUCT(($C$19006:$C$19009&lt;C19008)*$C$19001:$C$19004)</f>
        <v>725.8968</v>
      </c>
    </row>
    <row r="19014" customFormat="false" ht="15" hidden="false" customHeight="false" outlineLevel="0" collapsed="false">
      <c r="A19014" s="5" t="s">
        <v>460</v>
      </c>
      <c r="C19014" s="25" t="n">
        <f aca="false">SUMPRODUCT(($C$19006:$C$19009&lt;C19009)*$C$19001:$C$19004)</f>
        <v>975.8968</v>
      </c>
    </row>
    <row r="19015" customFormat="false" ht="15" hidden="false" customHeight="false" outlineLevel="0" collapsed="false">
      <c r="A19015" s="23" t="s">
        <v>468</v>
      </c>
      <c r="B19015" s="24"/>
      <c r="C19015" s="24"/>
      <c r="D19015" s="24"/>
      <c r="E19015" s="24"/>
      <c r="F19015" s="24"/>
      <c r="G19015" s="24"/>
      <c r="H19015" s="24"/>
      <c r="I19015" s="24"/>
      <c r="J19015" s="24"/>
      <c r="K19015" s="24"/>
    </row>
    <row r="19016" customFormat="false" ht="15" hidden="false" customHeight="false" outlineLevel="0" collapsed="false">
      <c r="A19016" s="5" t="s">
        <v>457</v>
      </c>
      <c r="C19016" s="25" t="n">
        <f aca="false">SUMPRODUCT(($C$19006:$C$19009=C19006)*$C$19001:$C$19004)</f>
        <v>216.2968</v>
      </c>
    </row>
    <row r="19017" customFormat="false" ht="15" hidden="false" customHeight="false" outlineLevel="0" collapsed="false">
      <c r="A19017" s="5" t="s">
        <v>458</v>
      </c>
      <c r="C19017" s="25" t="n">
        <f aca="false">SUMPRODUCT(($C$19006:$C$19009=C19007)*$C$19001:$C$19004)</f>
        <v>509.6</v>
      </c>
    </row>
    <row r="19018" customFormat="false" ht="15" hidden="false" customHeight="false" outlineLevel="0" collapsed="false">
      <c r="A19018" s="5" t="s">
        <v>459</v>
      </c>
      <c r="C19018" s="25" t="n">
        <f aca="false">SUMPRODUCT(($C$19006:$C$19009=C19008)*$C$19001:$C$19004)</f>
        <v>250</v>
      </c>
    </row>
    <row r="19019" customFormat="false" ht="15" hidden="false" customHeight="false" outlineLevel="0" collapsed="false">
      <c r="A19019" s="5" t="s">
        <v>460</v>
      </c>
      <c r="C19019" s="25" t="n">
        <f aca="false">SUMPRODUCT(($C$19006:$C$19009=C19009)*$C$19001:$C$19004)</f>
        <v>300</v>
      </c>
    </row>
    <row r="19020" customFormat="false" ht="15" hidden="false" customHeight="false" outlineLevel="0" collapsed="false">
      <c r="A19020" s="23" t="s">
        <v>469</v>
      </c>
      <c r="B19020" s="24"/>
      <c r="C19020" s="24"/>
      <c r="D19020" s="24"/>
      <c r="E19020" s="24"/>
      <c r="F19020" s="24"/>
      <c r="G19020" s="24"/>
      <c r="H19020" s="24"/>
      <c r="I19020" s="24"/>
      <c r="J19020" s="24"/>
      <c r="K19020" s="24"/>
    </row>
    <row r="19021" customFormat="false" ht="15" hidden="false" customHeight="false" outlineLevel="0" collapsed="false">
      <c r="A19021" s="5" t="s">
        <v>457</v>
      </c>
      <c r="C19021" s="25" t="n">
        <f aca="false">IF(C19016=0,0,C19001/C19016*MAX(0,MIN(C19016,$C$18974-SUM($C$18991:$C$18994)-C19011)))</f>
        <v>216.2968</v>
      </c>
    </row>
    <row r="19022" customFormat="false" ht="15" hidden="false" customHeight="false" outlineLevel="0" collapsed="false">
      <c r="A19022" s="5" t="s">
        <v>458</v>
      </c>
      <c r="C19022" s="25" t="n">
        <f aca="false">IF(C19017=0,0,C19002/C19017*MAX(0,MIN(C19017,$C$18974-SUM($C$18991:$C$18994)-C19012)))</f>
        <v>28.2507919999998</v>
      </c>
    </row>
    <row r="19023" customFormat="false" ht="15" hidden="false" customHeight="false" outlineLevel="0" collapsed="false">
      <c r="A19023" s="5" t="s">
        <v>459</v>
      </c>
      <c r="C19023" s="25" t="n">
        <f aca="false">IF(C19018=0,0,C19003/C19018*MAX(0,MIN(C19018,$C$18974-SUM($C$18991:$C$18994)-C19013)))</f>
        <v>0</v>
      </c>
    </row>
    <row r="19024" customFormat="false" ht="15" hidden="false" customHeight="false" outlineLevel="0" collapsed="false">
      <c r="A19024" s="5" t="s">
        <v>460</v>
      </c>
      <c r="C19024" s="25" t="n">
        <f aca="false">IF(C19019=0,0,C19004/C19019*MAX(0,MIN(C19019,$C$18974-SUM($C$18991:$C$18994)-C19014)))</f>
        <v>0</v>
      </c>
    </row>
    <row r="19025" customFormat="false" ht="15" hidden="false" customHeight="false" outlineLevel="0" collapsed="false">
      <c r="A19025" s="23" t="s">
        <v>470</v>
      </c>
      <c r="B19025" s="24"/>
      <c r="C19025" s="24"/>
      <c r="D19025" s="24"/>
      <c r="E19025" s="24"/>
      <c r="F19025" s="24"/>
      <c r="G19025" s="24"/>
      <c r="H19025" s="24"/>
      <c r="I19025" s="24"/>
      <c r="J19025" s="24"/>
      <c r="K19025" s="24"/>
    </row>
    <row r="19026" customFormat="false" ht="15" hidden="false" customHeight="false" outlineLevel="0" collapsed="false">
      <c r="A19026" s="2" t="s">
        <v>457</v>
      </c>
      <c r="C19026" s="16" t="n">
        <f aca="false">C18991+C19021</f>
        <v>216.2968</v>
      </c>
    </row>
    <row r="19027" customFormat="false" ht="15" hidden="false" customHeight="false" outlineLevel="0" collapsed="false">
      <c r="A19027" s="2" t="s">
        <v>458</v>
      </c>
      <c r="C19027" s="16" t="n">
        <f aca="false">C18992+C19022</f>
        <v>28.2507919999998</v>
      </c>
    </row>
    <row r="19028" customFormat="false" ht="15" hidden="false" customHeight="false" outlineLevel="0" collapsed="false">
      <c r="A19028" s="2" t="s">
        <v>459</v>
      </c>
      <c r="C19028" s="16" t="n">
        <f aca="false">C18993+C19023</f>
        <v>0</v>
      </c>
    </row>
    <row r="19029" customFormat="false" ht="15" hidden="false" customHeight="false" outlineLevel="0" collapsed="false">
      <c r="A19029" s="2" t="s">
        <v>460</v>
      </c>
      <c r="C19029" s="16" t="n">
        <f aca="false">C18994+C19024</f>
        <v>0</v>
      </c>
    </row>
    <row r="19030" customFormat="false" ht="15" hidden="false" customHeight="false" outlineLevel="0" collapsed="false">
      <c r="A19030" s="23" t="s">
        <v>471</v>
      </c>
      <c r="B19030" s="24"/>
      <c r="C19030" s="24"/>
      <c r="D19030" s="24"/>
      <c r="E19030" s="24"/>
      <c r="F19030" s="24"/>
      <c r="G19030" s="24"/>
      <c r="H19030" s="24"/>
      <c r="I19030" s="24"/>
      <c r="J19030" s="24"/>
      <c r="K19030" s="24"/>
    </row>
    <row r="19031" customFormat="false" ht="15" hidden="false" customHeight="false" outlineLevel="0" collapsed="false">
      <c r="A19031" s="5" t="s">
        <v>457</v>
      </c>
      <c r="C19031" s="21" t="n">
        <f aca="false">IF(C18976=0,1,C19026/C18976)</f>
        <v>1</v>
      </c>
    </row>
    <row r="19032" customFormat="false" ht="15" hidden="false" customHeight="false" outlineLevel="0" collapsed="false">
      <c r="A19032" s="5" t="s">
        <v>458</v>
      </c>
      <c r="C19032" s="21" t="n">
        <f aca="false">IF(C18977=0,1,C19027/C18977)</f>
        <v>0.0554371899529039</v>
      </c>
    </row>
    <row r="19033" customFormat="false" ht="15" hidden="false" customHeight="false" outlineLevel="0" collapsed="false">
      <c r="A19033" s="5" t="s">
        <v>459</v>
      </c>
      <c r="C19033" s="21" t="n">
        <f aca="false">IF(C18978=0,1,C19028/C18978)</f>
        <v>0</v>
      </c>
    </row>
    <row r="19034" customFormat="false" ht="15" hidden="false" customHeight="false" outlineLevel="0" collapsed="false">
      <c r="A19034" s="5" t="s">
        <v>460</v>
      </c>
      <c r="C19034" s="21" t="n">
        <f aca="false">IF(C18979=0,1,C19029/C18979)</f>
        <v>0</v>
      </c>
    </row>
    <row r="19035" customFormat="false" ht="15" hidden="false" customHeight="false" outlineLevel="0" collapsed="false">
      <c r="A19035" s="23" t="s">
        <v>472</v>
      </c>
      <c r="B19035" s="24"/>
      <c r="C19035" s="24"/>
      <c r="D19035" s="24"/>
      <c r="E19035" s="24"/>
      <c r="F19035" s="24"/>
      <c r="G19035" s="24"/>
      <c r="H19035" s="24"/>
      <c r="I19035" s="24"/>
      <c r="J19035" s="24"/>
      <c r="K19035" s="24"/>
    </row>
    <row r="19036" customFormat="false" ht="15" hidden="false" customHeight="false" outlineLevel="0" collapsed="false">
      <c r="A19036" s="5" t="s">
        <v>457</v>
      </c>
      <c r="C19036" s="25" t="n">
        <f aca="false">C18976-C19026</f>
        <v>0</v>
      </c>
    </row>
    <row r="19037" customFormat="false" ht="15" hidden="false" customHeight="false" outlineLevel="0" collapsed="false">
      <c r="A19037" s="5" t="s">
        <v>458</v>
      </c>
      <c r="C19037" s="25" t="n">
        <f aca="false">C18977-C19027</f>
        <v>481.349208</v>
      </c>
    </row>
    <row r="19038" customFormat="false" ht="15" hidden="false" customHeight="false" outlineLevel="0" collapsed="false">
      <c r="A19038" s="5" t="s">
        <v>459</v>
      </c>
      <c r="C19038" s="25" t="n">
        <f aca="false">C18978-C19028</f>
        <v>250</v>
      </c>
    </row>
    <row r="19039" customFormat="false" ht="15" hidden="false" customHeight="false" outlineLevel="0" collapsed="false">
      <c r="A19039" s="5" t="s">
        <v>460</v>
      </c>
      <c r="C19039" s="25" t="n">
        <f aca="false">C18979-C19029</f>
        <v>300</v>
      </c>
    </row>
    <row r="19040" customFormat="false" ht="15" hidden="false" customHeight="false" outlineLevel="0" collapsed="false">
      <c r="A19040" s="23" t="s">
        <v>473</v>
      </c>
      <c r="B19040" s="24"/>
      <c r="C19040" s="24"/>
      <c r="D19040" s="24"/>
      <c r="E19040" s="24"/>
      <c r="F19040" s="24"/>
      <c r="G19040" s="24"/>
      <c r="H19040" s="24"/>
      <c r="I19040" s="24"/>
      <c r="J19040" s="24"/>
      <c r="K19040" s="24"/>
    </row>
    <row r="19041" customFormat="false" ht="15" hidden="false" customHeight="false" outlineLevel="0" collapsed="false">
      <c r="A19041" s="5" t="s">
        <v>457</v>
      </c>
      <c r="C19041" s="21" t="n">
        <f aca="false">IF(C18976=0,0,C19036/C18976)</f>
        <v>0</v>
      </c>
    </row>
    <row r="19042" customFormat="false" ht="15" hidden="false" customHeight="false" outlineLevel="0" collapsed="false">
      <c r="A19042" s="5" t="s">
        <v>458</v>
      </c>
      <c r="C19042" s="21" t="n">
        <f aca="false">IF(C18977=0,0,C19037/C18977)</f>
        <v>0.944562810047096</v>
      </c>
    </row>
    <row r="19043" customFormat="false" ht="15" hidden="false" customHeight="false" outlineLevel="0" collapsed="false">
      <c r="A19043" s="5" t="s">
        <v>459</v>
      </c>
      <c r="C19043" s="21" t="n">
        <f aca="false">IF(C18978=0,0,C19038/C18978)</f>
        <v>1</v>
      </c>
    </row>
    <row r="19044" customFormat="false" ht="15" hidden="false" customHeight="false" outlineLevel="0" collapsed="false">
      <c r="A19044" s="5" t="s">
        <v>460</v>
      </c>
      <c r="C19044" s="21" t="n">
        <f aca="false">IF(C18979=0,0,C19039/C18979)</f>
        <v>1</v>
      </c>
    </row>
    <row r="19045" customFormat="false" ht="15" hidden="false" customHeight="false" outlineLevel="0" collapsed="false">
      <c r="A19045" s="2" t="s">
        <v>474</v>
      </c>
      <c r="C19045" s="16" t="n">
        <f aca="false">MAX(0,$C$18974-SUM($C$18991:$C$18994)-SUM($C$19001:$C$19004))</f>
        <v>0</v>
      </c>
    </row>
    <row r="19046" customFormat="false" ht="15" hidden="false" customHeight="false" outlineLevel="0" collapsed="false">
      <c r="A19046" s="5" t="s">
        <v>492</v>
      </c>
      <c r="C19046" s="33" t="n">
        <f aca="false">MIN(C18973,100*CHOOSE(C18963,C19031,C19032,C19033,C19034))</f>
        <v>5.54371899529039</v>
      </c>
    </row>
    <row r="19047" customFormat="false" ht="15" hidden="false" customHeight="false" outlineLevel="0" collapsed="false">
      <c r="A19047" s="5" t="s">
        <v>493</v>
      </c>
      <c r="C19047" s="20" t="n">
        <f aca="false">IF(C18879=1,C18968+Assumptions!$C$36,C18967)</f>
        <v>3</v>
      </c>
    </row>
    <row r="19048" customFormat="false" ht="15" hidden="false" customHeight="false" outlineLevel="0" collapsed="false">
      <c r="A19048" s="23" t="s">
        <v>494</v>
      </c>
      <c r="B19048" s="24"/>
      <c r="C19048" s="24"/>
      <c r="D19048" s="24"/>
      <c r="E19048" s="24"/>
      <c r="F19048" s="24"/>
      <c r="G19048" s="24"/>
      <c r="H19048" s="24"/>
      <c r="I19048" s="24"/>
      <c r="J19048" s="24"/>
      <c r="K19048" s="24"/>
    </row>
    <row r="19049" customFormat="false" ht="15" hidden="false" customHeight="false" outlineLevel="0" collapsed="false">
      <c r="A19049" s="5" t="s">
        <v>495</v>
      </c>
      <c r="C19049" s="20" t="n">
        <f aca="false">COLUMN()-COLUMN($C$1)</f>
        <v>0</v>
      </c>
      <c r="D19049" s="20" t="n">
        <f aca="false">COLUMN()-COLUMN($C$1)</f>
        <v>1</v>
      </c>
      <c r="E19049" s="20" t="n">
        <f aca="false">COLUMN()-COLUMN($C$1)</f>
        <v>2</v>
      </c>
      <c r="F19049" s="20" t="n">
        <f aca="false">COLUMN()-COLUMN($C$1)</f>
        <v>3</v>
      </c>
      <c r="G19049" s="20" t="n">
        <f aca="false">COLUMN()-COLUMN($C$1)</f>
        <v>4</v>
      </c>
      <c r="H19049" s="20" t="n">
        <f aca="false">COLUMN()-COLUMN($C$1)</f>
        <v>5</v>
      </c>
      <c r="I19049" s="20" t="n">
        <f aca="false">COLUMN()-COLUMN($C$1)</f>
        <v>6</v>
      </c>
    </row>
    <row r="19050" customFormat="false" ht="15" hidden="false" customHeight="false" outlineLevel="0" collapsed="false">
      <c r="A19050" s="5" t="s">
        <v>496</v>
      </c>
      <c r="D19050" s="30" t="n">
        <f aca="false">CHOOSE($C$18963,G18761,G18774,G18787,G18800)</f>
        <v>0.118</v>
      </c>
      <c r="E19050" s="30" t="n">
        <f aca="false">CHOOSE($C$18963,H18761,H18774,H18787,H18800)</f>
        <v>0.1155</v>
      </c>
      <c r="F19050" s="30" t="n">
        <f aca="false">CHOOSE($C$18963,I18761,I18774,I18787,I18800)</f>
        <v>0.113</v>
      </c>
      <c r="G19050" s="30" t="n">
        <f aca="false">CHOOSE($C$18963,J18761,J18774,J18787,J18800)</f>
        <v>0.113</v>
      </c>
      <c r="H19050" s="30" t="n">
        <f aca="false">CHOOSE($C$18963,K18761,K18774,K18787,K18800)</f>
        <v>0.113</v>
      </c>
    </row>
    <row r="19051" customFormat="false" ht="15" hidden="false" customHeight="false" outlineLevel="0" collapsed="false">
      <c r="A19051" s="5" t="s">
        <v>497</v>
      </c>
      <c r="D19051" s="25" t="n">
        <f aca="false">IF(D19049&lt;=$C$18972,$C$18964*D19050,0)</f>
        <v>11.8</v>
      </c>
      <c r="E19051" s="25" t="n">
        <f aca="false">IF(E19049&lt;=$C$18972,$C$18964*E19050,0)</f>
        <v>11.55</v>
      </c>
      <c r="F19051" s="25" t="n">
        <f aca="false">IF(F19049&lt;=$C$18972,$C$18964*F19050,0)</f>
        <v>0</v>
      </c>
      <c r="G19051" s="25" t="n">
        <f aca="false">IF(G19049&lt;=$C$18972,$C$18964*G19050,0)</f>
        <v>0</v>
      </c>
      <c r="H19051" s="25" t="n">
        <f aca="false">IF(H19049&lt;=$C$18972,$C$18964*H19050,0)</f>
        <v>0</v>
      </c>
    </row>
    <row r="19052" customFormat="false" ht="15" hidden="false" customHeight="false" outlineLevel="0" collapsed="false">
      <c r="A19052" s="5" t="s">
        <v>498</v>
      </c>
      <c r="D19052" s="25" t="n">
        <f aca="false">IF(AND($C$18879=0,D19049=$C$18967),$C$18964*$C$19046/100,0)+IF(AND($C$18879=1,D19049=$C$19047),$C$18970,0)</f>
        <v>0</v>
      </c>
      <c r="E19052" s="25" t="n">
        <f aca="false">IF(AND($C$18879=0,E19049=$C$18967),$C$18964*$C$19046/100,0)+IF(AND($C$18879=1,E19049=$C$19047),$C$18970,0)</f>
        <v>0</v>
      </c>
      <c r="F19052" s="25" t="n">
        <f aca="false">IF(AND($C$18879=0,F19049=$C$18967),$C$18964*$C$19046/100,0)+IF(AND($C$18879=1,F19049=$C$19047),$C$18970,0)</f>
        <v>56.4287463304553</v>
      </c>
      <c r="G19052" s="25" t="n">
        <f aca="false">IF(AND($C$18879=0,G19049=$C$18967),$C$18964*$C$19046/100,0)+IF(AND($C$18879=1,G19049=$C$19047),$C$18970,0)</f>
        <v>0</v>
      </c>
      <c r="H19052" s="25" t="n">
        <f aca="false">IF(AND($C$18879=0,H19049=$C$18967),$C$18964*$C$19046/100,0)+IF(AND($C$18879=1,H19049=$C$19047),$C$18970,0)</f>
        <v>0</v>
      </c>
      <c r="I19052" s="25" t="n">
        <f aca="false">IF(AND($C$18879=0,I19049=$C$18967),$C$18964*$C$19046/100,0)+IF(AND($C$18879=1,I19049=$C$19047),$C$18970,0)</f>
        <v>0</v>
      </c>
    </row>
    <row r="19053" customFormat="false" ht="15" hidden="false" customHeight="false" outlineLevel="0" collapsed="false">
      <c r="A19053" s="2" t="s">
        <v>499</v>
      </c>
      <c r="C19053" s="16" t="n">
        <f aca="false">-$C$18966</f>
        <v>-78.39</v>
      </c>
      <c r="D19053" s="16" t="n">
        <f aca="false">D19051+D19052</f>
        <v>11.8</v>
      </c>
      <c r="E19053" s="16" t="n">
        <f aca="false">E19051+E19052</f>
        <v>11.55</v>
      </c>
      <c r="F19053" s="16" t="n">
        <f aca="false">F19051+F19052</f>
        <v>56.4287463304553</v>
      </c>
      <c r="G19053" s="16" t="n">
        <f aca="false">G19051+G19052</f>
        <v>0</v>
      </c>
      <c r="H19053" s="16" t="n">
        <f aca="false">H19051+H19052</f>
        <v>0</v>
      </c>
      <c r="I19053" s="16" t="n">
        <f aca="false">I19051+I19052</f>
        <v>0</v>
      </c>
    </row>
    <row r="19054" customFormat="false" ht="15" hidden="false" customHeight="false" outlineLevel="0" collapsed="false">
      <c r="A19054" s="5" t="s">
        <v>500</v>
      </c>
      <c r="C19054" s="25" t="n">
        <f aca="false">SUM($C$19051:$I$19051)</f>
        <v>23.35</v>
      </c>
    </row>
    <row r="19055" customFormat="false" ht="15" hidden="false" customHeight="false" outlineLevel="0" collapsed="false">
      <c r="A19055" s="5" t="s">
        <v>501</v>
      </c>
      <c r="C19055" s="25" t="n">
        <f aca="false">SUM($C$19052:$I$19052)</f>
        <v>56.4287463304553</v>
      </c>
    </row>
    <row r="19056" customFormat="false" ht="15" hidden="false" customHeight="false" outlineLevel="0" collapsed="false">
      <c r="A19056" s="5" t="s">
        <v>502</v>
      </c>
      <c r="C19056" s="25" t="n">
        <f aca="false">C19054+C19055</f>
        <v>79.7787463304553</v>
      </c>
    </row>
    <row r="19057" customFormat="false" ht="15" hidden="false" customHeight="false" outlineLevel="0" collapsed="false">
      <c r="A19057" s="5" t="s">
        <v>503</v>
      </c>
      <c r="C19057" s="25" t="n">
        <f aca="false">C19055-C18964*C18965/100</f>
        <v>-21.5712536695447</v>
      </c>
    </row>
    <row r="19058" customFormat="false" ht="15" hidden="false" customHeight="false" outlineLevel="0" collapsed="false">
      <c r="A19058" s="5" t="s">
        <v>504</v>
      </c>
      <c r="C19058" s="25" t="n">
        <f aca="false">C19056-C18966</f>
        <v>1.38874633045526</v>
      </c>
    </row>
    <row r="19059" customFormat="false" ht="15" hidden="false" customHeight="false" outlineLevel="0" collapsed="false">
      <c r="A19059" s="2" t="s">
        <v>385</v>
      </c>
      <c r="C19059" s="43" t="n">
        <f aca="false">C19056/C18966</f>
        <v>1.01771586082989</v>
      </c>
    </row>
    <row r="19060" customFormat="false" ht="15" hidden="false" customHeight="false" outlineLevel="0" collapsed="false">
      <c r="A19060" s="2" t="s">
        <v>384</v>
      </c>
      <c r="C19060" s="41" t="n">
        <f aca="false">IF(C19056&lt;=0,-1,IFERROR(IRR($C$19053:$I$19053,MAX(-0.9,C19059^(1/C19047)-1)),IRR($C$19053:$I$19053,0.1)))</f>
        <v>0.00688989684099931</v>
      </c>
    </row>
    <row r="19061" customFormat="false" ht="15" hidden="false" customHeight="false" outlineLevel="0" collapsed="false">
      <c r="A19061" s="5" t="s">
        <v>505</v>
      </c>
      <c r="C19061" s="31" t="n">
        <f aca="false">MAX($G$18855:$K$18855)</f>
        <v>28.5681105622991</v>
      </c>
    </row>
    <row r="19062" customFormat="false" ht="15" hidden="false" customHeight="false" outlineLevel="0" collapsed="false">
      <c r="A19062" s="5" t="s">
        <v>506</v>
      </c>
      <c r="C19062" s="31" t="n">
        <f aca="false">MIN($G$18856:$K$18856)</f>
        <v>0.374027109660081</v>
      </c>
    </row>
    <row r="19063" customFormat="false" ht="15" hidden="false" customHeight="false" outlineLevel="0" collapsed="false">
      <c r="A19063" s="5" t="s">
        <v>507</v>
      </c>
      <c r="C19063" s="25" t="n">
        <f aca="false">SUM($G$18745:$K$18745)</f>
        <v>-481.4808823404</v>
      </c>
    </row>
    <row r="19067" customFormat="false" ht="15" hidden="false" customHeight="false" outlineLevel="0" collapsed="false">
      <c r="A19067" s="9" t="s">
        <v>680</v>
      </c>
      <c r="B19067" s="10"/>
      <c r="C19067" s="10"/>
      <c r="D19067" s="10"/>
      <c r="E19067" s="10"/>
      <c r="F19067" s="10"/>
      <c r="G19067" s="10"/>
      <c r="H19067" s="10"/>
      <c r="I19067" s="10"/>
      <c r="J19067" s="10"/>
      <c r="K19067" s="10"/>
    </row>
    <row r="19068" customFormat="false" ht="15" hidden="false" customHeight="false" outlineLevel="0" collapsed="false">
      <c r="A19068" s="5" t="s">
        <v>622</v>
      </c>
      <c r="C19068" s="11" t="n">
        <v>2</v>
      </c>
    </row>
    <row r="19069" customFormat="false" ht="15" hidden="false" customHeight="false" outlineLevel="0" collapsed="false">
      <c r="A19069" s="5" t="s">
        <v>623</v>
      </c>
      <c r="C19069" s="18" t="n">
        <v>0</v>
      </c>
    </row>
    <row r="19070" customFormat="false" ht="15" hidden="false" customHeight="false" outlineLevel="0" collapsed="false">
      <c r="A19070" s="5" t="s">
        <v>624</v>
      </c>
      <c r="C19070" s="18" t="n">
        <v>0</v>
      </c>
    </row>
    <row r="19071" customFormat="false" ht="15" hidden="false" customHeight="false" outlineLevel="0" collapsed="false">
      <c r="A19071" s="5" t="s">
        <v>625</v>
      </c>
      <c r="C19071" s="18" t="n">
        <v>0</v>
      </c>
    </row>
    <row r="19072" customFormat="false" ht="15" hidden="false" customHeight="false" outlineLevel="0" collapsed="false">
      <c r="A19072" s="5" t="s">
        <v>626</v>
      </c>
      <c r="C19072" s="32" t="n">
        <f aca="false">Sensitivities!$A$61</f>
        <v>-1</v>
      </c>
    </row>
    <row r="19074" customFormat="false" ht="15" hidden="false" customHeight="false" outlineLevel="0" collapsed="false">
      <c r="A19074" s="23" t="s">
        <v>237</v>
      </c>
      <c r="B19074" s="24"/>
      <c r="C19074" s="24"/>
      <c r="D19074" s="24"/>
      <c r="E19074" s="24"/>
      <c r="F19074" s="24"/>
      <c r="G19074" s="24"/>
      <c r="H19074" s="24"/>
      <c r="I19074" s="24"/>
      <c r="J19074" s="24"/>
      <c r="K19074" s="24"/>
    </row>
    <row r="19075" customFormat="false" ht="15" hidden="false" customHeight="false" outlineLevel="0" collapsed="false">
      <c r="A19075" s="5" t="s">
        <v>238</v>
      </c>
      <c r="F19075" s="26" t="n">
        <f aca="false">Assumptions!$C$6</f>
        <v>2025</v>
      </c>
      <c r="G19075" s="20" t="n">
        <f aca="false">F19075+1</f>
        <v>2026</v>
      </c>
      <c r="H19075" s="20" t="n">
        <f aca="false">G19075+1</f>
        <v>2027</v>
      </c>
      <c r="I19075" s="20" t="n">
        <f aca="false">H19075+1</f>
        <v>2028</v>
      </c>
      <c r="J19075" s="20" t="n">
        <f aca="false">I19075+1</f>
        <v>2029</v>
      </c>
      <c r="K19075" s="20" t="n">
        <f aca="false">J19075+1</f>
        <v>2030</v>
      </c>
    </row>
    <row r="19076" customFormat="false" ht="15" hidden="false" customHeight="false" outlineLevel="0" collapsed="false">
      <c r="A19076" s="5" t="s">
        <v>239</v>
      </c>
      <c r="G19076" s="20" t="n">
        <f aca="false">G19075-Assumptions!$C$6</f>
        <v>1</v>
      </c>
      <c r="H19076" s="20" t="n">
        <f aca="false">H19075-Assumptions!$C$6</f>
        <v>2</v>
      </c>
      <c r="I19076" s="20" t="n">
        <f aca="false">I19075-Assumptions!$C$6</f>
        <v>3</v>
      </c>
      <c r="J19076" s="20" t="n">
        <f aca="false">J19075-Assumptions!$C$6</f>
        <v>4</v>
      </c>
      <c r="K19076" s="20" t="n">
        <f aca="false">K19075-Assumptions!$C$6</f>
        <v>5</v>
      </c>
    </row>
    <row r="19077" customFormat="false" ht="15" hidden="false" customHeight="false" outlineLevel="0" collapsed="false">
      <c r="A19077" s="5" t="s">
        <v>149</v>
      </c>
      <c r="G19077" s="21" t="n">
        <f aca="false">CHOOSE($C$19068,Assumptions!$G$65,Assumptions!$G$84,Assumptions!$G$103)+$C$19069</f>
        <v>-0.078</v>
      </c>
      <c r="H19077" s="21" t="n">
        <f aca="false">CHOOSE($C$19068,Assumptions!$H$65,Assumptions!$H$84,Assumptions!$H$103)+$C$19069</f>
        <v>-0.039</v>
      </c>
      <c r="I19077" s="21" t="n">
        <f aca="false">CHOOSE($C$19068,Assumptions!$I$65,Assumptions!$I$84,Assumptions!$I$103)+$C$19069</f>
        <v>-0.005</v>
      </c>
      <c r="J19077" s="21" t="n">
        <f aca="false">CHOOSE($C$19068,Assumptions!$J$65,Assumptions!$J$84,Assumptions!$J$103)+$C$19069</f>
        <v>-0.01</v>
      </c>
      <c r="K19077" s="21" t="n">
        <f aca="false">CHOOSE($C$19068,Assumptions!$K$65,Assumptions!$K$84,Assumptions!$K$103)+$C$19069</f>
        <v>-0.01</v>
      </c>
    </row>
    <row r="19078" customFormat="false" ht="15" hidden="false" customHeight="false" outlineLevel="0" collapsed="false">
      <c r="A19078" s="5" t="s">
        <v>150</v>
      </c>
      <c r="G19078" s="21" t="n">
        <f aca="false">CHOOSE($C$19068,Assumptions!$G$66,Assumptions!$G$85,Assumptions!$G$104)</f>
        <v>0.33</v>
      </c>
      <c r="H19078" s="21" t="n">
        <f aca="false">CHOOSE($C$19068,Assumptions!$H$66,Assumptions!$H$85,Assumptions!$H$104)</f>
        <v>0.318</v>
      </c>
      <c r="I19078" s="21" t="n">
        <f aca="false">CHOOSE($C$19068,Assumptions!$I$66,Assumptions!$I$85,Assumptions!$I$104)</f>
        <v>0.324</v>
      </c>
      <c r="J19078" s="21" t="n">
        <f aca="false">CHOOSE($C$19068,Assumptions!$J$66,Assumptions!$J$85,Assumptions!$J$104)</f>
        <v>0.33</v>
      </c>
      <c r="K19078" s="21" t="n">
        <f aca="false">CHOOSE($C$19068,Assumptions!$K$66,Assumptions!$K$85,Assumptions!$K$104)</f>
        <v>0.336</v>
      </c>
    </row>
    <row r="19079" customFormat="false" ht="15" hidden="false" customHeight="false" outlineLevel="0" collapsed="false">
      <c r="A19079" s="5" t="s">
        <v>151</v>
      </c>
      <c r="G19079" s="21" t="n">
        <f aca="false">CHOOSE($C$19068,Assumptions!$G$67,Assumptions!$G$86,Assumptions!$G$105)+$C$19070</f>
        <v>0.035</v>
      </c>
      <c r="H19079" s="21" t="n">
        <f aca="false">CHOOSE($C$19068,Assumptions!$H$67,Assumptions!$H$86,Assumptions!$H$105)+$C$19070</f>
        <v>0.023</v>
      </c>
      <c r="I19079" s="21" t="n">
        <f aca="false">CHOOSE($C$19068,Assumptions!$I$67,Assumptions!$I$86,Assumptions!$I$105)+$C$19070</f>
        <v>0.029</v>
      </c>
      <c r="J19079" s="21" t="n">
        <f aca="false">CHOOSE($C$19068,Assumptions!$J$67,Assumptions!$J$86,Assumptions!$J$105)+$C$19070</f>
        <v>0.035</v>
      </c>
      <c r="K19079" s="21" t="n">
        <f aca="false">CHOOSE($C$19068,Assumptions!$K$67,Assumptions!$K$86,Assumptions!$K$105)+$C$19070</f>
        <v>0.041</v>
      </c>
    </row>
    <row r="19080" customFormat="false" ht="15" hidden="false" customHeight="false" outlineLevel="0" collapsed="false">
      <c r="A19080" s="23" t="s">
        <v>240</v>
      </c>
      <c r="B19080" s="24"/>
      <c r="C19080" s="24"/>
      <c r="D19080" s="24"/>
      <c r="E19080" s="24"/>
      <c r="F19080" s="24"/>
      <c r="G19080" s="24"/>
      <c r="H19080" s="24"/>
      <c r="I19080" s="24"/>
      <c r="J19080" s="24"/>
      <c r="K19080" s="24"/>
    </row>
    <row r="19081" customFormat="false" ht="15" hidden="false" customHeight="false" outlineLevel="0" collapsed="false">
      <c r="A19081" s="2" t="s">
        <v>207</v>
      </c>
      <c r="F19081" s="27" t="n">
        <f aca="false">'Historical Financials'!E17</f>
        <v>2400</v>
      </c>
      <c r="G19081" s="16" t="n">
        <f aca="false">F19081*(1+G19077)</f>
        <v>2212.8</v>
      </c>
      <c r="H19081" s="16" t="n">
        <f aca="false">G19081*(1+H19077)</f>
        <v>2126.5008</v>
      </c>
      <c r="I19081" s="16" t="n">
        <f aca="false">H19081*(1+I19077)</f>
        <v>2115.868296</v>
      </c>
      <c r="J19081" s="16" t="n">
        <f aca="false">I19081*(1+J19077)</f>
        <v>2094.70961304</v>
      </c>
      <c r="K19081" s="16" t="n">
        <f aca="false">J19081*(1+K19077)</f>
        <v>2073.7625169096</v>
      </c>
    </row>
    <row r="19082" customFormat="false" ht="15" hidden="false" customHeight="false" outlineLevel="0" collapsed="false">
      <c r="A19082" s="5" t="s">
        <v>217</v>
      </c>
      <c r="G19082" s="25" t="n">
        <f aca="false">G19081*(1-G19078)</f>
        <v>1482.576</v>
      </c>
      <c r="H19082" s="25" t="n">
        <f aca="false">H19081*(1-H19078)</f>
        <v>1450.2735456</v>
      </c>
      <c r="I19082" s="25" t="n">
        <f aca="false">I19081*(1-I19078)</f>
        <v>1430.326968096</v>
      </c>
      <c r="J19082" s="25" t="n">
        <f aca="false">J19081*(1-J19078)</f>
        <v>1403.4554407368</v>
      </c>
      <c r="K19082" s="25" t="n">
        <f aca="false">K19081*(1-K19078)</f>
        <v>1376.97831122797</v>
      </c>
    </row>
    <row r="19083" customFormat="false" ht="15" hidden="false" customHeight="false" outlineLevel="0" collapsed="false">
      <c r="A19083" s="2" t="s">
        <v>218</v>
      </c>
      <c r="G19083" s="16" t="n">
        <f aca="false">G19081-G19082</f>
        <v>730.224</v>
      </c>
      <c r="H19083" s="16" t="n">
        <f aca="false">H19081-H19082</f>
        <v>676.2272544</v>
      </c>
      <c r="I19083" s="16" t="n">
        <f aca="false">I19081-I19082</f>
        <v>685.541327904</v>
      </c>
      <c r="J19083" s="16" t="n">
        <f aca="false">J19081-J19082</f>
        <v>691.2541723032</v>
      </c>
      <c r="K19083" s="16" t="n">
        <f aca="false">K19081-K19082</f>
        <v>696.784205681626</v>
      </c>
    </row>
    <row r="19084" customFormat="false" ht="15" hidden="false" customHeight="false" outlineLevel="0" collapsed="false">
      <c r="A19084" s="5" t="s">
        <v>241</v>
      </c>
      <c r="G19084" s="25" t="n">
        <f aca="false">G19083-G19085</f>
        <v>652.776</v>
      </c>
      <c r="H19084" s="25" t="n">
        <f aca="false">H19083-H19085</f>
        <v>627.317736</v>
      </c>
      <c r="I19084" s="25" t="n">
        <f aca="false">I19083-I19085</f>
        <v>624.18114732</v>
      </c>
      <c r="J19084" s="25" t="n">
        <f aca="false">J19083-J19085</f>
        <v>617.9393358468</v>
      </c>
      <c r="K19084" s="25" t="n">
        <f aca="false">K19083-K19085</f>
        <v>611.759942488332</v>
      </c>
    </row>
    <row r="19085" customFormat="false" ht="15" hidden="false" customHeight="false" outlineLevel="0" collapsed="false">
      <c r="A19085" s="2" t="s">
        <v>242</v>
      </c>
      <c r="G19085" s="16" t="n">
        <f aca="false">G19081*G19079</f>
        <v>77.448</v>
      </c>
      <c r="H19085" s="16" t="n">
        <f aca="false">H19081*H19079</f>
        <v>48.9095184</v>
      </c>
      <c r="I19085" s="16" t="n">
        <f aca="false">I19081*I19079</f>
        <v>61.360180584</v>
      </c>
      <c r="J19085" s="16" t="n">
        <f aca="false">J19081*J19079</f>
        <v>73.3148364564</v>
      </c>
      <c r="K19085" s="16" t="n">
        <f aca="false">K19081*K19079</f>
        <v>85.0242631932936</v>
      </c>
    </row>
    <row r="19086" customFormat="false" ht="15" hidden="false" customHeight="false" outlineLevel="0" collapsed="false">
      <c r="A19086" s="5" t="s">
        <v>243</v>
      </c>
      <c r="G19086" s="25" t="n">
        <f aca="false">G19081*'Historical Financials'!E22/'Historical Financials'!E17</f>
        <v>48.6816</v>
      </c>
      <c r="H19086" s="25" t="n">
        <f aca="false">H19081*'Historical Financials'!E22/'Historical Financials'!E17</f>
        <v>46.7830176</v>
      </c>
      <c r="I19086" s="25" t="n">
        <f aca="false">I19081*'Historical Financials'!E22/'Historical Financials'!E17</f>
        <v>46.549102512</v>
      </c>
      <c r="J19086" s="25" t="n">
        <f aca="false">J19081*'Historical Financials'!E22/'Historical Financials'!E17</f>
        <v>46.08361148688</v>
      </c>
      <c r="K19086" s="25" t="n">
        <f aca="false">K19081*'Historical Financials'!E22/'Historical Financials'!E17</f>
        <v>45.6227753720112</v>
      </c>
    </row>
    <row r="19087" customFormat="false" ht="15" hidden="false" customHeight="false" outlineLevel="0" collapsed="false">
      <c r="A19087" s="5" t="s">
        <v>244</v>
      </c>
      <c r="G19087" s="25" t="n">
        <f aca="false">G19081*'Historical Financials'!E23/'Historical Financials'!E17</f>
        <v>0</v>
      </c>
      <c r="H19087" s="25" t="n">
        <f aca="false">H19081*'Historical Financials'!E23/'Historical Financials'!E17</f>
        <v>0</v>
      </c>
      <c r="I19087" s="25" t="n">
        <f aca="false">I19081*'Historical Financials'!E23/'Historical Financials'!E17</f>
        <v>0</v>
      </c>
      <c r="J19087" s="25" t="n">
        <f aca="false">J19081*'Historical Financials'!E23/'Historical Financials'!E17</f>
        <v>0</v>
      </c>
      <c r="K19087" s="25" t="n">
        <f aca="false">K19081*'Historical Financials'!E23/'Historical Financials'!E17</f>
        <v>0</v>
      </c>
    </row>
    <row r="19088" customFormat="false" ht="15" hidden="false" customHeight="false" outlineLevel="0" collapsed="false">
      <c r="A19088" s="2" t="s">
        <v>245</v>
      </c>
      <c r="G19088" s="16" t="n">
        <f aca="false">G19085-G19086-G19087</f>
        <v>28.7664</v>
      </c>
      <c r="H19088" s="16" t="n">
        <f aca="false">H19085-H19086-H19087</f>
        <v>2.12650079999998</v>
      </c>
      <c r="I19088" s="16" t="n">
        <f aca="false">I19085-I19086-I19087</f>
        <v>14.811078072</v>
      </c>
      <c r="J19088" s="16" t="n">
        <f aca="false">J19085-J19086-J19087</f>
        <v>27.23122496952</v>
      </c>
      <c r="K19088" s="16" t="n">
        <f aca="false">K19085-K19086-K19087</f>
        <v>39.4014878212824</v>
      </c>
    </row>
    <row r="19089" customFormat="false" ht="15" hidden="false" customHeight="false" outlineLevel="0" collapsed="false">
      <c r="A19089" s="5" t="s">
        <v>246</v>
      </c>
      <c r="G19089" s="25" t="n">
        <f aca="false">G19115+G19128+G19141+G19154</f>
        <v>129.54</v>
      </c>
      <c r="H19089" s="25" t="n">
        <f aca="false">H19115+H19128+H19141+H19154</f>
        <v>130.7646348</v>
      </c>
      <c r="I19089" s="25" t="n">
        <f aca="false">I19115+I19128+I19141+I19154</f>
        <v>128.3492928</v>
      </c>
      <c r="J19089" s="25" t="n">
        <f aca="false">J19115+J19128+J19141+J19154</f>
        <v>127.7616928</v>
      </c>
      <c r="K19089" s="25" t="n">
        <f aca="false">K19115+K19128+K19141+K19154</f>
        <v>127.1740928</v>
      </c>
    </row>
    <row r="19090" customFormat="false" ht="15" hidden="false" customHeight="false" outlineLevel="0" collapsed="false">
      <c r="A19090" s="5" t="s">
        <v>247</v>
      </c>
      <c r="G19090" s="25" t="n">
        <f aca="false">G19116+G19129+G19142+G19155</f>
        <v>0</v>
      </c>
      <c r="H19090" s="25" t="n">
        <f aca="false">H19116+H19129+H19142+H19155</f>
        <v>0</v>
      </c>
      <c r="I19090" s="25" t="n">
        <f aca="false">I19116+I19129+I19142+I19155</f>
        <v>0</v>
      </c>
      <c r="J19090" s="25" t="n">
        <f aca="false">J19116+J19129+J19142+J19155</f>
        <v>0</v>
      </c>
      <c r="K19090" s="25" t="n">
        <f aca="false">K19116+K19129+K19142+K19155</f>
        <v>0</v>
      </c>
    </row>
    <row r="19091" customFormat="false" ht="15" hidden="false" customHeight="false" outlineLevel="0" collapsed="false">
      <c r="A19091" s="5" t="s">
        <v>212</v>
      </c>
      <c r="G19091" s="25" t="n">
        <f aca="false">G19089+G19090</f>
        <v>129.54</v>
      </c>
      <c r="H19091" s="25" t="n">
        <f aca="false">H19089+H19090</f>
        <v>130.7646348</v>
      </c>
      <c r="I19091" s="25" t="n">
        <f aca="false">I19089+I19090</f>
        <v>128.3492928</v>
      </c>
      <c r="J19091" s="25" t="n">
        <f aca="false">J19089+J19090</f>
        <v>127.7616928</v>
      </c>
      <c r="K19091" s="25" t="n">
        <f aca="false">K19089+K19090</f>
        <v>127.1740928</v>
      </c>
    </row>
    <row r="19092" customFormat="false" ht="15" hidden="false" customHeight="false" outlineLevel="0" collapsed="false">
      <c r="A19092" s="2" t="s">
        <v>223</v>
      </c>
      <c r="G19092" s="16" t="n">
        <f aca="false">G19088-G19091</f>
        <v>-100.7736</v>
      </c>
      <c r="H19092" s="16" t="n">
        <f aca="false">H19088-H19091</f>
        <v>-128.638134</v>
      </c>
      <c r="I19092" s="16" t="n">
        <f aca="false">I19088-I19091</f>
        <v>-113.538214728</v>
      </c>
      <c r="J19092" s="16" t="n">
        <f aca="false">J19088-J19091</f>
        <v>-100.53046783048</v>
      </c>
      <c r="K19092" s="16" t="n">
        <f aca="false">K19088-K19091</f>
        <v>-87.7726049787176</v>
      </c>
    </row>
    <row r="19093" customFormat="false" ht="15" hidden="false" customHeight="false" outlineLevel="0" collapsed="false">
      <c r="A19093" s="5" t="s">
        <v>213</v>
      </c>
      <c r="G19093" s="25" t="n">
        <f aca="false">MAX(0,G19092)*Assumptions!$C$9</f>
        <v>0</v>
      </c>
      <c r="H19093" s="25" t="n">
        <f aca="false">MAX(0,H19092)*Assumptions!$C$9</f>
        <v>0</v>
      </c>
      <c r="I19093" s="25" t="n">
        <f aca="false">MAX(0,I19092)*Assumptions!$C$9</f>
        <v>0</v>
      </c>
      <c r="J19093" s="25" t="n">
        <f aca="false">MAX(0,J19092)*Assumptions!$C$9</f>
        <v>0</v>
      </c>
      <c r="K19093" s="25" t="n">
        <f aca="false">MAX(0,K19092)*Assumptions!$C$9</f>
        <v>0</v>
      </c>
    </row>
    <row r="19094" customFormat="false" ht="15" hidden="false" customHeight="false" outlineLevel="0" collapsed="false">
      <c r="A19094" s="2" t="s">
        <v>248</v>
      </c>
      <c r="G19094" s="16" t="n">
        <f aca="false">G19092-G19093</f>
        <v>-100.7736</v>
      </c>
      <c r="H19094" s="16" t="n">
        <f aca="false">H19092-H19093</f>
        <v>-128.638134</v>
      </c>
      <c r="I19094" s="16" t="n">
        <f aca="false">I19092-I19093</f>
        <v>-113.538214728</v>
      </c>
      <c r="J19094" s="16" t="n">
        <f aca="false">J19092-J19093</f>
        <v>-100.53046783048</v>
      </c>
      <c r="K19094" s="16" t="n">
        <f aca="false">K19092-K19093</f>
        <v>-87.7726049787176</v>
      </c>
    </row>
    <row r="19095" customFormat="false" ht="15" hidden="false" customHeight="false" outlineLevel="0" collapsed="false">
      <c r="A19095" s="23" t="s">
        <v>249</v>
      </c>
      <c r="B19095" s="24"/>
      <c r="C19095" s="24"/>
      <c r="D19095" s="24"/>
      <c r="E19095" s="24"/>
      <c r="F19095" s="24"/>
      <c r="G19095" s="24"/>
      <c r="H19095" s="24"/>
      <c r="I19095" s="24"/>
      <c r="J19095" s="24"/>
      <c r="K19095" s="24"/>
    </row>
    <row r="19096" customFormat="false" ht="15" hidden="false" customHeight="false" outlineLevel="0" collapsed="false">
      <c r="A19096" s="5" t="s">
        <v>153</v>
      </c>
      <c r="G19096" s="25" t="n">
        <f aca="false">G19081*CHOOSE($C$19068,Assumptions!$C$69,Assumptions!$C$88,Assumptions!$C$107)</f>
        <v>42.0432</v>
      </c>
      <c r="H19096" s="25" t="n">
        <f aca="false">H19081*CHOOSE($C$19068,Assumptions!$C$69,Assumptions!$C$88,Assumptions!$C$107)</f>
        <v>40.4035152</v>
      </c>
      <c r="I19096" s="25" t="n">
        <f aca="false">I19081*CHOOSE($C$19068,Assumptions!$C$69,Assumptions!$C$88,Assumptions!$C$107)</f>
        <v>40.201497624</v>
      </c>
      <c r="J19096" s="25" t="n">
        <f aca="false">J19081*CHOOSE($C$19068,Assumptions!$C$69,Assumptions!$C$88,Assumptions!$C$107)</f>
        <v>39.79948264776</v>
      </c>
      <c r="K19096" s="25" t="n">
        <f aca="false">K19081*CHOOSE($C$19068,Assumptions!$C$69,Assumptions!$C$88,Assumptions!$C$107)</f>
        <v>39.4014878212824</v>
      </c>
    </row>
    <row r="19097" customFormat="false" ht="15" hidden="false" customHeight="false" outlineLevel="0" collapsed="false">
      <c r="A19097" s="5" t="s">
        <v>250</v>
      </c>
      <c r="G19097" s="25" t="n">
        <f aca="false">CHOOSE($C$19068,Assumptions!$C$70,Assumptions!$C$89,Assumptions!$C$108)*(G19081-F19081)+CHOOSE($C$19068,Assumptions!$C$71,Assumptions!$C$90,Assumptions!$C$109)*G19081</f>
        <v>-18.0384</v>
      </c>
      <c r="H19097" s="25" t="n">
        <f aca="false">CHOOSE($C$19068,Assumptions!$C$70,Assumptions!$C$89,Assumptions!$C$108)*(H19081-G19081)+CHOOSE($C$19068,Assumptions!$C$71,Assumptions!$C$90,Assumptions!$C$109)*H19081</f>
        <v>-6.10290239999999</v>
      </c>
      <c r="I19097" s="25" t="n">
        <f aca="false">CHOOSE($C$19068,Assumptions!$C$70,Assumptions!$C$89,Assumptions!$C$108)*(I19081-H19081)+CHOOSE($C$19068,Assumptions!$C$71,Assumptions!$C$90,Assumptions!$C$109)*I19081</f>
        <v>2.95583611199998</v>
      </c>
      <c r="J19097" s="25" t="n">
        <f aca="false">CHOOSE($C$19068,Assumptions!$C$70,Assumptions!$C$89,Assumptions!$C$108)*(J19081-I19081)+CHOOSE($C$19068,Assumptions!$C$71,Assumptions!$C$90,Assumptions!$C$109)*J19081</f>
        <v>1.65037727087999</v>
      </c>
      <c r="K19097" s="25" t="n">
        <f aca="false">CHOOSE($C$19068,Assumptions!$C$70,Assumptions!$C$89,Assumptions!$C$108)*(K19081-J19081)+CHOOSE($C$19068,Assumptions!$C$71,Assumptions!$C$90,Assumptions!$C$109)*K19081</f>
        <v>1.63387349817119</v>
      </c>
    </row>
    <row r="19098" customFormat="false" ht="15" hidden="false" customHeight="false" outlineLevel="0" collapsed="false">
      <c r="A19098" s="2" t="s">
        <v>251</v>
      </c>
      <c r="G19098" s="16" t="n">
        <f aca="false">G19094+G19086+G19087+G19090-G19096-G19097</f>
        <v>-76.0968</v>
      </c>
      <c r="H19098" s="16" t="n">
        <f aca="false">H19094+H19086+H19087+H19090-H19096-H19097</f>
        <v>-116.1557292</v>
      </c>
      <c r="I19098" s="16" t="n">
        <f aca="false">I19094+I19086+I19087+I19090-I19096-I19097</f>
        <v>-110.146445952</v>
      </c>
      <c r="J19098" s="16" t="n">
        <f aca="false">J19094+J19086+J19087+J19090-J19096-J19097</f>
        <v>-95.89671626224</v>
      </c>
      <c r="K19098" s="16" t="n">
        <f aca="false">K19094+K19086+K19087+K19090-K19096-K19097</f>
        <v>-83.18519092616</v>
      </c>
    </row>
    <row r="19100" customFormat="false" ht="15" hidden="false" customHeight="false" outlineLevel="0" collapsed="false">
      <c r="A19100" s="23" t="s">
        <v>253</v>
      </c>
      <c r="B19100" s="24"/>
      <c r="C19100" s="24"/>
      <c r="D19100" s="24"/>
      <c r="E19100" s="24"/>
      <c r="F19100" s="24"/>
      <c r="G19100" s="24"/>
      <c r="H19100" s="24"/>
      <c r="I19100" s="24"/>
      <c r="J19100" s="24"/>
      <c r="K19100" s="24"/>
    </row>
    <row r="19101" customFormat="false" ht="15" hidden="false" customHeight="false" outlineLevel="0" collapsed="false">
      <c r="A19101" s="5" t="s">
        <v>254</v>
      </c>
      <c r="G19101" s="29" t="n">
        <f aca="false">Assumptions!$G$49</f>
        <v>0.0425</v>
      </c>
      <c r="H19101" s="29" t="n">
        <f aca="false">Assumptions!$H$49</f>
        <v>0.04</v>
      </c>
      <c r="I19101" s="29" t="n">
        <f aca="false">Assumptions!$I$49</f>
        <v>0.0375</v>
      </c>
      <c r="J19101" s="29" t="n">
        <f aca="false">Assumptions!$J$49</f>
        <v>0.0375</v>
      </c>
      <c r="K19101" s="29" t="n">
        <f aca="false">Assumptions!$K$49</f>
        <v>0.0375</v>
      </c>
    </row>
    <row r="19102" customFormat="false" ht="15" hidden="false" customHeight="false" outlineLevel="0" collapsed="false">
      <c r="A19102" s="5" t="s">
        <v>255</v>
      </c>
      <c r="C19102" s="30" t="n">
        <f aca="false">CHOOSE($C$19068,Assumptions!$C$72,Assumptions!$C$91,Assumptions!$C$110)+$C$19071</f>
        <v>0.015</v>
      </c>
    </row>
    <row r="19103" customFormat="false" ht="15" hidden="false" customHeight="false" outlineLevel="0" collapsed="false">
      <c r="A19103" s="5" t="s">
        <v>256</v>
      </c>
      <c r="C19103" s="30" t="n">
        <f aca="false">CHOOSE($C$19068,Assumptions!$C$73,Assumptions!$C$92,Assumptions!$C$111)</f>
        <v>0.135</v>
      </c>
    </row>
    <row r="19104" customFormat="false" ht="15" hidden="false" customHeight="false" outlineLevel="0" collapsed="false">
      <c r="A19104" s="5" t="s">
        <v>257</v>
      </c>
      <c r="C19104" s="31" t="n">
        <f aca="false">CHOOSE($C$19068,Assumptions!$C$74,Assumptions!$C$93,Assumptions!$C$112)</f>
        <v>5.5</v>
      </c>
    </row>
    <row r="19105" customFormat="false" ht="15" hidden="false" customHeight="false" outlineLevel="0" collapsed="false">
      <c r="A19105" s="5" t="s">
        <v>258</v>
      </c>
      <c r="C19105" s="31" t="n">
        <f aca="false">CHOOSE($C$19068,Assumptions!$C$75,Assumptions!$C$94,Assumptions!$C$113)</f>
        <v>1.8</v>
      </c>
    </row>
    <row r="19106" customFormat="false" ht="15" hidden="false" customHeight="false" outlineLevel="0" collapsed="false">
      <c r="A19106" s="5" t="s">
        <v>259</v>
      </c>
      <c r="G19106" s="25" t="n">
        <f aca="false">G19111+G19124+G19137+G19150</f>
        <v>1250</v>
      </c>
      <c r="H19106" s="25" t="n">
        <f aca="false">H19111+H19124+H19137+H19150</f>
        <v>1281.0968</v>
      </c>
      <c r="I19106" s="25" t="n">
        <f aca="false">I19111+I19124+I19137+I19150</f>
        <v>1275.8968</v>
      </c>
      <c r="J19106" s="25" t="n">
        <f aca="false">J19111+J19124+J19137+J19150</f>
        <v>1270.6968</v>
      </c>
      <c r="K19106" s="25" t="n">
        <f aca="false">K19111+K19124+K19137+K19150</f>
        <v>1265.4968</v>
      </c>
    </row>
    <row r="19107" customFormat="false" ht="15" hidden="false" customHeight="false" outlineLevel="0" collapsed="false">
      <c r="A19107" s="5" t="s">
        <v>260</v>
      </c>
      <c r="G19107" s="25" t="n">
        <f aca="false">F19197</f>
        <v>45</v>
      </c>
      <c r="H19107" s="25" t="n">
        <f aca="false">G19197</f>
        <v>0</v>
      </c>
      <c r="I19107" s="25" t="n">
        <f aca="false">H19197</f>
        <v>-121.3557292</v>
      </c>
      <c r="J19107" s="25" t="n">
        <f aca="false">I19197</f>
        <v>-236.702175152</v>
      </c>
      <c r="K19107" s="25" t="n">
        <f aca="false">J19197</f>
        <v>-337.79889141424</v>
      </c>
    </row>
    <row r="19108" customFormat="false" ht="15" hidden="false" customHeight="false" outlineLevel="0" collapsed="false">
      <c r="A19108" s="5" t="s">
        <v>261</v>
      </c>
      <c r="G19108" s="25" t="n">
        <f aca="false">G19111*IF(G19112=1,$C$19103,IF(Assumptions!$I$53=1,MAX(G19101,Assumptions!$G$53)+Assumptions!$F$53+$C$19102,Assumptions!$E$53))+G19124*IF(G19125=1,$C$19103,IF(Assumptions!$I$54=1,MAX(G19101,Assumptions!$G$54)+Assumptions!$F$54+$C$19102,Assumptions!$E$54))+G19137*IF(G19138=1,$C$19103,IF(Assumptions!$I$55=1,MAX(G19101,Assumptions!$G$55)+Assumptions!$F$55+$C$19102,Assumptions!$E$55))+G19150*IF(G19151=1,$C$19103,IF(Assumptions!$I$56=1,MAX(G19101,Assumptions!$G$56)+Assumptions!$F$56+$C$19102,Assumptions!$E$56))</f>
        <v>129.54</v>
      </c>
      <c r="H19108" s="25" t="n">
        <f aca="false">H19111*IF(OR(H19112=1,G19263=1),$C$19103,IF(Assumptions!$I$53=1,MAX(H19101,Assumptions!$G$53)+Assumptions!$F$53+$C$19102,Assumptions!$E$53))+H19124*IF(OR(H19125=1,G19264=1),$C$19103,IF(Assumptions!$I$54=1,MAX(H19101,Assumptions!$G$54)+Assumptions!$F$54+$C$19102,Assumptions!$E$54))+H19137*IF(OR(H19138=1,G19265=1),$C$19103,IF(Assumptions!$I$55=1,MAX(H19101,Assumptions!$G$55)+Assumptions!$F$55+$C$19102,Assumptions!$E$55))+H19150*IF(OR(H19151=1,G19266=1),$C$19103,IF(Assumptions!$I$56=1,MAX(H19101,Assumptions!$G$56)+Assumptions!$F$56+$C$19102,Assumptions!$E$56))</f>
        <v>156.659468</v>
      </c>
      <c r="I19108" s="25" t="n">
        <f aca="false">I19111*IF(OR(I19112=1,H19263=1),$C$19103,IF(Assumptions!$I$53=1,MAX(I19101,Assumptions!$G$53)+Assumptions!$F$53+$C$19102,Assumptions!$E$53))+I19124*IF(OR(I19125=1,H19264=1),$C$19103,IF(Assumptions!$I$54=1,MAX(I19101,Assumptions!$G$54)+Assumptions!$F$54+$C$19102,Assumptions!$E$54))+I19137*IF(OR(I19138=1,H19265=1),$C$19103,IF(Assumptions!$I$55=1,MAX(I19101,Assumptions!$G$55)+Assumptions!$F$55+$C$19102,Assumptions!$E$55))+I19150*IF(OR(I19151=1,H19266=1),$C$19103,IF(Assumptions!$I$56=1,MAX(I19101,Assumptions!$G$56)+Assumptions!$F$56+$C$19102,Assumptions!$E$56))</f>
        <v>139.5604928</v>
      </c>
      <c r="J19108" s="25" t="n">
        <f aca="false">J19111*IF(OR(J19112=1,I19263=1),$C$19103,IF(Assumptions!$I$53=1,MAX(J19101,Assumptions!$G$53)+Assumptions!$F$53+$C$19102,Assumptions!$E$53))+J19124*IF(OR(J19125=1,I19264=1),$C$19103,IF(Assumptions!$I$54=1,MAX(J19101,Assumptions!$G$54)+Assumptions!$F$54+$C$19102,Assumptions!$E$54))+J19137*IF(OR(J19138=1,I19265=1),$C$19103,IF(Assumptions!$I$55=1,MAX(J19101,Assumptions!$G$55)+Assumptions!$F$55+$C$19102,Assumptions!$E$55))+J19150*IF(OR(J19151=1,I19266=1),$C$19103,IF(Assumptions!$I$56=1,MAX(J19101,Assumptions!$G$56)+Assumptions!$F$56+$C$19102,Assumptions!$E$56))</f>
        <v>134.0116928</v>
      </c>
      <c r="K19108" s="25" t="n">
        <f aca="false">K19111*IF(OR(K19112=1,J19263=1),$C$19103,IF(Assumptions!$I$53=1,MAX(K19101,Assumptions!$G$53)+Assumptions!$F$53+$C$19102,Assumptions!$E$53))+K19124*IF(OR(K19125=1,J19264=1),$C$19103,IF(Assumptions!$I$54=1,MAX(K19101,Assumptions!$G$54)+Assumptions!$F$54+$C$19102,Assumptions!$E$54))+K19137*IF(OR(K19138=1,J19265=1),$C$19103,IF(Assumptions!$I$55=1,MAX(K19101,Assumptions!$G$55)+Assumptions!$F$55+$C$19102,Assumptions!$E$55))+K19150*IF(OR(K19151=1,J19266=1),$C$19103,IF(Assumptions!$I$56=1,MAX(K19101,Assumptions!$G$56)+Assumptions!$F$56+$C$19102,Assumptions!$E$56))</f>
        <v>127.1740928</v>
      </c>
    </row>
    <row r="19109" customFormat="false" ht="15" hidden="false" customHeight="false" outlineLevel="0" collapsed="false">
      <c r="A19109" s="5" t="s">
        <v>262</v>
      </c>
      <c r="G19109" s="20" t="n">
        <f aca="false">IF(G19085&lt;=0,0,IF(AND((G19106-G19107)/G19085&lt;=$C$19104,G19085/G19108&gt;=$C$19105),1,0))</f>
        <v>0</v>
      </c>
      <c r="H19109" s="20" t="n">
        <f aca="false">IF(H19085&lt;=0,0,IF(AND((H19106-H19107)/H19085&lt;=$C$19104,H19085/H19108&gt;=$C$19105),1,0))</f>
        <v>0</v>
      </c>
      <c r="I19109" s="20" t="n">
        <f aca="false">IF(I19085&lt;=0,0,IF(AND((I19106-I19107)/I19085&lt;=$C$19104,I19085/I19108&gt;=$C$19105),1,0))</f>
        <v>0</v>
      </c>
      <c r="J19109" s="20" t="n">
        <f aca="false">IF(J19085&lt;=0,0,IF(AND((J19106-J19107)/J19085&lt;=$C$19104,J19085/J19108&gt;=$C$19105),1,0))</f>
        <v>0</v>
      </c>
      <c r="K19109" s="20" t="n">
        <f aca="false">IF(K19085&lt;=0,0,IF(AND((K19106-K19107)/K19085&lt;=$C$19104,K19085/K19108&gt;=$C$19105),1,0))</f>
        <v>0</v>
      </c>
    </row>
    <row r="19110" customFormat="false" ht="15" hidden="false" customHeight="false" outlineLevel="0" collapsed="false">
      <c r="A19110" s="23" t="s">
        <v>263</v>
      </c>
      <c r="B19110" s="24"/>
      <c r="C19110" s="24"/>
      <c r="D19110" s="24"/>
      <c r="E19110" s="24"/>
      <c r="F19110" s="24"/>
      <c r="G19110" s="24"/>
      <c r="H19110" s="24"/>
      <c r="I19110" s="24"/>
      <c r="J19110" s="24"/>
      <c r="K19110" s="24"/>
    </row>
    <row r="19111" customFormat="false" ht="15" hidden="false" customHeight="false" outlineLevel="0" collapsed="false">
      <c r="A19111" s="5" t="s">
        <v>264</v>
      </c>
      <c r="G19111" s="25" t="n">
        <f aca="false">F19122</f>
        <v>180</v>
      </c>
      <c r="H19111" s="25" t="n">
        <f aca="false">G19122</f>
        <v>216.2968</v>
      </c>
      <c r="I19111" s="25" t="n">
        <f aca="false">H19122</f>
        <v>216.2968</v>
      </c>
      <c r="J19111" s="25" t="n">
        <f aca="false">I19122</f>
        <v>216.2968</v>
      </c>
      <c r="K19111" s="25" t="n">
        <f aca="false">J19122</f>
        <v>216.2968</v>
      </c>
    </row>
    <row r="19112" customFormat="false" ht="15" hidden="false" customHeight="false" outlineLevel="0" collapsed="false">
      <c r="A19112" s="5" t="s">
        <v>265</v>
      </c>
      <c r="G19112" s="20" t="n">
        <f aca="false">IF(G19075=Assumptions!$K$53,1,0)</f>
        <v>0</v>
      </c>
      <c r="H19112" s="20" t="n">
        <f aca="false">IF(H19075=Assumptions!$K$53,1,0)</f>
        <v>1</v>
      </c>
      <c r="I19112" s="20" t="n">
        <f aca="false">IF(I19075=Assumptions!$K$53,1,0)</f>
        <v>0</v>
      </c>
      <c r="J19112" s="20" t="n">
        <f aca="false">IF(J19075=Assumptions!$K$53,1,0)</f>
        <v>0</v>
      </c>
      <c r="K19112" s="20" t="n">
        <f aca="false">IF(K19075=Assumptions!$K$53,1,0)</f>
        <v>0</v>
      </c>
    </row>
    <row r="19114" customFormat="false" ht="15" hidden="false" customHeight="false" outlineLevel="0" collapsed="false">
      <c r="A19114" s="5" t="s">
        <v>266</v>
      </c>
      <c r="G19114" s="30" t="n">
        <f aca="false">IF(Assumptions!$I$53=1,MAX(G19101,Assumptions!$G$53)+Assumptions!$F$53+$C$19102,Assumptions!$E$53)</f>
        <v>0.101</v>
      </c>
      <c r="H19114" s="30" t="n">
        <f aca="false">IF(G19263=1,$C$19103,IF(Assumptions!$I$53=1,MAX(H19101,Assumptions!$G$53)+Assumptions!$F$53+$C$19102,Assumptions!$E$53))</f>
        <v>0.0985</v>
      </c>
      <c r="I19114" s="30" t="n">
        <f aca="false">IF(H19263=1,$C$19103,IF(Assumptions!$I$53=1,MAX(I19101,Assumptions!$G$53)+Assumptions!$F$53+$C$19102,Assumptions!$E$53))</f>
        <v>0.096</v>
      </c>
      <c r="J19114" s="30" t="n">
        <f aca="false">IF(I19263=1,$C$19103,IF(Assumptions!$I$53=1,MAX(J19101,Assumptions!$G$53)+Assumptions!$F$53+$C$19102,Assumptions!$E$53))</f>
        <v>0.096</v>
      </c>
      <c r="K19114" s="30" t="n">
        <f aca="false">IF(J19263=1,$C$19103,IF(Assumptions!$I$53=1,MAX(K19101,Assumptions!$G$53)+Assumptions!$F$53+$C$19102,Assumptions!$E$53))</f>
        <v>0.096</v>
      </c>
    </row>
    <row r="19115" customFormat="false" ht="15" hidden="false" customHeight="false" outlineLevel="0" collapsed="false">
      <c r="A19115" s="5" t="s">
        <v>267</v>
      </c>
      <c r="G19115" s="25" t="n">
        <f aca="false">G19111*G19114</f>
        <v>18.18</v>
      </c>
      <c r="H19115" s="25" t="n">
        <f aca="false">H19111*H19114</f>
        <v>21.3052348</v>
      </c>
      <c r="I19115" s="25" t="n">
        <f aca="false">I19111*I19114</f>
        <v>20.7644928</v>
      </c>
      <c r="J19115" s="25" t="n">
        <f aca="false">J19111*J19114</f>
        <v>20.7644928</v>
      </c>
      <c r="K19115" s="25" t="n">
        <f aca="false">K19111*K19114</f>
        <v>20.7644928</v>
      </c>
    </row>
    <row r="19116" customFormat="false" ht="15" hidden="false" customHeight="false" outlineLevel="0" collapsed="false">
      <c r="A19116" s="5" t="s">
        <v>268</v>
      </c>
      <c r="G19116" s="25" t="n">
        <f aca="false">G19111*Assumptions!$H$53</f>
        <v>0</v>
      </c>
      <c r="H19116" s="25" t="n">
        <f aca="false">H19111*Assumptions!$H$53</f>
        <v>0</v>
      </c>
      <c r="I19116" s="25" t="n">
        <f aca="false">I19111*Assumptions!$H$53</f>
        <v>0</v>
      </c>
      <c r="J19116" s="25" t="n">
        <f aca="false">J19111*Assumptions!$H$53</f>
        <v>0</v>
      </c>
      <c r="K19116" s="25" t="n">
        <f aca="false">K19111*Assumptions!$H$53</f>
        <v>0</v>
      </c>
    </row>
    <row r="19117" customFormat="false" ht="15" hidden="false" customHeight="false" outlineLevel="0" collapsed="false">
      <c r="A19117" s="5" t="s">
        <v>269</v>
      </c>
      <c r="G19117" s="25" t="n">
        <f aca="false">MIN(G19111,Assumptions!$L$53*Assumptions!$C$53)</f>
        <v>0</v>
      </c>
      <c r="H19117" s="25" t="n">
        <f aca="false">MIN(H19111,Assumptions!$L$53*Assumptions!$C$53)</f>
        <v>0</v>
      </c>
      <c r="I19117" s="25" t="n">
        <f aca="false">MIN(I19111,Assumptions!$L$53*Assumptions!$C$53)</f>
        <v>0</v>
      </c>
      <c r="J19117" s="25" t="n">
        <f aca="false">MIN(J19111,Assumptions!$L$53*Assumptions!$C$53)</f>
        <v>0</v>
      </c>
      <c r="K19117" s="25" t="n">
        <f aca="false">MIN(K19111,Assumptions!$L$53*Assumptions!$C$53)</f>
        <v>0</v>
      </c>
    </row>
    <row r="19118" customFormat="false" ht="15" hidden="false" customHeight="false" outlineLevel="0" collapsed="false">
      <c r="A19118" s="5" t="s">
        <v>270</v>
      </c>
      <c r="G19118" s="25" t="n">
        <f aca="false">IF(AND(Assumptions!$P$53=1,G19075&lt;Assumptions!$K$53),MIN(MAX(0,-G19189),MAX(0,Assumptions!$D$53-G19111)),0)</f>
        <v>36.2968000000001</v>
      </c>
      <c r="H19118" s="25" t="n">
        <f aca="false">IF(AND(Assumptions!$P$53=1,OR(H19075&lt;Assumptions!$K$53,G19263=1)),MIN(MAX(0,-H19189),MAX(0,Assumptions!$D$53-H19111)),0)</f>
        <v>0</v>
      </c>
      <c r="I19118" s="25" t="n">
        <f aca="false">IF(AND(Assumptions!$P$53=1,OR(I19075&lt;Assumptions!$K$53,H19263=1)),MIN(MAX(0,-I19189),MAX(0,Assumptions!$D$53-I19111)),0)</f>
        <v>0</v>
      </c>
      <c r="J19118" s="25" t="n">
        <f aca="false">IF(AND(Assumptions!$P$53=1,OR(J19075&lt;Assumptions!$K$53,I19263=1)),MIN(MAX(0,-J19189),MAX(0,Assumptions!$D$53-J19111)),0)</f>
        <v>0</v>
      </c>
      <c r="K19118" s="25" t="n">
        <f aca="false">IF(AND(Assumptions!$P$53=1,OR(K19075&lt;Assumptions!$K$53,J19263=1)),MIN(MAX(0,-K19189),MAX(0,Assumptions!$D$53-K19111)),0)</f>
        <v>0</v>
      </c>
    </row>
    <row r="19119" customFormat="false" ht="15" hidden="false" customHeight="false" outlineLevel="0" collapsed="false">
      <c r="A19119" s="5" t="s">
        <v>271</v>
      </c>
      <c r="G19119" s="25" t="n">
        <f aca="false">G19112*MIN(G19111-G19117+G19116,MAX(0,G19191-Assumptions!$C$12*G19109))</f>
        <v>0</v>
      </c>
      <c r="H19119" s="25" t="n">
        <f aca="false">H19112*MIN(H19111-H19117+H19116,MAX(0,H19191-Assumptions!$C$12*H19109))</f>
        <v>0</v>
      </c>
      <c r="I19119" s="25" t="n">
        <f aca="false">I19112*MIN(I19111-I19117+I19116,MAX(0,I19191-Assumptions!$C$12*I19109))</f>
        <v>0</v>
      </c>
      <c r="J19119" s="25" t="n">
        <f aca="false">J19112*MIN(J19111-J19117+J19116,MAX(0,J19191-Assumptions!$C$12*J19109))</f>
        <v>0</v>
      </c>
      <c r="K19119" s="25" t="n">
        <f aca="false">K19112*MIN(K19111-K19117+K19116,MAX(0,K19191-Assumptions!$C$12*K19109))</f>
        <v>0</v>
      </c>
    </row>
    <row r="19120" customFormat="false" ht="15" hidden="false" customHeight="false" outlineLevel="0" collapsed="false">
      <c r="A19120" s="5" t="s">
        <v>272</v>
      </c>
      <c r="G19120" s="25" t="n">
        <f aca="false">Assumptions!$N$53*MIN(G19111+G19118+G19116-G19117-G19119,MAX(0,G19195))</f>
        <v>0</v>
      </c>
      <c r="H19120" s="25" t="n">
        <f aca="false">Assumptions!$N$53*MIN(H19111+H19118+H19116-H19117-H19119,MAX(0,H19195))</f>
        <v>0</v>
      </c>
      <c r="I19120" s="25" t="n">
        <f aca="false">Assumptions!$N$53*MIN(I19111+I19118+I19116-I19117-I19119,MAX(0,I19195))</f>
        <v>0</v>
      </c>
      <c r="J19120" s="25" t="n">
        <f aca="false">Assumptions!$N$53*MIN(J19111+J19118+J19116-J19117-J19119,MAX(0,J19195))</f>
        <v>0</v>
      </c>
      <c r="K19120" s="25" t="n">
        <f aca="false">Assumptions!$N$53*MIN(K19111+K19118+K19116-K19117-K19119,MAX(0,K19195))</f>
        <v>0</v>
      </c>
    </row>
    <row r="19121" customFormat="false" ht="15" hidden="false" customHeight="false" outlineLevel="0" collapsed="false">
      <c r="A19121" s="5" t="s">
        <v>273</v>
      </c>
      <c r="G19121" s="25" t="n">
        <f aca="false">G19112*(1-G19109)*(G19111-G19117+G19116-G19119)</f>
        <v>0</v>
      </c>
      <c r="H19121" s="25" t="n">
        <f aca="false">H19112*(1-H19109)*(H19111-H19117+H19116-H19119)</f>
        <v>216.2968</v>
      </c>
      <c r="I19121" s="25" t="n">
        <f aca="false">I19112*(1-I19109)*(I19111-I19117+I19116-I19119)</f>
        <v>0</v>
      </c>
      <c r="J19121" s="25" t="n">
        <f aca="false">J19112*(1-J19109)*(J19111-J19117+J19116-J19119)</f>
        <v>0</v>
      </c>
      <c r="K19121" s="25" t="n">
        <f aca="false">K19112*(1-K19109)*(K19111-K19117+K19116-K19119)</f>
        <v>0</v>
      </c>
    </row>
    <row r="19122" customFormat="false" ht="15" hidden="false" customHeight="false" outlineLevel="0" collapsed="false">
      <c r="A19122" s="2" t="s">
        <v>274</v>
      </c>
      <c r="F19122" s="27" t="n">
        <f aca="false">Assumptions!$C$53</f>
        <v>180</v>
      </c>
      <c r="G19122" s="16" t="n">
        <f aca="false">G19111+G19118+G19116-G19117-G19119-G19120</f>
        <v>216.2968</v>
      </c>
      <c r="H19122" s="16" t="n">
        <f aca="false">H19111+H19118+H19116-H19117-H19119-H19120</f>
        <v>216.2968</v>
      </c>
      <c r="I19122" s="16" t="n">
        <f aca="false">I19111+I19118+I19116-I19117-I19119-I19120</f>
        <v>216.2968</v>
      </c>
      <c r="J19122" s="16" t="n">
        <f aca="false">J19111+J19118+J19116-J19117-J19119-J19120</f>
        <v>216.2968</v>
      </c>
      <c r="K19122" s="16" t="n">
        <f aca="false">K19111+K19118+K19116-K19117-K19119-K19120</f>
        <v>216.2968</v>
      </c>
    </row>
    <row r="19123" customFormat="false" ht="15" hidden="false" customHeight="false" outlineLevel="0" collapsed="false">
      <c r="A19123" s="23" t="s">
        <v>275</v>
      </c>
      <c r="B19123" s="24"/>
      <c r="C19123" s="24"/>
      <c r="D19123" s="24"/>
      <c r="E19123" s="24"/>
      <c r="F19123" s="24"/>
      <c r="G19123" s="24"/>
      <c r="H19123" s="24"/>
      <c r="I19123" s="24"/>
      <c r="J19123" s="24"/>
      <c r="K19123" s="24"/>
    </row>
    <row r="19124" customFormat="false" ht="15" hidden="false" customHeight="false" outlineLevel="0" collapsed="false">
      <c r="A19124" s="5" t="s">
        <v>264</v>
      </c>
      <c r="G19124" s="25" t="n">
        <f aca="false">F19135</f>
        <v>520</v>
      </c>
      <c r="H19124" s="25" t="n">
        <f aca="false">G19135</f>
        <v>514.8</v>
      </c>
      <c r="I19124" s="25" t="n">
        <f aca="false">H19135</f>
        <v>509.6</v>
      </c>
      <c r="J19124" s="25" t="n">
        <f aca="false">I19135</f>
        <v>504.4</v>
      </c>
      <c r="K19124" s="25" t="n">
        <f aca="false">J19135</f>
        <v>499.2</v>
      </c>
    </row>
    <row r="19125" customFormat="false" ht="15" hidden="false" customHeight="false" outlineLevel="0" collapsed="false">
      <c r="A19125" s="5" t="s">
        <v>265</v>
      </c>
      <c r="G19125" s="20" t="n">
        <f aca="false">IF(G19075=Assumptions!$K$54,1,0)</f>
        <v>0</v>
      </c>
      <c r="H19125" s="20" t="n">
        <f aca="false">IF(H19075=Assumptions!$K$54,1,0)</f>
        <v>0</v>
      </c>
      <c r="I19125" s="20" t="n">
        <f aca="false">IF(I19075=Assumptions!$K$54,1,0)</f>
        <v>1</v>
      </c>
      <c r="J19125" s="20" t="n">
        <f aca="false">IF(J19075=Assumptions!$K$54,1,0)</f>
        <v>0</v>
      </c>
      <c r="K19125" s="20" t="n">
        <f aca="false">IF(K19075=Assumptions!$K$54,1,0)</f>
        <v>0</v>
      </c>
    </row>
    <row r="19127" customFormat="false" ht="15" hidden="false" customHeight="false" outlineLevel="0" collapsed="false">
      <c r="A19127" s="5" t="s">
        <v>266</v>
      </c>
      <c r="G19127" s="30" t="n">
        <f aca="false">IF(Assumptions!$I$54=1,MAX(G19101,Assumptions!$G$54)+Assumptions!$F$54+$C$19102,Assumptions!$E$54)</f>
        <v>0.118</v>
      </c>
      <c r="H19127" s="30" t="n">
        <f aca="false">IF(G19264=1,$C$19103,IF(Assumptions!$I$54=1,MAX(H19101,Assumptions!$G$54)+Assumptions!$F$54+$C$19102,Assumptions!$E$54))</f>
        <v>0.1155</v>
      </c>
      <c r="I19127" s="30" t="n">
        <f aca="false">IF(H19264=1,$C$19103,IF(Assumptions!$I$54=1,MAX(I19101,Assumptions!$G$54)+Assumptions!$F$54+$C$19102,Assumptions!$E$54))</f>
        <v>0.113</v>
      </c>
      <c r="J19127" s="30" t="n">
        <f aca="false">IF(I19264=1,$C$19103,IF(Assumptions!$I$54=1,MAX(J19101,Assumptions!$G$54)+Assumptions!$F$54+$C$19102,Assumptions!$E$54))</f>
        <v>0.113</v>
      </c>
      <c r="K19127" s="30" t="n">
        <f aca="false">IF(J19264=1,$C$19103,IF(Assumptions!$I$54=1,MAX(K19101,Assumptions!$G$54)+Assumptions!$F$54+$C$19102,Assumptions!$E$54))</f>
        <v>0.113</v>
      </c>
    </row>
    <row r="19128" customFormat="false" ht="15" hidden="false" customHeight="false" outlineLevel="0" collapsed="false">
      <c r="A19128" s="5" t="s">
        <v>267</v>
      </c>
      <c r="G19128" s="25" t="n">
        <f aca="false">G19124*G19127</f>
        <v>61.36</v>
      </c>
      <c r="H19128" s="25" t="n">
        <f aca="false">H19124*H19127</f>
        <v>59.4594</v>
      </c>
      <c r="I19128" s="25" t="n">
        <f aca="false">I19124*I19127</f>
        <v>57.5848</v>
      </c>
      <c r="J19128" s="25" t="n">
        <f aca="false">J19124*J19127</f>
        <v>56.9972</v>
      </c>
      <c r="K19128" s="25" t="n">
        <f aca="false">K19124*K19127</f>
        <v>56.4096</v>
      </c>
    </row>
    <row r="19129" customFormat="false" ht="15" hidden="false" customHeight="false" outlineLevel="0" collapsed="false">
      <c r="A19129" s="5" t="s">
        <v>268</v>
      </c>
      <c r="G19129" s="25" t="n">
        <f aca="false">G19124*Assumptions!$H$54</f>
        <v>0</v>
      </c>
      <c r="H19129" s="25" t="n">
        <f aca="false">H19124*Assumptions!$H$54</f>
        <v>0</v>
      </c>
      <c r="I19129" s="25" t="n">
        <f aca="false">I19124*Assumptions!$H$54</f>
        <v>0</v>
      </c>
      <c r="J19129" s="25" t="n">
        <f aca="false">J19124*Assumptions!$H$54</f>
        <v>0</v>
      </c>
      <c r="K19129" s="25" t="n">
        <f aca="false">K19124*Assumptions!$H$54</f>
        <v>0</v>
      </c>
    </row>
    <row r="19130" customFormat="false" ht="15" hidden="false" customHeight="false" outlineLevel="0" collapsed="false">
      <c r="A19130" s="5" t="s">
        <v>269</v>
      </c>
      <c r="G19130" s="25" t="n">
        <f aca="false">MIN(G19124,Assumptions!$L$54*Assumptions!$C$54)</f>
        <v>5.2</v>
      </c>
      <c r="H19130" s="25" t="n">
        <f aca="false">MIN(H19124,Assumptions!$L$54*Assumptions!$C$54)</f>
        <v>5.2</v>
      </c>
      <c r="I19130" s="25" t="n">
        <f aca="false">MIN(I19124,Assumptions!$L$54*Assumptions!$C$54)</f>
        <v>5.2</v>
      </c>
      <c r="J19130" s="25" t="n">
        <f aca="false">MIN(J19124,Assumptions!$L$54*Assumptions!$C$54)</f>
        <v>5.2</v>
      </c>
      <c r="K19130" s="25" t="n">
        <f aca="false">MIN(K19124,Assumptions!$L$54*Assumptions!$C$54)</f>
        <v>5.2</v>
      </c>
    </row>
    <row r="19131" customFormat="false" ht="15" hidden="false" customHeight="false" outlineLevel="0" collapsed="false">
      <c r="A19131" s="5" t="s">
        <v>270</v>
      </c>
      <c r="G19131" s="25" t="n">
        <f aca="false">IF(AND(Assumptions!$P$54=1,G19075&lt;Assumptions!$K$54),MIN(MAX(0,-G19189),MAX(0,Assumptions!$D$54-G19124)),0)</f>
        <v>0</v>
      </c>
      <c r="H19131" s="25" t="n">
        <f aca="false">IF(AND(Assumptions!$P$54=1,OR(H19075&lt;Assumptions!$K$54,G19264=1)),MIN(MAX(0,-H19189),MAX(0,Assumptions!$D$54-H19124)),0)</f>
        <v>0</v>
      </c>
      <c r="I19131" s="25" t="n">
        <f aca="false">IF(AND(Assumptions!$P$54=1,OR(I19075&lt;Assumptions!$K$54,H19264=1)),MIN(MAX(0,-I19189),MAX(0,Assumptions!$D$54-I19124)),0)</f>
        <v>0</v>
      </c>
      <c r="J19131" s="25" t="n">
        <f aca="false">IF(AND(Assumptions!$P$54=1,OR(J19075&lt;Assumptions!$K$54,I19264=1)),MIN(MAX(0,-J19189),MAX(0,Assumptions!$D$54-J19124)),0)</f>
        <v>0</v>
      </c>
      <c r="K19131" s="25" t="n">
        <f aca="false">IF(AND(Assumptions!$P$54=1,OR(K19075&lt;Assumptions!$K$54,J19264=1)),MIN(MAX(0,-K19189),MAX(0,Assumptions!$D$54-K19124)),0)</f>
        <v>0</v>
      </c>
    </row>
    <row r="19132" customFormat="false" ht="15" hidden="false" customHeight="false" outlineLevel="0" collapsed="false">
      <c r="A19132" s="5" t="s">
        <v>271</v>
      </c>
      <c r="G19132" s="25" t="n">
        <f aca="false">G19125*MIN(G19124-G19130+G19129,MAX(0,G19191-Assumptions!$C$12*G19109-G19119))</f>
        <v>0</v>
      </c>
      <c r="H19132" s="25" t="n">
        <f aca="false">H19125*MIN(H19124-H19130+H19129,MAX(0,H19191-Assumptions!$C$12*H19109-H19119))</f>
        <v>0</v>
      </c>
      <c r="I19132" s="25" t="n">
        <f aca="false">I19125*MIN(I19124-I19130+I19129,MAX(0,I19191-Assumptions!$C$12*I19109-I19119))</f>
        <v>0</v>
      </c>
      <c r="J19132" s="25" t="n">
        <f aca="false">J19125*MIN(J19124-J19130+J19129,MAX(0,J19191-Assumptions!$C$12*J19109-J19119))</f>
        <v>0</v>
      </c>
      <c r="K19132" s="25" t="n">
        <f aca="false">K19125*MIN(K19124-K19130+K19129,MAX(0,K19191-Assumptions!$C$12*K19109-K19119))</f>
        <v>0</v>
      </c>
    </row>
    <row r="19133" customFormat="false" ht="15" hidden="false" customHeight="false" outlineLevel="0" collapsed="false">
      <c r="A19133" s="5" t="s">
        <v>272</v>
      </c>
      <c r="G19133" s="25" t="n">
        <f aca="false">Assumptions!$N$54*MIN(G19124+G19131+G19129-G19130-G19132,MAX(0,G19195-G19120))</f>
        <v>0</v>
      </c>
      <c r="H19133" s="25" t="n">
        <f aca="false">Assumptions!$N$54*MIN(H19124+H19131+H19129-H19130-H19132,MAX(0,H19195-H19120))</f>
        <v>0</v>
      </c>
      <c r="I19133" s="25" t="n">
        <f aca="false">Assumptions!$N$54*MIN(I19124+I19131+I19129-I19130-I19132,MAX(0,I19195-I19120))</f>
        <v>0</v>
      </c>
      <c r="J19133" s="25" t="n">
        <f aca="false">Assumptions!$N$54*MIN(J19124+J19131+J19129-J19130-J19132,MAX(0,J19195-J19120))</f>
        <v>0</v>
      </c>
      <c r="K19133" s="25" t="n">
        <f aca="false">Assumptions!$N$54*MIN(K19124+K19131+K19129-K19130-K19132,MAX(0,K19195-K19120))</f>
        <v>0</v>
      </c>
    </row>
    <row r="19134" customFormat="false" ht="15" hidden="false" customHeight="false" outlineLevel="0" collapsed="false">
      <c r="A19134" s="5" t="s">
        <v>273</v>
      </c>
      <c r="G19134" s="25" t="n">
        <f aca="false">G19125*(1-G19109)*(G19124-G19130+G19129-G19132)</f>
        <v>0</v>
      </c>
      <c r="H19134" s="25" t="n">
        <f aca="false">H19125*(1-H19109)*(H19124-H19130+H19129-H19132)</f>
        <v>0</v>
      </c>
      <c r="I19134" s="25" t="n">
        <f aca="false">I19125*(1-I19109)*(I19124-I19130+I19129-I19132)</f>
        <v>504.4</v>
      </c>
      <c r="J19134" s="25" t="n">
        <f aca="false">J19125*(1-J19109)*(J19124-J19130+J19129-J19132)</f>
        <v>0</v>
      </c>
      <c r="K19134" s="25" t="n">
        <f aca="false">K19125*(1-K19109)*(K19124-K19130+K19129-K19132)</f>
        <v>0</v>
      </c>
    </row>
    <row r="19135" customFormat="false" ht="15" hidden="false" customHeight="false" outlineLevel="0" collapsed="false">
      <c r="A19135" s="2" t="s">
        <v>274</v>
      </c>
      <c r="F19135" s="27" t="n">
        <f aca="false">Assumptions!$C$54</f>
        <v>520</v>
      </c>
      <c r="G19135" s="16" t="n">
        <f aca="false">G19124+G19131+G19129-G19130-G19132-G19133</f>
        <v>514.8</v>
      </c>
      <c r="H19135" s="16" t="n">
        <f aca="false">H19124+H19131+H19129-H19130-H19132-H19133</f>
        <v>509.6</v>
      </c>
      <c r="I19135" s="16" t="n">
        <f aca="false">I19124+I19131+I19129-I19130-I19132-I19133</f>
        <v>504.4</v>
      </c>
      <c r="J19135" s="16" t="n">
        <f aca="false">J19124+J19131+J19129-J19130-J19132-J19133</f>
        <v>499.2</v>
      </c>
      <c r="K19135" s="16" t="n">
        <f aca="false">K19124+K19131+K19129-K19130-K19132-K19133</f>
        <v>494</v>
      </c>
    </row>
    <row r="19136" customFormat="false" ht="15" hidden="false" customHeight="false" outlineLevel="0" collapsed="false">
      <c r="A19136" s="23" t="s">
        <v>276</v>
      </c>
      <c r="B19136" s="24"/>
      <c r="C19136" s="24"/>
      <c r="D19136" s="24"/>
      <c r="E19136" s="24"/>
      <c r="F19136" s="24"/>
      <c r="G19136" s="24"/>
      <c r="H19136" s="24"/>
      <c r="I19136" s="24"/>
      <c r="J19136" s="24"/>
      <c r="K19136" s="24"/>
    </row>
    <row r="19137" customFormat="false" ht="15" hidden="false" customHeight="false" outlineLevel="0" collapsed="false">
      <c r="A19137" s="5" t="s">
        <v>264</v>
      </c>
      <c r="G19137" s="25" t="n">
        <f aca="false">F19148</f>
        <v>250</v>
      </c>
      <c r="H19137" s="25" t="n">
        <f aca="false">G19148</f>
        <v>250</v>
      </c>
      <c r="I19137" s="25" t="n">
        <f aca="false">H19148</f>
        <v>250</v>
      </c>
      <c r="J19137" s="25" t="n">
        <f aca="false">I19148</f>
        <v>250</v>
      </c>
      <c r="K19137" s="25" t="n">
        <f aca="false">J19148</f>
        <v>250</v>
      </c>
    </row>
    <row r="19138" customFormat="false" ht="15" hidden="false" customHeight="false" outlineLevel="0" collapsed="false">
      <c r="A19138" s="5" t="s">
        <v>265</v>
      </c>
      <c r="G19138" s="20" t="n">
        <f aca="false">IF(G19075=Assumptions!$K$55,1,0)</f>
        <v>0</v>
      </c>
      <c r="H19138" s="20" t="n">
        <f aca="false">IF(H19075=Assumptions!$K$55,1,0)</f>
        <v>0</v>
      </c>
      <c r="I19138" s="20" t="n">
        <f aca="false">IF(I19075=Assumptions!$K$55,1,0)</f>
        <v>0</v>
      </c>
      <c r="J19138" s="20" t="n">
        <f aca="false">IF(J19075=Assumptions!$K$55,1,0)</f>
        <v>1</v>
      </c>
      <c r="K19138" s="20" t="n">
        <f aca="false">IF(K19075=Assumptions!$K$55,1,0)</f>
        <v>0</v>
      </c>
    </row>
    <row r="19140" customFormat="false" ht="15" hidden="false" customHeight="false" outlineLevel="0" collapsed="false">
      <c r="A19140" s="5" t="s">
        <v>266</v>
      </c>
      <c r="G19140" s="30" t="n">
        <f aca="false">IF(Assumptions!$I$55=1,MAX(G19101,Assumptions!$G$55)+Assumptions!$F$55+$C$19102,Assumptions!$E$55)</f>
        <v>0.11</v>
      </c>
      <c r="H19140" s="30" t="n">
        <f aca="false">IF(G19265=1,$C$19103,IF(Assumptions!$I$55=1,MAX(H19101,Assumptions!$G$55)+Assumptions!$F$55+$C$19102,Assumptions!$E$55))</f>
        <v>0.11</v>
      </c>
      <c r="I19140" s="30" t="n">
        <f aca="false">IF(H19265=1,$C$19103,IF(Assumptions!$I$55=1,MAX(I19101,Assumptions!$G$55)+Assumptions!$F$55+$C$19102,Assumptions!$E$55))</f>
        <v>0.11</v>
      </c>
      <c r="J19140" s="30" t="n">
        <f aca="false">IF(I19265=1,$C$19103,IF(Assumptions!$I$55=1,MAX(J19101,Assumptions!$G$55)+Assumptions!$F$55+$C$19102,Assumptions!$E$55))</f>
        <v>0.11</v>
      </c>
      <c r="K19140" s="30" t="n">
        <f aca="false">IF(J19265=1,$C$19103,IF(Assumptions!$I$55=1,MAX(K19101,Assumptions!$G$55)+Assumptions!$F$55+$C$19102,Assumptions!$E$55))</f>
        <v>0.11</v>
      </c>
    </row>
    <row r="19141" customFormat="false" ht="15" hidden="false" customHeight="false" outlineLevel="0" collapsed="false">
      <c r="A19141" s="5" t="s">
        <v>267</v>
      </c>
      <c r="G19141" s="25" t="n">
        <f aca="false">G19137*G19140</f>
        <v>27.5</v>
      </c>
      <c r="H19141" s="25" t="n">
        <f aca="false">H19137*H19140</f>
        <v>27.5</v>
      </c>
      <c r="I19141" s="25" t="n">
        <f aca="false">I19137*I19140</f>
        <v>27.5</v>
      </c>
      <c r="J19141" s="25" t="n">
        <f aca="false">J19137*J19140</f>
        <v>27.5</v>
      </c>
      <c r="K19141" s="25" t="n">
        <f aca="false">K19137*K19140</f>
        <v>27.5</v>
      </c>
    </row>
    <row r="19142" customFormat="false" ht="15" hidden="false" customHeight="false" outlineLevel="0" collapsed="false">
      <c r="A19142" s="5" t="s">
        <v>268</v>
      </c>
      <c r="G19142" s="25" t="n">
        <f aca="false">G19137*Assumptions!$H$55</f>
        <v>0</v>
      </c>
      <c r="H19142" s="25" t="n">
        <f aca="false">H19137*Assumptions!$H$55</f>
        <v>0</v>
      </c>
      <c r="I19142" s="25" t="n">
        <f aca="false">I19137*Assumptions!$H$55</f>
        <v>0</v>
      </c>
      <c r="J19142" s="25" t="n">
        <f aca="false">J19137*Assumptions!$H$55</f>
        <v>0</v>
      </c>
      <c r="K19142" s="25" t="n">
        <f aca="false">K19137*Assumptions!$H$55</f>
        <v>0</v>
      </c>
    </row>
    <row r="19143" customFormat="false" ht="15" hidden="false" customHeight="false" outlineLevel="0" collapsed="false">
      <c r="A19143" s="5" t="s">
        <v>269</v>
      </c>
      <c r="G19143" s="25" t="n">
        <f aca="false">MIN(G19137,Assumptions!$L$55*Assumptions!$C$55)</f>
        <v>0</v>
      </c>
      <c r="H19143" s="25" t="n">
        <f aca="false">MIN(H19137,Assumptions!$L$55*Assumptions!$C$55)</f>
        <v>0</v>
      </c>
      <c r="I19143" s="25" t="n">
        <f aca="false">MIN(I19137,Assumptions!$L$55*Assumptions!$C$55)</f>
        <v>0</v>
      </c>
      <c r="J19143" s="25" t="n">
        <f aca="false">MIN(J19137,Assumptions!$L$55*Assumptions!$C$55)</f>
        <v>0</v>
      </c>
      <c r="K19143" s="25" t="n">
        <f aca="false">MIN(K19137,Assumptions!$L$55*Assumptions!$C$55)</f>
        <v>0</v>
      </c>
    </row>
    <row r="19144" customFormat="false" ht="15" hidden="false" customHeight="false" outlineLevel="0" collapsed="false">
      <c r="A19144" s="5" t="s">
        <v>270</v>
      </c>
      <c r="G19144" s="25" t="n">
        <f aca="false">IF(AND(Assumptions!$P$55=1,G19075&lt;Assumptions!$K$55),MIN(MAX(0,-G19189),MAX(0,Assumptions!$D$55-G19137)),0)</f>
        <v>0</v>
      </c>
      <c r="H19144" s="25" t="n">
        <f aca="false">IF(AND(Assumptions!$P$55=1,OR(H19075&lt;Assumptions!$K$55,G19265=1)),MIN(MAX(0,-H19189),MAX(0,Assumptions!$D$55-H19137)),0)</f>
        <v>0</v>
      </c>
      <c r="I19144" s="25" t="n">
        <f aca="false">IF(AND(Assumptions!$P$55=1,OR(I19075&lt;Assumptions!$K$55,H19265=1)),MIN(MAX(0,-I19189),MAX(0,Assumptions!$D$55-I19137)),0)</f>
        <v>0</v>
      </c>
      <c r="J19144" s="25" t="n">
        <f aca="false">IF(AND(Assumptions!$P$55=1,OR(J19075&lt;Assumptions!$K$55,I19265=1)),MIN(MAX(0,-J19189),MAX(0,Assumptions!$D$55-J19137)),0)</f>
        <v>0</v>
      </c>
      <c r="K19144" s="25" t="n">
        <f aca="false">IF(AND(Assumptions!$P$55=1,OR(K19075&lt;Assumptions!$K$55,J19265=1)),MIN(MAX(0,-K19189),MAX(0,Assumptions!$D$55-K19137)),0)</f>
        <v>0</v>
      </c>
    </row>
    <row r="19145" customFormat="false" ht="15" hidden="false" customHeight="false" outlineLevel="0" collapsed="false">
      <c r="A19145" s="5" t="s">
        <v>271</v>
      </c>
      <c r="G19145" s="25" t="n">
        <f aca="false">G19138*MIN(G19137-G19143+G19142,MAX(0,G19191-Assumptions!$C$12*G19109-G19119-G19132))</f>
        <v>0</v>
      </c>
      <c r="H19145" s="25" t="n">
        <f aca="false">H19138*MIN(H19137-H19143+H19142,MAX(0,H19191-Assumptions!$C$12*H19109-H19119-H19132))</f>
        <v>0</v>
      </c>
      <c r="I19145" s="25" t="n">
        <f aca="false">I19138*MIN(I19137-I19143+I19142,MAX(0,I19191-Assumptions!$C$12*I19109-I19119-I19132))</f>
        <v>0</v>
      </c>
      <c r="J19145" s="25" t="n">
        <f aca="false">J19138*MIN(J19137-J19143+J19142,MAX(0,J19191-Assumptions!$C$12*J19109-J19119-J19132))</f>
        <v>0</v>
      </c>
      <c r="K19145" s="25" t="n">
        <f aca="false">K19138*MIN(K19137-K19143+K19142,MAX(0,K19191-Assumptions!$C$12*K19109-K19119-K19132))</f>
        <v>0</v>
      </c>
    </row>
    <row r="19146" customFormat="false" ht="15" hidden="false" customHeight="false" outlineLevel="0" collapsed="false">
      <c r="A19146" s="5" t="s">
        <v>272</v>
      </c>
      <c r="G19146" s="25" t="n">
        <f aca="false">Assumptions!$N$55*MIN(G19137+G19144+G19142-G19143-G19145,MAX(0,G19195-G19120-G19133))</f>
        <v>0</v>
      </c>
      <c r="H19146" s="25" t="n">
        <f aca="false">Assumptions!$N$55*MIN(H19137+H19144+H19142-H19143-H19145,MAX(0,H19195-H19120-H19133))</f>
        <v>0</v>
      </c>
      <c r="I19146" s="25" t="n">
        <f aca="false">Assumptions!$N$55*MIN(I19137+I19144+I19142-I19143-I19145,MAX(0,I19195-I19120-I19133))</f>
        <v>0</v>
      </c>
      <c r="J19146" s="25" t="n">
        <f aca="false">Assumptions!$N$55*MIN(J19137+J19144+J19142-J19143-J19145,MAX(0,J19195-J19120-J19133))</f>
        <v>0</v>
      </c>
      <c r="K19146" s="25" t="n">
        <f aca="false">Assumptions!$N$55*MIN(K19137+K19144+K19142-K19143-K19145,MAX(0,K19195-K19120-K19133))</f>
        <v>0</v>
      </c>
    </row>
    <row r="19147" customFormat="false" ht="15" hidden="false" customHeight="false" outlineLevel="0" collapsed="false">
      <c r="A19147" s="5" t="s">
        <v>273</v>
      </c>
      <c r="G19147" s="25" t="n">
        <f aca="false">G19138*(1-G19109)*(G19137-G19143+G19142-G19145)</f>
        <v>0</v>
      </c>
      <c r="H19147" s="25" t="n">
        <f aca="false">H19138*(1-H19109)*(H19137-H19143+H19142-H19145)</f>
        <v>0</v>
      </c>
      <c r="I19147" s="25" t="n">
        <f aca="false">I19138*(1-I19109)*(I19137-I19143+I19142-I19145)</f>
        <v>0</v>
      </c>
      <c r="J19147" s="25" t="n">
        <f aca="false">J19138*(1-J19109)*(J19137-J19143+J19142-J19145)</f>
        <v>250</v>
      </c>
      <c r="K19147" s="25" t="n">
        <f aca="false">K19138*(1-K19109)*(K19137-K19143+K19142-K19145)</f>
        <v>0</v>
      </c>
    </row>
    <row r="19148" customFormat="false" ht="15" hidden="false" customHeight="false" outlineLevel="0" collapsed="false">
      <c r="A19148" s="2" t="s">
        <v>274</v>
      </c>
      <c r="F19148" s="27" t="n">
        <f aca="false">Assumptions!$C$55</f>
        <v>250</v>
      </c>
      <c r="G19148" s="16" t="n">
        <f aca="false">G19137+G19144+G19142-G19143-G19145-G19146</f>
        <v>250</v>
      </c>
      <c r="H19148" s="16" t="n">
        <f aca="false">H19137+H19144+H19142-H19143-H19145-H19146</f>
        <v>250</v>
      </c>
      <c r="I19148" s="16" t="n">
        <f aca="false">I19137+I19144+I19142-I19143-I19145-I19146</f>
        <v>250</v>
      </c>
      <c r="J19148" s="16" t="n">
        <f aca="false">J19137+J19144+J19142-J19143-J19145-J19146</f>
        <v>250</v>
      </c>
      <c r="K19148" s="16" t="n">
        <f aca="false">K19137+K19144+K19142-K19143-K19145-K19146</f>
        <v>250</v>
      </c>
    </row>
    <row r="19149" customFormat="false" ht="15" hidden="false" customHeight="false" outlineLevel="0" collapsed="false">
      <c r="A19149" s="23" t="s">
        <v>277</v>
      </c>
      <c r="B19149" s="24"/>
      <c r="C19149" s="24"/>
      <c r="D19149" s="24"/>
      <c r="E19149" s="24"/>
      <c r="F19149" s="24"/>
      <c r="G19149" s="24"/>
      <c r="H19149" s="24"/>
      <c r="I19149" s="24"/>
      <c r="J19149" s="24"/>
      <c r="K19149" s="24"/>
    </row>
    <row r="19150" customFormat="false" ht="15" hidden="false" customHeight="false" outlineLevel="0" collapsed="false">
      <c r="A19150" s="5" t="s">
        <v>264</v>
      </c>
      <c r="G19150" s="25" t="n">
        <f aca="false">F19161</f>
        <v>300</v>
      </c>
      <c r="H19150" s="25" t="n">
        <f aca="false">G19161</f>
        <v>300</v>
      </c>
      <c r="I19150" s="25" t="n">
        <f aca="false">H19161</f>
        <v>300</v>
      </c>
      <c r="J19150" s="25" t="n">
        <f aca="false">I19161</f>
        <v>300</v>
      </c>
      <c r="K19150" s="25" t="n">
        <f aca="false">J19161</f>
        <v>300</v>
      </c>
    </row>
    <row r="19151" customFormat="false" ht="15" hidden="false" customHeight="false" outlineLevel="0" collapsed="false">
      <c r="A19151" s="5" t="s">
        <v>265</v>
      </c>
      <c r="G19151" s="20" t="n">
        <f aca="false">IF(G19075=Assumptions!$K$56,1,0)</f>
        <v>0</v>
      </c>
      <c r="H19151" s="20" t="n">
        <f aca="false">IF(H19075=Assumptions!$K$56,1,0)</f>
        <v>1</v>
      </c>
      <c r="I19151" s="20" t="n">
        <f aca="false">IF(I19075=Assumptions!$K$56,1,0)</f>
        <v>0</v>
      </c>
      <c r="J19151" s="20" t="n">
        <f aca="false">IF(J19075=Assumptions!$K$56,1,0)</f>
        <v>0</v>
      </c>
      <c r="K19151" s="20" t="n">
        <f aca="false">IF(K19075=Assumptions!$K$56,1,0)</f>
        <v>0</v>
      </c>
    </row>
    <row r="19153" customFormat="false" ht="15" hidden="false" customHeight="false" outlineLevel="0" collapsed="false">
      <c r="A19153" s="5" t="s">
        <v>266</v>
      </c>
      <c r="G19153" s="30" t="n">
        <f aca="false">IF(Assumptions!$I$56=1,MAX(G19101,Assumptions!$G$56)+Assumptions!$F$56+$C$19102,Assumptions!$E$56)</f>
        <v>0.075</v>
      </c>
      <c r="H19153" s="30" t="n">
        <f aca="false">IF(G19266=1,$C$19103,IF(Assumptions!$I$56=1,MAX(H19101,Assumptions!$G$56)+Assumptions!$F$56+$C$19102,Assumptions!$E$56))</f>
        <v>0.075</v>
      </c>
      <c r="I19153" s="30" t="n">
        <f aca="false">IF(H19266=1,$C$19103,IF(Assumptions!$I$56=1,MAX(I19101,Assumptions!$G$56)+Assumptions!$F$56+$C$19102,Assumptions!$E$56))</f>
        <v>0.075</v>
      </c>
      <c r="J19153" s="30" t="n">
        <f aca="false">IF(I19266=1,$C$19103,IF(Assumptions!$I$56=1,MAX(J19101,Assumptions!$G$56)+Assumptions!$F$56+$C$19102,Assumptions!$E$56))</f>
        <v>0.075</v>
      </c>
      <c r="K19153" s="30" t="n">
        <f aca="false">IF(J19266=1,$C$19103,IF(Assumptions!$I$56=1,MAX(K19101,Assumptions!$G$56)+Assumptions!$F$56+$C$19102,Assumptions!$E$56))</f>
        <v>0.075</v>
      </c>
    </row>
    <row r="19154" customFormat="false" ht="15" hidden="false" customHeight="false" outlineLevel="0" collapsed="false">
      <c r="A19154" s="5" t="s">
        <v>267</v>
      </c>
      <c r="G19154" s="25" t="n">
        <f aca="false">G19150*G19153</f>
        <v>22.5</v>
      </c>
      <c r="H19154" s="25" t="n">
        <f aca="false">H19150*H19153</f>
        <v>22.5</v>
      </c>
      <c r="I19154" s="25" t="n">
        <f aca="false">I19150*I19153</f>
        <v>22.5</v>
      </c>
      <c r="J19154" s="25" t="n">
        <f aca="false">J19150*J19153</f>
        <v>22.5</v>
      </c>
      <c r="K19154" s="25" t="n">
        <f aca="false">K19150*K19153</f>
        <v>22.5</v>
      </c>
    </row>
    <row r="19155" customFormat="false" ht="15" hidden="false" customHeight="false" outlineLevel="0" collapsed="false">
      <c r="A19155" s="5" t="s">
        <v>268</v>
      </c>
      <c r="G19155" s="25" t="n">
        <f aca="false">G19150*Assumptions!$H$56</f>
        <v>0</v>
      </c>
      <c r="H19155" s="25" t="n">
        <f aca="false">H19150*Assumptions!$H$56</f>
        <v>0</v>
      </c>
      <c r="I19155" s="25" t="n">
        <f aca="false">I19150*Assumptions!$H$56</f>
        <v>0</v>
      </c>
      <c r="J19155" s="25" t="n">
        <f aca="false">J19150*Assumptions!$H$56</f>
        <v>0</v>
      </c>
      <c r="K19155" s="25" t="n">
        <f aca="false">K19150*Assumptions!$H$56</f>
        <v>0</v>
      </c>
    </row>
    <row r="19156" customFormat="false" ht="15" hidden="false" customHeight="false" outlineLevel="0" collapsed="false">
      <c r="A19156" s="5" t="s">
        <v>269</v>
      </c>
      <c r="G19156" s="25" t="n">
        <f aca="false">MIN(G19150,Assumptions!$L$56*Assumptions!$C$56)</f>
        <v>0</v>
      </c>
      <c r="H19156" s="25" t="n">
        <f aca="false">MIN(H19150,Assumptions!$L$56*Assumptions!$C$56)</f>
        <v>0</v>
      </c>
      <c r="I19156" s="25" t="n">
        <f aca="false">MIN(I19150,Assumptions!$L$56*Assumptions!$C$56)</f>
        <v>0</v>
      </c>
      <c r="J19156" s="25" t="n">
        <f aca="false">MIN(J19150,Assumptions!$L$56*Assumptions!$C$56)</f>
        <v>0</v>
      </c>
      <c r="K19156" s="25" t="n">
        <f aca="false">MIN(K19150,Assumptions!$L$56*Assumptions!$C$56)</f>
        <v>0</v>
      </c>
    </row>
    <row r="19157" customFormat="false" ht="15" hidden="false" customHeight="false" outlineLevel="0" collapsed="false">
      <c r="A19157" s="5" t="s">
        <v>270</v>
      </c>
      <c r="G19157" s="25" t="n">
        <f aca="false">IF(AND(Assumptions!$P$56=1,G19075&lt;Assumptions!$K$56),MIN(MAX(0,-G19189),MAX(0,Assumptions!$D$56-G19150)),0)</f>
        <v>0</v>
      </c>
      <c r="H19157" s="25" t="n">
        <f aca="false">IF(AND(Assumptions!$P$56=1,OR(H19075&lt;Assumptions!$K$56,G19266=1)),MIN(MAX(0,-H19189),MAX(0,Assumptions!$D$56-H19150)),0)</f>
        <v>0</v>
      </c>
      <c r="I19157" s="25" t="n">
        <f aca="false">IF(AND(Assumptions!$P$56=1,OR(I19075&lt;Assumptions!$K$56,H19266=1)),MIN(MAX(0,-I19189),MAX(0,Assumptions!$D$56-I19150)),0)</f>
        <v>0</v>
      </c>
      <c r="J19157" s="25" t="n">
        <f aca="false">IF(AND(Assumptions!$P$56=1,OR(J19075&lt;Assumptions!$K$56,I19266=1)),MIN(MAX(0,-J19189),MAX(0,Assumptions!$D$56-J19150)),0)</f>
        <v>0</v>
      </c>
      <c r="K19157" s="25" t="n">
        <f aca="false">IF(AND(Assumptions!$P$56=1,OR(K19075&lt;Assumptions!$K$56,J19266=1)),MIN(MAX(0,-K19189),MAX(0,Assumptions!$D$56-K19150)),0)</f>
        <v>0</v>
      </c>
    </row>
    <row r="19158" customFormat="false" ht="15" hidden="false" customHeight="false" outlineLevel="0" collapsed="false">
      <c r="A19158" s="5" t="s">
        <v>271</v>
      </c>
      <c r="G19158" s="25" t="n">
        <f aca="false">G19151*MIN(G19150-G19156+G19155,MAX(0,G19191-Assumptions!$C$12*G19109-G19119-G19132-G19145))</f>
        <v>0</v>
      </c>
      <c r="H19158" s="25" t="n">
        <f aca="false">H19151*MIN(H19150-H19156+H19155,MAX(0,H19191-Assumptions!$C$12*H19109-H19119-H19132-H19145))</f>
        <v>0</v>
      </c>
      <c r="I19158" s="25" t="n">
        <f aca="false">I19151*MIN(I19150-I19156+I19155,MAX(0,I19191-Assumptions!$C$12*I19109-I19119-I19132-I19145))</f>
        <v>0</v>
      </c>
      <c r="J19158" s="25" t="n">
        <f aca="false">J19151*MIN(J19150-J19156+J19155,MAX(0,J19191-Assumptions!$C$12*J19109-J19119-J19132-J19145))</f>
        <v>0</v>
      </c>
      <c r="K19158" s="25" t="n">
        <f aca="false">K19151*MIN(K19150-K19156+K19155,MAX(0,K19191-Assumptions!$C$12*K19109-K19119-K19132-K19145))</f>
        <v>0</v>
      </c>
    </row>
    <row r="19159" customFormat="false" ht="15" hidden="false" customHeight="false" outlineLevel="0" collapsed="false">
      <c r="A19159" s="5" t="s">
        <v>272</v>
      </c>
      <c r="G19159" s="25" t="n">
        <f aca="false">Assumptions!$N$56*MIN(G19150+G19157+G19155-G19156-G19158,MAX(0,G19195-G19120-G19133-G19146))</f>
        <v>0</v>
      </c>
      <c r="H19159" s="25" t="n">
        <f aca="false">Assumptions!$N$56*MIN(H19150+H19157+H19155-H19156-H19158,MAX(0,H19195-H19120-H19133-H19146))</f>
        <v>0</v>
      </c>
      <c r="I19159" s="25" t="n">
        <f aca="false">Assumptions!$N$56*MIN(I19150+I19157+I19155-I19156-I19158,MAX(0,I19195-I19120-I19133-I19146))</f>
        <v>0</v>
      </c>
      <c r="J19159" s="25" t="n">
        <f aca="false">Assumptions!$N$56*MIN(J19150+J19157+J19155-J19156-J19158,MAX(0,J19195-J19120-J19133-J19146))</f>
        <v>0</v>
      </c>
      <c r="K19159" s="25" t="n">
        <f aca="false">Assumptions!$N$56*MIN(K19150+K19157+K19155-K19156-K19158,MAX(0,K19195-K19120-K19133-K19146))</f>
        <v>0</v>
      </c>
    </row>
    <row r="19160" customFormat="false" ht="15" hidden="false" customHeight="false" outlineLevel="0" collapsed="false">
      <c r="A19160" s="5" t="s">
        <v>273</v>
      </c>
      <c r="G19160" s="25" t="n">
        <f aca="false">G19151*(1-G19109)*(G19150-G19156+G19155-G19158)</f>
        <v>0</v>
      </c>
      <c r="H19160" s="25" t="n">
        <f aca="false">H19151*(1-H19109)*(H19150-H19156+H19155-H19158)</f>
        <v>300</v>
      </c>
      <c r="I19160" s="25" t="n">
        <f aca="false">I19151*(1-I19109)*(I19150-I19156+I19155-I19158)</f>
        <v>0</v>
      </c>
      <c r="J19160" s="25" t="n">
        <f aca="false">J19151*(1-J19109)*(J19150-J19156+J19155-J19158)</f>
        <v>0</v>
      </c>
      <c r="K19160" s="25" t="n">
        <f aca="false">K19151*(1-K19109)*(K19150-K19156+K19155-K19158)</f>
        <v>0</v>
      </c>
    </row>
    <row r="19161" customFormat="false" ht="15" hidden="false" customHeight="false" outlineLevel="0" collapsed="false">
      <c r="A19161" s="2" t="s">
        <v>274</v>
      </c>
      <c r="F19161" s="27" t="n">
        <f aca="false">Assumptions!$C$56</f>
        <v>300</v>
      </c>
      <c r="G19161" s="16" t="n">
        <f aca="false">G19150+G19157+G19155-G19156-G19158-G19159</f>
        <v>300</v>
      </c>
      <c r="H19161" s="16" t="n">
        <f aca="false">H19150+H19157+H19155-H19156-H19158-H19159</f>
        <v>300</v>
      </c>
      <c r="I19161" s="16" t="n">
        <f aca="false">I19150+I19157+I19155-I19156-I19158-I19159</f>
        <v>300</v>
      </c>
      <c r="J19161" s="16" t="n">
        <f aca="false">J19150+J19157+J19155-J19156-J19158-J19159</f>
        <v>300</v>
      </c>
      <c r="K19161" s="16" t="n">
        <f aca="false">K19150+K19157+K19155-K19156-K19158-K19159</f>
        <v>300</v>
      </c>
    </row>
    <row r="19162" customFormat="false" ht="15" hidden="false" customHeight="false" outlineLevel="0" collapsed="false">
      <c r="A19162" s="23" t="s">
        <v>278</v>
      </c>
      <c r="B19162" s="24"/>
      <c r="C19162" s="24"/>
      <c r="D19162" s="24"/>
      <c r="E19162" s="24"/>
      <c r="F19162" s="24"/>
      <c r="G19162" s="24"/>
      <c r="H19162" s="24"/>
      <c r="I19162" s="24"/>
      <c r="J19162" s="24"/>
      <c r="K19162" s="24"/>
    </row>
    <row r="19163" customFormat="false" ht="15" hidden="false" customHeight="false" outlineLevel="0" collapsed="false">
      <c r="A19163" s="2" t="s">
        <v>279</v>
      </c>
      <c r="F19163" s="16" t="n">
        <f aca="false">F19122+F19135+F19148+F19161</f>
        <v>1250</v>
      </c>
      <c r="G19163" s="16" t="n">
        <f aca="false">G19122+G19135+G19148+G19161</f>
        <v>1281.0968</v>
      </c>
      <c r="H19163" s="16" t="n">
        <f aca="false">H19122+H19135+H19148+H19161</f>
        <v>1275.8968</v>
      </c>
      <c r="I19163" s="16" t="n">
        <f aca="false">I19122+I19135+I19148+I19161</f>
        <v>1270.6968</v>
      </c>
      <c r="J19163" s="16" t="n">
        <f aca="false">J19122+J19135+J19148+J19161</f>
        <v>1265.4968</v>
      </c>
      <c r="K19163" s="16" t="n">
        <f aca="false">K19122+K19135+K19148+K19161</f>
        <v>1260.2968</v>
      </c>
    </row>
    <row r="19164" customFormat="false" ht="15" hidden="false" customHeight="false" outlineLevel="0" collapsed="false">
      <c r="A19164" s="5" t="s">
        <v>280</v>
      </c>
      <c r="G19164" s="25" t="n">
        <f aca="false">G19112*Assumptions!$C$53+G19125*Assumptions!$C$54+G19138*Assumptions!$C$55+G19151*Assumptions!$C$56</f>
        <v>0</v>
      </c>
      <c r="H19164" s="25" t="n">
        <f aca="false">H19112*Assumptions!$C$53+H19125*Assumptions!$C$54+H19138*Assumptions!$C$55+H19151*Assumptions!$C$56</f>
        <v>480</v>
      </c>
      <c r="I19164" s="25" t="n">
        <f aca="false">I19112*Assumptions!$C$53+I19125*Assumptions!$C$54+I19138*Assumptions!$C$55+I19151*Assumptions!$C$56</f>
        <v>520</v>
      </c>
      <c r="J19164" s="25" t="n">
        <f aca="false">J19112*Assumptions!$C$53+J19125*Assumptions!$C$54+J19138*Assumptions!$C$55+J19151*Assumptions!$C$56</f>
        <v>250</v>
      </c>
      <c r="K19164" s="25" t="n">
        <f aca="false">K19112*Assumptions!$C$53+K19125*Assumptions!$C$54+K19138*Assumptions!$C$55+K19151*Assumptions!$C$56</f>
        <v>0</v>
      </c>
    </row>
    <row r="19165" customFormat="false" ht="15" hidden="false" customHeight="false" outlineLevel="0" collapsed="false">
      <c r="A19165" s="23" t="s">
        <v>281</v>
      </c>
      <c r="B19165" s="24"/>
      <c r="C19165" s="24"/>
      <c r="D19165" s="24"/>
      <c r="E19165" s="24"/>
      <c r="F19165" s="24"/>
      <c r="G19165" s="24"/>
      <c r="H19165" s="24"/>
      <c r="I19165" s="24"/>
      <c r="J19165" s="24"/>
      <c r="K19165" s="24"/>
    </row>
    <row r="19166" customFormat="false" ht="15" hidden="false" customHeight="false" outlineLevel="0" collapsed="false">
      <c r="A19166" s="5" t="s">
        <v>282</v>
      </c>
      <c r="C19166" s="25" t="n">
        <f aca="false">SUMPRODUCT($G$19112:$K$19112,$G$19111:$K$19111-$G$19117:$K$19117+$G$19116:$K$19116)</f>
        <v>216.2968</v>
      </c>
    </row>
    <row r="19167" customFormat="false" ht="15" hidden="false" customHeight="false" outlineLevel="0" collapsed="false">
      <c r="A19167" s="5" t="s">
        <v>283</v>
      </c>
      <c r="C19167" s="25" t="n">
        <f aca="false">SUMPRODUCT($G$19112:$K$19112,$G$19119:$K$19119)</f>
        <v>0</v>
      </c>
    </row>
    <row r="19168" customFormat="false" ht="15" hidden="false" customHeight="false" outlineLevel="0" collapsed="false">
      <c r="A19168" s="5" t="s">
        <v>284</v>
      </c>
      <c r="C19168" s="5" t="str">
        <f aca="false">IF(SUM($G$19112:$K$19112)=0,"n/a (beyond horizon)",IF(SUMPRODUCT($G$19112:$K$19112,$G$19109:$K$19109)&gt;0,"REFINANCING PASS","REFINANCING FAILURE"))</f>
        <v>REFINANCING FAILURE</v>
      </c>
    </row>
    <row r="19169" customFormat="false" ht="15" hidden="false" customHeight="false" outlineLevel="0" collapsed="false">
      <c r="A19169" s="5" t="s">
        <v>285</v>
      </c>
      <c r="C19169" s="5" t="str">
        <f aca="false">IF(SUM($G$19112:$K$19112)=0,"n/a",IF(C19167&gt;=C19166-0.001,"Repaid from cash",IF(SUMPRODUCT($G$19112:$K$19112,$G$19109:$K$19109)&gt;0,IF(C19167&gt;0,"Partly repaid; remainder refinanced","Refinanced"),IF(SUM($G$19121:$K$19121)&gt;0.001,IF(C19167&gt;0,"Partial repayment; PAYMENT DEFAULT","PAYMENT DEFAULT"),"Repaid from cash"))))</f>
        <v>PAYMENT DEFAULT</v>
      </c>
    </row>
    <row r="19170" customFormat="false" ht="15" hidden="false" customHeight="false" outlineLevel="0" collapsed="false">
      <c r="A19170" s="5" t="s">
        <v>286</v>
      </c>
      <c r="C19170" s="25" t="n">
        <f aca="false">SUMPRODUCT($G$19125:$K$19125,$G$19124:$K$19124-$G$19130:$K$19130+$G$19129:$K$19129)</f>
        <v>504.4</v>
      </c>
    </row>
    <row r="19171" customFormat="false" ht="15" hidden="false" customHeight="false" outlineLevel="0" collapsed="false">
      <c r="A19171" s="5" t="s">
        <v>287</v>
      </c>
      <c r="C19171" s="25" t="n">
        <f aca="false">SUMPRODUCT($G$19125:$K$19125,$G$19132:$K$19132)</f>
        <v>0</v>
      </c>
    </row>
    <row r="19172" customFormat="false" ht="15" hidden="false" customHeight="false" outlineLevel="0" collapsed="false">
      <c r="A19172" s="5" t="s">
        <v>288</v>
      </c>
      <c r="C19172" s="5" t="str">
        <f aca="false">IF(SUM($G$19125:$K$19125)=0,"n/a (beyond horizon)",IF(SUMPRODUCT($G$19125:$K$19125,$G$19109:$K$19109)&gt;0,"REFINANCING PASS","REFINANCING FAILURE"))</f>
        <v>REFINANCING FAILURE</v>
      </c>
    </row>
    <row r="19173" customFormat="false" ht="15" hidden="false" customHeight="false" outlineLevel="0" collapsed="false">
      <c r="A19173" s="5" t="s">
        <v>289</v>
      </c>
      <c r="C19173" s="5" t="str">
        <f aca="false">IF(SUM($G$19125:$K$19125)=0,"n/a",IF(C19171&gt;=C19170-0.001,"Repaid from cash",IF(SUMPRODUCT($G$19125:$K$19125,$G$19109:$K$19109)&gt;0,IF(C19171&gt;0,"Partly repaid; remainder refinanced","Refinanced"),IF(SUM($G$19134:$K$19134)&gt;0.001,IF(C19171&gt;0,"Partial repayment; PAYMENT DEFAULT","PAYMENT DEFAULT"),"Repaid from cash"))))</f>
        <v>PAYMENT DEFAULT</v>
      </c>
    </row>
    <row r="19174" customFormat="false" ht="15" hidden="false" customHeight="false" outlineLevel="0" collapsed="false">
      <c r="A19174" s="5" t="s">
        <v>290</v>
      </c>
      <c r="C19174" s="25" t="n">
        <f aca="false">SUMPRODUCT($G$19138:$K$19138,$G$19137:$K$19137-$G$19143:$K$19143+$G$19142:$K$19142)</f>
        <v>250</v>
      </c>
    </row>
    <row r="19175" customFormat="false" ht="15" hidden="false" customHeight="false" outlineLevel="0" collapsed="false">
      <c r="A19175" s="5" t="s">
        <v>291</v>
      </c>
      <c r="C19175" s="25" t="n">
        <f aca="false">SUMPRODUCT($G$19138:$K$19138,$G$19145:$K$19145)</f>
        <v>0</v>
      </c>
    </row>
    <row r="19176" customFormat="false" ht="15" hidden="false" customHeight="false" outlineLevel="0" collapsed="false">
      <c r="A19176" s="5" t="s">
        <v>292</v>
      </c>
      <c r="C19176" s="5" t="str">
        <f aca="false">IF(SUM($G$19138:$K$19138)=0,"n/a (beyond horizon)",IF(SUMPRODUCT($G$19138:$K$19138,$G$19109:$K$19109)&gt;0,"REFINANCING PASS","REFINANCING FAILURE"))</f>
        <v>REFINANCING FAILURE</v>
      </c>
    </row>
    <row r="19177" customFormat="false" ht="15" hidden="false" customHeight="false" outlineLevel="0" collapsed="false">
      <c r="A19177" s="5" t="s">
        <v>293</v>
      </c>
      <c r="C19177" s="5" t="str">
        <f aca="false">IF(SUM($G$19138:$K$19138)=0,"n/a",IF(C19175&gt;=C19174-0.001,"Repaid from cash",IF(SUMPRODUCT($G$19138:$K$19138,$G$19109:$K$19109)&gt;0,IF(C19175&gt;0,"Partly repaid; remainder refinanced","Refinanced"),IF(SUM($G$19147:$K$19147)&gt;0.001,IF(C19175&gt;0,"Partial repayment; PAYMENT DEFAULT","PAYMENT DEFAULT"),"Repaid from cash"))))</f>
        <v>PAYMENT DEFAULT</v>
      </c>
    </row>
    <row r="19178" customFormat="false" ht="15" hidden="false" customHeight="false" outlineLevel="0" collapsed="false">
      <c r="A19178" s="5" t="s">
        <v>294</v>
      </c>
      <c r="C19178" s="25" t="n">
        <f aca="false">SUMPRODUCT($G$19151:$K$19151,$G$19150:$K$19150-$G$19156:$K$19156+$G$19155:$K$19155)</f>
        <v>300</v>
      </c>
    </row>
    <row r="19179" customFormat="false" ht="15" hidden="false" customHeight="false" outlineLevel="0" collapsed="false">
      <c r="A19179" s="5" t="s">
        <v>295</v>
      </c>
      <c r="C19179" s="25" t="n">
        <f aca="false">SUMPRODUCT($G$19151:$K$19151,$G$19158:$K$19158)</f>
        <v>0</v>
      </c>
    </row>
    <row r="19180" customFormat="false" ht="15" hidden="false" customHeight="false" outlineLevel="0" collapsed="false">
      <c r="A19180" s="5" t="s">
        <v>296</v>
      </c>
      <c r="C19180" s="5" t="str">
        <f aca="false">IF(SUM($G$19151:$K$19151)=0,"n/a (beyond horizon)",IF(SUMPRODUCT($G$19151:$K$19151,$G$19109:$K$19109)&gt;0,"REFINANCING PASS","REFINANCING FAILURE"))</f>
        <v>REFINANCING FAILURE</v>
      </c>
    </row>
    <row r="19181" customFormat="false" ht="15" hidden="false" customHeight="false" outlineLevel="0" collapsed="false">
      <c r="A19181" s="5" t="s">
        <v>297</v>
      </c>
      <c r="C19181" s="5" t="str">
        <f aca="false">IF(SUM($G$19151:$K$19151)=0,"n/a",IF(C19179&gt;=C19178-0.001,"Repaid from cash",IF(SUMPRODUCT($G$19151:$K$19151,$G$19109:$K$19109)&gt;0,IF(C19179&gt;0,"Partly repaid; remainder refinanced","Refinanced"),IF(SUM($G$19160:$K$19160)&gt;0.001,IF(C19179&gt;0,"Partial repayment; PAYMENT DEFAULT","PAYMENT DEFAULT"),"Repaid from cash"))))</f>
        <v>PAYMENT DEFAULT</v>
      </c>
    </row>
    <row r="19182" customFormat="false" ht="15" hidden="false" customHeight="false" outlineLevel="0" collapsed="false">
      <c r="A19182" s="5" t="s">
        <v>298</v>
      </c>
      <c r="C19182" s="20" t="n">
        <f aca="false">IF(C19168="REFINANCING FAILURE",1,0)+IF(C19172="REFINANCING FAILURE",1,0)+IF(C19176="REFINANCING FAILURE",1,0)+IF(C19180="REFINANCING FAILURE",1,0)</f>
        <v>4</v>
      </c>
    </row>
    <row r="19184" customFormat="false" ht="15" hidden="false" customHeight="false" outlineLevel="0" collapsed="false">
      <c r="A19184" s="23" t="s">
        <v>300</v>
      </c>
      <c r="B19184" s="24"/>
      <c r="C19184" s="24"/>
      <c r="D19184" s="24"/>
      <c r="E19184" s="24"/>
      <c r="F19184" s="24"/>
      <c r="G19184" s="24"/>
      <c r="H19184" s="24"/>
      <c r="I19184" s="24"/>
      <c r="J19184" s="24"/>
      <c r="K19184" s="24"/>
    </row>
    <row r="19185" customFormat="false" ht="15" hidden="false" customHeight="false" outlineLevel="0" collapsed="false">
      <c r="A19185" s="5" t="s">
        <v>260</v>
      </c>
      <c r="G19185" s="25" t="n">
        <f aca="false">F19197</f>
        <v>45</v>
      </c>
      <c r="H19185" s="25" t="n">
        <f aca="false">G19197</f>
        <v>0</v>
      </c>
      <c r="I19185" s="25" t="n">
        <f aca="false">H19197</f>
        <v>-121.3557292</v>
      </c>
      <c r="J19185" s="25" t="n">
        <f aca="false">I19197</f>
        <v>-236.702175152</v>
      </c>
      <c r="K19185" s="25" t="n">
        <f aca="false">J19197</f>
        <v>-337.79889141424</v>
      </c>
    </row>
    <row r="19186" customFormat="false" ht="15" hidden="false" customHeight="false" outlineLevel="0" collapsed="false">
      <c r="A19186" s="5" t="s">
        <v>301</v>
      </c>
      <c r="G19186" s="25" t="n">
        <f aca="false">G19098</f>
        <v>-76.0968</v>
      </c>
      <c r="H19186" s="25" t="n">
        <f aca="false">H19098</f>
        <v>-116.1557292</v>
      </c>
      <c r="I19186" s="25" t="n">
        <f aca="false">I19098</f>
        <v>-110.146445952</v>
      </c>
      <c r="J19186" s="25" t="n">
        <f aca="false">J19098</f>
        <v>-95.89671626224</v>
      </c>
      <c r="K19186" s="25" t="n">
        <f aca="false">K19098</f>
        <v>-83.18519092616</v>
      </c>
    </row>
    <row r="19187" customFormat="false" ht="15" hidden="false" customHeight="false" outlineLevel="0" collapsed="false">
      <c r="A19187" s="5" t="s">
        <v>302</v>
      </c>
      <c r="G19187" s="25" t="n">
        <f aca="false">CHOOSE($C$19068,Assumptions!$G$68,Assumptions!$G$87,Assumptions!$G$106)</f>
        <v>0</v>
      </c>
      <c r="H19187" s="25" t="n">
        <f aca="false">CHOOSE($C$19068,Assumptions!$H$68,Assumptions!$H$87,Assumptions!$H$106)</f>
        <v>0</v>
      </c>
      <c r="I19187" s="25" t="n">
        <f aca="false">CHOOSE($C$19068,Assumptions!$I$68,Assumptions!$I$87,Assumptions!$I$106)</f>
        <v>0</v>
      </c>
      <c r="J19187" s="25" t="n">
        <f aca="false">CHOOSE($C$19068,Assumptions!$J$68,Assumptions!$J$87,Assumptions!$J$106)</f>
        <v>0</v>
      </c>
      <c r="K19187" s="25" t="n">
        <f aca="false">CHOOSE($C$19068,Assumptions!$K$68,Assumptions!$K$87,Assumptions!$K$106)</f>
        <v>0</v>
      </c>
    </row>
    <row r="19188" customFormat="false" ht="15" hidden="false" customHeight="false" outlineLevel="0" collapsed="false">
      <c r="A19188" s="5" t="s">
        <v>303</v>
      </c>
      <c r="G19188" s="25" t="n">
        <f aca="false">G19117+G19130+G19143+G19156</f>
        <v>5.2</v>
      </c>
      <c r="H19188" s="25" t="n">
        <f aca="false">H19117+H19130+H19143+H19156</f>
        <v>5.2</v>
      </c>
      <c r="I19188" s="25" t="n">
        <f aca="false">I19117+I19130+I19143+I19156</f>
        <v>5.2</v>
      </c>
      <c r="J19188" s="25" t="n">
        <f aca="false">J19117+J19130+J19143+J19156</f>
        <v>5.2</v>
      </c>
      <c r="K19188" s="25" t="n">
        <f aca="false">K19117+K19130+K19143+K19156</f>
        <v>5.2</v>
      </c>
    </row>
    <row r="19189" customFormat="false" ht="15" hidden="false" customHeight="false" outlineLevel="0" collapsed="false">
      <c r="A19189" s="2" t="s">
        <v>304</v>
      </c>
      <c r="G19189" s="16" t="n">
        <f aca="false">G19185+G19186+G19187-G19188</f>
        <v>-36.2968000000001</v>
      </c>
      <c r="H19189" s="16" t="n">
        <f aca="false">H19185+H19186+H19187-H19188</f>
        <v>-121.3557292</v>
      </c>
      <c r="I19189" s="16" t="n">
        <f aca="false">I19185+I19186+I19187-I19188</f>
        <v>-236.702175152</v>
      </c>
      <c r="J19189" s="16" t="n">
        <f aca="false">J19185+J19186+J19187-J19188</f>
        <v>-337.79889141424</v>
      </c>
      <c r="K19189" s="16" t="n">
        <f aca="false">K19185+K19186+K19187-K19188</f>
        <v>-426.1840823404</v>
      </c>
    </row>
    <row r="19190" customFormat="false" ht="15" hidden="false" customHeight="false" outlineLevel="0" collapsed="false">
      <c r="A19190" s="5" t="s">
        <v>305</v>
      </c>
      <c r="G19190" s="25" t="n">
        <f aca="false">G19118+G19131+G19144+G19157</f>
        <v>36.2968000000001</v>
      </c>
      <c r="H19190" s="25" t="n">
        <f aca="false">H19118+H19131+H19144+H19157</f>
        <v>0</v>
      </c>
      <c r="I19190" s="25" t="n">
        <f aca="false">I19118+I19131+I19144+I19157</f>
        <v>0</v>
      </c>
      <c r="J19190" s="25" t="n">
        <f aca="false">J19118+J19131+J19144+J19157</f>
        <v>0</v>
      </c>
      <c r="K19190" s="25" t="n">
        <f aca="false">K19118+K19131+K19144+K19157</f>
        <v>0</v>
      </c>
    </row>
    <row r="19191" customFormat="false" ht="15" hidden="false" customHeight="false" outlineLevel="0" collapsed="false">
      <c r="A19191" s="2" t="s">
        <v>306</v>
      </c>
      <c r="G19191" s="16" t="n">
        <f aca="false">G19189+G19190</f>
        <v>0</v>
      </c>
      <c r="H19191" s="16" t="n">
        <f aca="false">H19189+H19190</f>
        <v>-121.3557292</v>
      </c>
      <c r="I19191" s="16" t="n">
        <f aca="false">I19189+I19190</f>
        <v>-236.702175152</v>
      </c>
      <c r="J19191" s="16" t="n">
        <f aca="false">J19189+J19190</f>
        <v>-337.79889141424</v>
      </c>
      <c r="K19191" s="16" t="n">
        <f aca="false">K19189+K19190</f>
        <v>-426.1840823404</v>
      </c>
    </row>
    <row r="19192" customFormat="false" ht="15" hidden="false" customHeight="false" outlineLevel="0" collapsed="false">
      <c r="A19192" s="5" t="s">
        <v>307</v>
      </c>
      <c r="G19192" s="25" t="n">
        <f aca="false">G19119+G19132+G19145+G19158</f>
        <v>0</v>
      </c>
      <c r="H19192" s="25" t="n">
        <f aca="false">H19119+H19132+H19145+H19158</f>
        <v>0</v>
      </c>
      <c r="I19192" s="25" t="n">
        <f aca="false">I19119+I19132+I19145+I19158</f>
        <v>0</v>
      </c>
      <c r="J19192" s="25" t="n">
        <f aca="false">J19119+J19132+J19145+J19158</f>
        <v>0</v>
      </c>
      <c r="K19192" s="25" t="n">
        <f aca="false">K19119+K19132+K19145+K19158</f>
        <v>0</v>
      </c>
    </row>
    <row r="19193" customFormat="false" ht="15" hidden="false" customHeight="false" outlineLevel="0" collapsed="false">
      <c r="A19193" s="2" t="s">
        <v>308</v>
      </c>
      <c r="G19193" s="16" t="n">
        <f aca="false">G19191-G19192</f>
        <v>0</v>
      </c>
      <c r="H19193" s="16" t="n">
        <f aca="false">H19191-H19192</f>
        <v>-121.3557292</v>
      </c>
      <c r="I19193" s="16" t="n">
        <f aca="false">I19191-I19192</f>
        <v>-236.702175152</v>
      </c>
      <c r="J19193" s="16" t="n">
        <f aca="false">J19191-J19192</f>
        <v>-337.79889141424</v>
      </c>
      <c r="K19193" s="16" t="n">
        <f aca="false">K19191-K19192</f>
        <v>-426.1840823404</v>
      </c>
    </row>
    <row r="19194" customFormat="false" ht="15" hidden="false" customHeight="false" outlineLevel="0" collapsed="false">
      <c r="A19194" s="5" t="s">
        <v>309</v>
      </c>
      <c r="G19194" s="25" t="n">
        <f aca="false">MAX(0,-G19193)</f>
        <v>-0</v>
      </c>
      <c r="H19194" s="25" t="n">
        <f aca="false">MAX(0,-H19193)</f>
        <v>121.3557292</v>
      </c>
      <c r="I19194" s="25" t="n">
        <f aca="false">MAX(0,-I19193)</f>
        <v>236.702175152</v>
      </c>
      <c r="J19194" s="25" t="n">
        <f aca="false">MAX(0,-J19193)</f>
        <v>337.79889141424</v>
      </c>
      <c r="K19194" s="25" t="n">
        <f aca="false">MAX(0,-K19193)</f>
        <v>426.1840823404</v>
      </c>
    </row>
    <row r="19195" customFormat="false" ht="15" hidden="false" customHeight="false" outlineLevel="0" collapsed="false">
      <c r="A19195" s="5" t="s">
        <v>310</v>
      </c>
      <c r="G19195" s="25" t="n">
        <f aca="false">MAX(0,G19193-Assumptions!$C$12)*Assumptions!$C$13</f>
        <v>0</v>
      </c>
      <c r="H19195" s="25" t="n">
        <f aca="false">MAX(0,H19193-Assumptions!$C$12)*Assumptions!$C$13</f>
        <v>0</v>
      </c>
      <c r="I19195" s="25" t="n">
        <f aca="false">MAX(0,I19193-Assumptions!$C$12)*Assumptions!$C$13</f>
        <v>0</v>
      </c>
      <c r="J19195" s="25" t="n">
        <f aca="false">MAX(0,J19193-Assumptions!$C$12)*Assumptions!$C$13</f>
        <v>0</v>
      </c>
      <c r="K19195" s="25" t="n">
        <f aca="false">MAX(0,K19193-Assumptions!$C$12)*Assumptions!$C$13</f>
        <v>0</v>
      </c>
    </row>
    <row r="19196" customFormat="false" ht="15" hidden="false" customHeight="false" outlineLevel="0" collapsed="false">
      <c r="A19196" s="5" t="s">
        <v>311</v>
      </c>
      <c r="G19196" s="25" t="n">
        <f aca="false">G19120+G19133+G19146+G19159</f>
        <v>0</v>
      </c>
      <c r="H19196" s="25" t="n">
        <f aca="false">H19120+H19133+H19146+H19159</f>
        <v>0</v>
      </c>
      <c r="I19196" s="25" t="n">
        <f aca="false">I19120+I19133+I19146+I19159</f>
        <v>0</v>
      </c>
      <c r="J19196" s="25" t="n">
        <f aca="false">J19120+J19133+J19146+J19159</f>
        <v>0</v>
      </c>
      <c r="K19196" s="25" t="n">
        <f aca="false">K19120+K19133+K19146+K19159</f>
        <v>0</v>
      </c>
    </row>
    <row r="19197" customFormat="false" ht="15" hidden="false" customHeight="false" outlineLevel="0" collapsed="false">
      <c r="A19197" s="2" t="s">
        <v>312</v>
      </c>
      <c r="F19197" s="27" t="n">
        <f aca="false">Assumptions!$C$11</f>
        <v>45</v>
      </c>
      <c r="G19197" s="16" t="n">
        <f aca="false">G19193-G19196</f>
        <v>0</v>
      </c>
      <c r="H19197" s="16" t="n">
        <f aca="false">H19193-H19196</f>
        <v>-121.3557292</v>
      </c>
      <c r="I19197" s="16" t="n">
        <f aca="false">I19193-I19196</f>
        <v>-236.702175152</v>
      </c>
      <c r="J19197" s="16" t="n">
        <f aca="false">J19193-J19196</f>
        <v>-337.79889141424</v>
      </c>
      <c r="K19197" s="16" t="n">
        <f aca="false">K19193-K19196</f>
        <v>-426.1840823404</v>
      </c>
    </row>
    <row r="19198" customFormat="false" ht="15" hidden="false" customHeight="false" outlineLevel="0" collapsed="false">
      <c r="A19198" s="5" t="s">
        <v>313</v>
      </c>
      <c r="G19198" s="25" t="n">
        <f aca="false">G19121+G19134+G19147+G19160</f>
        <v>0</v>
      </c>
      <c r="H19198" s="25" t="n">
        <f aca="false">H19121+H19134+H19147+H19160</f>
        <v>516.2968</v>
      </c>
      <c r="I19198" s="25" t="n">
        <f aca="false">I19121+I19134+I19147+I19160</f>
        <v>504.4</v>
      </c>
      <c r="J19198" s="25" t="n">
        <f aca="false">J19121+J19134+J19147+J19160</f>
        <v>250</v>
      </c>
      <c r="K19198" s="25" t="n">
        <f aca="false">K19121+K19134+K19147+K19160</f>
        <v>0</v>
      </c>
    </row>
    <row r="19199" customFormat="false" ht="15" hidden="false" customHeight="false" outlineLevel="0" collapsed="false">
      <c r="A19199" s="5" t="s">
        <v>314</v>
      </c>
      <c r="G19199" s="20" t="n">
        <f aca="false">IF(OR(G19194&gt;0.001,G19198&gt;0.001),1,0)</f>
        <v>0</v>
      </c>
      <c r="H19199" s="20" t="n">
        <f aca="false">IF(OR(H19194&gt;0.001,H19198&gt;0.001),1,0)</f>
        <v>1</v>
      </c>
      <c r="I19199" s="20" t="n">
        <f aca="false">IF(OR(I19194&gt;0.001,I19198&gt;0.001),1,0)</f>
        <v>1</v>
      </c>
      <c r="J19199" s="20" t="n">
        <f aca="false">IF(OR(J19194&gt;0.001,J19198&gt;0.001),1,0)</f>
        <v>1</v>
      </c>
      <c r="K19199" s="20" t="n">
        <f aca="false">IF(OR(K19194&gt;0.001,K19198&gt;0.001),1,0)</f>
        <v>1</v>
      </c>
    </row>
    <row r="19200" customFormat="false" ht="15" hidden="false" customHeight="false" outlineLevel="0" collapsed="false">
      <c r="A19200" s="5" t="s">
        <v>315</v>
      </c>
      <c r="G19200" s="20" t="n">
        <f aca="false">IF(G19199=1,1,0)</f>
        <v>0</v>
      </c>
      <c r="H19200" s="20" t="n">
        <f aca="false">IF(AND(H19199=1,SUM($G$19199:G19199)=0),1,0)</f>
        <v>1</v>
      </c>
      <c r="I19200" s="20" t="n">
        <f aca="false">IF(AND(I19199=1,SUM($G$19199:H19199)=0),1,0)</f>
        <v>0</v>
      </c>
      <c r="J19200" s="20" t="n">
        <f aca="false">IF(AND(J19199=1,SUM($G$19199:I19199)=0),1,0)</f>
        <v>0</v>
      </c>
      <c r="K19200" s="20" t="n">
        <f aca="false">IF(AND(K19199=1,SUM($G$19199:J19199)=0),1,0)</f>
        <v>0</v>
      </c>
    </row>
    <row r="19201" customFormat="false" ht="15" hidden="false" customHeight="false" outlineLevel="0" collapsed="false">
      <c r="A19201" s="5" t="s">
        <v>316</v>
      </c>
      <c r="G19201" s="25" t="n">
        <f aca="false">(G19163-F19163)-(G19190+G19090-G19188-G19192-G19196)</f>
        <v>0</v>
      </c>
      <c r="H19201" s="25" t="n">
        <f aca="false">(H19163-G19163)-(H19190+H19090-H19188-H19192-H19196)</f>
        <v>-4.52970994047064E-014</v>
      </c>
      <c r="I19201" s="25" t="n">
        <f aca="false">(I19163-H19163)-(I19190+I19090-I19188-I19192-I19196)</f>
        <v>1.82076576038526E-013</v>
      </c>
      <c r="J19201" s="25" t="n">
        <f aca="false">(J19163-I19163)-(J19190+J19090-J19188-J19192-J19196)</f>
        <v>-2.72670774847938E-013</v>
      </c>
      <c r="K19201" s="25" t="n">
        <f aca="false">(K19163-J19163)-(K19190+K19090-K19188-K19192-K19196)</f>
        <v>1.82076576038526E-013</v>
      </c>
    </row>
    <row r="19203" customFormat="false" ht="15" hidden="false" customHeight="false" outlineLevel="0" collapsed="false">
      <c r="A19203" s="23" t="s">
        <v>318</v>
      </c>
      <c r="B19203" s="24"/>
      <c r="C19203" s="24"/>
      <c r="D19203" s="24"/>
      <c r="E19203" s="24"/>
      <c r="F19203" s="24"/>
      <c r="G19203" s="24"/>
      <c r="H19203" s="24"/>
      <c r="I19203" s="24"/>
      <c r="J19203" s="24"/>
      <c r="K19203" s="24"/>
    </row>
    <row r="19204" customFormat="false" ht="15" hidden="false" customHeight="false" outlineLevel="0" collapsed="false">
      <c r="A19204" s="5" t="s">
        <v>319</v>
      </c>
      <c r="G19204" s="25" t="n">
        <f aca="false">G19163</f>
        <v>1281.0968</v>
      </c>
      <c r="H19204" s="25" t="n">
        <f aca="false">H19163</f>
        <v>1275.8968</v>
      </c>
      <c r="I19204" s="25" t="n">
        <f aca="false">I19163</f>
        <v>1270.6968</v>
      </c>
      <c r="J19204" s="25" t="n">
        <f aca="false">J19163</f>
        <v>1265.4968</v>
      </c>
      <c r="K19204" s="25" t="n">
        <f aca="false">K19163</f>
        <v>1260.2968</v>
      </c>
    </row>
    <row r="19205" customFormat="false" ht="15" hidden="false" customHeight="false" outlineLevel="0" collapsed="false">
      <c r="A19205" s="5" t="s">
        <v>320</v>
      </c>
      <c r="G19205" s="25" t="n">
        <f aca="false">Assumptions!$O$53*G19122+Assumptions!$O$54*G19135+Assumptions!$O$55*G19148+Assumptions!$O$56*G19161</f>
        <v>981.0968</v>
      </c>
      <c r="H19205" s="25" t="n">
        <f aca="false">Assumptions!$O$53*H19122+Assumptions!$O$54*H19135+Assumptions!$O$55*H19148+Assumptions!$O$56*H19161</f>
        <v>975.8968</v>
      </c>
      <c r="I19205" s="25" t="n">
        <f aca="false">Assumptions!$O$53*I19122+Assumptions!$O$54*I19135+Assumptions!$O$55*I19148+Assumptions!$O$56*I19161</f>
        <v>970.6968</v>
      </c>
      <c r="J19205" s="25" t="n">
        <f aca="false">Assumptions!$O$53*J19122+Assumptions!$O$54*J19135+Assumptions!$O$55*J19148+Assumptions!$O$56*J19161</f>
        <v>965.4968</v>
      </c>
      <c r="K19205" s="25" t="n">
        <f aca="false">Assumptions!$O$53*K19122+Assumptions!$O$54*K19135+Assumptions!$O$55*K19148+Assumptions!$O$56*K19161</f>
        <v>960.2968</v>
      </c>
    </row>
    <row r="19206" customFormat="false" ht="15" hidden="false" customHeight="false" outlineLevel="0" collapsed="false">
      <c r="A19206" s="5" t="s">
        <v>321</v>
      </c>
      <c r="G19206" s="25" t="n">
        <f aca="false">G19204-G19197</f>
        <v>1281.0968</v>
      </c>
      <c r="H19206" s="25" t="n">
        <f aca="false">H19204-H19197</f>
        <v>1397.2525292</v>
      </c>
      <c r="I19206" s="25" t="n">
        <f aca="false">I19204-I19197</f>
        <v>1507.398975152</v>
      </c>
      <c r="J19206" s="25" t="n">
        <f aca="false">J19204-J19197</f>
        <v>1603.29569141424</v>
      </c>
      <c r="K19206" s="25" t="n">
        <f aca="false">K19204-K19197</f>
        <v>1686.4808823404</v>
      </c>
    </row>
    <row r="19207" customFormat="false" ht="15" hidden="false" customHeight="false" outlineLevel="0" collapsed="false">
      <c r="A19207" s="5" t="s">
        <v>322</v>
      </c>
      <c r="G19207" s="31" t="n">
        <f aca="false">IF(G19085&gt;0,G19204/G19085,0)</f>
        <v>16.5413800227249</v>
      </c>
      <c r="H19207" s="31" t="n">
        <f aca="false">IF(H19085&gt;0,H19204/H19085,0)</f>
        <v>26.0868812807611</v>
      </c>
      <c r="I19207" s="31" t="n">
        <f aca="false">IF(I19085&gt;0,I19204/I19085,0)</f>
        <v>20.7088178018065</v>
      </c>
      <c r="J19207" s="31" t="n">
        <f aca="false">IF(J19085&gt;0,J19204/J19085,0)</f>
        <v>17.2611283222678</v>
      </c>
      <c r="K19207" s="31" t="n">
        <f aca="false">IF(K19085&gt;0,K19204/K19085,0)</f>
        <v>14.8227900209479</v>
      </c>
    </row>
    <row r="19208" customFormat="false" ht="15" hidden="false" customHeight="false" outlineLevel="0" collapsed="false">
      <c r="A19208" s="5" t="s">
        <v>323</v>
      </c>
      <c r="G19208" s="31" t="n">
        <f aca="false">IF(G19085&gt;0,G19206/G19085,0)</f>
        <v>16.5413800227249</v>
      </c>
      <c r="H19208" s="31" t="n">
        <f aca="false">IF(H19085&gt;0,H19206/H19085,0)</f>
        <v>28.5681105622991</v>
      </c>
      <c r="I19208" s="31" t="n">
        <f aca="false">IF(I19085&gt;0,I19206/I19085,0)</f>
        <v>24.5664038274533</v>
      </c>
      <c r="J19208" s="31" t="n">
        <f aca="false">IF(J19085&gt;0,J19206/J19085,0)</f>
        <v>21.8686389946149</v>
      </c>
      <c r="K19208" s="31" t="n">
        <f aca="false">IF(K19085&gt;0,K19206/K19085,0)</f>
        <v>19.8352895867661</v>
      </c>
    </row>
    <row r="19209" customFormat="false" ht="15" hidden="false" customHeight="false" outlineLevel="0" collapsed="false">
      <c r="A19209" s="5" t="s">
        <v>324</v>
      </c>
      <c r="G19209" s="31" t="n">
        <f aca="false">IF(G19089&gt;0,G19085/G19089,0)</f>
        <v>0.597869383974062</v>
      </c>
      <c r="H19209" s="31" t="n">
        <f aca="false">IF(H19089&gt;0,H19085/H19089,0)</f>
        <v>0.374027109660081</v>
      </c>
      <c r="I19209" s="31" t="n">
        <f aca="false">IF(I19089&gt;0,I19085/I19089,0)</f>
        <v>0.478071824514175</v>
      </c>
      <c r="J19209" s="31" t="n">
        <f aca="false">IF(J19089&gt;0,J19085/J19089,0)</f>
        <v>0.573840521753012</v>
      </c>
      <c r="K19209" s="31" t="n">
        <f aca="false">IF(K19089&gt;0,K19085/K19089,0)</f>
        <v>0.668565910880975</v>
      </c>
    </row>
    <row r="19210" customFormat="false" ht="15" hidden="false" customHeight="false" outlineLevel="0" collapsed="false">
      <c r="A19210" s="5" t="s">
        <v>325</v>
      </c>
      <c r="G19210" s="31" t="n">
        <f aca="false">IF(G19089&gt;0,G19088/G19089,0)</f>
        <v>0.222065771190366</v>
      </c>
      <c r="H19210" s="31" t="n">
        <f aca="false">IF(H19089&gt;0,H19088/H19089,0)</f>
        <v>0.0162620482460903</v>
      </c>
      <c r="I19210" s="31" t="n">
        <f aca="false">IF(I19089&gt;0,I19088/I19089,0)</f>
        <v>0.115396647296525</v>
      </c>
      <c r="J19210" s="31" t="n">
        <f aca="false">IF(J19089&gt;0,J19088/J19089,0)</f>
        <v>0.213140765222547</v>
      </c>
      <c r="K19210" s="31" t="n">
        <f aca="false">IF(K19089&gt;0,K19088/K19089,0)</f>
        <v>0.309823226993622</v>
      </c>
    </row>
    <row r="19211" customFormat="false" ht="15" hidden="false" customHeight="false" outlineLevel="0" collapsed="false">
      <c r="A19211" s="5" t="s">
        <v>182</v>
      </c>
      <c r="G19211" s="21" t="n">
        <f aca="false">IF(G19204&gt;0,G19098/G19204,0)</f>
        <v>-0.0593997268590477</v>
      </c>
      <c r="H19211" s="21" t="n">
        <f aca="false">IF(H19204&gt;0,H19098/H19204,0)</f>
        <v>-0.0910384987249753</v>
      </c>
      <c r="I19211" s="21" t="n">
        <f aca="false">IF(I19204&gt;0,I19098/I19204,0)</f>
        <v>-0.086681925973214</v>
      </c>
      <c r="J19211" s="21" t="n">
        <f aca="false">IF(J19204&gt;0,J19098/J19204,0)</f>
        <v>-0.0757779207835532</v>
      </c>
      <c r="K19211" s="21" t="n">
        <f aca="false">IF(K19204&gt;0,K19098/K19204,0)</f>
        <v>-0.0660044450848086</v>
      </c>
    </row>
    <row r="19212" customFormat="false" ht="15" hidden="false" customHeight="false" outlineLevel="0" collapsed="false">
      <c r="A19212" s="5" t="s">
        <v>326</v>
      </c>
      <c r="G19212" s="31" t="n">
        <f aca="false">IF(G19089+G19188&gt;0,(G19085-G19096-G19093)/(G19089+G19188),0)</f>
        <v>0.262763841472466</v>
      </c>
      <c r="H19212" s="31" t="n">
        <f aca="false">IF(H19089+H19188&gt;0,(H19085-H19096-H19093)/(H19089+H19188),0)</f>
        <v>0.0625604092748976</v>
      </c>
      <c r="I19212" s="31" t="n">
        <f aca="false">IF(I19089+I19188&gt;0,(I19085-I19096-I19093)/(I19089+I19188),0)</f>
        <v>0.158433508080696</v>
      </c>
      <c r="J19212" s="31" t="n">
        <f aca="false">IF(J19089+J19188&gt;0,(J19085-J19096-J19093)/(J19089+J19188),0)</f>
        <v>0.252067742993116</v>
      </c>
      <c r="K19212" s="31" t="n">
        <f aca="false">IF(K19089+K19188&gt;0,(K19085-K19096-K19093)/(K19089+K19188),0)</f>
        <v>0.344650334570687</v>
      </c>
    </row>
    <row r="19213" customFormat="false" ht="15" hidden="false" customHeight="false" outlineLevel="0" collapsed="false">
      <c r="A19213" s="5" t="s">
        <v>327</v>
      </c>
      <c r="G19213" s="25" t="n">
        <f aca="false">MAX(0,G19197)+Assumptions!$P$53*MAX(0,Assumptions!$D$53-G19122)+Assumptions!$P$54*MAX(0,Assumptions!$D$54-G19135)+Assumptions!$P$55*MAX(0,Assumptions!$D$55-G19148)+Assumptions!$P$56*MAX(0,Assumptions!$D$56-G19161)</f>
        <v>83.7032</v>
      </c>
      <c r="H19213" s="25" t="n">
        <f aca="false">MAX(0,H19197)+Assumptions!$P$53*MAX(0,Assumptions!$D$53-H19122)+Assumptions!$P$54*MAX(0,Assumptions!$D$54-H19135)+Assumptions!$P$55*MAX(0,Assumptions!$D$55-H19148)+Assumptions!$P$56*MAX(0,Assumptions!$D$56-H19161)</f>
        <v>83.7032</v>
      </c>
      <c r="I19213" s="25" t="n">
        <f aca="false">MAX(0,I19197)+Assumptions!$P$53*MAX(0,Assumptions!$D$53-I19122)+Assumptions!$P$54*MAX(0,Assumptions!$D$54-I19135)+Assumptions!$P$55*MAX(0,Assumptions!$D$55-I19148)+Assumptions!$P$56*MAX(0,Assumptions!$D$56-I19161)</f>
        <v>83.7032</v>
      </c>
      <c r="J19213" s="25" t="n">
        <f aca="false">MAX(0,J19197)+Assumptions!$P$53*MAX(0,Assumptions!$D$53-J19122)+Assumptions!$P$54*MAX(0,Assumptions!$D$54-J19135)+Assumptions!$P$55*MAX(0,Assumptions!$D$55-J19148)+Assumptions!$P$56*MAX(0,Assumptions!$D$56-J19161)</f>
        <v>83.7032</v>
      </c>
      <c r="K19213" s="25" t="n">
        <f aca="false">MAX(0,K19197)+Assumptions!$P$53*MAX(0,Assumptions!$D$53-K19122)+Assumptions!$P$54*MAX(0,Assumptions!$D$54-K19135)+Assumptions!$P$55*MAX(0,Assumptions!$D$55-K19148)+Assumptions!$P$56*MAX(0,Assumptions!$D$56-K19161)</f>
        <v>83.7032</v>
      </c>
    </row>
    <row r="19214" customFormat="false" ht="15" hidden="false" customHeight="false" outlineLevel="0" collapsed="false">
      <c r="A19214" s="5" t="s">
        <v>328</v>
      </c>
      <c r="G19214" s="21" t="n">
        <f aca="false">IF(G19204&gt;0,G19204/(G19204+MAX(0,G19085*CHOOSE($C$19068,Assumptions!$C$76,Assumptions!$C$95,Assumptions!$C$114)-G19206)),0)</f>
        <v>1</v>
      </c>
      <c r="H19214" s="21" t="n">
        <f aca="false">IF(H19204&gt;0,H19204/(H19204+MAX(0,H19085*CHOOSE($C$19068,Assumptions!$C$76,Assumptions!$C$95,Assumptions!$C$114)-H19206)),0)</f>
        <v>1</v>
      </c>
      <c r="I19214" s="21" t="n">
        <f aca="false">IF(I19204&gt;0,I19204/(I19204+MAX(0,I19085*CHOOSE($C$19068,Assumptions!$C$76,Assumptions!$C$95,Assumptions!$C$114)-I19206)),0)</f>
        <v>1</v>
      </c>
      <c r="J19214" s="21" t="n">
        <f aca="false">IF(J19204&gt;0,J19204/(J19204+MAX(0,J19085*CHOOSE($C$19068,Assumptions!$C$76,Assumptions!$C$95,Assumptions!$C$114)-J19206)),0)</f>
        <v>1</v>
      </c>
      <c r="K19214" s="21" t="n">
        <f aca="false">IF(K19204&gt;0,K19204/(K19204+MAX(0,K19085*CHOOSE($C$19068,Assumptions!$C$76,Assumptions!$C$95,Assumptions!$C$114)-K19206)),0)</f>
        <v>1</v>
      </c>
    </row>
    <row r="19215" customFormat="false" ht="15" hidden="false" customHeight="false" outlineLevel="0" collapsed="false">
      <c r="A19215" s="5" t="s">
        <v>329</v>
      </c>
      <c r="G19215" s="21" t="n">
        <f aca="false">IF(G19204&gt;0,MAX(0,G19197)/G19204,0)</f>
        <v>0</v>
      </c>
      <c r="H19215" s="21" t="n">
        <f aca="false">IF(H19204&gt;0,MAX(0,H19197)/H19204,0)</f>
        <v>0</v>
      </c>
      <c r="I19215" s="21" t="n">
        <f aca="false">IF(I19204&gt;0,MAX(0,I19197)/I19204,0)</f>
        <v>0</v>
      </c>
      <c r="J19215" s="21" t="n">
        <f aca="false">IF(J19204&gt;0,MAX(0,J19197)/J19204,0)</f>
        <v>0</v>
      </c>
      <c r="K19215" s="21" t="n">
        <f aca="false">IF(K19204&gt;0,MAX(0,K19197)/K19204,0)</f>
        <v>0</v>
      </c>
    </row>
    <row r="19216" customFormat="false" ht="15" hidden="false" customHeight="false" outlineLevel="0" collapsed="false">
      <c r="A19216" s="5" t="s">
        <v>330</v>
      </c>
      <c r="G19216" s="25" t="n">
        <f aca="false">Assumptions!$C$27*(1-CHOOSE($C$19068,Assumptions!$C$79,Assumptions!$C$98,Assumptions!$C$117))</f>
        <v>884</v>
      </c>
      <c r="H19216" s="25" t="n">
        <f aca="false">Assumptions!$C$27*(1-CHOOSE($C$19068,Assumptions!$C$79,Assumptions!$C$98,Assumptions!$C$117))</f>
        <v>884</v>
      </c>
      <c r="I19216" s="25" t="n">
        <f aca="false">Assumptions!$C$27*(1-CHOOSE($C$19068,Assumptions!$C$79,Assumptions!$C$98,Assumptions!$C$117))</f>
        <v>884</v>
      </c>
      <c r="J19216" s="25" t="n">
        <f aca="false">Assumptions!$C$27*(1-CHOOSE($C$19068,Assumptions!$C$79,Assumptions!$C$98,Assumptions!$C$117))</f>
        <v>884</v>
      </c>
      <c r="K19216" s="25" t="n">
        <f aca="false">Assumptions!$C$27*(1-CHOOSE($C$19068,Assumptions!$C$79,Assumptions!$C$98,Assumptions!$C$117))</f>
        <v>884</v>
      </c>
    </row>
    <row r="19217" customFormat="false" ht="15" hidden="false" customHeight="false" outlineLevel="0" collapsed="false">
      <c r="A19217" s="23" t="s">
        <v>331</v>
      </c>
      <c r="B19217" s="24"/>
      <c r="C19217" s="24"/>
      <c r="D19217" s="24"/>
      <c r="E19217" s="24"/>
      <c r="F19217" s="24"/>
      <c r="G19217" s="24"/>
      <c r="H19217" s="24"/>
      <c r="I19217" s="24"/>
      <c r="J19217" s="24"/>
      <c r="K19217" s="24"/>
    </row>
    <row r="19218" customFormat="false" ht="15" hidden="false" customHeight="false" outlineLevel="0" collapsed="false">
      <c r="A19218" s="23" t="s">
        <v>332</v>
      </c>
      <c r="B19218" s="24"/>
      <c r="C19218" s="24"/>
      <c r="D19218" s="24"/>
      <c r="E19218" s="24"/>
      <c r="F19218" s="24"/>
      <c r="G19218" s="24"/>
      <c r="H19218" s="24"/>
      <c r="I19218" s="24"/>
      <c r="J19218" s="24"/>
      <c r="K19218" s="24"/>
    </row>
    <row r="19219" customFormat="false" ht="15" hidden="false" customHeight="false" outlineLevel="0" collapsed="false">
      <c r="A19219" s="5" t="s">
        <v>333</v>
      </c>
      <c r="G19219" s="31" t="n">
        <f aca="false">IF(G19085&gt;0,G19206/G19085,99)</f>
        <v>16.5413800227249</v>
      </c>
      <c r="H19219" s="31" t="n">
        <f aca="false">IF(H19085&gt;0,H19206/H19085,99)</f>
        <v>28.5681105622991</v>
      </c>
      <c r="I19219" s="31" t="n">
        <f aca="false">IF(I19085&gt;0,I19206/I19085,99)</f>
        <v>24.5664038274533</v>
      </c>
      <c r="J19219" s="31" t="n">
        <f aca="false">IF(J19085&gt;0,J19206/J19085,99)</f>
        <v>21.8686389946149</v>
      </c>
      <c r="K19219" s="31" t="n">
        <f aca="false">IF(K19085&gt;0,K19206/K19085,99)</f>
        <v>19.8352895867661</v>
      </c>
    </row>
    <row r="19220" customFormat="false" ht="15" hidden="false" customHeight="false" outlineLevel="0" collapsed="false">
      <c r="A19220" s="5" t="s">
        <v>334</v>
      </c>
      <c r="G19220" s="32" t="n">
        <f aca="false">Assumptions!$G$61</f>
        <v>8.5</v>
      </c>
      <c r="H19220" s="32" t="n">
        <f aca="false">Assumptions!$H$61</f>
        <v>8.5</v>
      </c>
      <c r="I19220" s="32" t="n">
        <f aca="false">Assumptions!$I$61</f>
        <v>8.5</v>
      </c>
      <c r="J19220" s="32" t="n">
        <f aca="false">Assumptions!$J$61</f>
        <v>8.5</v>
      </c>
      <c r="K19220" s="32" t="n">
        <f aca="false">Assumptions!$K$61</f>
        <v>8.5</v>
      </c>
    </row>
    <row r="19221" customFormat="false" ht="15" hidden="false" customHeight="false" outlineLevel="0" collapsed="false">
      <c r="A19221" s="5" t="s">
        <v>335</v>
      </c>
      <c r="G19221" s="31" t="n">
        <f aca="false">G19220-G19219</f>
        <v>-8.04138002272492</v>
      </c>
      <c r="H19221" s="31" t="n">
        <f aca="false">H19220-H19219</f>
        <v>-20.0681105622991</v>
      </c>
      <c r="I19221" s="31" t="n">
        <f aca="false">I19220-I19219</f>
        <v>-16.0664038274533</v>
      </c>
      <c r="J19221" s="31" t="n">
        <f aca="false">J19220-J19219</f>
        <v>-13.3686389946149</v>
      </c>
      <c r="K19221" s="31" t="n">
        <f aca="false">K19220-K19219</f>
        <v>-11.3352895867661</v>
      </c>
    </row>
    <row r="19222" customFormat="false" ht="15" hidden="false" customHeight="false" outlineLevel="0" collapsed="false">
      <c r="A19222" s="5" t="s">
        <v>336</v>
      </c>
      <c r="G19222" s="21" t="n">
        <f aca="false">IF(G19220=0,0,G19221/ABS(G19220))</f>
        <v>-0.946044708555873</v>
      </c>
      <c r="H19222" s="21" t="n">
        <f aca="false">IF(H19220=0,0,H19221/ABS(H19220))</f>
        <v>-2.36095418379989</v>
      </c>
      <c r="I19222" s="21" t="n">
        <f aca="false">IF(I19220=0,0,I19221/ABS(I19220))</f>
        <v>-1.89016515617097</v>
      </c>
      <c r="J19222" s="21" t="n">
        <f aca="false">IF(J19220=0,0,J19221/ABS(J19220))</f>
        <v>-1.57278105818998</v>
      </c>
      <c r="K19222" s="21" t="n">
        <f aca="false">IF(K19220=0,0,K19221/ABS(K19220))</f>
        <v>-1.33356348079602</v>
      </c>
    </row>
    <row r="19223" customFormat="false" ht="15" hidden="false" customHeight="false" outlineLevel="0" collapsed="false">
      <c r="A19223" s="5" t="s">
        <v>337</v>
      </c>
      <c r="G19223" s="20" t="n">
        <f aca="false">IF(G19221&lt;0,1,0)</f>
        <v>1</v>
      </c>
      <c r="H19223" s="20" t="n">
        <f aca="false">IF(H19221&lt;0,1,0)</f>
        <v>1</v>
      </c>
      <c r="I19223" s="20" t="n">
        <f aca="false">IF(I19221&lt;0,1,0)</f>
        <v>1</v>
      </c>
      <c r="J19223" s="20" t="n">
        <f aca="false">IF(J19221&lt;0,1,0)</f>
        <v>1</v>
      </c>
      <c r="K19223" s="20" t="n">
        <f aca="false">IF(K19221&lt;0,1,0)</f>
        <v>1</v>
      </c>
    </row>
    <row r="19224" customFormat="false" ht="15" hidden="false" customHeight="false" outlineLevel="0" collapsed="false">
      <c r="A19224" s="5" t="s">
        <v>338</v>
      </c>
      <c r="C19224" s="20" t="n">
        <f aca="false">IFERROR(INDEX($G$19075:$K$19075,MATCH(1,$G$19223:$K$19223,0)),0)</f>
        <v>2026</v>
      </c>
    </row>
    <row r="19225" customFormat="false" ht="15" hidden="false" customHeight="false" outlineLevel="0" collapsed="false">
      <c r="A19225" s="5" t="s">
        <v>339</v>
      </c>
      <c r="C19225" s="21" t="n">
        <f aca="false">MIN($G$19222:$K$19222)</f>
        <v>-2.36095418379989</v>
      </c>
    </row>
    <row r="19226" customFormat="false" ht="15" hidden="false" customHeight="false" outlineLevel="0" collapsed="false">
      <c r="A19226" s="5" t="s">
        <v>340</v>
      </c>
      <c r="G19226" s="20" t="n">
        <f aca="false">G19223</f>
        <v>1</v>
      </c>
      <c r="H19226" s="20" t="n">
        <f aca="false">H19223</f>
        <v>1</v>
      </c>
      <c r="I19226" s="20" t="n">
        <f aca="false">I19223</f>
        <v>1</v>
      </c>
      <c r="J19226" s="20" t="n">
        <f aca="false">J19223</f>
        <v>1</v>
      </c>
      <c r="K19226" s="20" t="n">
        <f aca="false">K19223</f>
        <v>1</v>
      </c>
    </row>
    <row r="19227" customFormat="false" ht="15" hidden="false" customHeight="false" outlineLevel="0" collapsed="false">
      <c r="A19227" s="5" t="s">
        <v>341</v>
      </c>
      <c r="C19227" s="20" t="n">
        <f aca="false">SUM($G$19226:$K$19226)</f>
        <v>5</v>
      </c>
    </row>
    <row r="19228" customFormat="false" ht="15" hidden="false" customHeight="false" outlineLevel="0" collapsed="false">
      <c r="A19228" s="5" t="s">
        <v>342</v>
      </c>
      <c r="C19228" s="21" t="n">
        <f aca="false">MIN(C19225)</f>
        <v>-2.36095418379989</v>
      </c>
    </row>
    <row r="19230" customFormat="false" ht="15" hidden="false" customHeight="false" outlineLevel="0" collapsed="false">
      <c r="A19230" s="23" t="s">
        <v>444</v>
      </c>
      <c r="B19230" s="24"/>
      <c r="C19230" s="24"/>
      <c r="D19230" s="24"/>
      <c r="E19230" s="24"/>
      <c r="F19230" s="24"/>
      <c r="G19230" s="24"/>
      <c r="H19230" s="24"/>
      <c r="I19230" s="24"/>
      <c r="J19230" s="24"/>
      <c r="K19230" s="24"/>
    </row>
    <row r="19231" customFormat="false" ht="15" hidden="false" customHeight="false" outlineLevel="0" collapsed="false">
      <c r="A19231" s="5" t="s">
        <v>445</v>
      </c>
      <c r="G19231" s="20" t="n">
        <f aca="false">IF($C$19232=1,G19200,IF(G19085=MIN($G$19085:$K$19085),1,0))</f>
        <v>0</v>
      </c>
      <c r="H19231" s="20" t="n">
        <f aca="false">IF($C$19232=1,H19200,IF(AND(H19085=MIN($G$19085:$K$19085),SUM($G$19231:G19231)=0),1,0))</f>
        <v>1</v>
      </c>
      <c r="I19231" s="20" t="n">
        <f aca="false">IF($C$19232=1,I19200,IF(AND(I19085=MIN($G$19085:$K$19085),SUM($G$19231:H19231)=0),1,0))</f>
        <v>0</v>
      </c>
      <c r="J19231" s="20" t="n">
        <f aca="false">IF($C$19232=1,J19200,IF(AND(J19085=MIN($G$19085:$K$19085),SUM($G$19231:I19231)=0),1,0))</f>
        <v>0</v>
      </c>
      <c r="K19231" s="20" t="n">
        <f aca="false">IF($C$19232=1,K19200,IF(AND(K19085=MIN($G$19085:$K$19085),SUM($G$19231:J19231)=0),1,0))</f>
        <v>0</v>
      </c>
    </row>
    <row r="19232" customFormat="false" ht="15" hidden="false" customHeight="false" outlineLevel="0" collapsed="false">
      <c r="A19232" s="5" t="s">
        <v>446</v>
      </c>
      <c r="C19232" s="20" t="n">
        <f aca="false">IF(SUM($G$19200:$K$19200)&gt;0,1,0)</f>
        <v>1</v>
      </c>
    </row>
    <row r="19233" customFormat="false" ht="15" hidden="false" customHeight="false" outlineLevel="0" collapsed="false">
      <c r="A19233" s="5" t="s">
        <v>447</v>
      </c>
      <c r="C19233" s="20" t="n">
        <f aca="false">SUMPRODUCT($G$19231:$K$19231,$G$19075:$K$19075)</f>
        <v>2027</v>
      </c>
    </row>
    <row r="19234" customFormat="false" ht="15" hidden="false" customHeight="false" outlineLevel="0" collapsed="false">
      <c r="A19234" s="5" t="s">
        <v>448</v>
      </c>
      <c r="C19234" s="25" t="n">
        <f aca="false">SUMPRODUCT($G$19231:$K$19231,$G$19085:$K$19085)</f>
        <v>48.9095184</v>
      </c>
    </row>
    <row r="19235" customFormat="false" ht="15" hidden="false" customHeight="false" outlineLevel="0" collapsed="false">
      <c r="A19235" s="5" t="s">
        <v>449</v>
      </c>
      <c r="C19235" s="25" t="n">
        <f aca="false">MAX(0,SUMPRODUCT($G$19231:$K$19231,$G$19197:$K$19197))</f>
        <v>0</v>
      </c>
    </row>
    <row r="19236" customFormat="false" ht="15" hidden="false" customHeight="false" outlineLevel="0" collapsed="false">
      <c r="A19236" s="5" t="s">
        <v>450</v>
      </c>
      <c r="C19236" s="25" t="n">
        <f aca="false">(CHOOSE($C$19068,Assumptions!$C$78,Assumptions!$C$97,Assumptions!$C$116)+$C$19072)*C19234</f>
        <v>146.7285552</v>
      </c>
    </row>
    <row r="19237" customFormat="false" ht="15" hidden="false" customHeight="false" outlineLevel="0" collapsed="false">
      <c r="A19237" s="5" t="s">
        <v>451</v>
      </c>
      <c r="C19237" s="25" t="n">
        <f aca="false">Assumptions!$C$27*(1-CHOOSE($C$19068,Assumptions!$C$79,Assumptions!$C$98,Assumptions!$C$117))*CHOOSE($C$19068,Assumptions!$C$80,Assumptions!$C$99,Assumptions!$C$118)</f>
        <v>530.4</v>
      </c>
    </row>
    <row r="19238" customFormat="false" ht="15" hidden="false" customHeight="false" outlineLevel="0" collapsed="false">
      <c r="A19238" s="5" t="s">
        <v>452</v>
      </c>
      <c r="C19238" s="25" t="n">
        <f aca="false">MAX(C19236,C19237)+C19235</f>
        <v>530.4</v>
      </c>
    </row>
    <row r="19239" customFormat="false" ht="15" hidden="false" customHeight="false" outlineLevel="0" collapsed="false">
      <c r="A19239" s="2" t="s">
        <v>453</v>
      </c>
      <c r="C19239" s="16" t="n">
        <f aca="false">IF(ISNUMBER(Assumptions!$C$14),Assumptions!$C$14,C19238)</f>
        <v>530.4</v>
      </c>
    </row>
    <row r="19240" customFormat="false" ht="15" hidden="false" customHeight="false" outlineLevel="0" collapsed="false">
      <c r="A19240" s="5" t="s">
        <v>454</v>
      </c>
      <c r="C19240" s="25" t="n">
        <f aca="false">C19239*Assumptions!$C$15</f>
        <v>21.216</v>
      </c>
    </row>
    <row r="19241" customFormat="false" ht="15" hidden="false" customHeight="false" outlineLevel="0" collapsed="false">
      <c r="A19241" s="2" t="s">
        <v>455</v>
      </c>
      <c r="C19241" s="16" t="n">
        <f aca="false">C19239-C19240</f>
        <v>509.184</v>
      </c>
    </row>
    <row r="19242" customFormat="false" ht="15" hidden="false" customHeight="false" outlineLevel="0" collapsed="false">
      <c r="A19242" s="23" t="s">
        <v>456</v>
      </c>
      <c r="B19242" s="24"/>
      <c r="C19242" s="24"/>
      <c r="D19242" s="24"/>
      <c r="E19242" s="24"/>
      <c r="F19242" s="24"/>
      <c r="G19242" s="24"/>
      <c r="H19242" s="24"/>
      <c r="I19242" s="24"/>
      <c r="J19242" s="24"/>
      <c r="K19242" s="24"/>
    </row>
    <row r="19243" customFormat="false" ht="15" hidden="false" customHeight="false" outlineLevel="0" collapsed="false">
      <c r="A19243" s="5" t="s">
        <v>457</v>
      </c>
      <c r="C19243" s="25" t="n">
        <f aca="false">SUMPRODUCT($G$19231:$K$19231,$G$19122:$K$19122)*(1+SUMPRODUCT($G$19231:$K$19231,$G$19114:$K$19114)*Assumptions!$C$16/12)</f>
        <v>221.6231087</v>
      </c>
    </row>
    <row r="19244" customFormat="false" ht="15" hidden="false" customHeight="false" outlineLevel="0" collapsed="false">
      <c r="A19244" s="5" t="s">
        <v>458</v>
      </c>
      <c r="C19244" s="25" t="n">
        <f aca="false">SUMPRODUCT($G$19231:$K$19231,$G$19135:$K$19135)*(1+SUMPRODUCT($G$19231:$K$19231,$G$19127:$K$19127)*Assumptions!$C$16/12)</f>
        <v>524.3147</v>
      </c>
    </row>
    <row r="19245" customFormat="false" ht="15" hidden="false" customHeight="false" outlineLevel="0" collapsed="false">
      <c r="A19245" s="5" t="s">
        <v>459</v>
      </c>
      <c r="C19245" s="25" t="n">
        <f aca="false">SUMPRODUCT($G$19231:$K$19231,$G$19148:$K$19148)*(1+SUMPRODUCT($G$19231:$K$19231,$G$19140:$K$19140)*Assumptions!$C$16/12)</f>
        <v>256.875</v>
      </c>
    </row>
    <row r="19246" customFormat="false" ht="15" hidden="false" customHeight="false" outlineLevel="0" collapsed="false">
      <c r="A19246" s="5" t="s">
        <v>460</v>
      </c>
      <c r="C19246" s="25" t="n">
        <f aca="false">SUMPRODUCT($G$19231:$K$19231,$G$19161:$K$19161)*(1+SUMPRODUCT($G$19231:$K$19231,$G$19153:$K$19153)*Assumptions!$C$16/12)</f>
        <v>305.625</v>
      </c>
    </row>
    <row r="19247" customFormat="false" ht="15" hidden="false" customHeight="false" outlineLevel="0" collapsed="false">
      <c r="A19247" s="23" t="s">
        <v>461</v>
      </c>
      <c r="B19247" s="24"/>
      <c r="C19247" s="24"/>
      <c r="D19247" s="24"/>
      <c r="E19247" s="24"/>
      <c r="F19247" s="24"/>
      <c r="G19247" s="24"/>
      <c r="H19247" s="24"/>
      <c r="I19247" s="24"/>
      <c r="J19247" s="24"/>
      <c r="K19247" s="24"/>
    </row>
    <row r="19248" customFormat="false" ht="15" hidden="false" customHeight="false" outlineLevel="0" collapsed="false">
      <c r="A19248" s="5" t="s">
        <v>457</v>
      </c>
      <c r="C19248" s="26" t="n">
        <f aca="false">Assumptions!$M$53</f>
        <v>1</v>
      </c>
    </row>
    <row r="19249" customFormat="false" ht="15" hidden="false" customHeight="false" outlineLevel="0" collapsed="false">
      <c r="A19249" s="5" t="s">
        <v>458</v>
      </c>
      <c r="C19249" s="26" t="n">
        <f aca="false">Assumptions!$M$54</f>
        <v>2</v>
      </c>
    </row>
    <row r="19250" customFormat="false" ht="15" hidden="false" customHeight="false" outlineLevel="0" collapsed="false">
      <c r="A19250" s="5" t="s">
        <v>459</v>
      </c>
      <c r="C19250" s="26" t="n">
        <f aca="false">Assumptions!$M$55</f>
        <v>3</v>
      </c>
    </row>
    <row r="19251" customFormat="false" ht="15" hidden="false" customHeight="false" outlineLevel="0" collapsed="false">
      <c r="A19251" s="5" t="s">
        <v>460</v>
      </c>
      <c r="C19251" s="26" t="n">
        <f aca="false">Assumptions!$M$56</f>
        <v>4</v>
      </c>
    </row>
    <row r="19252" customFormat="false" ht="15" hidden="false" customHeight="false" outlineLevel="0" collapsed="false">
      <c r="A19252" s="23" t="s">
        <v>462</v>
      </c>
      <c r="B19252" s="24"/>
      <c r="C19252" s="24"/>
      <c r="D19252" s="24"/>
      <c r="E19252" s="24"/>
      <c r="F19252" s="24"/>
      <c r="G19252" s="24"/>
      <c r="H19252" s="24"/>
      <c r="I19252" s="24"/>
      <c r="J19252" s="24"/>
      <c r="K19252" s="24"/>
    </row>
    <row r="19253" customFormat="false" ht="15" hidden="false" customHeight="false" outlineLevel="0" collapsed="false">
      <c r="A19253" s="5" t="s">
        <v>457</v>
      </c>
      <c r="C19253" s="34" t="n">
        <f aca="false">Assumptions!$Q$53</f>
        <v>0</v>
      </c>
    </row>
    <row r="19254" customFormat="false" ht="15" hidden="false" customHeight="false" outlineLevel="0" collapsed="false">
      <c r="A19254" s="5" t="s">
        <v>458</v>
      </c>
      <c r="C19254" s="34" t="n">
        <f aca="false">Assumptions!$Q$54</f>
        <v>0</v>
      </c>
    </row>
    <row r="19255" customFormat="false" ht="15" hidden="false" customHeight="false" outlineLevel="0" collapsed="false">
      <c r="A19255" s="5" t="s">
        <v>459</v>
      </c>
      <c r="C19255" s="34" t="n">
        <f aca="false">Assumptions!$Q$55</f>
        <v>0</v>
      </c>
    </row>
    <row r="19256" customFormat="false" ht="15" hidden="false" customHeight="false" outlineLevel="0" collapsed="false">
      <c r="A19256" s="5" t="s">
        <v>460</v>
      </c>
      <c r="C19256" s="34" t="n">
        <f aca="false">Assumptions!$Q$56</f>
        <v>0</v>
      </c>
    </row>
    <row r="19257" customFormat="false" ht="15" hidden="false" customHeight="false" outlineLevel="0" collapsed="false">
      <c r="A19257" s="23" t="s">
        <v>463</v>
      </c>
      <c r="B19257" s="24"/>
      <c r="C19257" s="24"/>
      <c r="D19257" s="24"/>
      <c r="E19257" s="24"/>
      <c r="F19257" s="24"/>
      <c r="G19257" s="24"/>
      <c r="H19257" s="24"/>
      <c r="I19257" s="24"/>
      <c r="J19257" s="24"/>
      <c r="K19257" s="24"/>
    </row>
    <row r="19258" customFormat="false" ht="15" hidden="false" customHeight="false" outlineLevel="0" collapsed="false">
      <c r="A19258" s="5" t="s">
        <v>457</v>
      </c>
      <c r="C19258" s="25" t="n">
        <f aca="false">IF(C19253&gt;0,MIN(C19243,C19253*$C$19241),0)</f>
        <v>0</v>
      </c>
    </row>
    <row r="19259" customFormat="false" ht="15" hidden="false" customHeight="false" outlineLevel="0" collapsed="false">
      <c r="A19259" s="5" t="s">
        <v>458</v>
      </c>
      <c r="C19259" s="25" t="n">
        <f aca="false">IF(C19254&gt;0,MIN(C19244,C19254*$C$19241),0)</f>
        <v>0</v>
      </c>
    </row>
    <row r="19260" customFormat="false" ht="15" hidden="false" customHeight="false" outlineLevel="0" collapsed="false">
      <c r="A19260" s="5" t="s">
        <v>459</v>
      </c>
      <c r="C19260" s="25" t="n">
        <f aca="false">IF(C19255&gt;0,MIN(C19245,C19255*$C$19241),0)</f>
        <v>0</v>
      </c>
    </row>
    <row r="19261" customFormat="false" ht="15" hidden="false" customHeight="false" outlineLevel="0" collapsed="false">
      <c r="A19261" s="5" t="s">
        <v>460</v>
      </c>
      <c r="C19261" s="25" t="n">
        <f aca="false">IF(C19256&gt;0,MIN(C19246,C19256*$C$19241),0)</f>
        <v>0</v>
      </c>
    </row>
    <row r="19262" customFormat="false" ht="15" hidden="false" customHeight="false" outlineLevel="0" collapsed="false">
      <c r="A19262" s="23" t="s">
        <v>464</v>
      </c>
      <c r="B19262" s="24"/>
      <c r="C19262" s="24"/>
      <c r="D19262" s="24"/>
      <c r="E19262" s="24"/>
      <c r="F19262" s="24"/>
      <c r="G19262" s="24"/>
      <c r="H19262" s="24"/>
      <c r="I19262" s="24"/>
      <c r="J19262" s="24"/>
      <c r="K19262" s="24"/>
    </row>
    <row r="19263" customFormat="false" ht="15" hidden="false" customHeight="false" outlineLevel="0" collapsed="false">
      <c r="A19263" s="5" t="s">
        <v>457</v>
      </c>
      <c r="C19263" s="25" t="n">
        <f aca="false">IF(C19253&gt;0,C19243-C19258,0)</f>
        <v>0</v>
      </c>
      <c r="G19263" s="20" t="n">
        <f aca="false">IF(AND(G19112=1,G19109=1),1,0)</f>
        <v>0</v>
      </c>
      <c r="H19263" s="20" t="n">
        <f aca="false">IF(G19263=1,1,IF(AND(H19112=1,H19109=1),1,0))</f>
        <v>0</v>
      </c>
      <c r="I19263" s="20" t="n">
        <f aca="false">IF(H19263=1,1,IF(AND(I19112=1,I19109=1),1,0))</f>
        <v>0</v>
      </c>
      <c r="J19263" s="20" t="n">
        <f aca="false">IF(I19263=1,1,IF(AND(J19112=1,J19109=1),1,0))</f>
        <v>0</v>
      </c>
      <c r="K19263" s="20" t="n">
        <f aca="false">IF(J19263=1,1,IF(AND(K19112=1,K19109=1),1,0))</f>
        <v>0</v>
      </c>
    </row>
    <row r="19264" customFormat="false" ht="15" hidden="false" customHeight="false" outlineLevel="0" collapsed="false">
      <c r="A19264" s="5" t="s">
        <v>458</v>
      </c>
      <c r="C19264" s="25" t="n">
        <f aca="false">IF(C19254&gt;0,C19244-C19259,0)</f>
        <v>0</v>
      </c>
      <c r="G19264" s="20" t="n">
        <f aca="false">IF(AND(G19125=1,G19109=1),1,0)</f>
        <v>0</v>
      </c>
      <c r="H19264" s="20" t="n">
        <f aca="false">IF(G19264=1,1,IF(AND(H19125=1,H19109=1),1,0))</f>
        <v>0</v>
      </c>
      <c r="I19264" s="20" t="n">
        <f aca="false">IF(H19264=1,1,IF(AND(I19125=1,I19109=1),1,0))</f>
        <v>0</v>
      </c>
      <c r="J19264" s="20" t="n">
        <f aca="false">IF(I19264=1,1,IF(AND(J19125=1,J19109=1),1,0))</f>
        <v>0</v>
      </c>
      <c r="K19264" s="20" t="n">
        <f aca="false">IF(J19264=1,1,IF(AND(K19125=1,K19109=1),1,0))</f>
        <v>0</v>
      </c>
    </row>
    <row r="19265" customFormat="false" ht="15" hidden="false" customHeight="false" outlineLevel="0" collapsed="false">
      <c r="A19265" s="5" t="s">
        <v>459</v>
      </c>
      <c r="C19265" s="25" t="n">
        <f aca="false">IF(C19255&gt;0,C19245-C19260,0)</f>
        <v>0</v>
      </c>
      <c r="G19265" s="20" t="n">
        <f aca="false">IF(AND(G19138=1,G19109=1),1,0)</f>
        <v>0</v>
      </c>
      <c r="H19265" s="20" t="n">
        <f aca="false">IF(G19265=1,1,IF(AND(H19138=1,H19109=1),1,0))</f>
        <v>0</v>
      </c>
      <c r="I19265" s="20" t="n">
        <f aca="false">IF(H19265=1,1,IF(AND(I19138=1,I19109=1),1,0))</f>
        <v>0</v>
      </c>
      <c r="J19265" s="20" t="n">
        <f aca="false">IF(I19265=1,1,IF(AND(J19138=1,J19109=1),1,0))</f>
        <v>0</v>
      </c>
      <c r="K19265" s="20" t="n">
        <f aca="false">IF(J19265=1,1,IF(AND(K19138=1,K19109=1),1,0))</f>
        <v>0</v>
      </c>
    </row>
    <row r="19266" customFormat="false" ht="15" hidden="false" customHeight="false" outlineLevel="0" collapsed="false">
      <c r="A19266" s="5" t="s">
        <v>460</v>
      </c>
      <c r="C19266" s="25" t="n">
        <f aca="false">IF(C19256&gt;0,C19246-C19261,0)</f>
        <v>0</v>
      </c>
      <c r="G19266" s="20" t="n">
        <f aca="false">IF(AND(G19151=1,G19109=1),1,0)</f>
        <v>0</v>
      </c>
      <c r="H19266" s="20" t="n">
        <f aca="false">IF(G19266=1,1,IF(AND(H19151=1,H19109=1),1,0))</f>
        <v>0</v>
      </c>
      <c r="I19266" s="20" t="n">
        <f aca="false">IF(H19266=1,1,IF(AND(I19151=1,I19109=1),1,0))</f>
        <v>0</v>
      </c>
      <c r="J19266" s="20" t="n">
        <f aca="false">IF(I19266=1,1,IF(AND(J19151=1,J19109=1),1,0))</f>
        <v>0</v>
      </c>
      <c r="K19266" s="20" t="n">
        <f aca="false">IF(J19266=1,1,IF(AND(K19151=1,K19109=1),1,0))</f>
        <v>0</v>
      </c>
    </row>
    <row r="19267" customFormat="false" ht="15" hidden="false" customHeight="false" outlineLevel="0" collapsed="false">
      <c r="A19267" s="23" t="s">
        <v>465</v>
      </c>
      <c r="B19267" s="24"/>
      <c r="C19267" s="24"/>
      <c r="D19267" s="24"/>
      <c r="E19267" s="24"/>
      <c r="F19267" s="24"/>
      <c r="G19267" s="24"/>
      <c r="H19267" s="24"/>
      <c r="I19267" s="24"/>
      <c r="J19267" s="24"/>
      <c r="K19267" s="24"/>
    </row>
    <row r="19268" customFormat="false" ht="15" hidden="false" customHeight="false" outlineLevel="0" collapsed="false">
      <c r="A19268" s="5" t="s">
        <v>457</v>
      </c>
      <c r="C19268" s="25" t="n">
        <f aca="false">IF(C19253&gt;0,C19263,C19243)</f>
        <v>221.6231087</v>
      </c>
    </row>
    <row r="19269" customFormat="false" ht="15" hidden="false" customHeight="false" outlineLevel="0" collapsed="false">
      <c r="A19269" s="5" t="s">
        <v>458</v>
      </c>
      <c r="C19269" s="25" t="n">
        <f aca="false">IF(C19254&gt;0,C19264,C19244)</f>
        <v>524.3147</v>
      </c>
    </row>
    <row r="19270" customFormat="false" ht="15" hidden="false" customHeight="false" outlineLevel="0" collapsed="false">
      <c r="A19270" s="5" t="s">
        <v>459</v>
      </c>
      <c r="C19270" s="25" t="n">
        <f aca="false">IF(C19255&gt;0,C19265,C19245)</f>
        <v>256.875</v>
      </c>
    </row>
    <row r="19271" customFormat="false" ht="15" hidden="false" customHeight="false" outlineLevel="0" collapsed="false">
      <c r="A19271" s="5" t="s">
        <v>460</v>
      </c>
      <c r="C19271" s="25" t="n">
        <f aca="false">IF(C19256&gt;0,C19266,C19246)</f>
        <v>305.625</v>
      </c>
    </row>
    <row r="19272" customFormat="false" ht="15" hidden="false" customHeight="false" outlineLevel="0" collapsed="false">
      <c r="A19272" s="23" t="s">
        <v>466</v>
      </c>
      <c r="B19272" s="24"/>
      <c r="C19272" s="24"/>
      <c r="D19272" s="24"/>
      <c r="E19272" s="24"/>
      <c r="F19272" s="24"/>
      <c r="G19272" s="24"/>
      <c r="H19272" s="24"/>
      <c r="I19272" s="24"/>
      <c r="J19272" s="24"/>
      <c r="K19272" s="24"/>
    </row>
    <row r="19273" customFormat="false" ht="15" hidden="false" customHeight="false" outlineLevel="0" collapsed="false">
      <c r="A19273" s="5" t="s">
        <v>457</v>
      </c>
      <c r="C19273" s="20" t="n">
        <f aca="false">IF(C19253&gt;0,Assumptions!$C$17,C19248)</f>
        <v>1</v>
      </c>
    </row>
    <row r="19274" customFormat="false" ht="15" hidden="false" customHeight="false" outlineLevel="0" collapsed="false">
      <c r="A19274" s="5" t="s">
        <v>458</v>
      </c>
      <c r="C19274" s="20" t="n">
        <f aca="false">IF(C19254&gt;0,Assumptions!$C$17,C19249)</f>
        <v>2</v>
      </c>
    </row>
    <row r="19275" customFormat="false" ht="15" hidden="false" customHeight="false" outlineLevel="0" collapsed="false">
      <c r="A19275" s="5" t="s">
        <v>459</v>
      </c>
      <c r="C19275" s="20" t="n">
        <f aca="false">IF(C19255&gt;0,Assumptions!$C$17,C19250)</f>
        <v>3</v>
      </c>
    </row>
    <row r="19276" customFormat="false" ht="15" hidden="false" customHeight="false" outlineLevel="0" collapsed="false">
      <c r="A19276" s="5" t="s">
        <v>460</v>
      </c>
      <c r="C19276" s="20" t="n">
        <f aca="false">IF(C19256&gt;0,Assumptions!$C$17,C19251)</f>
        <v>4</v>
      </c>
    </row>
    <row r="19277" customFormat="false" ht="15" hidden="false" customHeight="false" outlineLevel="0" collapsed="false">
      <c r="A19277" s="23" t="s">
        <v>467</v>
      </c>
      <c r="B19277" s="24"/>
      <c r="C19277" s="24"/>
      <c r="D19277" s="24"/>
      <c r="E19277" s="24"/>
      <c r="F19277" s="24"/>
      <c r="G19277" s="24"/>
      <c r="H19277" s="24"/>
      <c r="I19277" s="24"/>
      <c r="J19277" s="24"/>
      <c r="K19277" s="24"/>
    </row>
    <row r="19278" customFormat="false" ht="15" hidden="false" customHeight="false" outlineLevel="0" collapsed="false">
      <c r="A19278" s="5" t="s">
        <v>457</v>
      </c>
      <c r="C19278" s="25" t="n">
        <f aca="false">SUMPRODUCT(($C$19273:$C$19276&lt;C19273)*$C$19268:$C$19271)</f>
        <v>0</v>
      </c>
    </row>
    <row r="19279" customFormat="false" ht="15" hidden="false" customHeight="false" outlineLevel="0" collapsed="false">
      <c r="A19279" s="5" t="s">
        <v>458</v>
      </c>
      <c r="C19279" s="25" t="n">
        <f aca="false">SUMPRODUCT(($C$19273:$C$19276&lt;C19274)*$C$19268:$C$19271)</f>
        <v>221.6231087</v>
      </c>
    </row>
    <row r="19280" customFormat="false" ht="15" hidden="false" customHeight="false" outlineLevel="0" collapsed="false">
      <c r="A19280" s="5" t="s">
        <v>459</v>
      </c>
      <c r="C19280" s="25" t="n">
        <f aca="false">SUMPRODUCT(($C$19273:$C$19276&lt;C19275)*$C$19268:$C$19271)</f>
        <v>745.9378087</v>
      </c>
    </row>
    <row r="19281" customFormat="false" ht="15" hidden="false" customHeight="false" outlineLevel="0" collapsed="false">
      <c r="A19281" s="5" t="s">
        <v>460</v>
      </c>
      <c r="C19281" s="25" t="n">
        <f aca="false">SUMPRODUCT(($C$19273:$C$19276&lt;C19276)*$C$19268:$C$19271)</f>
        <v>1002.8128087</v>
      </c>
    </row>
    <row r="19282" customFormat="false" ht="15" hidden="false" customHeight="false" outlineLevel="0" collapsed="false">
      <c r="A19282" s="23" t="s">
        <v>468</v>
      </c>
      <c r="B19282" s="24"/>
      <c r="C19282" s="24"/>
      <c r="D19282" s="24"/>
      <c r="E19282" s="24"/>
      <c r="F19282" s="24"/>
      <c r="G19282" s="24"/>
      <c r="H19282" s="24"/>
      <c r="I19282" s="24"/>
      <c r="J19282" s="24"/>
      <c r="K19282" s="24"/>
    </row>
    <row r="19283" customFormat="false" ht="15" hidden="false" customHeight="false" outlineLevel="0" collapsed="false">
      <c r="A19283" s="5" t="s">
        <v>457</v>
      </c>
      <c r="C19283" s="25" t="n">
        <f aca="false">SUMPRODUCT(($C$19273:$C$19276=C19273)*$C$19268:$C$19271)</f>
        <v>221.6231087</v>
      </c>
    </row>
    <row r="19284" customFormat="false" ht="15" hidden="false" customHeight="false" outlineLevel="0" collapsed="false">
      <c r="A19284" s="5" t="s">
        <v>458</v>
      </c>
      <c r="C19284" s="25" t="n">
        <f aca="false">SUMPRODUCT(($C$19273:$C$19276=C19274)*$C$19268:$C$19271)</f>
        <v>524.3147</v>
      </c>
    </row>
    <row r="19285" customFormat="false" ht="15" hidden="false" customHeight="false" outlineLevel="0" collapsed="false">
      <c r="A19285" s="5" t="s">
        <v>459</v>
      </c>
      <c r="C19285" s="25" t="n">
        <f aca="false">SUMPRODUCT(($C$19273:$C$19276=C19275)*$C$19268:$C$19271)</f>
        <v>256.875</v>
      </c>
    </row>
    <row r="19286" customFormat="false" ht="15" hidden="false" customHeight="false" outlineLevel="0" collapsed="false">
      <c r="A19286" s="5" t="s">
        <v>460</v>
      </c>
      <c r="C19286" s="25" t="n">
        <f aca="false">SUMPRODUCT(($C$19273:$C$19276=C19276)*$C$19268:$C$19271)</f>
        <v>305.625</v>
      </c>
    </row>
    <row r="19287" customFormat="false" ht="15" hidden="false" customHeight="false" outlineLevel="0" collapsed="false">
      <c r="A19287" s="23" t="s">
        <v>469</v>
      </c>
      <c r="B19287" s="24"/>
      <c r="C19287" s="24"/>
      <c r="D19287" s="24"/>
      <c r="E19287" s="24"/>
      <c r="F19287" s="24"/>
      <c r="G19287" s="24"/>
      <c r="H19287" s="24"/>
      <c r="I19287" s="24"/>
      <c r="J19287" s="24"/>
      <c r="K19287" s="24"/>
    </row>
    <row r="19288" customFormat="false" ht="15" hidden="false" customHeight="false" outlineLevel="0" collapsed="false">
      <c r="A19288" s="5" t="s">
        <v>457</v>
      </c>
      <c r="C19288" s="25" t="n">
        <f aca="false">IF(C19283=0,0,C19268/C19283*MAX(0,MIN(C19283,$C$19241-SUM($C$19258:$C$19261)-C19278)))</f>
        <v>221.6231087</v>
      </c>
    </row>
    <row r="19289" customFormat="false" ht="15" hidden="false" customHeight="false" outlineLevel="0" collapsed="false">
      <c r="A19289" s="5" t="s">
        <v>458</v>
      </c>
      <c r="C19289" s="25" t="n">
        <f aca="false">IF(C19284=0,0,C19269/C19284*MAX(0,MIN(C19284,$C$19241-SUM($C$19258:$C$19261)-C19279)))</f>
        <v>287.5608913</v>
      </c>
    </row>
    <row r="19290" customFormat="false" ht="15" hidden="false" customHeight="false" outlineLevel="0" collapsed="false">
      <c r="A19290" s="5" t="s">
        <v>459</v>
      </c>
      <c r="C19290" s="25" t="n">
        <f aca="false">IF(C19285=0,0,C19270/C19285*MAX(0,MIN(C19285,$C$19241-SUM($C$19258:$C$19261)-C19280)))</f>
        <v>0</v>
      </c>
    </row>
    <row r="19291" customFormat="false" ht="15" hidden="false" customHeight="false" outlineLevel="0" collapsed="false">
      <c r="A19291" s="5" t="s">
        <v>460</v>
      </c>
      <c r="C19291" s="25" t="n">
        <f aca="false">IF(C19286=0,0,C19271/C19286*MAX(0,MIN(C19286,$C$19241-SUM($C$19258:$C$19261)-C19281)))</f>
        <v>0</v>
      </c>
    </row>
    <row r="19292" customFormat="false" ht="15" hidden="false" customHeight="false" outlineLevel="0" collapsed="false">
      <c r="A19292" s="23" t="s">
        <v>470</v>
      </c>
      <c r="B19292" s="24"/>
      <c r="C19292" s="24"/>
      <c r="D19292" s="24"/>
      <c r="E19292" s="24"/>
      <c r="F19292" s="24"/>
      <c r="G19292" s="24"/>
      <c r="H19292" s="24"/>
      <c r="I19292" s="24"/>
      <c r="J19292" s="24"/>
      <c r="K19292" s="24"/>
    </row>
    <row r="19293" customFormat="false" ht="15" hidden="false" customHeight="false" outlineLevel="0" collapsed="false">
      <c r="A19293" s="2" t="s">
        <v>457</v>
      </c>
      <c r="C19293" s="16" t="n">
        <f aca="false">C19258+C19288</f>
        <v>221.6231087</v>
      </c>
    </row>
    <row r="19294" customFormat="false" ht="15" hidden="false" customHeight="false" outlineLevel="0" collapsed="false">
      <c r="A19294" s="2" t="s">
        <v>458</v>
      </c>
      <c r="C19294" s="16" t="n">
        <f aca="false">C19259+C19289</f>
        <v>287.5608913</v>
      </c>
    </row>
    <row r="19295" customFormat="false" ht="15" hidden="false" customHeight="false" outlineLevel="0" collapsed="false">
      <c r="A19295" s="2" t="s">
        <v>459</v>
      </c>
      <c r="C19295" s="16" t="n">
        <f aca="false">C19260+C19290</f>
        <v>0</v>
      </c>
    </row>
    <row r="19296" customFormat="false" ht="15" hidden="false" customHeight="false" outlineLevel="0" collapsed="false">
      <c r="A19296" s="2" t="s">
        <v>460</v>
      </c>
      <c r="C19296" s="16" t="n">
        <f aca="false">C19261+C19291</f>
        <v>0</v>
      </c>
    </row>
    <row r="19297" customFormat="false" ht="15" hidden="false" customHeight="false" outlineLevel="0" collapsed="false">
      <c r="A19297" s="23" t="s">
        <v>471</v>
      </c>
      <c r="B19297" s="24"/>
      <c r="C19297" s="24"/>
      <c r="D19297" s="24"/>
      <c r="E19297" s="24"/>
      <c r="F19297" s="24"/>
      <c r="G19297" s="24"/>
      <c r="H19297" s="24"/>
      <c r="I19297" s="24"/>
      <c r="J19297" s="24"/>
      <c r="K19297" s="24"/>
    </row>
    <row r="19298" customFormat="false" ht="15" hidden="false" customHeight="false" outlineLevel="0" collapsed="false">
      <c r="A19298" s="5" t="s">
        <v>457</v>
      </c>
      <c r="C19298" s="21" t="n">
        <f aca="false">IF(C19243=0,1,C19293/C19243)</f>
        <v>1</v>
      </c>
    </row>
    <row r="19299" customFormat="false" ht="15" hidden="false" customHeight="false" outlineLevel="0" collapsed="false">
      <c r="A19299" s="5" t="s">
        <v>458</v>
      </c>
      <c r="C19299" s="21" t="n">
        <f aca="false">IF(C19244=0,1,C19294/C19244)</f>
        <v>0.548450942344359</v>
      </c>
    </row>
    <row r="19300" customFormat="false" ht="15" hidden="false" customHeight="false" outlineLevel="0" collapsed="false">
      <c r="A19300" s="5" t="s">
        <v>459</v>
      </c>
      <c r="C19300" s="21" t="n">
        <f aca="false">IF(C19245=0,1,C19295/C19245)</f>
        <v>0</v>
      </c>
    </row>
    <row r="19301" customFormat="false" ht="15" hidden="false" customHeight="false" outlineLevel="0" collapsed="false">
      <c r="A19301" s="5" t="s">
        <v>460</v>
      </c>
      <c r="C19301" s="21" t="n">
        <f aca="false">IF(C19246=0,1,C19296/C19246)</f>
        <v>0</v>
      </c>
    </row>
    <row r="19302" customFormat="false" ht="15" hidden="false" customHeight="false" outlineLevel="0" collapsed="false">
      <c r="A19302" s="23" t="s">
        <v>472</v>
      </c>
      <c r="B19302" s="24"/>
      <c r="C19302" s="24"/>
      <c r="D19302" s="24"/>
      <c r="E19302" s="24"/>
      <c r="F19302" s="24"/>
      <c r="G19302" s="24"/>
      <c r="H19302" s="24"/>
      <c r="I19302" s="24"/>
      <c r="J19302" s="24"/>
      <c r="K19302" s="24"/>
    </row>
    <row r="19303" customFormat="false" ht="15" hidden="false" customHeight="false" outlineLevel="0" collapsed="false">
      <c r="A19303" s="5" t="s">
        <v>457</v>
      </c>
      <c r="C19303" s="25" t="n">
        <f aca="false">C19243-C19293</f>
        <v>0</v>
      </c>
    </row>
    <row r="19304" customFormat="false" ht="15" hidden="false" customHeight="false" outlineLevel="0" collapsed="false">
      <c r="A19304" s="5" t="s">
        <v>458</v>
      </c>
      <c r="C19304" s="25" t="n">
        <f aca="false">C19244-C19294</f>
        <v>236.7538087</v>
      </c>
    </row>
    <row r="19305" customFormat="false" ht="15" hidden="false" customHeight="false" outlineLevel="0" collapsed="false">
      <c r="A19305" s="5" t="s">
        <v>459</v>
      </c>
      <c r="C19305" s="25" t="n">
        <f aca="false">C19245-C19295</f>
        <v>256.875</v>
      </c>
    </row>
    <row r="19306" customFormat="false" ht="15" hidden="false" customHeight="false" outlineLevel="0" collapsed="false">
      <c r="A19306" s="5" t="s">
        <v>460</v>
      </c>
      <c r="C19306" s="25" t="n">
        <f aca="false">C19246-C19296</f>
        <v>305.625</v>
      </c>
    </row>
    <row r="19307" customFormat="false" ht="15" hidden="false" customHeight="false" outlineLevel="0" collapsed="false">
      <c r="A19307" s="23" t="s">
        <v>473</v>
      </c>
      <c r="B19307" s="24"/>
      <c r="C19307" s="24"/>
      <c r="D19307" s="24"/>
      <c r="E19307" s="24"/>
      <c r="F19307" s="24"/>
      <c r="G19307" s="24"/>
      <c r="H19307" s="24"/>
      <c r="I19307" s="24"/>
      <c r="J19307" s="24"/>
      <c r="K19307" s="24"/>
    </row>
    <row r="19308" customFormat="false" ht="15" hidden="false" customHeight="false" outlineLevel="0" collapsed="false">
      <c r="A19308" s="5" t="s">
        <v>457</v>
      </c>
      <c r="C19308" s="21" t="n">
        <f aca="false">IF(C19243=0,0,C19303/C19243)</f>
        <v>0</v>
      </c>
    </row>
    <row r="19309" customFormat="false" ht="15" hidden="false" customHeight="false" outlineLevel="0" collapsed="false">
      <c r="A19309" s="5" t="s">
        <v>458</v>
      </c>
      <c r="C19309" s="21" t="n">
        <f aca="false">IF(C19244=0,0,C19304/C19244)</f>
        <v>0.451549057655641</v>
      </c>
    </row>
    <row r="19310" customFormat="false" ht="15" hidden="false" customHeight="false" outlineLevel="0" collapsed="false">
      <c r="A19310" s="5" t="s">
        <v>459</v>
      </c>
      <c r="C19310" s="21" t="n">
        <f aca="false">IF(C19245=0,0,C19305/C19245)</f>
        <v>1</v>
      </c>
    </row>
    <row r="19311" customFormat="false" ht="15" hidden="false" customHeight="false" outlineLevel="0" collapsed="false">
      <c r="A19311" s="5" t="s">
        <v>460</v>
      </c>
      <c r="C19311" s="21" t="n">
        <f aca="false">IF(C19246=0,0,C19306/C19246)</f>
        <v>1</v>
      </c>
    </row>
    <row r="19312" customFormat="false" ht="15" hidden="false" customHeight="false" outlineLevel="0" collapsed="false">
      <c r="A19312" s="2" t="s">
        <v>474</v>
      </c>
      <c r="C19312" s="16" t="n">
        <f aca="false">MAX(0,$C$19241-SUM($C$19258:$C$19261)-SUM($C$19268:$C$19271))</f>
        <v>0</v>
      </c>
    </row>
    <row r="19313" customFormat="false" ht="15" hidden="false" customHeight="false" outlineLevel="0" collapsed="false">
      <c r="A19313" s="5" t="s">
        <v>475</v>
      </c>
      <c r="C19313" s="25" t="n">
        <f aca="false">SUM($C$19293:$C$19296)+C19312+C19240-C19239</f>
        <v>0</v>
      </c>
    </row>
    <row r="19315" customFormat="false" ht="15" hidden="false" customHeight="false" outlineLevel="0" collapsed="false">
      <c r="A19315" s="23" t="s">
        <v>478</v>
      </c>
      <c r="B19315" s="24"/>
      <c r="C19315" s="24"/>
      <c r="D19315" s="24"/>
      <c r="E19315" s="24"/>
      <c r="F19315" s="24"/>
      <c r="G19315" s="24"/>
      <c r="H19315" s="24"/>
      <c r="I19315" s="24"/>
      <c r="J19315" s="24"/>
      <c r="K19315" s="24"/>
    </row>
    <row r="19316" customFormat="false" ht="15" hidden="false" customHeight="false" outlineLevel="0" collapsed="false">
      <c r="A19316" s="5" t="s">
        <v>479</v>
      </c>
      <c r="C19316" s="26" t="n">
        <f aca="false">Assumptions!$C$30</f>
        <v>2</v>
      </c>
    </row>
    <row r="19317" customFormat="false" ht="15" hidden="false" customHeight="false" outlineLevel="0" collapsed="false">
      <c r="A19317" s="5" t="s">
        <v>480</v>
      </c>
      <c r="C19317" s="28" t="n">
        <f aca="false">Assumptions!$C$31</f>
        <v>100</v>
      </c>
    </row>
    <row r="19318" customFormat="false" ht="15" hidden="false" customHeight="false" outlineLevel="0" collapsed="false">
      <c r="A19318" s="5" t="s">
        <v>481</v>
      </c>
      <c r="C19318" s="39" t="n">
        <f aca="false">Assumptions!$C$32</f>
        <v>78</v>
      </c>
    </row>
    <row r="19319" customFormat="false" ht="15" hidden="false" customHeight="false" outlineLevel="0" collapsed="false">
      <c r="A19319" s="5" t="s">
        <v>482</v>
      </c>
      <c r="C19319" s="25" t="n">
        <f aca="false">C19317*C19318/100*(1+Assumptions!$C$33)</f>
        <v>78.39</v>
      </c>
    </row>
    <row r="19320" customFormat="false" ht="15" hidden="false" customHeight="false" outlineLevel="0" collapsed="false">
      <c r="A19320" s="5" t="s">
        <v>483</v>
      </c>
      <c r="C19320" s="26" t="n">
        <f aca="false">Assumptions!$C$34</f>
        <v>2</v>
      </c>
    </row>
    <row r="19321" customFormat="false" ht="15" hidden="false" customHeight="false" outlineLevel="0" collapsed="false">
      <c r="A19321" s="5" t="s">
        <v>484</v>
      </c>
      <c r="C19321" s="20" t="n">
        <f aca="false">IF(C19232=1,SUMPRODUCT($G$19200:$K$19200,$G$19076:$K$19076),0)</f>
        <v>2</v>
      </c>
    </row>
    <row r="19322" customFormat="false" ht="15" hidden="false" customHeight="false" outlineLevel="0" collapsed="false">
      <c r="A19322" s="5" t="s">
        <v>485</v>
      </c>
      <c r="C19322" s="21" t="n">
        <f aca="false">IFERROR(C19317/CHOOSE(C19316,SUMPRODUCT($G$19231:$K$19231,$G$19122:$K$19122),SUMPRODUCT($G$19231:$K$19231,$G$19135:$K$19135),SUMPRODUCT($G$19231:$K$19231,$G$19148:$K$19148),SUMPRODUCT($G$19231:$K$19231,$G$19161:$K$19161)),0)</f>
        <v>0.196232339089482</v>
      </c>
    </row>
    <row r="19323" customFormat="false" ht="15" hidden="false" customHeight="false" outlineLevel="0" collapsed="false">
      <c r="A19323" s="5" t="s">
        <v>486</v>
      </c>
      <c r="C19323" s="25" t="n">
        <f aca="false">CHOOSE(C19316,C19293,C19294,C19295,C19296)*C19322</f>
        <v>56.4287463304553</v>
      </c>
    </row>
    <row r="19324" customFormat="false" ht="15" hidden="false" customHeight="false" outlineLevel="0" collapsed="false">
      <c r="A19324" s="5" t="s">
        <v>487</v>
      </c>
      <c r="C19324" s="21" t="n">
        <f aca="false">CHOOSE(C19316,C19298,C19299,C19300,C19301)</f>
        <v>0.548450942344359</v>
      </c>
    </row>
    <row r="19325" customFormat="false" ht="15" hidden="false" customHeight="false" outlineLevel="0" collapsed="false">
      <c r="A19325" s="5" t="s">
        <v>488</v>
      </c>
      <c r="C19325" s="20" t="n">
        <f aca="false">IF(C19232=1,C19321,C19320)</f>
        <v>2</v>
      </c>
    </row>
    <row r="19326" customFormat="false" ht="15" hidden="false" customHeight="false" outlineLevel="0" collapsed="false">
      <c r="A19326" s="5" t="s">
        <v>489</v>
      </c>
      <c r="C19326" s="33" t="n">
        <f aca="false">CHOOSE($C$19068,Assumptions!$C$77,Assumptions!$C$96,Assumptions!$C$115)</f>
        <v>90</v>
      </c>
    </row>
    <row r="19327" customFormat="false" ht="15" hidden="false" customHeight="false" outlineLevel="0" collapsed="false">
      <c r="A19327" s="5" t="s">
        <v>490</v>
      </c>
      <c r="C19327" s="25" t="n">
        <f aca="false">INDEX($G$19085:$K$19085,C19320)*CHOOSE($C$19068,Assumptions!$C$76,Assumptions!$C$95,Assumptions!$C$114)+MAX(0,INDEX($G$19197:$K$19197,C19320))</f>
        <v>244.547592</v>
      </c>
    </row>
    <row r="19328" customFormat="false" ht="15" hidden="false" customHeight="false" outlineLevel="0" collapsed="false">
      <c r="A19328" s="23" t="s">
        <v>491</v>
      </c>
      <c r="B19328" s="24"/>
      <c r="C19328" s="24"/>
      <c r="D19328" s="24"/>
      <c r="E19328" s="24"/>
      <c r="F19328" s="24"/>
      <c r="G19328" s="24"/>
      <c r="H19328" s="24"/>
      <c r="I19328" s="24"/>
      <c r="J19328" s="24"/>
      <c r="K19328" s="24"/>
    </row>
    <row r="19329" customFormat="false" ht="15" hidden="false" customHeight="false" outlineLevel="0" collapsed="false">
      <c r="A19329" s="5" t="s">
        <v>457</v>
      </c>
      <c r="C19329" s="25" t="n">
        <f aca="false">INDEX($G$19122:$K$19122,C19320)</f>
        <v>216.2968</v>
      </c>
    </row>
    <row r="19330" customFormat="false" ht="15" hidden="false" customHeight="false" outlineLevel="0" collapsed="false">
      <c r="A19330" s="5" t="s">
        <v>458</v>
      </c>
      <c r="C19330" s="25" t="n">
        <f aca="false">INDEX($G$19135:$K$19135,C19320)</f>
        <v>509.6</v>
      </c>
    </row>
    <row r="19331" customFormat="false" ht="15" hidden="false" customHeight="false" outlineLevel="0" collapsed="false">
      <c r="A19331" s="5" t="s">
        <v>459</v>
      </c>
      <c r="C19331" s="25" t="n">
        <f aca="false">INDEX($G$19148:$K$19148,C19320)</f>
        <v>250</v>
      </c>
    </row>
    <row r="19332" customFormat="false" ht="15" hidden="false" customHeight="false" outlineLevel="0" collapsed="false">
      <c r="A19332" s="5" t="s">
        <v>460</v>
      </c>
      <c r="C19332" s="25" t="n">
        <f aca="false">INDEX($G$19161:$K$19161,C19320)</f>
        <v>300</v>
      </c>
    </row>
    <row r="19333" customFormat="false" ht="15" hidden="false" customHeight="false" outlineLevel="0" collapsed="false">
      <c r="A19333" s="23" t="s">
        <v>461</v>
      </c>
      <c r="B19333" s="24"/>
      <c r="C19333" s="24"/>
      <c r="D19333" s="24"/>
      <c r="E19333" s="24"/>
      <c r="F19333" s="24"/>
      <c r="G19333" s="24"/>
      <c r="H19333" s="24"/>
      <c r="I19333" s="24"/>
      <c r="J19333" s="24"/>
      <c r="K19333" s="24"/>
    </row>
    <row r="19334" customFormat="false" ht="15" hidden="false" customHeight="false" outlineLevel="0" collapsed="false">
      <c r="A19334" s="5" t="s">
        <v>457</v>
      </c>
      <c r="C19334" s="26" t="n">
        <f aca="false">Assumptions!$M$53</f>
        <v>1</v>
      </c>
    </row>
    <row r="19335" customFormat="false" ht="15" hidden="false" customHeight="false" outlineLevel="0" collapsed="false">
      <c r="A19335" s="5" t="s">
        <v>458</v>
      </c>
      <c r="C19335" s="26" t="n">
        <f aca="false">Assumptions!$M$54</f>
        <v>2</v>
      </c>
    </row>
    <row r="19336" customFormat="false" ht="15" hidden="false" customHeight="false" outlineLevel="0" collapsed="false">
      <c r="A19336" s="5" t="s">
        <v>459</v>
      </c>
      <c r="C19336" s="26" t="n">
        <f aca="false">Assumptions!$M$55</f>
        <v>3</v>
      </c>
    </row>
    <row r="19337" customFormat="false" ht="15" hidden="false" customHeight="false" outlineLevel="0" collapsed="false">
      <c r="A19337" s="5" t="s">
        <v>460</v>
      </c>
      <c r="C19337" s="26" t="n">
        <f aca="false">Assumptions!$M$56</f>
        <v>4</v>
      </c>
    </row>
    <row r="19338" customFormat="false" ht="15" hidden="false" customHeight="false" outlineLevel="0" collapsed="false">
      <c r="A19338" s="23" t="s">
        <v>462</v>
      </c>
      <c r="B19338" s="24"/>
      <c r="C19338" s="24"/>
      <c r="D19338" s="24"/>
      <c r="E19338" s="24"/>
      <c r="F19338" s="24"/>
      <c r="G19338" s="24"/>
      <c r="H19338" s="24"/>
      <c r="I19338" s="24"/>
      <c r="J19338" s="24"/>
      <c r="K19338" s="24"/>
    </row>
    <row r="19339" customFormat="false" ht="15" hidden="false" customHeight="false" outlineLevel="0" collapsed="false">
      <c r="A19339" s="5" t="s">
        <v>457</v>
      </c>
      <c r="C19339" s="34" t="n">
        <f aca="false">Assumptions!$Q$53</f>
        <v>0</v>
      </c>
    </row>
    <row r="19340" customFormat="false" ht="15" hidden="false" customHeight="false" outlineLevel="0" collapsed="false">
      <c r="A19340" s="5" t="s">
        <v>458</v>
      </c>
      <c r="C19340" s="34" t="n">
        <f aca="false">Assumptions!$Q$54</f>
        <v>0</v>
      </c>
    </row>
    <row r="19341" customFormat="false" ht="15" hidden="false" customHeight="false" outlineLevel="0" collapsed="false">
      <c r="A19341" s="5" t="s">
        <v>459</v>
      </c>
      <c r="C19341" s="34" t="n">
        <f aca="false">Assumptions!$Q$55</f>
        <v>0</v>
      </c>
    </row>
    <row r="19342" customFormat="false" ht="15" hidden="false" customHeight="false" outlineLevel="0" collapsed="false">
      <c r="A19342" s="5" t="s">
        <v>460</v>
      </c>
      <c r="C19342" s="34" t="n">
        <f aca="false">Assumptions!$Q$56</f>
        <v>0</v>
      </c>
    </row>
    <row r="19343" customFormat="false" ht="15" hidden="false" customHeight="false" outlineLevel="0" collapsed="false">
      <c r="A19343" s="23" t="s">
        <v>463</v>
      </c>
      <c r="B19343" s="24"/>
      <c r="C19343" s="24"/>
      <c r="D19343" s="24"/>
      <c r="E19343" s="24"/>
      <c r="F19343" s="24"/>
      <c r="G19343" s="24"/>
      <c r="H19343" s="24"/>
      <c r="I19343" s="24"/>
      <c r="J19343" s="24"/>
      <c r="K19343" s="24"/>
    </row>
    <row r="19344" customFormat="false" ht="15" hidden="false" customHeight="false" outlineLevel="0" collapsed="false">
      <c r="A19344" s="5" t="s">
        <v>457</v>
      </c>
      <c r="C19344" s="25" t="n">
        <f aca="false">IF(C19339&gt;0,MIN(C19329,C19339*$C$19327),0)</f>
        <v>0</v>
      </c>
    </row>
    <row r="19345" customFormat="false" ht="15" hidden="false" customHeight="false" outlineLevel="0" collapsed="false">
      <c r="A19345" s="5" t="s">
        <v>458</v>
      </c>
      <c r="C19345" s="25" t="n">
        <f aca="false">IF(C19340&gt;0,MIN(C19330,C19340*$C$19327),0)</f>
        <v>0</v>
      </c>
    </row>
    <row r="19346" customFormat="false" ht="15" hidden="false" customHeight="false" outlineLevel="0" collapsed="false">
      <c r="A19346" s="5" t="s">
        <v>459</v>
      </c>
      <c r="C19346" s="25" t="n">
        <f aca="false">IF(C19341&gt;0,MIN(C19331,C19341*$C$19327),0)</f>
        <v>0</v>
      </c>
    </row>
    <row r="19347" customFormat="false" ht="15" hidden="false" customHeight="false" outlineLevel="0" collapsed="false">
      <c r="A19347" s="5" t="s">
        <v>460</v>
      </c>
      <c r="C19347" s="25" t="n">
        <f aca="false">IF(C19342&gt;0,MIN(C19332,C19342*$C$19327),0)</f>
        <v>0</v>
      </c>
    </row>
    <row r="19348" customFormat="false" ht="15" hidden="false" customHeight="false" outlineLevel="0" collapsed="false">
      <c r="A19348" s="23" t="s">
        <v>464</v>
      </c>
      <c r="B19348" s="24"/>
      <c r="C19348" s="24"/>
      <c r="D19348" s="24"/>
      <c r="E19348" s="24"/>
      <c r="F19348" s="24"/>
      <c r="G19348" s="24"/>
      <c r="H19348" s="24"/>
      <c r="I19348" s="24"/>
      <c r="J19348" s="24"/>
      <c r="K19348" s="24"/>
    </row>
    <row r="19349" customFormat="false" ht="15" hidden="false" customHeight="false" outlineLevel="0" collapsed="false">
      <c r="A19349" s="5" t="s">
        <v>457</v>
      </c>
      <c r="C19349" s="25" t="n">
        <f aca="false">IF(C19339&gt;0,C19329-C19344,0)</f>
        <v>0</v>
      </c>
    </row>
    <row r="19350" customFormat="false" ht="15" hidden="false" customHeight="false" outlineLevel="0" collapsed="false">
      <c r="A19350" s="5" t="s">
        <v>458</v>
      </c>
      <c r="C19350" s="25" t="n">
        <f aca="false">IF(C19340&gt;0,C19330-C19345,0)</f>
        <v>0</v>
      </c>
    </row>
    <row r="19351" customFormat="false" ht="15" hidden="false" customHeight="false" outlineLevel="0" collapsed="false">
      <c r="A19351" s="5" t="s">
        <v>459</v>
      </c>
      <c r="C19351" s="25" t="n">
        <f aca="false">IF(C19341&gt;0,C19331-C19346,0)</f>
        <v>0</v>
      </c>
    </row>
    <row r="19352" customFormat="false" ht="15" hidden="false" customHeight="false" outlineLevel="0" collapsed="false">
      <c r="A19352" s="5" t="s">
        <v>460</v>
      </c>
      <c r="C19352" s="25" t="n">
        <f aca="false">IF(C19342&gt;0,C19332-C19347,0)</f>
        <v>0</v>
      </c>
    </row>
    <row r="19353" customFormat="false" ht="15" hidden="false" customHeight="false" outlineLevel="0" collapsed="false">
      <c r="A19353" s="23" t="s">
        <v>465</v>
      </c>
      <c r="B19353" s="24"/>
      <c r="C19353" s="24"/>
      <c r="D19353" s="24"/>
      <c r="E19353" s="24"/>
      <c r="F19353" s="24"/>
      <c r="G19353" s="24"/>
      <c r="H19353" s="24"/>
      <c r="I19353" s="24"/>
      <c r="J19353" s="24"/>
      <c r="K19353" s="24"/>
    </row>
    <row r="19354" customFormat="false" ht="15" hidden="false" customHeight="false" outlineLevel="0" collapsed="false">
      <c r="A19354" s="5" t="s">
        <v>457</v>
      </c>
      <c r="C19354" s="25" t="n">
        <f aca="false">IF(C19339&gt;0,C19349,C19329)</f>
        <v>216.2968</v>
      </c>
    </row>
    <row r="19355" customFormat="false" ht="15" hidden="false" customHeight="false" outlineLevel="0" collapsed="false">
      <c r="A19355" s="5" t="s">
        <v>458</v>
      </c>
      <c r="C19355" s="25" t="n">
        <f aca="false">IF(C19340&gt;0,C19350,C19330)</f>
        <v>509.6</v>
      </c>
    </row>
    <row r="19356" customFormat="false" ht="15" hidden="false" customHeight="false" outlineLevel="0" collapsed="false">
      <c r="A19356" s="5" t="s">
        <v>459</v>
      </c>
      <c r="C19356" s="25" t="n">
        <f aca="false">IF(C19341&gt;0,C19351,C19331)</f>
        <v>250</v>
      </c>
    </row>
    <row r="19357" customFormat="false" ht="15" hidden="false" customHeight="false" outlineLevel="0" collapsed="false">
      <c r="A19357" s="5" t="s">
        <v>460</v>
      </c>
      <c r="C19357" s="25" t="n">
        <f aca="false">IF(C19342&gt;0,C19352,C19332)</f>
        <v>300</v>
      </c>
    </row>
    <row r="19358" customFormat="false" ht="15" hidden="false" customHeight="false" outlineLevel="0" collapsed="false">
      <c r="A19358" s="23" t="s">
        <v>466</v>
      </c>
      <c r="B19358" s="24"/>
      <c r="C19358" s="24"/>
      <c r="D19358" s="24"/>
      <c r="E19358" s="24"/>
      <c r="F19358" s="24"/>
      <c r="G19358" s="24"/>
      <c r="H19358" s="24"/>
      <c r="I19358" s="24"/>
      <c r="J19358" s="24"/>
      <c r="K19358" s="24"/>
    </row>
    <row r="19359" customFormat="false" ht="15" hidden="false" customHeight="false" outlineLevel="0" collapsed="false">
      <c r="A19359" s="5" t="s">
        <v>457</v>
      </c>
      <c r="C19359" s="20" t="n">
        <f aca="false">IF(C19339&gt;0,Assumptions!$C$17,C19334)</f>
        <v>1</v>
      </c>
    </row>
    <row r="19360" customFormat="false" ht="15" hidden="false" customHeight="false" outlineLevel="0" collapsed="false">
      <c r="A19360" s="5" t="s">
        <v>458</v>
      </c>
      <c r="C19360" s="20" t="n">
        <f aca="false">IF(C19340&gt;0,Assumptions!$C$17,C19335)</f>
        <v>2</v>
      </c>
    </row>
    <row r="19361" customFormat="false" ht="15" hidden="false" customHeight="false" outlineLevel="0" collapsed="false">
      <c r="A19361" s="5" t="s">
        <v>459</v>
      </c>
      <c r="C19361" s="20" t="n">
        <f aca="false">IF(C19341&gt;0,Assumptions!$C$17,C19336)</f>
        <v>3</v>
      </c>
    </row>
    <row r="19362" customFormat="false" ht="15" hidden="false" customHeight="false" outlineLevel="0" collapsed="false">
      <c r="A19362" s="5" t="s">
        <v>460</v>
      </c>
      <c r="C19362" s="20" t="n">
        <f aca="false">IF(C19342&gt;0,Assumptions!$C$17,C19337)</f>
        <v>4</v>
      </c>
    </row>
    <row r="19363" customFormat="false" ht="15" hidden="false" customHeight="false" outlineLevel="0" collapsed="false">
      <c r="A19363" s="23" t="s">
        <v>467</v>
      </c>
      <c r="B19363" s="24"/>
      <c r="C19363" s="24"/>
      <c r="D19363" s="24"/>
      <c r="E19363" s="24"/>
      <c r="F19363" s="24"/>
      <c r="G19363" s="24"/>
      <c r="H19363" s="24"/>
      <c r="I19363" s="24"/>
      <c r="J19363" s="24"/>
      <c r="K19363" s="24"/>
    </row>
    <row r="19364" customFormat="false" ht="15" hidden="false" customHeight="false" outlineLevel="0" collapsed="false">
      <c r="A19364" s="5" t="s">
        <v>457</v>
      </c>
      <c r="C19364" s="25" t="n">
        <f aca="false">SUMPRODUCT(($C$19359:$C$19362&lt;C19359)*$C$19354:$C$19357)</f>
        <v>0</v>
      </c>
    </row>
    <row r="19365" customFormat="false" ht="15" hidden="false" customHeight="false" outlineLevel="0" collapsed="false">
      <c r="A19365" s="5" t="s">
        <v>458</v>
      </c>
      <c r="C19365" s="25" t="n">
        <f aca="false">SUMPRODUCT(($C$19359:$C$19362&lt;C19360)*$C$19354:$C$19357)</f>
        <v>216.2968</v>
      </c>
    </row>
    <row r="19366" customFormat="false" ht="15" hidden="false" customHeight="false" outlineLevel="0" collapsed="false">
      <c r="A19366" s="5" t="s">
        <v>459</v>
      </c>
      <c r="C19366" s="25" t="n">
        <f aca="false">SUMPRODUCT(($C$19359:$C$19362&lt;C19361)*$C$19354:$C$19357)</f>
        <v>725.8968</v>
      </c>
    </row>
    <row r="19367" customFormat="false" ht="15" hidden="false" customHeight="false" outlineLevel="0" collapsed="false">
      <c r="A19367" s="5" t="s">
        <v>460</v>
      </c>
      <c r="C19367" s="25" t="n">
        <f aca="false">SUMPRODUCT(($C$19359:$C$19362&lt;C19362)*$C$19354:$C$19357)</f>
        <v>975.8968</v>
      </c>
    </row>
    <row r="19368" customFormat="false" ht="15" hidden="false" customHeight="false" outlineLevel="0" collapsed="false">
      <c r="A19368" s="23" t="s">
        <v>468</v>
      </c>
      <c r="B19368" s="24"/>
      <c r="C19368" s="24"/>
      <c r="D19368" s="24"/>
      <c r="E19368" s="24"/>
      <c r="F19368" s="24"/>
      <c r="G19368" s="24"/>
      <c r="H19368" s="24"/>
      <c r="I19368" s="24"/>
      <c r="J19368" s="24"/>
      <c r="K19368" s="24"/>
    </row>
    <row r="19369" customFormat="false" ht="15" hidden="false" customHeight="false" outlineLevel="0" collapsed="false">
      <c r="A19369" s="5" t="s">
        <v>457</v>
      </c>
      <c r="C19369" s="25" t="n">
        <f aca="false">SUMPRODUCT(($C$19359:$C$19362=C19359)*$C$19354:$C$19357)</f>
        <v>216.2968</v>
      </c>
    </row>
    <row r="19370" customFormat="false" ht="15" hidden="false" customHeight="false" outlineLevel="0" collapsed="false">
      <c r="A19370" s="5" t="s">
        <v>458</v>
      </c>
      <c r="C19370" s="25" t="n">
        <f aca="false">SUMPRODUCT(($C$19359:$C$19362=C19360)*$C$19354:$C$19357)</f>
        <v>509.6</v>
      </c>
    </row>
    <row r="19371" customFormat="false" ht="15" hidden="false" customHeight="false" outlineLevel="0" collapsed="false">
      <c r="A19371" s="5" t="s">
        <v>459</v>
      </c>
      <c r="C19371" s="25" t="n">
        <f aca="false">SUMPRODUCT(($C$19359:$C$19362=C19361)*$C$19354:$C$19357)</f>
        <v>250</v>
      </c>
    </row>
    <row r="19372" customFormat="false" ht="15" hidden="false" customHeight="false" outlineLevel="0" collapsed="false">
      <c r="A19372" s="5" t="s">
        <v>460</v>
      </c>
      <c r="C19372" s="25" t="n">
        <f aca="false">SUMPRODUCT(($C$19359:$C$19362=C19362)*$C$19354:$C$19357)</f>
        <v>300</v>
      </c>
    </row>
    <row r="19373" customFormat="false" ht="15" hidden="false" customHeight="false" outlineLevel="0" collapsed="false">
      <c r="A19373" s="23" t="s">
        <v>469</v>
      </c>
      <c r="B19373" s="24"/>
      <c r="C19373" s="24"/>
      <c r="D19373" s="24"/>
      <c r="E19373" s="24"/>
      <c r="F19373" s="24"/>
      <c r="G19373" s="24"/>
      <c r="H19373" s="24"/>
      <c r="I19373" s="24"/>
      <c r="J19373" s="24"/>
      <c r="K19373" s="24"/>
    </row>
    <row r="19374" customFormat="false" ht="15" hidden="false" customHeight="false" outlineLevel="0" collapsed="false">
      <c r="A19374" s="5" t="s">
        <v>457</v>
      </c>
      <c r="C19374" s="25" t="n">
        <f aca="false">IF(C19369=0,0,C19354/C19369*MAX(0,MIN(C19369,$C$19327-SUM($C$19344:$C$19347)-C19364)))</f>
        <v>216.2968</v>
      </c>
    </row>
    <row r="19375" customFormat="false" ht="15" hidden="false" customHeight="false" outlineLevel="0" collapsed="false">
      <c r="A19375" s="5" t="s">
        <v>458</v>
      </c>
      <c r="C19375" s="25" t="n">
        <f aca="false">IF(C19370=0,0,C19355/C19370*MAX(0,MIN(C19370,$C$19327-SUM($C$19344:$C$19347)-C19365)))</f>
        <v>28.2507919999998</v>
      </c>
    </row>
    <row r="19376" customFormat="false" ht="15" hidden="false" customHeight="false" outlineLevel="0" collapsed="false">
      <c r="A19376" s="5" t="s">
        <v>459</v>
      </c>
      <c r="C19376" s="25" t="n">
        <f aca="false">IF(C19371=0,0,C19356/C19371*MAX(0,MIN(C19371,$C$19327-SUM($C$19344:$C$19347)-C19366)))</f>
        <v>0</v>
      </c>
    </row>
    <row r="19377" customFormat="false" ht="15" hidden="false" customHeight="false" outlineLevel="0" collapsed="false">
      <c r="A19377" s="5" t="s">
        <v>460</v>
      </c>
      <c r="C19377" s="25" t="n">
        <f aca="false">IF(C19372=0,0,C19357/C19372*MAX(0,MIN(C19372,$C$19327-SUM($C$19344:$C$19347)-C19367)))</f>
        <v>0</v>
      </c>
    </row>
    <row r="19378" customFormat="false" ht="15" hidden="false" customHeight="false" outlineLevel="0" collapsed="false">
      <c r="A19378" s="23" t="s">
        <v>470</v>
      </c>
      <c r="B19378" s="24"/>
      <c r="C19378" s="24"/>
      <c r="D19378" s="24"/>
      <c r="E19378" s="24"/>
      <c r="F19378" s="24"/>
      <c r="G19378" s="24"/>
      <c r="H19378" s="24"/>
      <c r="I19378" s="24"/>
      <c r="J19378" s="24"/>
      <c r="K19378" s="24"/>
    </row>
    <row r="19379" customFormat="false" ht="15" hidden="false" customHeight="false" outlineLevel="0" collapsed="false">
      <c r="A19379" s="2" t="s">
        <v>457</v>
      </c>
      <c r="C19379" s="16" t="n">
        <f aca="false">C19344+C19374</f>
        <v>216.2968</v>
      </c>
    </row>
    <row r="19380" customFormat="false" ht="15" hidden="false" customHeight="false" outlineLevel="0" collapsed="false">
      <c r="A19380" s="2" t="s">
        <v>458</v>
      </c>
      <c r="C19380" s="16" t="n">
        <f aca="false">C19345+C19375</f>
        <v>28.2507919999998</v>
      </c>
    </row>
    <row r="19381" customFormat="false" ht="15" hidden="false" customHeight="false" outlineLevel="0" collapsed="false">
      <c r="A19381" s="2" t="s">
        <v>459</v>
      </c>
      <c r="C19381" s="16" t="n">
        <f aca="false">C19346+C19376</f>
        <v>0</v>
      </c>
    </row>
    <row r="19382" customFormat="false" ht="15" hidden="false" customHeight="false" outlineLevel="0" collapsed="false">
      <c r="A19382" s="2" t="s">
        <v>460</v>
      </c>
      <c r="C19382" s="16" t="n">
        <f aca="false">C19347+C19377</f>
        <v>0</v>
      </c>
    </row>
    <row r="19383" customFormat="false" ht="15" hidden="false" customHeight="false" outlineLevel="0" collapsed="false">
      <c r="A19383" s="23" t="s">
        <v>471</v>
      </c>
      <c r="B19383" s="24"/>
      <c r="C19383" s="24"/>
      <c r="D19383" s="24"/>
      <c r="E19383" s="24"/>
      <c r="F19383" s="24"/>
      <c r="G19383" s="24"/>
      <c r="H19383" s="24"/>
      <c r="I19383" s="24"/>
      <c r="J19383" s="24"/>
      <c r="K19383" s="24"/>
    </row>
    <row r="19384" customFormat="false" ht="15" hidden="false" customHeight="false" outlineLevel="0" collapsed="false">
      <c r="A19384" s="5" t="s">
        <v>457</v>
      </c>
      <c r="C19384" s="21" t="n">
        <f aca="false">IF(C19329=0,1,C19379/C19329)</f>
        <v>1</v>
      </c>
    </row>
    <row r="19385" customFormat="false" ht="15" hidden="false" customHeight="false" outlineLevel="0" collapsed="false">
      <c r="A19385" s="5" t="s">
        <v>458</v>
      </c>
      <c r="C19385" s="21" t="n">
        <f aca="false">IF(C19330=0,1,C19380/C19330)</f>
        <v>0.0554371899529039</v>
      </c>
    </row>
    <row r="19386" customFormat="false" ht="15" hidden="false" customHeight="false" outlineLevel="0" collapsed="false">
      <c r="A19386" s="5" t="s">
        <v>459</v>
      </c>
      <c r="C19386" s="21" t="n">
        <f aca="false">IF(C19331=0,1,C19381/C19331)</f>
        <v>0</v>
      </c>
    </row>
    <row r="19387" customFormat="false" ht="15" hidden="false" customHeight="false" outlineLevel="0" collapsed="false">
      <c r="A19387" s="5" t="s">
        <v>460</v>
      </c>
      <c r="C19387" s="21" t="n">
        <f aca="false">IF(C19332=0,1,C19382/C19332)</f>
        <v>0</v>
      </c>
    </row>
    <row r="19388" customFormat="false" ht="15" hidden="false" customHeight="false" outlineLevel="0" collapsed="false">
      <c r="A19388" s="23" t="s">
        <v>472</v>
      </c>
      <c r="B19388" s="24"/>
      <c r="C19388" s="24"/>
      <c r="D19388" s="24"/>
      <c r="E19388" s="24"/>
      <c r="F19388" s="24"/>
      <c r="G19388" s="24"/>
      <c r="H19388" s="24"/>
      <c r="I19388" s="24"/>
      <c r="J19388" s="24"/>
      <c r="K19388" s="24"/>
    </row>
    <row r="19389" customFormat="false" ht="15" hidden="false" customHeight="false" outlineLevel="0" collapsed="false">
      <c r="A19389" s="5" t="s">
        <v>457</v>
      </c>
      <c r="C19389" s="25" t="n">
        <f aca="false">C19329-C19379</f>
        <v>0</v>
      </c>
    </row>
    <row r="19390" customFormat="false" ht="15" hidden="false" customHeight="false" outlineLevel="0" collapsed="false">
      <c r="A19390" s="5" t="s">
        <v>458</v>
      </c>
      <c r="C19390" s="25" t="n">
        <f aca="false">C19330-C19380</f>
        <v>481.349208</v>
      </c>
    </row>
    <row r="19391" customFormat="false" ht="15" hidden="false" customHeight="false" outlineLevel="0" collapsed="false">
      <c r="A19391" s="5" t="s">
        <v>459</v>
      </c>
      <c r="C19391" s="25" t="n">
        <f aca="false">C19331-C19381</f>
        <v>250</v>
      </c>
    </row>
    <row r="19392" customFormat="false" ht="15" hidden="false" customHeight="false" outlineLevel="0" collapsed="false">
      <c r="A19392" s="5" t="s">
        <v>460</v>
      </c>
      <c r="C19392" s="25" t="n">
        <f aca="false">C19332-C19382</f>
        <v>300</v>
      </c>
    </row>
    <row r="19393" customFormat="false" ht="15" hidden="false" customHeight="false" outlineLevel="0" collapsed="false">
      <c r="A19393" s="23" t="s">
        <v>473</v>
      </c>
      <c r="B19393" s="24"/>
      <c r="C19393" s="24"/>
      <c r="D19393" s="24"/>
      <c r="E19393" s="24"/>
      <c r="F19393" s="24"/>
      <c r="G19393" s="24"/>
      <c r="H19393" s="24"/>
      <c r="I19393" s="24"/>
      <c r="J19393" s="24"/>
      <c r="K19393" s="24"/>
    </row>
    <row r="19394" customFormat="false" ht="15" hidden="false" customHeight="false" outlineLevel="0" collapsed="false">
      <c r="A19394" s="5" t="s">
        <v>457</v>
      </c>
      <c r="C19394" s="21" t="n">
        <f aca="false">IF(C19329=0,0,C19389/C19329)</f>
        <v>0</v>
      </c>
    </row>
    <row r="19395" customFormat="false" ht="15" hidden="false" customHeight="false" outlineLevel="0" collapsed="false">
      <c r="A19395" s="5" t="s">
        <v>458</v>
      </c>
      <c r="C19395" s="21" t="n">
        <f aca="false">IF(C19330=0,0,C19390/C19330)</f>
        <v>0.944562810047096</v>
      </c>
    </row>
    <row r="19396" customFormat="false" ht="15" hidden="false" customHeight="false" outlineLevel="0" collapsed="false">
      <c r="A19396" s="5" t="s">
        <v>459</v>
      </c>
      <c r="C19396" s="21" t="n">
        <f aca="false">IF(C19331=0,0,C19391/C19331)</f>
        <v>1</v>
      </c>
    </row>
    <row r="19397" customFormat="false" ht="15" hidden="false" customHeight="false" outlineLevel="0" collapsed="false">
      <c r="A19397" s="5" t="s">
        <v>460</v>
      </c>
      <c r="C19397" s="21" t="n">
        <f aca="false">IF(C19332=0,0,C19392/C19332)</f>
        <v>1</v>
      </c>
    </row>
    <row r="19398" customFormat="false" ht="15" hidden="false" customHeight="false" outlineLevel="0" collapsed="false">
      <c r="A19398" s="2" t="s">
        <v>474</v>
      </c>
      <c r="C19398" s="16" t="n">
        <f aca="false">MAX(0,$C$19327-SUM($C$19344:$C$19347)-SUM($C$19354:$C$19357))</f>
        <v>0</v>
      </c>
    </row>
    <row r="19399" customFormat="false" ht="15" hidden="false" customHeight="false" outlineLevel="0" collapsed="false">
      <c r="A19399" s="5" t="s">
        <v>492</v>
      </c>
      <c r="C19399" s="33" t="n">
        <f aca="false">MIN(C19326,100*CHOOSE(C19316,C19384,C19385,C19386,C19387))</f>
        <v>5.54371899529039</v>
      </c>
    </row>
    <row r="19400" customFormat="false" ht="15" hidden="false" customHeight="false" outlineLevel="0" collapsed="false">
      <c r="A19400" s="5" t="s">
        <v>493</v>
      </c>
      <c r="C19400" s="20" t="n">
        <f aca="false">IF(C19232=1,C19321+Assumptions!$C$36,C19320)</f>
        <v>3</v>
      </c>
    </row>
    <row r="19401" customFormat="false" ht="15" hidden="false" customHeight="false" outlineLevel="0" collapsed="false">
      <c r="A19401" s="23" t="s">
        <v>494</v>
      </c>
      <c r="B19401" s="24"/>
      <c r="C19401" s="24"/>
      <c r="D19401" s="24"/>
      <c r="E19401" s="24"/>
      <c r="F19401" s="24"/>
      <c r="G19401" s="24"/>
      <c r="H19401" s="24"/>
      <c r="I19401" s="24"/>
      <c r="J19401" s="24"/>
      <c r="K19401" s="24"/>
    </row>
    <row r="19402" customFormat="false" ht="15" hidden="false" customHeight="false" outlineLevel="0" collapsed="false">
      <c r="A19402" s="5" t="s">
        <v>495</v>
      </c>
      <c r="C19402" s="20" t="n">
        <f aca="false">COLUMN()-COLUMN($C$1)</f>
        <v>0</v>
      </c>
      <c r="D19402" s="20" t="n">
        <f aca="false">COLUMN()-COLUMN($C$1)</f>
        <v>1</v>
      </c>
      <c r="E19402" s="20" t="n">
        <f aca="false">COLUMN()-COLUMN($C$1)</f>
        <v>2</v>
      </c>
      <c r="F19402" s="20" t="n">
        <f aca="false">COLUMN()-COLUMN($C$1)</f>
        <v>3</v>
      </c>
      <c r="G19402" s="20" t="n">
        <f aca="false">COLUMN()-COLUMN($C$1)</f>
        <v>4</v>
      </c>
      <c r="H19402" s="20" t="n">
        <f aca="false">COLUMN()-COLUMN($C$1)</f>
        <v>5</v>
      </c>
      <c r="I19402" s="20" t="n">
        <f aca="false">COLUMN()-COLUMN($C$1)</f>
        <v>6</v>
      </c>
    </row>
    <row r="19403" customFormat="false" ht="15" hidden="false" customHeight="false" outlineLevel="0" collapsed="false">
      <c r="A19403" s="5" t="s">
        <v>496</v>
      </c>
      <c r="D19403" s="30" t="n">
        <f aca="false">CHOOSE($C$19316,G19114,G19127,G19140,G19153)</f>
        <v>0.118</v>
      </c>
      <c r="E19403" s="30" t="n">
        <f aca="false">CHOOSE($C$19316,H19114,H19127,H19140,H19153)</f>
        <v>0.1155</v>
      </c>
      <c r="F19403" s="30" t="n">
        <f aca="false">CHOOSE($C$19316,I19114,I19127,I19140,I19153)</f>
        <v>0.113</v>
      </c>
      <c r="G19403" s="30" t="n">
        <f aca="false">CHOOSE($C$19316,J19114,J19127,J19140,J19153)</f>
        <v>0.113</v>
      </c>
      <c r="H19403" s="30" t="n">
        <f aca="false">CHOOSE($C$19316,K19114,K19127,K19140,K19153)</f>
        <v>0.113</v>
      </c>
    </row>
    <row r="19404" customFormat="false" ht="15" hidden="false" customHeight="false" outlineLevel="0" collapsed="false">
      <c r="A19404" s="5" t="s">
        <v>497</v>
      </c>
      <c r="D19404" s="25" t="n">
        <f aca="false">IF(D19402&lt;=$C$19325,$C$19317*D19403,0)</f>
        <v>11.8</v>
      </c>
      <c r="E19404" s="25" t="n">
        <f aca="false">IF(E19402&lt;=$C$19325,$C$19317*E19403,0)</f>
        <v>11.55</v>
      </c>
      <c r="F19404" s="25" t="n">
        <f aca="false">IF(F19402&lt;=$C$19325,$C$19317*F19403,0)</f>
        <v>0</v>
      </c>
      <c r="G19404" s="25" t="n">
        <f aca="false">IF(G19402&lt;=$C$19325,$C$19317*G19403,0)</f>
        <v>0</v>
      </c>
      <c r="H19404" s="25" t="n">
        <f aca="false">IF(H19402&lt;=$C$19325,$C$19317*H19403,0)</f>
        <v>0</v>
      </c>
    </row>
    <row r="19405" customFormat="false" ht="15" hidden="false" customHeight="false" outlineLevel="0" collapsed="false">
      <c r="A19405" s="5" t="s">
        <v>498</v>
      </c>
      <c r="D19405" s="25" t="n">
        <f aca="false">IF(AND($C$19232=0,D19402=$C$19320),$C$19317*$C$19399/100,0)+IF(AND($C$19232=1,D19402=$C$19400),$C$19323,0)</f>
        <v>0</v>
      </c>
      <c r="E19405" s="25" t="n">
        <f aca="false">IF(AND($C$19232=0,E19402=$C$19320),$C$19317*$C$19399/100,0)+IF(AND($C$19232=1,E19402=$C$19400),$C$19323,0)</f>
        <v>0</v>
      </c>
      <c r="F19405" s="25" t="n">
        <f aca="false">IF(AND($C$19232=0,F19402=$C$19320),$C$19317*$C$19399/100,0)+IF(AND($C$19232=1,F19402=$C$19400),$C$19323,0)</f>
        <v>56.4287463304553</v>
      </c>
      <c r="G19405" s="25" t="n">
        <f aca="false">IF(AND($C$19232=0,G19402=$C$19320),$C$19317*$C$19399/100,0)+IF(AND($C$19232=1,G19402=$C$19400),$C$19323,0)</f>
        <v>0</v>
      </c>
      <c r="H19405" s="25" t="n">
        <f aca="false">IF(AND($C$19232=0,H19402=$C$19320),$C$19317*$C$19399/100,0)+IF(AND($C$19232=1,H19402=$C$19400),$C$19323,0)</f>
        <v>0</v>
      </c>
      <c r="I19405" s="25" t="n">
        <f aca="false">IF(AND($C$19232=0,I19402=$C$19320),$C$19317*$C$19399/100,0)+IF(AND($C$19232=1,I19402=$C$19400),$C$19323,0)</f>
        <v>0</v>
      </c>
    </row>
    <row r="19406" customFormat="false" ht="15" hidden="false" customHeight="false" outlineLevel="0" collapsed="false">
      <c r="A19406" s="2" t="s">
        <v>499</v>
      </c>
      <c r="C19406" s="16" t="n">
        <f aca="false">-$C$19319</f>
        <v>-78.39</v>
      </c>
      <c r="D19406" s="16" t="n">
        <f aca="false">D19404+D19405</f>
        <v>11.8</v>
      </c>
      <c r="E19406" s="16" t="n">
        <f aca="false">E19404+E19405</f>
        <v>11.55</v>
      </c>
      <c r="F19406" s="16" t="n">
        <f aca="false">F19404+F19405</f>
        <v>56.4287463304553</v>
      </c>
      <c r="G19406" s="16" t="n">
        <f aca="false">G19404+G19405</f>
        <v>0</v>
      </c>
      <c r="H19406" s="16" t="n">
        <f aca="false">H19404+H19405</f>
        <v>0</v>
      </c>
      <c r="I19406" s="16" t="n">
        <f aca="false">I19404+I19405</f>
        <v>0</v>
      </c>
    </row>
    <row r="19407" customFormat="false" ht="15" hidden="false" customHeight="false" outlineLevel="0" collapsed="false">
      <c r="A19407" s="5" t="s">
        <v>500</v>
      </c>
      <c r="C19407" s="25" t="n">
        <f aca="false">SUM($C$19404:$I$19404)</f>
        <v>23.35</v>
      </c>
    </row>
    <row r="19408" customFormat="false" ht="15" hidden="false" customHeight="false" outlineLevel="0" collapsed="false">
      <c r="A19408" s="5" t="s">
        <v>501</v>
      </c>
      <c r="C19408" s="25" t="n">
        <f aca="false">SUM($C$19405:$I$19405)</f>
        <v>56.4287463304553</v>
      </c>
    </row>
    <row r="19409" customFormat="false" ht="15" hidden="false" customHeight="false" outlineLevel="0" collapsed="false">
      <c r="A19409" s="5" t="s">
        <v>502</v>
      </c>
      <c r="C19409" s="25" t="n">
        <f aca="false">C19407+C19408</f>
        <v>79.7787463304553</v>
      </c>
    </row>
    <row r="19410" customFormat="false" ht="15" hidden="false" customHeight="false" outlineLevel="0" collapsed="false">
      <c r="A19410" s="5" t="s">
        <v>503</v>
      </c>
      <c r="C19410" s="25" t="n">
        <f aca="false">C19408-C19317*C19318/100</f>
        <v>-21.5712536695447</v>
      </c>
    </row>
    <row r="19411" customFormat="false" ht="15" hidden="false" customHeight="false" outlineLevel="0" collapsed="false">
      <c r="A19411" s="5" t="s">
        <v>504</v>
      </c>
      <c r="C19411" s="25" t="n">
        <f aca="false">C19409-C19319</f>
        <v>1.38874633045526</v>
      </c>
    </row>
    <row r="19412" customFormat="false" ht="15" hidden="false" customHeight="false" outlineLevel="0" collapsed="false">
      <c r="A19412" s="2" t="s">
        <v>385</v>
      </c>
      <c r="C19412" s="43" t="n">
        <f aca="false">C19409/C19319</f>
        <v>1.01771586082989</v>
      </c>
    </row>
    <row r="19413" customFormat="false" ht="15" hidden="false" customHeight="false" outlineLevel="0" collapsed="false">
      <c r="A19413" s="2" t="s">
        <v>384</v>
      </c>
      <c r="C19413" s="41" t="n">
        <f aca="false">IF(C19409&lt;=0,-1,IFERROR(IRR($C$19406:$I$19406,MAX(-0.9,C19412^(1/C19400)-1)),IRR($C$19406:$I$19406,0.1)))</f>
        <v>0.00688989684099931</v>
      </c>
    </row>
    <row r="19414" customFormat="false" ht="15" hidden="false" customHeight="false" outlineLevel="0" collapsed="false">
      <c r="A19414" s="5" t="s">
        <v>505</v>
      </c>
      <c r="C19414" s="31" t="n">
        <f aca="false">MAX($G$19208:$K$19208)</f>
        <v>28.5681105622991</v>
      </c>
    </row>
    <row r="19415" customFormat="false" ht="15" hidden="false" customHeight="false" outlineLevel="0" collapsed="false">
      <c r="A19415" s="5" t="s">
        <v>506</v>
      </c>
      <c r="C19415" s="31" t="n">
        <f aca="false">MIN($G$19209:$K$19209)</f>
        <v>0.374027109660081</v>
      </c>
    </row>
    <row r="19416" customFormat="false" ht="15" hidden="false" customHeight="false" outlineLevel="0" collapsed="false">
      <c r="A19416" s="5" t="s">
        <v>507</v>
      </c>
      <c r="C19416" s="25" t="n">
        <f aca="false">SUM($G$19098:$K$19098)</f>
        <v>-481.4808823404</v>
      </c>
    </row>
    <row r="19420" customFormat="false" ht="15" hidden="false" customHeight="false" outlineLevel="0" collapsed="false">
      <c r="A19420" s="9" t="s">
        <v>681</v>
      </c>
      <c r="B19420" s="10"/>
      <c r="C19420" s="10"/>
      <c r="D19420" s="10"/>
      <c r="E19420" s="10"/>
      <c r="F19420" s="10"/>
      <c r="G19420" s="10"/>
      <c r="H19420" s="10"/>
      <c r="I19420" s="10"/>
      <c r="J19420" s="10"/>
      <c r="K19420" s="10"/>
    </row>
    <row r="19421" customFormat="false" ht="15" hidden="false" customHeight="false" outlineLevel="0" collapsed="false">
      <c r="A19421" s="5" t="s">
        <v>622</v>
      </c>
      <c r="C19421" s="11" t="n">
        <v>2</v>
      </c>
    </row>
    <row r="19422" customFormat="false" ht="15" hidden="false" customHeight="false" outlineLevel="0" collapsed="false">
      <c r="A19422" s="5" t="s">
        <v>623</v>
      </c>
      <c r="C19422" s="18" t="n">
        <v>0</v>
      </c>
    </row>
    <row r="19423" customFormat="false" ht="15" hidden="false" customHeight="false" outlineLevel="0" collapsed="false">
      <c r="A19423" s="5" t="s">
        <v>624</v>
      </c>
      <c r="C19423" s="18" t="n">
        <v>0</v>
      </c>
    </row>
    <row r="19424" customFormat="false" ht="15" hidden="false" customHeight="false" outlineLevel="0" collapsed="false">
      <c r="A19424" s="5" t="s">
        <v>625</v>
      </c>
      <c r="C19424" s="18" t="n">
        <v>0</v>
      </c>
    </row>
    <row r="19425" customFormat="false" ht="15" hidden="false" customHeight="false" outlineLevel="0" collapsed="false">
      <c r="A19425" s="5" t="s">
        <v>626</v>
      </c>
      <c r="C19425" s="32" t="n">
        <f aca="false">Sensitivities!$A$62</f>
        <v>0</v>
      </c>
    </row>
    <row r="19427" customFormat="false" ht="15" hidden="false" customHeight="false" outlineLevel="0" collapsed="false">
      <c r="A19427" s="23" t="s">
        <v>237</v>
      </c>
      <c r="B19427" s="24"/>
      <c r="C19427" s="24"/>
      <c r="D19427" s="24"/>
      <c r="E19427" s="24"/>
      <c r="F19427" s="24"/>
      <c r="G19427" s="24"/>
      <c r="H19427" s="24"/>
      <c r="I19427" s="24"/>
      <c r="J19427" s="24"/>
      <c r="K19427" s="24"/>
    </row>
    <row r="19428" customFormat="false" ht="15" hidden="false" customHeight="false" outlineLevel="0" collapsed="false">
      <c r="A19428" s="5" t="s">
        <v>238</v>
      </c>
      <c r="F19428" s="26" t="n">
        <f aca="false">Assumptions!$C$6</f>
        <v>2025</v>
      </c>
      <c r="G19428" s="20" t="n">
        <f aca="false">F19428+1</f>
        <v>2026</v>
      </c>
      <c r="H19428" s="20" t="n">
        <f aca="false">G19428+1</f>
        <v>2027</v>
      </c>
      <c r="I19428" s="20" t="n">
        <f aca="false">H19428+1</f>
        <v>2028</v>
      </c>
      <c r="J19428" s="20" t="n">
        <f aca="false">I19428+1</f>
        <v>2029</v>
      </c>
      <c r="K19428" s="20" t="n">
        <f aca="false">J19428+1</f>
        <v>2030</v>
      </c>
    </row>
    <row r="19429" customFormat="false" ht="15" hidden="false" customHeight="false" outlineLevel="0" collapsed="false">
      <c r="A19429" s="5" t="s">
        <v>239</v>
      </c>
      <c r="G19429" s="20" t="n">
        <f aca="false">G19428-Assumptions!$C$6</f>
        <v>1</v>
      </c>
      <c r="H19429" s="20" t="n">
        <f aca="false">H19428-Assumptions!$C$6</f>
        <v>2</v>
      </c>
      <c r="I19429" s="20" t="n">
        <f aca="false">I19428-Assumptions!$C$6</f>
        <v>3</v>
      </c>
      <c r="J19429" s="20" t="n">
        <f aca="false">J19428-Assumptions!$C$6</f>
        <v>4</v>
      </c>
      <c r="K19429" s="20" t="n">
        <f aca="false">K19428-Assumptions!$C$6</f>
        <v>5</v>
      </c>
    </row>
    <row r="19430" customFormat="false" ht="15" hidden="false" customHeight="false" outlineLevel="0" collapsed="false">
      <c r="A19430" s="5" t="s">
        <v>149</v>
      </c>
      <c r="G19430" s="21" t="n">
        <f aca="false">CHOOSE($C$19421,Assumptions!$G$65,Assumptions!$G$84,Assumptions!$G$103)+$C$19422</f>
        <v>-0.078</v>
      </c>
      <c r="H19430" s="21" t="n">
        <f aca="false">CHOOSE($C$19421,Assumptions!$H$65,Assumptions!$H$84,Assumptions!$H$103)+$C$19422</f>
        <v>-0.039</v>
      </c>
      <c r="I19430" s="21" t="n">
        <f aca="false">CHOOSE($C$19421,Assumptions!$I$65,Assumptions!$I$84,Assumptions!$I$103)+$C$19422</f>
        <v>-0.005</v>
      </c>
      <c r="J19430" s="21" t="n">
        <f aca="false">CHOOSE($C$19421,Assumptions!$J$65,Assumptions!$J$84,Assumptions!$J$103)+$C$19422</f>
        <v>-0.01</v>
      </c>
      <c r="K19430" s="21" t="n">
        <f aca="false">CHOOSE($C$19421,Assumptions!$K$65,Assumptions!$K$84,Assumptions!$K$103)+$C$19422</f>
        <v>-0.01</v>
      </c>
    </row>
    <row r="19431" customFormat="false" ht="15" hidden="false" customHeight="false" outlineLevel="0" collapsed="false">
      <c r="A19431" s="5" t="s">
        <v>150</v>
      </c>
      <c r="G19431" s="21" t="n">
        <f aca="false">CHOOSE($C$19421,Assumptions!$G$66,Assumptions!$G$85,Assumptions!$G$104)</f>
        <v>0.33</v>
      </c>
      <c r="H19431" s="21" t="n">
        <f aca="false">CHOOSE($C$19421,Assumptions!$H$66,Assumptions!$H$85,Assumptions!$H$104)</f>
        <v>0.318</v>
      </c>
      <c r="I19431" s="21" t="n">
        <f aca="false">CHOOSE($C$19421,Assumptions!$I$66,Assumptions!$I$85,Assumptions!$I$104)</f>
        <v>0.324</v>
      </c>
      <c r="J19431" s="21" t="n">
        <f aca="false">CHOOSE($C$19421,Assumptions!$J$66,Assumptions!$J$85,Assumptions!$J$104)</f>
        <v>0.33</v>
      </c>
      <c r="K19431" s="21" t="n">
        <f aca="false">CHOOSE($C$19421,Assumptions!$K$66,Assumptions!$K$85,Assumptions!$K$104)</f>
        <v>0.336</v>
      </c>
    </row>
    <row r="19432" customFormat="false" ht="15" hidden="false" customHeight="false" outlineLevel="0" collapsed="false">
      <c r="A19432" s="5" t="s">
        <v>151</v>
      </c>
      <c r="G19432" s="21" t="n">
        <f aca="false">CHOOSE($C$19421,Assumptions!$G$67,Assumptions!$G$86,Assumptions!$G$105)+$C$19423</f>
        <v>0.035</v>
      </c>
      <c r="H19432" s="21" t="n">
        <f aca="false">CHOOSE($C$19421,Assumptions!$H$67,Assumptions!$H$86,Assumptions!$H$105)+$C$19423</f>
        <v>0.023</v>
      </c>
      <c r="I19432" s="21" t="n">
        <f aca="false">CHOOSE($C$19421,Assumptions!$I$67,Assumptions!$I$86,Assumptions!$I$105)+$C$19423</f>
        <v>0.029</v>
      </c>
      <c r="J19432" s="21" t="n">
        <f aca="false">CHOOSE($C$19421,Assumptions!$J$67,Assumptions!$J$86,Assumptions!$J$105)+$C$19423</f>
        <v>0.035</v>
      </c>
      <c r="K19432" s="21" t="n">
        <f aca="false">CHOOSE($C$19421,Assumptions!$K$67,Assumptions!$K$86,Assumptions!$K$105)+$C$19423</f>
        <v>0.041</v>
      </c>
    </row>
    <row r="19433" customFormat="false" ht="15" hidden="false" customHeight="false" outlineLevel="0" collapsed="false">
      <c r="A19433" s="23" t="s">
        <v>240</v>
      </c>
      <c r="B19433" s="24"/>
      <c r="C19433" s="24"/>
      <c r="D19433" s="24"/>
      <c r="E19433" s="24"/>
      <c r="F19433" s="24"/>
      <c r="G19433" s="24"/>
      <c r="H19433" s="24"/>
      <c r="I19433" s="24"/>
      <c r="J19433" s="24"/>
      <c r="K19433" s="24"/>
    </row>
    <row r="19434" customFormat="false" ht="15" hidden="false" customHeight="false" outlineLevel="0" collapsed="false">
      <c r="A19434" s="2" t="s">
        <v>207</v>
      </c>
      <c r="F19434" s="27" t="n">
        <f aca="false">'Historical Financials'!E17</f>
        <v>2400</v>
      </c>
      <c r="G19434" s="16" t="n">
        <f aca="false">F19434*(1+G19430)</f>
        <v>2212.8</v>
      </c>
      <c r="H19434" s="16" t="n">
        <f aca="false">G19434*(1+H19430)</f>
        <v>2126.5008</v>
      </c>
      <c r="I19434" s="16" t="n">
        <f aca="false">H19434*(1+I19430)</f>
        <v>2115.868296</v>
      </c>
      <c r="J19434" s="16" t="n">
        <f aca="false">I19434*(1+J19430)</f>
        <v>2094.70961304</v>
      </c>
      <c r="K19434" s="16" t="n">
        <f aca="false">J19434*(1+K19430)</f>
        <v>2073.7625169096</v>
      </c>
    </row>
    <row r="19435" customFormat="false" ht="15" hidden="false" customHeight="false" outlineLevel="0" collapsed="false">
      <c r="A19435" s="5" t="s">
        <v>217</v>
      </c>
      <c r="G19435" s="25" t="n">
        <f aca="false">G19434*(1-G19431)</f>
        <v>1482.576</v>
      </c>
      <c r="H19435" s="25" t="n">
        <f aca="false">H19434*(1-H19431)</f>
        <v>1450.2735456</v>
      </c>
      <c r="I19435" s="25" t="n">
        <f aca="false">I19434*(1-I19431)</f>
        <v>1430.326968096</v>
      </c>
      <c r="J19435" s="25" t="n">
        <f aca="false">J19434*(1-J19431)</f>
        <v>1403.4554407368</v>
      </c>
      <c r="K19435" s="25" t="n">
        <f aca="false">K19434*(1-K19431)</f>
        <v>1376.97831122797</v>
      </c>
    </row>
    <row r="19436" customFormat="false" ht="15" hidden="false" customHeight="false" outlineLevel="0" collapsed="false">
      <c r="A19436" s="2" t="s">
        <v>218</v>
      </c>
      <c r="G19436" s="16" t="n">
        <f aca="false">G19434-G19435</f>
        <v>730.224</v>
      </c>
      <c r="H19436" s="16" t="n">
        <f aca="false">H19434-H19435</f>
        <v>676.2272544</v>
      </c>
      <c r="I19436" s="16" t="n">
        <f aca="false">I19434-I19435</f>
        <v>685.541327904</v>
      </c>
      <c r="J19436" s="16" t="n">
        <f aca="false">J19434-J19435</f>
        <v>691.2541723032</v>
      </c>
      <c r="K19436" s="16" t="n">
        <f aca="false">K19434-K19435</f>
        <v>696.784205681626</v>
      </c>
    </row>
    <row r="19437" customFormat="false" ht="15" hidden="false" customHeight="false" outlineLevel="0" collapsed="false">
      <c r="A19437" s="5" t="s">
        <v>241</v>
      </c>
      <c r="G19437" s="25" t="n">
        <f aca="false">G19436-G19438</f>
        <v>652.776</v>
      </c>
      <c r="H19437" s="25" t="n">
        <f aca="false">H19436-H19438</f>
        <v>627.317736</v>
      </c>
      <c r="I19437" s="25" t="n">
        <f aca="false">I19436-I19438</f>
        <v>624.18114732</v>
      </c>
      <c r="J19437" s="25" t="n">
        <f aca="false">J19436-J19438</f>
        <v>617.9393358468</v>
      </c>
      <c r="K19437" s="25" t="n">
        <f aca="false">K19436-K19438</f>
        <v>611.759942488332</v>
      </c>
    </row>
    <row r="19438" customFormat="false" ht="15" hidden="false" customHeight="false" outlineLevel="0" collapsed="false">
      <c r="A19438" s="2" t="s">
        <v>242</v>
      </c>
      <c r="G19438" s="16" t="n">
        <f aca="false">G19434*G19432</f>
        <v>77.448</v>
      </c>
      <c r="H19438" s="16" t="n">
        <f aca="false">H19434*H19432</f>
        <v>48.9095184</v>
      </c>
      <c r="I19438" s="16" t="n">
        <f aca="false">I19434*I19432</f>
        <v>61.360180584</v>
      </c>
      <c r="J19438" s="16" t="n">
        <f aca="false">J19434*J19432</f>
        <v>73.3148364564</v>
      </c>
      <c r="K19438" s="16" t="n">
        <f aca="false">K19434*K19432</f>
        <v>85.0242631932936</v>
      </c>
    </row>
    <row r="19439" customFormat="false" ht="15" hidden="false" customHeight="false" outlineLevel="0" collapsed="false">
      <c r="A19439" s="5" t="s">
        <v>243</v>
      </c>
      <c r="G19439" s="25" t="n">
        <f aca="false">G19434*'Historical Financials'!E22/'Historical Financials'!E17</f>
        <v>48.6816</v>
      </c>
      <c r="H19439" s="25" t="n">
        <f aca="false">H19434*'Historical Financials'!E22/'Historical Financials'!E17</f>
        <v>46.7830176</v>
      </c>
      <c r="I19439" s="25" t="n">
        <f aca="false">I19434*'Historical Financials'!E22/'Historical Financials'!E17</f>
        <v>46.549102512</v>
      </c>
      <c r="J19439" s="25" t="n">
        <f aca="false">J19434*'Historical Financials'!E22/'Historical Financials'!E17</f>
        <v>46.08361148688</v>
      </c>
      <c r="K19439" s="25" t="n">
        <f aca="false">K19434*'Historical Financials'!E22/'Historical Financials'!E17</f>
        <v>45.6227753720112</v>
      </c>
    </row>
    <row r="19440" customFormat="false" ht="15" hidden="false" customHeight="false" outlineLevel="0" collapsed="false">
      <c r="A19440" s="5" t="s">
        <v>244</v>
      </c>
      <c r="G19440" s="25" t="n">
        <f aca="false">G19434*'Historical Financials'!E23/'Historical Financials'!E17</f>
        <v>0</v>
      </c>
      <c r="H19440" s="25" t="n">
        <f aca="false">H19434*'Historical Financials'!E23/'Historical Financials'!E17</f>
        <v>0</v>
      </c>
      <c r="I19440" s="25" t="n">
        <f aca="false">I19434*'Historical Financials'!E23/'Historical Financials'!E17</f>
        <v>0</v>
      </c>
      <c r="J19440" s="25" t="n">
        <f aca="false">J19434*'Historical Financials'!E23/'Historical Financials'!E17</f>
        <v>0</v>
      </c>
      <c r="K19440" s="25" t="n">
        <f aca="false">K19434*'Historical Financials'!E23/'Historical Financials'!E17</f>
        <v>0</v>
      </c>
    </row>
    <row r="19441" customFormat="false" ht="15" hidden="false" customHeight="false" outlineLevel="0" collapsed="false">
      <c r="A19441" s="2" t="s">
        <v>245</v>
      </c>
      <c r="G19441" s="16" t="n">
        <f aca="false">G19438-G19439-G19440</f>
        <v>28.7664</v>
      </c>
      <c r="H19441" s="16" t="n">
        <f aca="false">H19438-H19439-H19440</f>
        <v>2.12650079999998</v>
      </c>
      <c r="I19441" s="16" t="n">
        <f aca="false">I19438-I19439-I19440</f>
        <v>14.811078072</v>
      </c>
      <c r="J19441" s="16" t="n">
        <f aca="false">J19438-J19439-J19440</f>
        <v>27.23122496952</v>
      </c>
      <c r="K19441" s="16" t="n">
        <f aca="false">K19438-K19439-K19440</f>
        <v>39.4014878212824</v>
      </c>
    </row>
    <row r="19442" customFormat="false" ht="15" hidden="false" customHeight="false" outlineLevel="0" collapsed="false">
      <c r="A19442" s="5" t="s">
        <v>246</v>
      </c>
      <c r="G19442" s="25" t="n">
        <f aca="false">G19468+G19481+G19494+G19507</f>
        <v>129.54</v>
      </c>
      <c r="H19442" s="25" t="n">
        <f aca="false">H19468+H19481+H19494+H19507</f>
        <v>130.7646348</v>
      </c>
      <c r="I19442" s="25" t="n">
        <f aca="false">I19468+I19481+I19494+I19507</f>
        <v>128.3492928</v>
      </c>
      <c r="J19442" s="25" t="n">
        <f aca="false">J19468+J19481+J19494+J19507</f>
        <v>127.7616928</v>
      </c>
      <c r="K19442" s="25" t="n">
        <f aca="false">K19468+K19481+K19494+K19507</f>
        <v>127.1740928</v>
      </c>
    </row>
    <row r="19443" customFormat="false" ht="15" hidden="false" customHeight="false" outlineLevel="0" collapsed="false">
      <c r="A19443" s="5" t="s">
        <v>247</v>
      </c>
      <c r="G19443" s="25" t="n">
        <f aca="false">G19469+G19482+G19495+G19508</f>
        <v>0</v>
      </c>
      <c r="H19443" s="25" t="n">
        <f aca="false">H19469+H19482+H19495+H19508</f>
        <v>0</v>
      </c>
      <c r="I19443" s="25" t="n">
        <f aca="false">I19469+I19482+I19495+I19508</f>
        <v>0</v>
      </c>
      <c r="J19443" s="25" t="n">
        <f aca="false">J19469+J19482+J19495+J19508</f>
        <v>0</v>
      </c>
      <c r="K19443" s="25" t="n">
        <f aca="false">K19469+K19482+K19495+K19508</f>
        <v>0</v>
      </c>
    </row>
    <row r="19444" customFormat="false" ht="15" hidden="false" customHeight="false" outlineLevel="0" collapsed="false">
      <c r="A19444" s="5" t="s">
        <v>212</v>
      </c>
      <c r="G19444" s="25" t="n">
        <f aca="false">G19442+G19443</f>
        <v>129.54</v>
      </c>
      <c r="H19444" s="25" t="n">
        <f aca="false">H19442+H19443</f>
        <v>130.7646348</v>
      </c>
      <c r="I19444" s="25" t="n">
        <f aca="false">I19442+I19443</f>
        <v>128.3492928</v>
      </c>
      <c r="J19444" s="25" t="n">
        <f aca="false">J19442+J19443</f>
        <v>127.7616928</v>
      </c>
      <c r="K19444" s="25" t="n">
        <f aca="false">K19442+K19443</f>
        <v>127.1740928</v>
      </c>
    </row>
    <row r="19445" customFormat="false" ht="15" hidden="false" customHeight="false" outlineLevel="0" collapsed="false">
      <c r="A19445" s="2" t="s">
        <v>223</v>
      </c>
      <c r="G19445" s="16" t="n">
        <f aca="false">G19441-G19444</f>
        <v>-100.7736</v>
      </c>
      <c r="H19445" s="16" t="n">
        <f aca="false">H19441-H19444</f>
        <v>-128.638134</v>
      </c>
      <c r="I19445" s="16" t="n">
        <f aca="false">I19441-I19444</f>
        <v>-113.538214728</v>
      </c>
      <c r="J19445" s="16" t="n">
        <f aca="false">J19441-J19444</f>
        <v>-100.53046783048</v>
      </c>
      <c r="K19445" s="16" t="n">
        <f aca="false">K19441-K19444</f>
        <v>-87.7726049787176</v>
      </c>
    </row>
    <row r="19446" customFormat="false" ht="15" hidden="false" customHeight="false" outlineLevel="0" collapsed="false">
      <c r="A19446" s="5" t="s">
        <v>213</v>
      </c>
      <c r="G19446" s="25" t="n">
        <f aca="false">MAX(0,G19445)*Assumptions!$C$9</f>
        <v>0</v>
      </c>
      <c r="H19446" s="25" t="n">
        <f aca="false">MAX(0,H19445)*Assumptions!$C$9</f>
        <v>0</v>
      </c>
      <c r="I19446" s="25" t="n">
        <f aca="false">MAX(0,I19445)*Assumptions!$C$9</f>
        <v>0</v>
      </c>
      <c r="J19446" s="25" t="n">
        <f aca="false">MAX(0,J19445)*Assumptions!$C$9</f>
        <v>0</v>
      </c>
      <c r="K19446" s="25" t="n">
        <f aca="false">MAX(0,K19445)*Assumptions!$C$9</f>
        <v>0</v>
      </c>
    </row>
    <row r="19447" customFormat="false" ht="15" hidden="false" customHeight="false" outlineLevel="0" collapsed="false">
      <c r="A19447" s="2" t="s">
        <v>248</v>
      </c>
      <c r="G19447" s="16" t="n">
        <f aca="false">G19445-G19446</f>
        <v>-100.7736</v>
      </c>
      <c r="H19447" s="16" t="n">
        <f aca="false">H19445-H19446</f>
        <v>-128.638134</v>
      </c>
      <c r="I19447" s="16" t="n">
        <f aca="false">I19445-I19446</f>
        <v>-113.538214728</v>
      </c>
      <c r="J19447" s="16" t="n">
        <f aca="false">J19445-J19446</f>
        <v>-100.53046783048</v>
      </c>
      <c r="K19447" s="16" t="n">
        <f aca="false">K19445-K19446</f>
        <v>-87.7726049787176</v>
      </c>
    </row>
    <row r="19448" customFormat="false" ht="15" hidden="false" customHeight="false" outlineLevel="0" collapsed="false">
      <c r="A19448" s="23" t="s">
        <v>249</v>
      </c>
      <c r="B19448" s="24"/>
      <c r="C19448" s="24"/>
      <c r="D19448" s="24"/>
      <c r="E19448" s="24"/>
      <c r="F19448" s="24"/>
      <c r="G19448" s="24"/>
      <c r="H19448" s="24"/>
      <c r="I19448" s="24"/>
      <c r="J19448" s="24"/>
      <c r="K19448" s="24"/>
    </row>
    <row r="19449" customFormat="false" ht="15" hidden="false" customHeight="false" outlineLevel="0" collapsed="false">
      <c r="A19449" s="5" t="s">
        <v>153</v>
      </c>
      <c r="G19449" s="25" t="n">
        <f aca="false">G19434*CHOOSE($C$19421,Assumptions!$C$69,Assumptions!$C$88,Assumptions!$C$107)</f>
        <v>42.0432</v>
      </c>
      <c r="H19449" s="25" t="n">
        <f aca="false">H19434*CHOOSE($C$19421,Assumptions!$C$69,Assumptions!$C$88,Assumptions!$C$107)</f>
        <v>40.4035152</v>
      </c>
      <c r="I19449" s="25" t="n">
        <f aca="false">I19434*CHOOSE($C$19421,Assumptions!$C$69,Assumptions!$C$88,Assumptions!$C$107)</f>
        <v>40.201497624</v>
      </c>
      <c r="J19449" s="25" t="n">
        <f aca="false">J19434*CHOOSE($C$19421,Assumptions!$C$69,Assumptions!$C$88,Assumptions!$C$107)</f>
        <v>39.79948264776</v>
      </c>
      <c r="K19449" s="25" t="n">
        <f aca="false">K19434*CHOOSE($C$19421,Assumptions!$C$69,Assumptions!$C$88,Assumptions!$C$107)</f>
        <v>39.4014878212824</v>
      </c>
    </row>
    <row r="19450" customFormat="false" ht="15" hidden="false" customHeight="false" outlineLevel="0" collapsed="false">
      <c r="A19450" s="5" t="s">
        <v>250</v>
      </c>
      <c r="G19450" s="25" t="n">
        <f aca="false">CHOOSE($C$19421,Assumptions!$C$70,Assumptions!$C$89,Assumptions!$C$108)*(G19434-F19434)+CHOOSE($C$19421,Assumptions!$C$71,Assumptions!$C$90,Assumptions!$C$109)*G19434</f>
        <v>-18.0384</v>
      </c>
      <c r="H19450" s="25" t="n">
        <f aca="false">CHOOSE($C$19421,Assumptions!$C$70,Assumptions!$C$89,Assumptions!$C$108)*(H19434-G19434)+CHOOSE($C$19421,Assumptions!$C$71,Assumptions!$C$90,Assumptions!$C$109)*H19434</f>
        <v>-6.10290239999999</v>
      </c>
      <c r="I19450" s="25" t="n">
        <f aca="false">CHOOSE($C$19421,Assumptions!$C$70,Assumptions!$C$89,Assumptions!$C$108)*(I19434-H19434)+CHOOSE($C$19421,Assumptions!$C$71,Assumptions!$C$90,Assumptions!$C$109)*I19434</f>
        <v>2.95583611199998</v>
      </c>
      <c r="J19450" s="25" t="n">
        <f aca="false">CHOOSE($C$19421,Assumptions!$C$70,Assumptions!$C$89,Assumptions!$C$108)*(J19434-I19434)+CHOOSE($C$19421,Assumptions!$C$71,Assumptions!$C$90,Assumptions!$C$109)*J19434</f>
        <v>1.65037727087999</v>
      </c>
      <c r="K19450" s="25" t="n">
        <f aca="false">CHOOSE($C$19421,Assumptions!$C$70,Assumptions!$C$89,Assumptions!$C$108)*(K19434-J19434)+CHOOSE($C$19421,Assumptions!$C$71,Assumptions!$C$90,Assumptions!$C$109)*K19434</f>
        <v>1.63387349817119</v>
      </c>
    </row>
    <row r="19451" customFormat="false" ht="15" hidden="false" customHeight="false" outlineLevel="0" collapsed="false">
      <c r="A19451" s="2" t="s">
        <v>251</v>
      </c>
      <c r="G19451" s="16" t="n">
        <f aca="false">G19447+G19439+G19440+G19443-G19449-G19450</f>
        <v>-76.0968</v>
      </c>
      <c r="H19451" s="16" t="n">
        <f aca="false">H19447+H19439+H19440+H19443-H19449-H19450</f>
        <v>-116.1557292</v>
      </c>
      <c r="I19451" s="16" t="n">
        <f aca="false">I19447+I19439+I19440+I19443-I19449-I19450</f>
        <v>-110.146445952</v>
      </c>
      <c r="J19451" s="16" t="n">
        <f aca="false">J19447+J19439+J19440+J19443-J19449-J19450</f>
        <v>-95.89671626224</v>
      </c>
      <c r="K19451" s="16" t="n">
        <f aca="false">K19447+K19439+K19440+K19443-K19449-K19450</f>
        <v>-83.18519092616</v>
      </c>
    </row>
    <row r="19453" customFormat="false" ht="15" hidden="false" customHeight="false" outlineLevel="0" collapsed="false">
      <c r="A19453" s="23" t="s">
        <v>253</v>
      </c>
      <c r="B19453" s="24"/>
      <c r="C19453" s="24"/>
      <c r="D19453" s="24"/>
      <c r="E19453" s="24"/>
      <c r="F19453" s="24"/>
      <c r="G19453" s="24"/>
      <c r="H19453" s="24"/>
      <c r="I19453" s="24"/>
      <c r="J19453" s="24"/>
      <c r="K19453" s="24"/>
    </row>
    <row r="19454" customFormat="false" ht="15" hidden="false" customHeight="false" outlineLevel="0" collapsed="false">
      <c r="A19454" s="5" t="s">
        <v>254</v>
      </c>
      <c r="G19454" s="29" t="n">
        <f aca="false">Assumptions!$G$49</f>
        <v>0.0425</v>
      </c>
      <c r="H19454" s="29" t="n">
        <f aca="false">Assumptions!$H$49</f>
        <v>0.04</v>
      </c>
      <c r="I19454" s="29" t="n">
        <f aca="false">Assumptions!$I$49</f>
        <v>0.0375</v>
      </c>
      <c r="J19454" s="29" t="n">
        <f aca="false">Assumptions!$J$49</f>
        <v>0.0375</v>
      </c>
      <c r="K19454" s="29" t="n">
        <f aca="false">Assumptions!$K$49</f>
        <v>0.0375</v>
      </c>
    </row>
    <row r="19455" customFormat="false" ht="15" hidden="false" customHeight="false" outlineLevel="0" collapsed="false">
      <c r="A19455" s="5" t="s">
        <v>255</v>
      </c>
      <c r="C19455" s="30" t="n">
        <f aca="false">CHOOSE($C$19421,Assumptions!$C$72,Assumptions!$C$91,Assumptions!$C$110)+$C$19424</f>
        <v>0.015</v>
      </c>
    </row>
    <row r="19456" customFormat="false" ht="15" hidden="false" customHeight="false" outlineLevel="0" collapsed="false">
      <c r="A19456" s="5" t="s">
        <v>256</v>
      </c>
      <c r="C19456" s="30" t="n">
        <f aca="false">CHOOSE($C$19421,Assumptions!$C$73,Assumptions!$C$92,Assumptions!$C$111)</f>
        <v>0.135</v>
      </c>
    </row>
    <row r="19457" customFormat="false" ht="15" hidden="false" customHeight="false" outlineLevel="0" collapsed="false">
      <c r="A19457" s="5" t="s">
        <v>257</v>
      </c>
      <c r="C19457" s="31" t="n">
        <f aca="false">CHOOSE($C$19421,Assumptions!$C$74,Assumptions!$C$93,Assumptions!$C$112)</f>
        <v>5.5</v>
      </c>
    </row>
    <row r="19458" customFormat="false" ht="15" hidden="false" customHeight="false" outlineLevel="0" collapsed="false">
      <c r="A19458" s="5" t="s">
        <v>258</v>
      </c>
      <c r="C19458" s="31" t="n">
        <f aca="false">CHOOSE($C$19421,Assumptions!$C$75,Assumptions!$C$94,Assumptions!$C$113)</f>
        <v>1.8</v>
      </c>
    </row>
    <row r="19459" customFormat="false" ht="15" hidden="false" customHeight="false" outlineLevel="0" collapsed="false">
      <c r="A19459" s="5" t="s">
        <v>259</v>
      </c>
      <c r="G19459" s="25" t="n">
        <f aca="false">G19464+G19477+G19490+G19503</f>
        <v>1250</v>
      </c>
      <c r="H19459" s="25" t="n">
        <f aca="false">H19464+H19477+H19490+H19503</f>
        <v>1281.0968</v>
      </c>
      <c r="I19459" s="25" t="n">
        <f aca="false">I19464+I19477+I19490+I19503</f>
        <v>1275.8968</v>
      </c>
      <c r="J19459" s="25" t="n">
        <f aca="false">J19464+J19477+J19490+J19503</f>
        <v>1270.6968</v>
      </c>
      <c r="K19459" s="25" t="n">
        <f aca="false">K19464+K19477+K19490+K19503</f>
        <v>1265.4968</v>
      </c>
    </row>
    <row r="19460" customFormat="false" ht="15" hidden="false" customHeight="false" outlineLevel="0" collapsed="false">
      <c r="A19460" s="5" t="s">
        <v>260</v>
      </c>
      <c r="G19460" s="25" t="n">
        <f aca="false">F19550</f>
        <v>45</v>
      </c>
      <c r="H19460" s="25" t="n">
        <f aca="false">G19550</f>
        <v>0</v>
      </c>
      <c r="I19460" s="25" t="n">
        <f aca="false">H19550</f>
        <v>-121.3557292</v>
      </c>
      <c r="J19460" s="25" t="n">
        <f aca="false">I19550</f>
        <v>-236.702175152</v>
      </c>
      <c r="K19460" s="25" t="n">
        <f aca="false">J19550</f>
        <v>-337.79889141424</v>
      </c>
    </row>
    <row r="19461" customFormat="false" ht="15" hidden="false" customHeight="false" outlineLevel="0" collapsed="false">
      <c r="A19461" s="5" t="s">
        <v>261</v>
      </c>
      <c r="G19461" s="25" t="n">
        <f aca="false">G19464*IF(G19465=1,$C$19456,IF(Assumptions!$I$53=1,MAX(G19454,Assumptions!$G$53)+Assumptions!$F$53+$C$19455,Assumptions!$E$53))+G19477*IF(G19478=1,$C$19456,IF(Assumptions!$I$54=1,MAX(G19454,Assumptions!$G$54)+Assumptions!$F$54+$C$19455,Assumptions!$E$54))+G19490*IF(G19491=1,$C$19456,IF(Assumptions!$I$55=1,MAX(G19454,Assumptions!$G$55)+Assumptions!$F$55+$C$19455,Assumptions!$E$55))+G19503*IF(G19504=1,$C$19456,IF(Assumptions!$I$56=1,MAX(G19454,Assumptions!$G$56)+Assumptions!$F$56+$C$19455,Assumptions!$E$56))</f>
        <v>129.54</v>
      </c>
      <c r="H19461" s="25" t="n">
        <f aca="false">H19464*IF(OR(H19465=1,G19616=1),$C$19456,IF(Assumptions!$I$53=1,MAX(H19454,Assumptions!$G$53)+Assumptions!$F$53+$C$19455,Assumptions!$E$53))+H19477*IF(OR(H19478=1,G19617=1),$C$19456,IF(Assumptions!$I$54=1,MAX(H19454,Assumptions!$G$54)+Assumptions!$F$54+$C$19455,Assumptions!$E$54))+H19490*IF(OR(H19491=1,G19618=1),$C$19456,IF(Assumptions!$I$55=1,MAX(H19454,Assumptions!$G$55)+Assumptions!$F$55+$C$19455,Assumptions!$E$55))+H19503*IF(OR(H19504=1,G19619=1),$C$19456,IF(Assumptions!$I$56=1,MAX(H19454,Assumptions!$G$56)+Assumptions!$F$56+$C$19455,Assumptions!$E$56))</f>
        <v>156.659468</v>
      </c>
      <c r="I19461" s="25" t="n">
        <f aca="false">I19464*IF(OR(I19465=1,H19616=1),$C$19456,IF(Assumptions!$I$53=1,MAX(I19454,Assumptions!$G$53)+Assumptions!$F$53+$C$19455,Assumptions!$E$53))+I19477*IF(OR(I19478=1,H19617=1),$C$19456,IF(Assumptions!$I$54=1,MAX(I19454,Assumptions!$G$54)+Assumptions!$F$54+$C$19455,Assumptions!$E$54))+I19490*IF(OR(I19491=1,H19618=1),$C$19456,IF(Assumptions!$I$55=1,MAX(I19454,Assumptions!$G$55)+Assumptions!$F$55+$C$19455,Assumptions!$E$55))+I19503*IF(OR(I19504=1,H19619=1),$C$19456,IF(Assumptions!$I$56=1,MAX(I19454,Assumptions!$G$56)+Assumptions!$F$56+$C$19455,Assumptions!$E$56))</f>
        <v>139.5604928</v>
      </c>
      <c r="J19461" s="25" t="n">
        <f aca="false">J19464*IF(OR(J19465=1,I19616=1),$C$19456,IF(Assumptions!$I$53=1,MAX(J19454,Assumptions!$G$53)+Assumptions!$F$53+$C$19455,Assumptions!$E$53))+J19477*IF(OR(J19478=1,I19617=1),$C$19456,IF(Assumptions!$I$54=1,MAX(J19454,Assumptions!$G$54)+Assumptions!$F$54+$C$19455,Assumptions!$E$54))+J19490*IF(OR(J19491=1,I19618=1),$C$19456,IF(Assumptions!$I$55=1,MAX(J19454,Assumptions!$G$55)+Assumptions!$F$55+$C$19455,Assumptions!$E$55))+J19503*IF(OR(J19504=1,I19619=1),$C$19456,IF(Assumptions!$I$56=1,MAX(J19454,Assumptions!$G$56)+Assumptions!$F$56+$C$19455,Assumptions!$E$56))</f>
        <v>134.0116928</v>
      </c>
      <c r="K19461" s="25" t="n">
        <f aca="false">K19464*IF(OR(K19465=1,J19616=1),$C$19456,IF(Assumptions!$I$53=1,MAX(K19454,Assumptions!$G$53)+Assumptions!$F$53+$C$19455,Assumptions!$E$53))+K19477*IF(OR(K19478=1,J19617=1),$C$19456,IF(Assumptions!$I$54=1,MAX(K19454,Assumptions!$G$54)+Assumptions!$F$54+$C$19455,Assumptions!$E$54))+K19490*IF(OR(K19491=1,J19618=1),$C$19456,IF(Assumptions!$I$55=1,MAX(K19454,Assumptions!$G$55)+Assumptions!$F$55+$C$19455,Assumptions!$E$55))+K19503*IF(OR(K19504=1,J19619=1),$C$19456,IF(Assumptions!$I$56=1,MAX(K19454,Assumptions!$G$56)+Assumptions!$F$56+$C$19455,Assumptions!$E$56))</f>
        <v>127.1740928</v>
      </c>
    </row>
    <row r="19462" customFormat="false" ht="15" hidden="false" customHeight="false" outlineLevel="0" collapsed="false">
      <c r="A19462" s="5" t="s">
        <v>262</v>
      </c>
      <c r="G19462" s="20" t="n">
        <f aca="false">IF(G19438&lt;=0,0,IF(AND((G19459-G19460)/G19438&lt;=$C$19457,G19438/G19461&gt;=$C$19458),1,0))</f>
        <v>0</v>
      </c>
      <c r="H19462" s="20" t="n">
        <f aca="false">IF(H19438&lt;=0,0,IF(AND((H19459-H19460)/H19438&lt;=$C$19457,H19438/H19461&gt;=$C$19458),1,0))</f>
        <v>0</v>
      </c>
      <c r="I19462" s="20" t="n">
        <f aca="false">IF(I19438&lt;=0,0,IF(AND((I19459-I19460)/I19438&lt;=$C$19457,I19438/I19461&gt;=$C$19458),1,0))</f>
        <v>0</v>
      </c>
      <c r="J19462" s="20" t="n">
        <f aca="false">IF(J19438&lt;=0,0,IF(AND((J19459-J19460)/J19438&lt;=$C$19457,J19438/J19461&gt;=$C$19458),1,0))</f>
        <v>0</v>
      </c>
      <c r="K19462" s="20" t="n">
        <f aca="false">IF(K19438&lt;=0,0,IF(AND((K19459-K19460)/K19438&lt;=$C$19457,K19438/K19461&gt;=$C$19458),1,0))</f>
        <v>0</v>
      </c>
    </row>
    <row r="19463" customFormat="false" ht="15" hidden="false" customHeight="false" outlineLevel="0" collapsed="false">
      <c r="A19463" s="23" t="s">
        <v>263</v>
      </c>
      <c r="B19463" s="24"/>
      <c r="C19463" s="24"/>
      <c r="D19463" s="24"/>
      <c r="E19463" s="24"/>
      <c r="F19463" s="24"/>
      <c r="G19463" s="24"/>
      <c r="H19463" s="24"/>
      <c r="I19463" s="24"/>
      <c r="J19463" s="24"/>
      <c r="K19463" s="24"/>
    </row>
    <row r="19464" customFormat="false" ht="15" hidden="false" customHeight="false" outlineLevel="0" collapsed="false">
      <c r="A19464" s="5" t="s">
        <v>264</v>
      </c>
      <c r="G19464" s="25" t="n">
        <f aca="false">F19475</f>
        <v>180</v>
      </c>
      <c r="H19464" s="25" t="n">
        <f aca="false">G19475</f>
        <v>216.2968</v>
      </c>
      <c r="I19464" s="25" t="n">
        <f aca="false">H19475</f>
        <v>216.2968</v>
      </c>
      <c r="J19464" s="25" t="n">
        <f aca="false">I19475</f>
        <v>216.2968</v>
      </c>
      <c r="K19464" s="25" t="n">
        <f aca="false">J19475</f>
        <v>216.2968</v>
      </c>
    </row>
    <row r="19465" customFormat="false" ht="15" hidden="false" customHeight="false" outlineLevel="0" collapsed="false">
      <c r="A19465" s="5" t="s">
        <v>265</v>
      </c>
      <c r="G19465" s="20" t="n">
        <f aca="false">IF(G19428=Assumptions!$K$53,1,0)</f>
        <v>0</v>
      </c>
      <c r="H19465" s="20" t="n">
        <f aca="false">IF(H19428=Assumptions!$K$53,1,0)</f>
        <v>1</v>
      </c>
      <c r="I19465" s="20" t="n">
        <f aca="false">IF(I19428=Assumptions!$K$53,1,0)</f>
        <v>0</v>
      </c>
      <c r="J19465" s="20" t="n">
        <f aca="false">IF(J19428=Assumptions!$K$53,1,0)</f>
        <v>0</v>
      </c>
      <c r="K19465" s="20" t="n">
        <f aca="false">IF(K19428=Assumptions!$K$53,1,0)</f>
        <v>0</v>
      </c>
    </row>
    <row r="19467" customFormat="false" ht="15" hidden="false" customHeight="false" outlineLevel="0" collapsed="false">
      <c r="A19467" s="5" t="s">
        <v>266</v>
      </c>
      <c r="G19467" s="30" t="n">
        <f aca="false">IF(Assumptions!$I$53=1,MAX(G19454,Assumptions!$G$53)+Assumptions!$F$53+$C$19455,Assumptions!$E$53)</f>
        <v>0.101</v>
      </c>
      <c r="H19467" s="30" t="n">
        <f aca="false">IF(G19616=1,$C$19456,IF(Assumptions!$I$53=1,MAX(H19454,Assumptions!$G$53)+Assumptions!$F$53+$C$19455,Assumptions!$E$53))</f>
        <v>0.0985</v>
      </c>
      <c r="I19467" s="30" t="n">
        <f aca="false">IF(H19616=1,$C$19456,IF(Assumptions!$I$53=1,MAX(I19454,Assumptions!$G$53)+Assumptions!$F$53+$C$19455,Assumptions!$E$53))</f>
        <v>0.096</v>
      </c>
      <c r="J19467" s="30" t="n">
        <f aca="false">IF(I19616=1,$C$19456,IF(Assumptions!$I$53=1,MAX(J19454,Assumptions!$G$53)+Assumptions!$F$53+$C$19455,Assumptions!$E$53))</f>
        <v>0.096</v>
      </c>
      <c r="K19467" s="30" t="n">
        <f aca="false">IF(J19616=1,$C$19456,IF(Assumptions!$I$53=1,MAX(K19454,Assumptions!$G$53)+Assumptions!$F$53+$C$19455,Assumptions!$E$53))</f>
        <v>0.096</v>
      </c>
    </row>
    <row r="19468" customFormat="false" ht="15" hidden="false" customHeight="false" outlineLevel="0" collapsed="false">
      <c r="A19468" s="5" t="s">
        <v>267</v>
      </c>
      <c r="G19468" s="25" t="n">
        <f aca="false">G19464*G19467</f>
        <v>18.18</v>
      </c>
      <c r="H19468" s="25" t="n">
        <f aca="false">H19464*H19467</f>
        <v>21.3052348</v>
      </c>
      <c r="I19468" s="25" t="n">
        <f aca="false">I19464*I19467</f>
        <v>20.7644928</v>
      </c>
      <c r="J19468" s="25" t="n">
        <f aca="false">J19464*J19467</f>
        <v>20.7644928</v>
      </c>
      <c r="K19468" s="25" t="n">
        <f aca="false">K19464*K19467</f>
        <v>20.7644928</v>
      </c>
    </row>
    <row r="19469" customFormat="false" ht="15" hidden="false" customHeight="false" outlineLevel="0" collapsed="false">
      <c r="A19469" s="5" t="s">
        <v>268</v>
      </c>
      <c r="G19469" s="25" t="n">
        <f aca="false">G19464*Assumptions!$H$53</f>
        <v>0</v>
      </c>
      <c r="H19469" s="25" t="n">
        <f aca="false">H19464*Assumptions!$H$53</f>
        <v>0</v>
      </c>
      <c r="I19469" s="25" t="n">
        <f aca="false">I19464*Assumptions!$H$53</f>
        <v>0</v>
      </c>
      <c r="J19469" s="25" t="n">
        <f aca="false">J19464*Assumptions!$H$53</f>
        <v>0</v>
      </c>
      <c r="K19469" s="25" t="n">
        <f aca="false">K19464*Assumptions!$H$53</f>
        <v>0</v>
      </c>
    </row>
    <row r="19470" customFormat="false" ht="15" hidden="false" customHeight="false" outlineLevel="0" collapsed="false">
      <c r="A19470" s="5" t="s">
        <v>269</v>
      </c>
      <c r="G19470" s="25" t="n">
        <f aca="false">MIN(G19464,Assumptions!$L$53*Assumptions!$C$53)</f>
        <v>0</v>
      </c>
      <c r="H19470" s="25" t="n">
        <f aca="false">MIN(H19464,Assumptions!$L$53*Assumptions!$C$53)</f>
        <v>0</v>
      </c>
      <c r="I19470" s="25" t="n">
        <f aca="false">MIN(I19464,Assumptions!$L$53*Assumptions!$C$53)</f>
        <v>0</v>
      </c>
      <c r="J19470" s="25" t="n">
        <f aca="false">MIN(J19464,Assumptions!$L$53*Assumptions!$C$53)</f>
        <v>0</v>
      </c>
      <c r="K19470" s="25" t="n">
        <f aca="false">MIN(K19464,Assumptions!$L$53*Assumptions!$C$53)</f>
        <v>0</v>
      </c>
    </row>
    <row r="19471" customFormat="false" ht="15" hidden="false" customHeight="false" outlineLevel="0" collapsed="false">
      <c r="A19471" s="5" t="s">
        <v>270</v>
      </c>
      <c r="G19471" s="25" t="n">
        <f aca="false">IF(AND(Assumptions!$P$53=1,G19428&lt;Assumptions!$K$53),MIN(MAX(0,-G19542),MAX(0,Assumptions!$D$53-G19464)),0)</f>
        <v>36.2968000000001</v>
      </c>
      <c r="H19471" s="25" t="n">
        <f aca="false">IF(AND(Assumptions!$P$53=1,OR(H19428&lt;Assumptions!$K$53,G19616=1)),MIN(MAX(0,-H19542),MAX(0,Assumptions!$D$53-H19464)),0)</f>
        <v>0</v>
      </c>
      <c r="I19471" s="25" t="n">
        <f aca="false">IF(AND(Assumptions!$P$53=1,OR(I19428&lt;Assumptions!$K$53,H19616=1)),MIN(MAX(0,-I19542),MAX(0,Assumptions!$D$53-I19464)),0)</f>
        <v>0</v>
      </c>
      <c r="J19471" s="25" t="n">
        <f aca="false">IF(AND(Assumptions!$P$53=1,OR(J19428&lt;Assumptions!$K$53,I19616=1)),MIN(MAX(0,-J19542),MAX(0,Assumptions!$D$53-J19464)),0)</f>
        <v>0</v>
      </c>
      <c r="K19471" s="25" t="n">
        <f aca="false">IF(AND(Assumptions!$P$53=1,OR(K19428&lt;Assumptions!$K$53,J19616=1)),MIN(MAX(0,-K19542),MAX(0,Assumptions!$D$53-K19464)),0)</f>
        <v>0</v>
      </c>
    </row>
    <row r="19472" customFormat="false" ht="15" hidden="false" customHeight="false" outlineLevel="0" collapsed="false">
      <c r="A19472" s="5" t="s">
        <v>271</v>
      </c>
      <c r="G19472" s="25" t="n">
        <f aca="false">G19465*MIN(G19464-G19470+G19469,MAX(0,G19544-Assumptions!$C$12*G19462))</f>
        <v>0</v>
      </c>
      <c r="H19472" s="25" t="n">
        <f aca="false">H19465*MIN(H19464-H19470+H19469,MAX(0,H19544-Assumptions!$C$12*H19462))</f>
        <v>0</v>
      </c>
      <c r="I19472" s="25" t="n">
        <f aca="false">I19465*MIN(I19464-I19470+I19469,MAX(0,I19544-Assumptions!$C$12*I19462))</f>
        <v>0</v>
      </c>
      <c r="J19472" s="25" t="n">
        <f aca="false">J19465*MIN(J19464-J19470+J19469,MAX(0,J19544-Assumptions!$C$12*J19462))</f>
        <v>0</v>
      </c>
      <c r="K19472" s="25" t="n">
        <f aca="false">K19465*MIN(K19464-K19470+K19469,MAX(0,K19544-Assumptions!$C$12*K19462))</f>
        <v>0</v>
      </c>
    </row>
    <row r="19473" customFormat="false" ht="15" hidden="false" customHeight="false" outlineLevel="0" collapsed="false">
      <c r="A19473" s="5" t="s">
        <v>272</v>
      </c>
      <c r="G19473" s="25" t="n">
        <f aca="false">Assumptions!$N$53*MIN(G19464+G19471+G19469-G19470-G19472,MAX(0,G19548))</f>
        <v>0</v>
      </c>
      <c r="H19473" s="25" t="n">
        <f aca="false">Assumptions!$N$53*MIN(H19464+H19471+H19469-H19470-H19472,MAX(0,H19548))</f>
        <v>0</v>
      </c>
      <c r="I19473" s="25" t="n">
        <f aca="false">Assumptions!$N$53*MIN(I19464+I19471+I19469-I19470-I19472,MAX(0,I19548))</f>
        <v>0</v>
      </c>
      <c r="J19473" s="25" t="n">
        <f aca="false">Assumptions!$N$53*MIN(J19464+J19471+J19469-J19470-J19472,MAX(0,J19548))</f>
        <v>0</v>
      </c>
      <c r="K19473" s="25" t="n">
        <f aca="false">Assumptions!$N$53*MIN(K19464+K19471+K19469-K19470-K19472,MAX(0,K19548))</f>
        <v>0</v>
      </c>
    </row>
    <row r="19474" customFormat="false" ht="15" hidden="false" customHeight="false" outlineLevel="0" collapsed="false">
      <c r="A19474" s="5" t="s">
        <v>273</v>
      </c>
      <c r="G19474" s="25" t="n">
        <f aca="false">G19465*(1-G19462)*(G19464-G19470+G19469-G19472)</f>
        <v>0</v>
      </c>
      <c r="H19474" s="25" t="n">
        <f aca="false">H19465*(1-H19462)*(H19464-H19470+H19469-H19472)</f>
        <v>216.2968</v>
      </c>
      <c r="I19474" s="25" t="n">
        <f aca="false">I19465*(1-I19462)*(I19464-I19470+I19469-I19472)</f>
        <v>0</v>
      </c>
      <c r="J19474" s="25" t="n">
        <f aca="false">J19465*(1-J19462)*(J19464-J19470+J19469-J19472)</f>
        <v>0</v>
      </c>
      <c r="K19474" s="25" t="n">
        <f aca="false">K19465*(1-K19462)*(K19464-K19470+K19469-K19472)</f>
        <v>0</v>
      </c>
    </row>
    <row r="19475" customFormat="false" ht="15" hidden="false" customHeight="false" outlineLevel="0" collapsed="false">
      <c r="A19475" s="2" t="s">
        <v>274</v>
      </c>
      <c r="F19475" s="27" t="n">
        <f aca="false">Assumptions!$C$53</f>
        <v>180</v>
      </c>
      <c r="G19475" s="16" t="n">
        <f aca="false">G19464+G19471+G19469-G19470-G19472-G19473</f>
        <v>216.2968</v>
      </c>
      <c r="H19475" s="16" t="n">
        <f aca="false">H19464+H19471+H19469-H19470-H19472-H19473</f>
        <v>216.2968</v>
      </c>
      <c r="I19475" s="16" t="n">
        <f aca="false">I19464+I19471+I19469-I19470-I19472-I19473</f>
        <v>216.2968</v>
      </c>
      <c r="J19475" s="16" t="n">
        <f aca="false">J19464+J19471+J19469-J19470-J19472-J19473</f>
        <v>216.2968</v>
      </c>
      <c r="K19475" s="16" t="n">
        <f aca="false">K19464+K19471+K19469-K19470-K19472-K19473</f>
        <v>216.2968</v>
      </c>
    </row>
    <row r="19476" customFormat="false" ht="15" hidden="false" customHeight="false" outlineLevel="0" collapsed="false">
      <c r="A19476" s="23" t="s">
        <v>275</v>
      </c>
      <c r="B19476" s="24"/>
      <c r="C19476" s="24"/>
      <c r="D19476" s="24"/>
      <c r="E19476" s="24"/>
      <c r="F19476" s="24"/>
      <c r="G19476" s="24"/>
      <c r="H19476" s="24"/>
      <c r="I19476" s="24"/>
      <c r="J19476" s="24"/>
      <c r="K19476" s="24"/>
    </row>
    <row r="19477" customFormat="false" ht="15" hidden="false" customHeight="false" outlineLevel="0" collapsed="false">
      <c r="A19477" s="5" t="s">
        <v>264</v>
      </c>
      <c r="G19477" s="25" t="n">
        <f aca="false">F19488</f>
        <v>520</v>
      </c>
      <c r="H19477" s="25" t="n">
        <f aca="false">G19488</f>
        <v>514.8</v>
      </c>
      <c r="I19477" s="25" t="n">
        <f aca="false">H19488</f>
        <v>509.6</v>
      </c>
      <c r="J19477" s="25" t="n">
        <f aca="false">I19488</f>
        <v>504.4</v>
      </c>
      <c r="K19477" s="25" t="n">
        <f aca="false">J19488</f>
        <v>499.2</v>
      </c>
    </row>
    <row r="19478" customFormat="false" ht="15" hidden="false" customHeight="false" outlineLevel="0" collapsed="false">
      <c r="A19478" s="5" t="s">
        <v>265</v>
      </c>
      <c r="G19478" s="20" t="n">
        <f aca="false">IF(G19428=Assumptions!$K$54,1,0)</f>
        <v>0</v>
      </c>
      <c r="H19478" s="20" t="n">
        <f aca="false">IF(H19428=Assumptions!$K$54,1,0)</f>
        <v>0</v>
      </c>
      <c r="I19478" s="20" t="n">
        <f aca="false">IF(I19428=Assumptions!$K$54,1,0)</f>
        <v>1</v>
      </c>
      <c r="J19478" s="20" t="n">
        <f aca="false">IF(J19428=Assumptions!$K$54,1,0)</f>
        <v>0</v>
      </c>
      <c r="K19478" s="20" t="n">
        <f aca="false">IF(K19428=Assumptions!$K$54,1,0)</f>
        <v>0</v>
      </c>
    </row>
    <row r="19480" customFormat="false" ht="15" hidden="false" customHeight="false" outlineLevel="0" collapsed="false">
      <c r="A19480" s="5" t="s">
        <v>266</v>
      </c>
      <c r="G19480" s="30" t="n">
        <f aca="false">IF(Assumptions!$I$54=1,MAX(G19454,Assumptions!$G$54)+Assumptions!$F$54+$C$19455,Assumptions!$E$54)</f>
        <v>0.118</v>
      </c>
      <c r="H19480" s="30" t="n">
        <f aca="false">IF(G19617=1,$C$19456,IF(Assumptions!$I$54=1,MAX(H19454,Assumptions!$G$54)+Assumptions!$F$54+$C$19455,Assumptions!$E$54))</f>
        <v>0.1155</v>
      </c>
      <c r="I19480" s="30" t="n">
        <f aca="false">IF(H19617=1,$C$19456,IF(Assumptions!$I$54=1,MAX(I19454,Assumptions!$G$54)+Assumptions!$F$54+$C$19455,Assumptions!$E$54))</f>
        <v>0.113</v>
      </c>
      <c r="J19480" s="30" t="n">
        <f aca="false">IF(I19617=1,$C$19456,IF(Assumptions!$I$54=1,MAX(J19454,Assumptions!$G$54)+Assumptions!$F$54+$C$19455,Assumptions!$E$54))</f>
        <v>0.113</v>
      </c>
      <c r="K19480" s="30" t="n">
        <f aca="false">IF(J19617=1,$C$19456,IF(Assumptions!$I$54=1,MAX(K19454,Assumptions!$G$54)+Assumptions!$F$54+$C$19455,Assumptions!$E$54))</f>
        <v>0.113</v>
      </c>
    </row>
    <row r="19481" customFormat="false" ht="15" hidden="false" customHeight="false" outlineLevel="0" collapsed="false">
      <c r="A19481" s="5" t="s">
        <v>267</v>
      </c>
      <c r="G19481" s="25" t="n">
        <f aca="false">G19477*G19480</f>
        <v>61.36</v>
      </c>
      <c r="H19481" s="25" t="n">
        <f aca="false">H19477*H19480</f>
        <v>59.4594</v>
      </c>
      <c r="I19481" s="25" t="n">
        <f aca="false">I19477*I19480</f>
        <v>57.5848</v>
      </c>
      <c r="J19481" s="25" t="n">
        <f aca="false">J19477*J19480</f>
        <v>56.9972</v>
      </c>
      <c r="K19481" s="25" t="n">
        <f aca="false">K19477*K19480</f>
        <v>56.4096</v>
      </c>
    </row>
    <row r="19482" customFormat="false" ht="15" hidden="false" customHeight="false" outlineLevel="0" collapsed="false">
      <c r="A19482" s="5" t="s">
        <v>268</v>
      </c>
      <c r="G19482" s="25" t="n">
        <f aca="false">G19477*Assumptions!$H$54</f>
        <v>0</v>
      </c>
      <c r="H19482" s="25" t="n">
        <f aca="false">H19477*Assumptions!$H$54</f>
        <v>0</v>
      </c>
      <c r="I19482" s="25" t="n">
        <f aca="false">I19477*Assumptions!$H$54</f>
        <v>0</v>
      </c>
      <c r="J19482" s="25" t="n">
        <f aca="false">J19477*Assumptions!$H$54</f>
        <v>0</v>
      </c>
      <c r="K19482" s="25" t="n">
        <f aca="false">K19477*Assumptions!$H$54</f>
        <v>0</v>
      </c>
    </row>
    <row r="19483" customFormat="false" ht="15" hidden="false" customHeight="false" outlineLevel="0" collapsed="false">
      <c r="A19483" s="5" t="s">
        <v>269</v>
      </c>
      <c r="G19483" s="25" t="n">
        <f aca="false">MIN(G19477,Assumptions!$L$54*Assumptions!$C$54)</f>
        <v>5.2</v>
      </c>
      <c r="H19483" s="25" t="n">
        <f aca="false">MIN(H19477,Assumptions!$L$54*Assumptions!$C$54)</f>
        <v>5.2</v>
      </c>
      <c r="I19483" s="25" t="n">
        <f aca="false">MIN(I19477,Assumptions!$L$54*Assumptions!$C$54)</f>
        <v>5.2</v>
      </c>
      <c r="J19483" s="25" t="n">
        <f aca="false">MIN(J19477,Assumptions!$L$54*Assumptions!$C$54)</f>
        <v>5.2</v>
      </c>
      <c r="K19483" s="25" t="n">
        <f aca="false">MIN(K19477,Assumptions!$L$54*Assumptions!$C$54)</f>
        <v>5.2</v>
      </c>
    </row>
    <row r="19484" customFormat="false" ht="15" hidden="false" customHeight="false" outlineLevel="0" collapsed="false">
      <c r="A19484" s="5" t="s">
        <v>270</v>
      </c>
      <c r="G19484" s="25" t="n">
        <f aca="false">IF(AND(Assumptions!$P$54=1,G19428&lt;Assumptions!$K$54),MIN(MAX(0,-G19542),MAX(0,Assumptions!$D$54-G19477)),0)</f>
        <v>0</v>
      </c>
      <c r="H19484" s="25" t="n">
        <f aca="false">IF(AND(Assumptions!$P$54=1,OR(H19428&lt;Assumptions!$K$54,G19617=1)),MIN(MAX(0,-H19542),MAX(0,Assumptions!$D$54-H19477)),0)</f>
        <v>0</v>
      </c>
      <c r="I19484" s="25" t="n">
        <f aca="false">IF(AND(Assumptions!$P$54=1,OR(I19428&lt;Assumptions!$K$54,H19617=1)),MIN(MAX(0,-I19542),MAX(0,Assumptions!$D$54-I19477)),0)</f>
        <v>0</v>
      </c>
      <c r="J19484" s="25" t="n">
        <f aca="false">IF(AND(Assumptions!$P$54=1,OR(J19428&lt;Assumptions!$K$54,I19617=1)),MIN(MAX(0,-J19542),MAX(0,Assumptions!$D$54-J19477)),0)</f>
        <v>0</v>
      </c>
      <c r="K19484" s="25" t="n">
        <f aca="false">IF(AND(Assumptions!$P$54=1,OR(K19428&lt;Assumptions!$K$54,J19617=1)),MIN(MAX(0,-K19542),MAX(0,Assumptions!$D$54-K19477)),0)</f>
        <v>0</v>
      </c>
    </row>
    <row r="19485" customFormat="false" ht="15" hidden="false" customHeight="false" outlineLevel="0" collapsed="false">
      <c r="A19485" s="5" t="s">
        <v>271</v>
      </c>
      <c r="G19485" s="25" t="n">
        <f aca="false">G19478*MIN(G19477-G19483+G19482,MAX(0,G19544-Assumptions!$C$12*G19462-G19472))</f>
        <v>0</v>
      </c>
      <c r="H19485" s="25" t="n">
        <f aca="false">H19478*MIN(H19477-H19483+H19482,MAX(0,H19544-Assumptions!$C$12*H19462-H19472))</f>
        <v>0</v>
      </c>
      <c r="I19485" s="25" t="n">
        <f aca="false">I19478*MIN(I19477-I19483+I19482,MAX(0,I19544-Assumptions!$C$12*I19462-I19472))</f>
        <v>0</v>
      </c>
      <c r="J19485" s="25" t="n">
        <f aca="false">J19478*MIN(J19477-J19483+J19482,MAX(0,J19544-Assumptions!$C$12*J19462-J19472))</f>
        <v>0</v>
      </c>
      <c r="K19485" s="25" t="n">
        <f aca="false">K19478*MIN(K19477-K19483+K19482,MAX(0,K19544-Assumptions!$C$12*K19462-K19472))</f>
        <v>0</v>
      </c>
    </row>
    <row r="19486" customFormat="false" ht="15" hidden="false" customHeight="false" outlineLevel="0" collapsed="false">
      <c r="A19486" s="5" t="s">
        <v>272</v>
      </c>
      <c r="G19486" s="25" t="n">
        <f aca="false">Assumptions!$N$54*MIN(G19477+G19484+G19482-G19483-G19485,MAX(0,G19548-G19473))</f>
        <v>0</v>
      </c>
      <c r="H19486" s="25" t="n">
        <f aca="false">Assumptions!$N$54*MIN(H19477+H19484+H19482-H19483-H19485,MAX(0,H19548-H19473))</f>
        <v>0</v>
      </c>
      <c r="I19486" s="25" t="n">
        <f aca="false">Assumptions!$N$54*MIN(I19477+I19484+I19482-I19483-I19485,MAX(0,I19548-I19473))</f>
        <v>0</v>
      </c>
      <c r="J19486" s="25" t="n">
        <f aca="false">Assumptions!$N$54*MIN(J19477+J19484+J19482-J19483-J19485,MAX(0,J19548-J19473))</f>
        <v>0</v>
      </c>
      <c r="K19486" s="25" t="n">
        <f aca="false">Assumptions!$N$54*MIN(K19477+K19484+K19482-K19483-K19485,MAX(0,K19548-K19473))</f>
        <v>0</v>
      </c>
    </row>
    <row r="19487" customFormat="false" ht="15" hidden="false" customHeight="false" outlineLevel="0" collapsed="false">
      <c r="A19487" s="5" t="s">
        <v>273</v>
      </c>
      <c r="G19487" s="25" t="n">
        <f aca="false">G19478*(1-G19462)*(G19477-G19483+G19482-G19485)</f>
        <v>0</v>
      </c>
      <c r="H19487" s="25" t="n">
        <f aca="false">H19478*(1-H19462)*(H19477-H19483+H19482-H19485)</f>
        <v>0</v>
      </c>
      <c r="I19487" s="25" t="n">
        <f aca="false">I19478*(1-I19462)*(I19477-I19483+I19482-I19485)</f>
        <v>504.4</v>
      </c>
      <c r="J19487" s="25" t="n">
        <f aca="false">J19478*(1-J19462)*(J19477-J19483+J19482-J19485)</f>
        <v>0</v>
      </c>
      <c r="K19487" s="25" t="n">
        <f aca="false">K19478*(1-K19462)*(K19477-K19483+K19482-K19485)</f>
        <v>0</v>
      </c>
    </row>
    <row r="19488" customFormat="false" ht="15" hidden="false" customHeight="false" outlineLevel="0" collapsed="false">
      <c r="A19488" s="2" t="s">
        <v>274</v>
      </c>
      <c r="F19488" s="27" t="n">
        <f aca="false">Assumptions!$C$54</f>
        <v>520</v>
      </c>
      <c r="G19488" s="16" t="n">
        <f aca="false">G19477+G19484+G19482-G19483-G19485-G19486</f>
        <v>514.8</v>
      </c>
      <c r="H19488" s="16" t="n">
        <f aca="false">H19477+H19484+H19482-H19483-H19485-H19486</f>
        <v>509.6</v>
      </c>
      <c r="I19488" s="16" t="n">
        <f aca="false">I19477+I19484+I19482-I19483-I19485-I19486</f>
        <v>504.4</v>
      </c>
      <c r="J19488" s="16" t="n">
        <f aca="false">J19477+J19484+J19482-J19483-J19485-J19486</f>
        <v>499.2</v>
      </c>
      <c r="K19488" s="16" t="n">
        <f aca="false">K19477+K19484+K19482-K19483-K19485-K19486</f>
        <v>494</v>
      </c>
    </row>
    <row r="19489" customFormat="false" ht="15" hidden="false" customHeight="false" outlineLevel="0" collapsed="false">
      <c r="A19489" s="23" t="s">
        <v>276</v>
      </c>
      <c r="B19489" s="24"/>
      <c r="C19489" s="24"/>
      <c r="D19489" s="24"/>
      <c r="E19489" s="24"/>
      <c r="F19489" s="24"/>
      <c r="G19489" s="24"/>
      <c r="H19489" s="24"/>
      <c r="I19489" s="24"/>
      <c r="J19489" s="24"/>
      <c r="K19489" s="24"/>
    </row>
    <row r="19490" customFormat="false" ht="15" hidden="false" customHeight="false" outlineLevel="0" collapsed="false">
      <c r="A19490" s="5" t="s">
        <v>264</v>
      </c>
      <c r="G19490" s="25" t="n">
        <f aca="false">F19501</f>
        <v>250</v>
      </c>
      <c r="H19490" s="25" t="n">
        <f aca="false">G19501</f>
        <v>250</v>
      </c>
      <c r="I19490" s="25" t="n">
        <f aca="false">H19501</f>
        <v>250</v>
      </c>
      <c r="J19490" s="25" t="n">
        <f aca="false">I19501</f>
        <v>250</v>
      </c>
      <c r="K19490" s="25" t="n">
        <f aca="false">J19501</f>
        <v>250</v>
      </c>
    </row>
    <row r="19491" customFormat="false" ht="15" hidden="false" customHeight="false" outlineLevel="0" collapsed="false">
      <c r="A19491" s="5" t="s">
        <v>265</v>
      </c>
      <c r="G19491" s="20" t="n">
        <f aca="false">IF(G19428=Assumptions!$K$55,1,0)</f>
        <v>0</v>
      </c>
      <c r="H19491" s="20" t="n">
        <f aca="false">IF(H19428=Assumptions!$K$55,1,0)</f>
        <v>0</v>
      </c>
      <c r="I19491" s="20" t="n">
        <f aca="false">IF(I19428=Assumptions!$K$55,1,0)</f>
        <v>0</v>
      </c>
      <c r="J19491" s="20" t="n">
        <f aca="false">IF(J19428=Assumptions!$K$55,1,0)</f>
        <v>1</v>
      </c>
      <c r="K19491" s="20" t="n">
        <f aca="false">IF(K19428=Assumptions!$K$55,1,0)</f>
        <v>0</v>
      </c>
    </row>
    <row r="19493" customFormat="false" ht="15" hidden="false" customHeight="false" outlineLevel="0" collapsed="false">
      <c r="A19493" s="5" t="s">
        <v>266</v>
      </c>
      <c r="G19493" s="30" t="n">
        <f aca="false">IF(Assumptions!$I$55=1,MAX(G19454,Assumptions!$G$55)+Assumptions!$F$55+$C$19455,Assumptions!$E$55)</f>
        <v>0.11</v>
      </c>
      <c r="H19493" s="30" t="n">
        <f aca="false">IF(G19618=1,$C$19456,IF(Assumptions!$I$55=1,MAX(H19454,Assumptions!$G$55)+Assumptions!$F$55+$C$19455,Assumptions!$E$55))</f>
        <v>0.11</v>
      </c>
      <c r="I19493" s="30" t="n">
        <f aca="false">IF(H19618=1,$C$19456,IF(Assumptions!$I$55=1,MAX(I19454,Assumptions!$G$55)+Assumptions!$F$55+$C$19455,Assumptions!$E$55))</f>
        <v>0.11</v>
      </c>
      <c r="J19493" s="30" t="n">
        <f aca="false">IF(I19618=1,$C$19456,IF(Assumptions!$I$55=1,MAX(J19454,Assumptions!$G$55)+Assumptions!$F$55+$C$19455,Assumptions!$E$55))</f>
        <v>0.11</v>
      </c>
      <c r="K19493" s="30" t="n">
        <f aca="false">IF(J19618=1,$C$19456,IF(Assumptions!$I$55=1,MAX(K19454,Assumptions!$G$55)+Assumptions!$F$55+$C$19455,Assumptions!$E$55))</f>
        <v>0.11</v>
      </c>
    </row>
    <row r="19494" customFormat="false" ht="15" hidden="false" customHeight="false" outlineLevel="0" collapsed="false">
      <c r="A19494" s="5" t="s">
        <v>267</v>
      </c>
      <c r="G19494" s="25" t="n">
        <f aca="false">G19490*G19493</f>
        <v>27.5</v>
      </c>
      <c r="H19494" s="25" t="n">
        <f aca="false">H19490*H19493</f>
        <v>27.5</v>
      </c>
      <c r="I19494" s="25" t="n">
        <f aca="false">I19490*I19493</f>
        <v>27.5</v>
      </c>
      <c r="J19494" s="25" t="n">
        <f aca="false">J19490*J19493</f>
        <v>27.5</v>
      </c>
      <c r="K19494" s="25" t="n">
        <f aca="false">K19490*K19493</f>
        <v>27.5</v>
      </c>
    </row>
    <row r="19495" customFormat="false" ht="15" hidden="false" customHeight="false" outlineLevel="0" collapsed="false">
      <c r="A19495" s="5" t="s">
        <v>268</v>
      </c>
      <c r="G19495" s="25" t="n">
        <f aca="false">G19490*Assumptions!$H$55</f>
        <v>0</v>
      </c>
      <c r="H19495" s="25" t="n">
        <f aca="false">H19490*Assumptions!$H$55</f>
        <v>0</v>
      </c>
      <c r="I19495" s="25" t="n">
        <f aca="false">I19490*Assumptions!$H$55</f>
        <v>0</v>
      </c>
      <c r="J19495" s="25" t="n">
        <f aca="false">J19490*Assumptions!$H$55</f>
        <v>0</v>
      </c>
      <c r="K19495" s="25" t="n">
        <f aca="false">K19490*Assumptions!$H$55</f>
        <v>0</v>
      </c>
    </row>
    <row r="19496" customFormat="false" ht="15" hidden="false" customHeight="false" outlineLevel="0" collapsed="false">
      <c r="A19496" s="5" t="s">
        <v>269</v>
      </c>
      <c r="G19496" s="25" t="n">
        <f aca="false">MIN(G19490,Assumptions!$L$55*Assumptions!$C$55)</f>
        <v>0</v>
      </c>
      <c r="H19496" s="25" t="n">
        <f aca="false">MIN(H19490,Assumptions!$L$55*Assumptions!$C$55)</f>
        <v>0</v>
      </c>
      <c r="I19496" s="25" t="n">
        <f aca="false">MIN(I19490,Assumptions!$L$55*Assumptions!$C$55)</f>
        <v>0</v>
      </c>
      <c r="J19496" s="25" t="n">
        <f aca="false">MIN(J19490,Assumptions!$L$55*Assumptions!$C$55)</f>
        <v>0</v>
      </c>
      <c r="K19496" s="25" t="n">
        <f aca="false">MIN(K19490,Assumptions!$L$55*Assumptions!$C$55)</f>
        <v>0</v>
      </c>
    </row>
    <row r="19497" customFormat="false" ht="15" hidden="false" customHeight="false" outlineLevel="0" collapsed="false">
      <c r="A19497" s="5" t="s">
        <v>270</v>
      </c>
      <c r="G19497" s="25" t="n">
        <f aca="false">IF(AND(Assumptions!$P$55=1,G19428&lt;Assumptions!$K$55),MIN(MAX(0,-G19542),MAX(0,Assumptions!$D$55-G19490)),0)</f>
        <v>0</v>
      </c>
      <c r="H19497" s="25" t="n">
        <f aca="false">IF(AND(Assumptions!$P$55=1,OR(H19428&lt;Assumptions!$K$55,G19618=1)),MIN(MAX(0,-H19542),MAX(0,Assumptions!$D$55-H19490)),0)</f>
        <v>0</v>
      </c>
      <c r="I19497" s="25" t="n">
        <f aca="false">IF(AND(Assumptions!$P$55=1,OR(I19428&lt;Assumptions!$K$55,H19618=1)),MIN(MAX(0,-I19542),MAX(0,Assumptions!$D$55-I19490)),0)</f>
        <v>0</v>
      </c>
      <c r="J19497" s="25" t="n">
        <f aca="false">IF(AND(Assumptions!$P$55=1,OR(J19428&lt;Assumptions!$K$55,I19618=1)),MIN(MAX(0,-J19542),MAX(0,Assumptions!$D$55-J19490)),0)</f>
        <v>0</v>
      </c>
      <c r="K19497" s="25" t="n">
        <f aca="false">IF(AND(Assumptions!$P$55=1,OR(K19428&lt;Assumptions!$K$55,J19618=1)),MIN(MAX(0,-K19542),MAX(0,Assumptions!$D$55-K19490)),0)</f>
        <v>0</v>
      </c>
    </row>
    <row r="19498" customFormat="false" ht="15" hidden="false" customHeight="false" outlineLevel="0" collapsed="false">
      <c r="A19498" s="5" t="s">
        <v>271</v>
      </c>
      <c r="G19498" s="25" t="n">
        <f aca="false">G19491*MIN(G19490-G19496+G19495,MAX(0,G19544-Assumptions!$C$12*G19462-G19472-G19485))</f>
        <v>0</v>
      </c>
      <c r="H19498" s="25" t="n">
        <f aca="false">H19491*MIN(H19490-H19496+H19495,MAX(0,H19544-Assumptions!$C$12*H19462-H19472-H19485))</f>
        <v>0</v>
      </c>
      <c r="I19498" s="25" t="n">
        <f aca="false">I19491*MIN(I19490-I19496+I19495,MAX(0,I19544-Assumptions!$C$12*I19462-I19472-I19485))</f>
        <v>0</v>
      </c>
      <c r="J19498" s="25" t="n">
        <f aca="false">J19491*MIN(J19490-J19496+J19495,MAX(0,J19544-Assumptions!$C$12*J19462-J19472-J19485))</f>
        <v>0</v>
      </c>
      <c r="K19498" s="25" t="n">
        <f aca="false">K19491*MIN(K19490-K19496+K19495,MAX(0,K19544-Assumptions!$C$12*K19462-K19472-K19485))</f>
        <v>0</v>
      </c>
    </row>
    <row r="19499" customFormat="false" ht="15" hidden="false" customHeight="false" outlineLevel="0" collapsed="false">
      <c r="A19499" s="5" t="s">
        <v>272</v>
      </c>
      <c r="G19499" s="25" t="n">
        <f aca="false">Assumptions!$N$55*MIN(G19490+G19497+G19495-G19496-G19498,MAX(0,G19548-G19473-G19486))</f>
        <v>0</v>
      </c>
      <c r="H19499" s="25" t="n">
        <f aca="false">Assumptions!$N$55*MIN(H19490+H19497+H19495-H19496-H19498,MAX(0,H19548-H19473-H19486))</f>
        <v>0</v>
      </c>
      <c r="I19499" s="25" t="n">
        <f aca="false">Assumptions!$N$55*MIN(I19490+I19497+I19495-I19496-I19498,MAX(0,I19548-I19473-I19486))</f>
        <v>0</v>
      </c>
      <c r="J19499" s="25" t="n">
        <f aca="false">Assumptions!$N$55*MIN(J19490+J19497+J19495-J19496-J19498,MAX(0,J19548-J19473-J19486))</f>
        <v>0</v>
      </c>
      <c r="K19499" s="25" t="n">
        <f aca="false">Assumptions!$N$55*MIN(K19490+K19497+K19495-K19496-K19498,MAX(0,K19548-K19473-K19486))</f>
        <v>0</v>
      </c>
    </row>
    <row r="19500" customFormat="false" ht="15" hidden="false" customHeight="false" outlineLevel="0" collapsed="false">
      <c r="A19500" s="5" t="s">
        <v>273</v>
      </c>
      <c r="G19500" s="25" t="n">
        <f aca="false">G19491*(1-G19462)*(G19490-G19496+G19495-G19498)</f>
        <v>0</v>
      </c>
      <c r="H19500" s="25" t="n">
        <f aca="false">H19491*(1-H19462)*(H19490-H19496+H19495-H19498)</f>
        <v>0</v>
      </c>
      <c r="I19500" s="25" t="n">
        <f aca="false">I19491*(1-I19462)*(I19490-I19496+I19495-I19498)</f>
        <v>0</v>
      </c>
      <c r="J19500" s="25" t="n">
        <f aca="false">J19491*(1-J19462)*(J19490-J19496+J19495-J19498)</f>
        <v>250</v>
      </c>
      <c r="K19500" s="25" t="n">
        <f aca="false">K19491*(1-K19462)*(K19490-K19496+K19495-K19498)</f>
        <v>0</v>
      </c>
    </row>
    <row r="19501" customFormat="false" ht="15" hidden="false" customHeight="false" outlineLevel="0" collapsed="false">
      <c r="A19501" s="2" t="s">
        <v>274</v>
      </c>
      <c r="F19501" s="27" t="n">
        <f aca="false">Assumptions!$C$55</f>
        <v>250</v>
      </c>
      <c r="G19501" s="16" t="n">
        <f aca="false">G19490+G19497+G19495-G19496-G19498-G19499</f>
        <v>250</v>
      </c>
      <c r="H19501" s="16" t="n">
        <f aca="false">H19490+H19497+H19495-H19496-H19498-H19499</f>
        <v>250</v>
      </c>
      <c r="I19501" s="16" t="n">
        <f aca="false">I19490+I19497+I19495-I19496-I19498-I19499</f>
        <v>250</v>
      </c>
      <c r="J19501" s="16" t="n">
        <f aca="false">J19490+J19497+J19495-J19496-J19498-J19499</f>
        <v>250</v>
      </c>
      <c r="K19501" s="16" t="n">
        <f aca="false">K19490+K19497+K19495-K19496-K19498-K19499</f>
        <v>250</v>
      </c>
    </row>
    <row r="19502" customFormat="false" ht="15" hidden="false" customHeight="false" outlineLevel="0" collapsed="false">
      <c r="A19502" s="23" t="s">
        <v>277</v>
      </c>
      <c r="B19502" s="24"/>
      <c r="C19502" s="24"/>
      <c r="D19502" s="24"/>
      <c r="E19502" s="24"/>
      <c r="F19502" s="24"/>
      <c r="G19502" s="24"/>
      <c r="H19502" s="24"/>
      <c r="I19502" s="24"/>
      <c r="J19502" s="24"/>
      <c r="K19502" s="24"/>
    </row>
    <row r="19503" customFormat="false" ht="15" hidden="false" customHeight="false" outlineLevel="0" collapsed="false">
      <c r="A19503" s="5" t="s">
        <v>264</v>
      </c>
      <c r="G19503" s="25" t="n">
        <f aca="false">F19514</f>
        <v>300</v>
      </c>
      <c r="H19503" s="25" t="n">
        <f aca="false">G19514</f>
        <v>300</v>
      </c>
      <c r="I19503" s="25" t="n">
        <f aca="false">H19514</f>
        <v>300</v>
      </c>
      <c r="J19503" s="25" t="n">
        <f aca="false">I19514</f>
        <v>300</v>
      </c>
      <c r="K19503" s="25" t="n">
        <f aca="false">J19514</f>
        <v>300</v>
      </c>
    </row>
    <row r="19504" customFormat="false" ht="15" hidden="false" customHeight="false" outlineLevel="0" collapsed="false">
      <c r="A19504" s="5" t="s">
        <v>265</v>
      </c>
      <c r="G19504" s="20" t="n">
        <f aca="false">IF(G19428=Assumptions!$K$56,1,0)</f>
        <v>0</v>
      </c>
      <c r="H19504" s="20" t="n">
        <f aca="false">IF(H19428=Assumptions!$K$56,1,0)</f>
        <v>1</v>
      </c>
      <c r="I19504" s="20" t="n">
        <f aca="false">IF(I19428=Assumptions!$K$56,1,0)</f>
        <v>0</v>
      </c>
      <c r="J19504" s="20" t="n">
        <f aca="false">IF(J19428=Assumptions!$K$56,1,0)</f>
        <v>0</v>
      </c>
      <c r="K19504" s="20" t="n">
        <f aca="false">IF(K19428=Assumptions!$K$56,1,0)</f>
        <v>0</v>
      </c>
    </row>
    <row r="19506" customFormat="false" ht="15" hidden="false" customHeight="false" outlineLevel="0" collapsed="false">
      <c r="A19506" s="5" t="s">
        <v>266</v>
      </c>
      <c r="G19506" s="30" t="n">
        <f aca="false">IF(Assumptions!$I$56=1,MAX(G19454,Assumptions!$G$56)+Assumptions!$F$56+$C$19455,Assumptions!$E$56)</f>
        <v>0.075</v>
      </c>
      <c r="H19506" s="30" t="n">
        <f aca="false">IF(G19619=1,$C$19456,IF(Assumptions!$I$56=1,MAX(H19454,Assumptions!$G$56)+Assumptions!$F$56+$C$19455,Assumptions!$E$56))</f>
        <v>0.075</v>
      </c>
      <c r="I19506" s="30" t="n">
        <f aca="false">IF(H19619=1,$C$19456,IF(Assumptions!$I$56=1,MAX(I19454,Assumptions!$G$56)+Assumptions!$F$56+$C$19455,Assumptions!$E$56))</f>
        <v>0.075</v>
      </c>
      <c r="J19506" s="30" t="n">
        <f aca="false">IF(I19619=1,$C$19456,IF(Assumptions!$I$56=1,MAX(J19454,Assumptions!$G$56)+Assumptions!$F$56+$C$19455,Assumptions!$E$56))</f>
        <v>0.075</v>
      </c>
      <c r="K19506" s="30" t="n">
        <f aca="false">IF(J19619=1,$C$19456,IF(Assumptions!$I$56=1,MAX(K19454,Assumptions!$G$56)+Assumptions!$F$56+$C$19455,Assumptions!$E$56))</f>
        <v>0.075</v>
      </c>
    </row>
    <row r="19507" customFormat="false" ht="15" hidden="false" customHeight="false" outlineLevel="0" collapsed="false">
      <c r="A19507" s="5" t="s">
        <v>267</v>
      </c>
      <c r="G19507" s="25" t="n">
        <f aca="false">G19503*G19506</f>
        <v>22.5</v>
      </c>
      <c r="H19507" s="25" t="n">
        <f aca="false">H19503*H19506</f>
        <v>22.5</v>
      </c>
      <c r="I19507" s="25" t="n">
        <f aca="false">I19503*I19506</f>
        <v>22.5</v>
      </c>
      <c r="J19507" s="25" t="n">
        <f aca="false">J19503*J19506</f>
        <v>22.5</v>
      </c>
      <c r="K19507" s="25" t="n">
        <f aca="false">K19503*K19506</f>
        <v>22.5</v>
      </c>
    </row>
    <row r="19508" customFormat="false" ht="15" hidden="false" customHeight="false" outlineLevel="0" collapsed="false">
      <c r="A19508" s="5" t="s">
        <v>268</v>
      </c>
      <c r="G19508" s="25" t="n">
        <f aca="false">G19503*Assumptions!$H$56</f>
        <v>0</v>
      </c>
      <c r="H19508" s="25" t="n">
        <f aca="false">H19503*Assumptions!$H$56</f>
        <v>0</v>
      </c>
      <c r="I19508" s="25" t="n">
        <f aca="false">I19503*Assumptions!$H$56</f>
        <v>0</v>
      </c>
      <c r="J19508" s="25" t="n">
        <f aca="false">J19503*Assumptions!$H$56</f>
        <v>0</v>
      </c>
      <c r="K19508" s="25" t="n">
        <f aca="false">K19503*Assumptions!$H$56</f>
        <v>0</v>
      </c>
    </row>
    <row r="19509" customFormat="false" ht="15" hidden="false" customHeight="false" outlineLevel="0" collapsed="false">
      <c r="A19509" s="5" t="s">
        <v>269</v>
      </c>
      <c r="G19509" s="25" t="n">
        <f aca="false">MIN(G19503,Assumptions!$L$56*Assumptions!$C$56)</f>
        <v>0</v>
      </c>
      <c r="H19509" s="25" t="n">
        <f aca="false">MIN(H19503,Assumptions!$L$56*Assumptions!$C$56)</f>
        <v>0</v>
      </c>
      <c r="I19509" s="25" t="n">
        <f aca="false">MIN(I19503,Assumptions!$L$56*Assumptions!$C$56)</f>
        <v>0</v>
      </c>
      <c r="J19509" s="25" t="n">
        <f aca="false">MIN(J19503,Assumptions!$L$56*Assumptions!$C$56)</f>
        <v>0</v>
      </c>
      <c r="K19509" s="25" t="n">
        <f aca="false">MIN(K19503,Assumptions!$L$56*Assumptions!$C$56)</f>
        <v>0</v>
      </c>
    </row>
    <row r="19510" customFormat="false" ht="15" hidden="false" customHeight="false" outlineLevel="0" collapsed="false">
      <c r="A19510" s="5" t="s">
        <v>270</v>
      </c>
      <c r="G19510" s="25" t="n">
        <f aca="false">IF(AND(Assumptions!$P$56=1,G19428&lt;Assumptions!$K$56),MIN(MAX(0,-G19542),MAX(0,Assumptions!$D$56-G19503)),0)</f>
        <v>0</v>
      </c>
      <c r="H19510" s="25" t="n">
        <f aca="false">IF(AND(Assumptions!$P$56=1,OR(H19428&lt;Assumptions!$K$56,G19619=1)),MIN(MAX(0,-H19542),MAX(0,Assumptions!$D$56-H19503)),0)</f>
        <v>0</v>
      </c>
      <c r="I19510" s="25" t="n">
        <f aca="false">IF(AND(Assumptions!$P$56=1,OR(I19428&lt;Assumptions!$K$56,H19619=1)),MIN(MAX(0,-I19542),MAX(0,Assumptions!$D$56-I19503)),0)</f>
        <v>0</v>
      </c>
      <c r="J19510" s="25" t="n">
        <f aca="false">IF(AND(Assumptions!$P$56=1,OR(J19428&lt;Assumptions!$K$56,I19619=1)),MIN(MAX(0,-J19542),MAX(0,Assumptions!$D$56-J19503)),0)</f>
        <v>0</v>
      </c>
      <c r="K19510" s="25" t="n">
        <f aca="false">IF(AND(Assumptions!$P$56=1,OR(K19428&lt;Assumptions!$K$56,J19619=1)),MIN(MAX(0,-K19542),MAX(0,Assumptions!$D$56-K19503)),0)</f>
        <v>0</v>
      </c>
    </row>
    <row r="19511" customFormat="false" ht="15" hidden="false" customHeight="false" outlineLevel="0" collapsed="false">
      <c r="A19511" s="5" t="s">
        <v>271</v>
      </c>
      <c r="G19511" s="25" t="n">
        <f aca="false">G19504*MIN(G19503-G19509+G19508,MAX(0,G19544-Assumptions!$C$12*G19462-G19472-G19485-G19498))</f>
        <v>0</v>
      </c>
      <c r="H19511" s="25" t="n">
        <f aca="false">H19504*MIN(H19503-H19509+H19508,MAX(0,H19544-Assumptions!$C$12*H19462-H19472-H19485-H19498))</f>
        <v>0</v>
      </c>
      <c r="I19511" s="25" t="n">
        <f aca="false">I19504*MIN(I19503-I19509+I19508,MAX(0,I19544-Assumptions!$C$12*I19462-I19472-I19485-I19498))</f>
        <v>0</v>
      </c>
      <c r="J19511" s="25" t="n">
        <f aca="false">J19504*MIN(J19503-J19509+J19508,MAX(0,J19544-Assumptions!$C$12*J19462-J19472-J19485-J19498))</f>
        <v>0</v>
      </c>
      <c r="K19511" s="25" t="n">
        <f aca="false">K19504*MIN(K19503-K19509+K19508,MAX(0,K19544-Assumptions!$C$12*K19462-K19472-K19485-K19498))</f>
        <v>0</v>
      </c>
    </row>
    <row r="19512" customFormat="false" ht="15" hidden="false" customHeight="false" outlineLevel="0" collapsed="false">
      <c r="A19512" s="5" t="s">
        <v>272</v>
      </c>
      <c r="G19512" s="25" t="n">
        <f aca="false">Assumptions!$N$56*MIN(G19503+G19510+G19508-G19509-G19511,MAX(0,G19548-G19473-G19486-G19499))</f>
        <v>0</v>
      </c>
      <c r="H19512" s="25" t="n">
        <f aca="false">Assumptions!$N$56*MIN(H19503+H19510+H19508-H19509-H19511,MAX(0,H19548-H19473-H19486-H19499))</f>
        <v>0</v>
      </c>
      <c r="I19512" s="25" t="n">
        <f aca="false">Assumptions!$N$56*MIN(I19503+I19510+I19508-I19509-I19511,MAX(0,I19548-I19473-I19486-I19499))</f>
        <v>0</v>
      </c>
      <c r="J19512" s="25" t="n">
        <f aca="false">Assumptions!$N$56*MIN(J19503+J19510+J19508-J19509-J19511,MAX(0,J19548-J19473-J19486-J19499))</f>
        <v>0</v>
      </c>
      <c r="K19512" s="25" t="n">
        <f aca="false">Assumptions!$N$56*MIN(K19503+K19510+K19508-K19509-K19511,MAX(0,K19548-K19473-K19486-K19499))</f>
        <v>0</v>
      </c>
    </row>
    <row r="19513" customFormat="false" ht="15" hidden="false" customHeight="false" outlineLevel="0" collapsed="false">
      <c r="A19513" s="5" t="s">
        <v>273</v>
      </c>
      <c r="G19513" s="25" t="n">
        <f aca="false">G19504*(1-G19462)*(G19503-G19509+G19508-G19511)</f>
        <v>0</v>
      </c>
      <c r="H19513" s="25" t="n">
        <f aca="false">H19504*(1-H19462)*(H19503-H19509+H19508-H19511)</f>
        <v>300</v>
      </c>
      <c r="I19513" s="25" t="n">
        <f aca="false">I19504*(1-I19462)*(I19503-I19509+I19508-I19511)</f>
        <v>0</v>
      </c>
      <c r="J19513" s="25" t="n">
        <f aca="false">J19504*(1-J19462)*(J19503-J19509+J19508-J19511)</f>
        <v>0</v>
      </c>
      <c r="K19513" s="25" t="n">
        <f aca="false">K19504*(1-K19462)*(K19503-K19509+K19508-K19511)</f>
        <v>0</v>
      </c>
    </row>
    <row r="19514" customFormat="false" ht="15" hidden="false" customHeight="false" outlineLevel="0" collapsed="false">
      <c r="A19514" s="2" t="s">
        <v>274</v>
      </c>
      <c r="F19514" s="27" t="n">
        <f aca="false">Assumptions!$C$56</f>
        <v>300</v>
      </c>
      <c r="G19514" s="16" t="n">
        <f aca="false">G19503+G19510+G19508-G19509-G19511-G19512</f>
        <v>300</v>
      </c>
      <c r="H19514" s="16" t="n">
        <f aca="false">H19503+H19510+H19508-H19509-H19511-H19512</f>
        <v>300</v>
      </c>
      <c r="I19514" s="16" t="n">
        <f aca="false">I19503+I19510+I19508-I19509-I19511-I19512</f>
        <v>300</v>
      </c>
      <c r="J19514" s="16" t="n">
        <f aca="false">J19503+J19510+J19508-J19509-J19511-J19512</f>
        <v>300</v>
      </c>
      <c r="K19514" s="16" t="n">
        <f aca="false">K19503+K19510+K19508-K19509-K19511-K19512</f>
        <v>300</v>
      </c>
    </row>
    <row r="19515" customFormat="false" ht="15" hidden="false" customHeight="false" outlineLevel="0" collapsed="false">
      <c r="A19515" s="23" t="s">
        <v>278</v>
      </c>
      <c r="B19515" s="24"/>
      <c r="C19515" s="24"/>
      <c r="D19515" s="24"/>
      <c r="E19515" s="24"/>
      <c r="F19515" s="24"/>
      <c r="G19515" s="24"/>
      <c r="H19515" s="24"/>
      <c r="I19515" s="24"/>
      <c r="J19515" s="24"/>
      <c r="K19515" s="24"/>
    </row>
    <row r="19516" customFormat="false" ht="15" hidden="false" customHeight="false" outlineLevel="0" collapsed="false">
      <c r="A19516" s="2" t="s">
        <v>279</v>
      </c>
      <c r="F19516" s="16" t="n">
        <f aca="false">F19475+F19488+F19501+F19514</f>
        <v>1250</v>
      </c>
      <c r="G19516" s="16" t="n">
        <f aca="false">G19475+G19488+G19501+G19514</f>
        <v>1281.0968</v>
      </c>
      <c r="H19516" s="16" t="n">
        <f aca="false">H19475+H19488+H19501+H19514</f>
        <v>1275.8968</v>
      </c>
      <c r="I19516" s="16" t="n">
        <f aca="false">I19475+I19488+I19501+I19514</f>
        <v>1270.6968</v>
      </c>
      <c r="J19516" s="16" t="n">
        <f aca="false">J19475+J19488+J19501+J19514</f>
        <v>1265.4968</v>
      </c>
      <c r="K19516" s="16" t="n">
        <f aca="false">K19475+K19488+K19501+K19514</f>
        <v>1260.2968</v>
      </c>
    </row>
    <row r="19517" customFormat="false" ht="15" hidden="false" customHeight="false" outlineLevel="0" collapsed="false">
      <c r="A19517" s="5" t="s">
        <v>280</v>
      </c>
      <c r="G19517" s="25" t="n">
        <f aca="false">G19465*Assumptions!$C$53+G19478*Assumptions!$C$54+G19491*Assumptions!$C$55+G19504*Assumptions!$C$56</f>
        <v>0</v>
      </c>
      <c r="H19517" s="25" t="n">
        <f aca="false">H19465*Assumptions!$C$53+H19478*Assumptions!$C$54+H19491*Assumptions!$C$55+H19504*Assumptions!$C$56</f>
        <v>480</v>
      </c>
      <c r="I19517" s="25" t="n">
        <f aca="false">I19465*Assumptions!$C$53+I19478*Assumptions!$C$54+I19491*Assumptions!$C$55+I19504*Assumptions!$C$56</f>
        <v>520</v>
      </c>
      <c r="J19517" s="25" t="n">
        <f aca="false">J19465*Assumptions!$C$53+J19478*Assumptions!$C$54+J19491*Assumptions!$C$55+J19504*Assumptions!$C$56</f>
        <v>250</v>
      </c>
      <c r="K19517" s="25" t="n">
        <f aca="false">K19465*Assumptions!$C$53+K19478*Assumptions!$C$54+K19491*Assumptions!$C$55+K19504*Assumptions!$C$56</f>
        <v>0</v>
      </c>
    </row>
    <row r="19518" customFormat="false" ht="15" hidden="false" customHeight="false" outlineLevel="0" collapsed="false">
      <c r="A19518" s="23" t="s">
        <v>281</v>
      </c>
      <c r="B19518" s="24"/>
      <c r="C19518" s="24"/>
      <c r="D19518" s="24"/>
      <c r="E19518" s="24"/>
      <c r="F19518" s="24"/>
      <c r="G19518" s="24"/>
      <c r="H19518" s="24"/>
      <c r="I19518" s="24"/>
      <c r="J19518" s="24"/>
      <c r="K19518" s="24"/>
    </row>
    <row r="19519" customFormat="false" ht="15" hidden="false" customHeight="false" outlineLevel="0" collapsed="false">
      <c r="A19519" s="5" t="s">
        <v>282</v>
      </c>
      <c r="C19519" s="25" t="n">
        <f aca="false">SUMPRODUCT($G$19465:$K$19465,$G$19464:$K$19464-$G$19470:$K$19470+$G$19469:$K$19469)</f>
        <v>216.2968</v>
      </c>
    </row>
    <row r="19520" customFormat="false" ht="15" hidden="false" customHeight="false" outlineLevel="0" collapsed="false">
      <c r="A19520" s="5" t="s">
        <v>283</v>
      </c>
      <c r="C19520" s="25" t="n">
        <f aca="false">SUMPRODUCT($G$19465:$K$19465,$G$19472:$K$19472)</f>
        <v>0</v>
      </c>
    </row>
    <row r="19521" customFormat="false" ht="15" hidden="false" customHeight="false" outlineLevel="0" collapsed="false">
      <c r="A19521" s="5" t="s">
        <v>284</v>
      </c>
      <c r="C19521" s="5" t="str">
        <f aca="false">IF(SUM($G$19465:$K$19465)=0,"n/a (beyond horizon)",IF(SUMPRODUCT($G$19465:$K$19465,$G$19462:$K$19462)&gt;0,"REFINANCING PASS","REFINANCING FAILURE"))</f>
        <v>REFINANCING FAILURE</v>
      </c>
    </row>
    <row r="19522" customFormat="false" ht="15" hidden="false" customHeight="false" outlineLevel="0" collapsed="false">
      <c r="A19522" s="5" t="s">
        <v>285</v>
      </c>
      <c r="C19522" s="5" t="str">
        <f aca="false">IF(SUM($G$19465:$K$19465)=0,"n/a",IF(C19520&gt;=C19519-0.001,"Repaid from cash",IF(SUMPRODUCT($G$19465:$K$19465,$G$19462:$K$19462)&gt;0,IF(C19520&gt;0,"Partly repaid; remainder refinanced","Refinanced"),IF(SUM($G$19474:$K$19474)&gt;0.001,IF(C19520&gt;0,"Partial repayment; PAYMENT DEFAULT","PAYMENT DEFAULT"),"Repaid from cash"))))</f>
        <v>PAYMENT DEFAULT</v>
      </c>
    </row>
    <row r="19523" customFormat="false" ht="15" hidden="false" customHeight="false" outlineLevel="0" collapsed="false">
      <c r="A19523" s="5" t="s">
        <v>286</v>
      </c>
      <c r="C19523" s="25" t="n">
        <f aca="false">SUMPRODUCT($G$19478:$K$19478,$G$19477:$K$19477-$G$19483:$K$19483+$G$19482:$K$19482)</f>
        <v>504.4</v>
      </c>
    </row>
    <row r="19524" customFormat="false" ht="15" hidden="false" customHeight="false" outlineLevel="0" collapsed="false">
      <c r="A19524" s="5" t="s">
        <v>287</v>
      </c>
      <c r="C19524" s="25" t="n">
        <f aca="false">SUMPRODUCT($G$19478:$K$19478,$G$19485:$K$19485)</f>
        <v>0</v>
      </c>
    </row>
    <row r="19525" customFormat="false" ht="15" hidden="false" customHeight="false" outlineLevel="0" collapsed="false">
      <c r="A19525" s="5" t="s">
        <v>288</v>
      </c>
      <c r="C19525" s="5" t="str">
        <f aca="false">IF(SUM($G$19478:$K$19478)=0,"n/a (beyond horizon)",IF(SUMPRODUCT($G$19478:$K$19478,$G$19462:$K$19462)&gt;0,"REFINANCING PASS","REFINANCING FAILURE"))</f>
        <v>REFINANCING FAILURE</v>
      </c>
    </row>
    <row r="19526" customFormat="false" ht="15" hidden="false" customHeight="false" outlineLevel="0" collapsed="false">
      <c r="A19526" s="5" t="s">
        <v>289</v>
      </c>
      <c r="C19526" s="5" t="str">
        <f aca="false">IF(SUM($G$19478:$K$19478)=0,"n/a",IF(C19524&gt;=C19523-0.001,"Repaid from cash",IF(SUMPRODUCT($G$19478:$K$19478,$G$19462:$K$19462)&gt;0,IF(C19524&gt;0,"Partly repaid; remainder refinanced","Refinanced"),IF(SUM($G$19487:$K$19487)&gt;0.001,IF(C19524&gt;0,"Partial repayment; PAYMENT DEFAULT","PAYMENT DEFAULT"),"Repaid from cash"))))</f>
        <v>PAYMENT DEFAULT</v>
      </c>
    </row>
    <row r="19527" customFormat="false" ht="15" hidden="false" customHeight="false" outlineLevel="0" collapsed="false">
      <c r="A19527" s="5" t="s">
        <v>290</v>
      </c>
      <c r="C19527" s="25" t="n">
        <f aca="false">SUMPRODUCT($G$19491:$K$19491,$G$19490:$K$19490-$G$19496:$K$19496+$G$19495:$K$19495)</f>
        <v>250</v>
      </c>
    </row>
    <row r="19528" customFormat="false" ht="15" hidden="false" customHeight="false" outlineLevel="0" collapsed="false">
      <c r="A19528" s="5" t="s">
        <v>291</v>
      </c>
      <c r="C19528" s="25" t="n">
        <f aca="false">SUMPRODUCT($G$19491:$K$19491,$G$19498:$K$19498)</f>
        <v>0</v>
      </c>
    </row>
    <row r="19529" customFormat="false" ht="15" hidden="false" customHeight="false" outlineLevel="0" collapsed="false">
      <c r="A19529" s="5" t="s">
        <v>292</v>
      </c>
      <c r="C19529" s="5" t="str">
        <f aca="false">IF(SUM($G$19491:$K$19491)=0,"n/a (beyond horizon)",IF(SUMPRODUCT($G$19491:$K$19491,$G$19462:$K$19462)&gt;0,"REFINANCING PASS","REFINANCING FAILURE"))</f>
        <v>REFINANCING FAILURE</v>
      </c>
    </row>
    <row r="19530" customFormat="false" ht="15" hidden="false" customHeight="false" outlineLevel="0" collapsed="false">
      <c r="A19530" s="5" t="s">
        <v>293</v>
      </c>
      <c r="C19530" s="5" t="str">
        <f aca="false">IF(SUM($G$19491:$K$19491)=0,"n/a",IF(C19528&gt;=C19527-0.001,"Repaid from cash",IF(SUMPRODUCT($G$19491:$K$19491,$G$19462:$K$19462)&gt;0,IF(C19528&gt;0,"Partly repaid; remainder refinanced","Refinanced"),IF(SUM($G$19500:$K$19500)&gt;0.001,IF(C19528&gt;0,"Partial repayment; PAYMENT DEFAULT","PAYMENT DEFAULT"),"Repaid from cash"))))</f>
        <v>PAYMENT DEFAULT</v>
      </c>
    </row>
    <row r="19531" customFormat="false" ht="15" hidden="false" customHeight="false" outlineLevel="0" collapsed="false">
      <c r="A19531" s="5" t="s">
        <v>294</v>
      </c>
      <c r="C19531" s="25" t="n">
        <f aca="false">SUMPRODUCT($G$19504:$K$19504,$G$19503:$K$19503-$G$19509:$K$19509+$G$19508:$K$19508)</f>
        <v>300</v>
      </c>
    </row>
    <row r="19532" customFormat="false" ht="15" hidden="false" customHeight="false" outlineLevel="0" collapsed="false">
      <c r="A19532" s="5" t="s">
        <v>295</v>
      </c>
      <c r="C19532" s="25" t="n">
        <f aca="false">SUMPRODUCT($G$19504:$K$19504,$G$19511:$K$19511)</f>
        <v>0</v>
      </c>
    </row>
    <row r="19533" customFormat="false" ht="15" hidden="false" customHeight="false" outlineLevel="0" collapsed="false">
      <c r="A19533" s="5" t="s">
        <v>296</v>
      </c>
      <c r="C19533" s="5" t="str">
        <f aca="false">IF(SUM($G$19504:$K$19504)=0,"n/a (beyond horizon)",IF(SUMPRODUCT($G$19504:$K$19504,$G$19462:$K$19462)&gt;0,"REFINANCING PASS","REFINANCING FAILURE"))</f>
        <v>REFINANCING FAILURE</v>
      </c>
    </row>
    <row r="19534" customFormat="false" ht="15" hidden="false" customHeight="false" outlineLevel="0" collapsed="false">
      <c r="A19534" s="5" t="s">
        <v>297</v>
      </c>
      <c r="C19534" s="5" t="str">
        <f aca="false">IF(SUM($G$19504:$K$19504)=0,"n/a",IF(C19532&gt;=C19531-0.001,"Repaid from cash",IF(SUMPRODUCT($G$19504:$K$19504,$G$19462:$K$19462)&gt;0,IF(C19532&gt;0,"Partly repaid; remainder refinanced","Refinanced"),IF(SUM($G$19513:$K$19513)&gt;0.001,IF(C19532&gt;0,"Partial repayment; PAYMENT DEFAULT","PAYMENT DEFAULT"),"Repaid from cash"))))</f>
        <v>PAYMENT DEFAULT</v>
      </c>
    </row>
    <row r="19535" customFormat="false" ht="15" hidden="false" customHeight="false" outlineLevel="0" collapsed="false">
      <c r="A19535" s="5" t="s">
        <v>298</v>
      </c>
      <c r="C19535" s="20" t="n">
        <f aca="false">IF(C19521="REFINANCING FAILURE",1,0)+IF(C19525="REFINANCING FAILURE",1,0)+IF(C19529="REFINANCING FAILURE",1,0)+IF(C19533="REFINANCING FAILURE",1,0)</f>
        <v>4</v>
      </c>
    </row>
    <row r="19537" customFormat="false" ht="15" hidden="false" customHeight="false" outlineLevel="0" collapsed="false">
      <c r="A19537" s="23" t="s">
        <v>300</v>
      </c>
      <c r="B19537" s="24"/>
      <c r="C19537" s="24"/>
      <c r="D19537" s="24"/>
      <c r="E19537" s="24"/>
      <c r="F19537" s="24"/>
      <c r="G19537" s="24"/>
      <c r="H19537" s="24"/>
      <c r="I19537" s="24"/>
      <c r="J19537" s="24"/>
      <c r="K19537" s="24"/>
    </row>
    <row r="19538" customFormat="false" ht="15" hidden="false" customHeight="false" outlineLevel="0" collapsed="false">
      <c r="A19538" s="5" t="s">
        <v>260</v>
      </c>
      <c r="G19538" s="25" t="n">
        <f aca="false">F19550</f>
        <v>45</v>
      </c>
      <c r="H19538" s="25" t="n">
        <f aca="false">G19550</f>
        <v>0</v>
      </c>
      <c r="I19538" s="25" t="n">
        <f aca="false">H19550</f>
        <v>-121.3557292</v>
      </c>
      <c r="J19538" s="25" t="n">
        <f aca="false">I19550</f>
        <v>-236.702175152</v>
      </c>
      <c r="K19538" s="25" t="n">
        <f aca="false">J19550</f>
        <v>-337.79889141424</v>
      </c>
    </row>
    <row r="19539" customFormat="false" ht="15" hidden="false" customHeight="false" outlineLevel="0" collapsed="false">
      <c r="A19539" s="5" t="s">
        <v>301</v>
      </c>
      <c r="G19539" s="25" t="n">
        <f aca="false">G19451</f>
        <v>-76.0968</v>
      </c>
      <c r="H19539" s="25" t="n">
        <f aca="false">H19451</f>
        <v>-116.1557292</v>
      </c>
      <c r="I19539" s="25" t="n">
        <f aca="false">I19451</f>
        <v>-110.146445952</v>
      </c>
      <c r="J19539" s="25" t="n">
        <f aca="false">J19451</f>
        <v>-95.89671626224</v>
      </c>
      <c r="K19539" s="25" t="n">
        <f aca="false">K19451</f>
        <v>-83.18519092616</v>
      </c>
    </row>
    <row r="19540" customFormat="false" ht="15" hidden="false" customHeight="false" outlineLevel="0" collapsed="false">
      <c r="A19540" s="5" t="s">
        <v>302</v>
      </c>
      <c r="G19540" s="25" t="n">
        <f aca="false">CHOOSE($C$19421,Assumptions!$G$68,Assumptions!$G$87,Assumptions!$G$106)</f>
        <v>0</v>
      </c>
      <c r="H19540" s="25" t="n">
        <f aca="false">CHOOSE($C$19421,Assumptions!$H$68,Assumptions!$H$87,Assumptions!$H$106)</f>
        <v>0</v>
      </c>
      <c r="I19540" s="25" t="n">
        <f aca="false">CHOOSE($C$19421,Assumptions!$I$68,Assumptions!$I$87,Assumptions!$I$106)</f>
        <v>0</v>
      </c>
      <c r="J19540" s="25" t="n">
        <f aca="false">CHOOSE($C$19421,Assumptions!$J$68,Assumptions!$J$87,Assumptions!$J$106)</f>
        <v>0</v>
      </c>
      <c r="K19540" s="25" t="n">
        <f aca="false">CHOOSE($C$19421,Assumptions!$K$68,Assumptions!$K$87,Assumptions!$K$106)</f>
        <v>0</v>
      </c>
    </row>
    <row r="19541" customFormat="false" ht="15" hidden="false" customHeight="false" outlineLevel="0" collapsed="false">
      <c r="A19541" s="5" t="s">
        <v>303</v>
      </c>
      <c r="G19541" s="25" t="n">
        <f aca="false">G19470+G19483+G19496+G19509</f>
        <v>5.2</v>
      </c>
      <c r="H19541" s="25" t="n">
        <f aca="false">H19470+H19483+H19496+H19509</f>
        <v>5.2</v>
      </c>
      <c r="I19541" s="25" t="n">
        <f aca="false">I19470+I19483+I19496+I19509</f>
        <v>5.2</v>
      </c>
      <c r="J19541" s="25" t="n">
        <f aca="false">J19470+J19483+J19496+J19509</f>
        <v>5.2</v>
      </c>
      <c r="K19541" s="25" t="n">
        <f aca="false">K19470+K19483+K19496+K19509</f>
        <v>5.2</v>
      </c>
    </row>
    <row r="19542" customFormat="false" ht="15" hidden="false" customHeight="false" outlineLevel="0" collapsed="false">
      <c r="A19542" s="2" t="s">
        <v>304</v>
      </c>
      <c r="G19542" s="16" t="n">
        <f aca="false">G19538+G19539+G19540-G19541</f>
        <v>-36.2968000000001</v>
      </c>
      <c r="H19542" s="16" t="n">
        <f aca="false">H19538+H19539+H19540-H19541</f>
        <v>-121.3557292</v>
      </c>
      <c r="I19542" s="16" t="n">
        <f aca="false">I19538+I19539+I19540-I19541</f>
        <v>-236.702175152</v>
      </c>
      <c r="J19542" s="16" t="n">
        <f aca="false">J19538+J19539+J19540-J19541</f>
        <v>-337.79889141424</v>
      </c>
      <c r="K19542" s="16" t="n">
        <f aca="false">K19538+K19539+K19540-K19541</f>
        <v>-426.1840823404</v>
      </c>
    </row>
    <row r="19543" customFormat="false" ht="15" hidden="false" customHeight="false" outlineLevel="0" collapsed="false">
      <c r="A19543" s="5" t="s">
        <v>305</v>
      </c>
      <c r="G19543" s="25" t="n">
        <f aca="false">G19471+G19484+G19497+G19510</f>
        <v>36.2968000000001</v>
      </c>
      <c r="H19543" s="25" t="n">
        <f aca="false">H19471+H19484+H19497+H19510</f>
        <v>0</v>
      </c>
      <c r="I19543" s="25" t="n">
        <f aca="false">I19471+I19484+I19497+I19510</f>
        <v>0</v>
      </c>
      <c r="J19543" s="25" t="n">
        <f aca="false">J19471+J19484+J19497+J19510</f>
        <v>0</v>
      </c>
      <c r="K19543" s="25" t="n">
        <f aca="false">K19471+K19484+K19497+K19510</f>
        <v>0</v>
      </c>
    </row>
    <row r="19544" customFormat="false" ht="15" hidden="false" customHeight="false" outlineLevel="0" collapsed="false">
      <c r="A19544" s="2" t="s">
        <v>306</v>
      </c>
      <c r="G19544" s="16" t="n">
        <f aca="false">G19542+G19543</f>
        <v>0</v>
      </c>
      <c r="H19544" s="16" t="n">
        <f aca="false">H19542+H19543</f>
        <v>-121.3557292</v>
      </c>
      <c r="I19544" s="16" t="n">
        <f aca="false">I19542+I19543</f>
        <v>-236.702175152</v>
      </c>
      <c r="J19544" s="16" t="n">
        <f aca="false">J19542+J19543</f>
        <v>-337.79889141424</v>
      </c>
      <c r="K19544" s="16" t="n">
        <f aca="false">K19542+K19543</f>
        <v>-426.1840823404</v>
      </c>
    </row>
    <row r="19545" customFormat="false" ht="15" hidden="false" customHeight="false" outlineLevel="0" collapsed="false">
      <c r="A19545" s="5" t="s">
        <v>307</v>
      </c>
      <c r="G19545" s="25" t="n">
        <f aca="false">G19472+G19485+G19498+G19511</f>
        <v>0</v>
      </c>
      <c r="H19545" s="25" t="n">
        <f aca="false">H19472+H19485+H19498+H19511</f>
        <v>0</v>
      </c>
      <c r="I19545" s="25" t="n">
        <f aca="false">I19472+I19485+I19498+I19511</f>
        <v>0</v>
      </c>
      <c r="J19545" s="25" t="n">
        <f aca="false">J19472+J19485+J19498+J19511</f>
        <v>0</v>
      </c>
      <c r="K19545" s="25" t="n">
        <f aca="false">K19472+K19485+K19498+K19511</f>
        <v>0</v>
      </c>
    </row>
    <row r="19546" customFormat="false" ht="15" hidden="false" customHeight="false" outlineLevel="0" collapsed="false">
      <c r="A19546" s="2" t="s">
        <v>308</v>
      </c>
      <c r="G19546" s="16" t="n">
        <f aca="false">G19544-G19545</f>
        <v>0</v>
      </c>
      <c r="H19546" s="16" t="n">
        <f aca="false">H19544-H19545</f>
        <v>-121.3557292</v>
      </c>
      <c r="I19546" s="16" t="n">
        <f aca="false">I19544-I19545</f>
        <v>-236.702175152</v>
      </c>
      <c r="J19546" s="16" t="n">
        <f aca="false">J19544-J19545</f>
        <v>-337.79889141424</v>
      </c>
      <c r="K19546" s="16" t="n">
        <f aca="false">K19544-K19545</f>
        <v>-426.1840823404</v>
      </c>
    </row>
    <row r="19547" customFormat="false" ht="15" hidden="false" customHeight="false" outlineLevel="0" collapsed="false">
      <c r="A19547" s="5" t="s">
        <v>309</v>
      </c>
      <c r="G19547" s="25" t="n">
        <f aca="false">MAX(0,-G19546)</f>
        <v>-0</v>
      </c>
      <c r="H19547" s="25" t="n">
        <f aca="false">MAX(0,-H19546)</f>
        <v>121.3557292</v>
      </c>
      <c r="I19547" s="25" t="n">
        <f aca="false">MAX(0,-I19546)</f>
        <v>236.702175152</v>
      </c>
      <c r="J19547" s="25" t="n">
        <f aca="false">MAX(0,-J19546)</f>
        <v>337.79889141424</v>
      </c>
      <c r="K19547" s="25" t="n">
        <f aca="false">MAX(0,-K19546)</f>
        <v>426.1840823404</v>
      </c>
    </row>
    <row r="19548" customFormat="false" ht="15" hidden="false" customHeight="false" outlineLevel="0" collapsed="false">
      <c r="A19548" s="5" t="s">
        <v>310</v>
      </c>
      <c r="G19548" s="25" t="n">
        <f aca="false">MAX(0,G19546-Assumptions!$C$12)*Assumptions!$C$13</f>
        <v>0</v>
      </c>
      <c r="H19548" s="25" t="n">
        <f aca="false">MAX(0,H19546-Assumptions!$C$12)*Assumptions!$C$13</f>
        <v>0</v>
      </c>
      <c r="I19548" s="25" t="n">
        <f aca="false">MAX(0,I19546-Assumptions!$C$12)*Assumptions!$C$13</f>
        <v>0</v>
      </c>
      <c r="J19548" s="25" t="n">
        <f aca="false">MAX(0,J19546-Assumptions!$C$12)*Assumptions!$C$13</f>
        <v>0</v>
      </c>
      <c r="K19548" s="25" t="n">
        <f aca="false">MAX(0,K19546-Assumptions!$C$12)*Assumptions!$C$13</f>
        <v>0</v>
      </c>
    </row>
    <row r="19549" customFormat="false" ht="15" hidden="false" customHeight="false" outlineLevel="0" collapsed="false">
      <c r="A19549" s="5" t="s">
        <v>311</v>
      </c>
      <c r="G19549" s="25" t="n">
        <f aca="false">G19473+G19486+G19499+G19512</f>
        <v>0</v>
      </c>
      <c r="H19549" s="25" t="n">
        <f aca="false">H19473+H19486+H19499+H19512</f>
        <v>0</v>
      </c>
      <c r="I19549" s="25" t="n">
        <f aca="false">I19473+I19486+I19499+I19512</f>
        <v>0</v>
      </c>
      <c r="J19549" s="25" t="n">
        <f aca="false">J19473+J19486+J19499+J19512</f>
        <v>0</v>
      </c>
      <c r="K19549" s="25" t="n">
        <f aca="false">K19473+K19486+K19499+K19512</f>
        <v>0</v>
      </c>
    </row>
    <row r="19550" customFormat="false" ht="15" hidden="false" customHeight="false" outlineLevel="0" collapsed="false">
      <c r="A19550" s="2" t="s">
        <v>312</v>
      </c>
      <c r="F19550" s="27" t="n">
        <f aca="false">Assumptions!$C$11</f>
        <v>45</v>
      </c>
      <c r="G19550" s="16" t="n">
        <f aca="false">G19546-G19549</f>
        <v>0</v>
      </c>
      <c r="H19550" s="16" t="n">
        <f aca="false">H19546-H19549</f>
        <v>-121.3557292</v>
      </c>
      <c r="I19550" s="16" t="n">
        <f aca="false">I19546-I19549</f>
        <v>-236.702175152</v>
      </c>
      <c r="J19550" s="16" t="n">
        <f aca="false">J19546-J19549</f>
        <v>-337.79889141424</v>
      </c>
      <c r="K19550" s="16" t="n">
        <f aca="false">K19546-K19549</f>
        <v>-426.1840823404</v>
      </c>
    </row>
    <row r="19551" customFormat="false" ht="15" hidden="false" customHeight="false" outlineLevel="0" collapsed="false">
      <c r="A19551" s="5" t="s">
        <v>313</v>
      </c>
      <c r="G19551" s="25" t="n">
        <f aca="false">G19474+G19487+G19500+G19513</f>
        <v>0</v>
      </c>
      <c r="H19551" s="25" t="n">
        <f aca="false">H19474+H19487+H19500+H19513</f>
        <v>516.2968</v>
      </c>
      <c r="I19551" s="25" t="n">
        <f aca="false">I19474+I19487+I19500+I19513</f>
        <v>504.4</v>
      </c>
      <c r="J19551" s="25" t="n">
        <f aca="false">J19474+J19487+J19500+J19513</f>
        <v>250</v>
      </c>
      <c r="K19551" s="25" t="n">
        <f aca="false">K19474+K19487+K19500+K19513</f>
        <v>0</v>
      </c>
    </row>
    <row r="19552" customFormat="false" ht="15" hidden="false" customHeight="false" outlineLevel="0" collapsed="false">
      <c r="A19552" s="5" t="s">
        <v>314</v>
      </c>
      <c r="G19552" s="20" t="n">
        <f aca="false">IF(OR(G19547&gt;0.001,G19551&gt;0.001),1,0)</f>
        <v>0</v>
      </c>
      <c r="H19552" s="20" t="n">
        <f aca="false">IF(OR(H19547&gt;0.001,H19551&gt;0.001),1,0)</f>
        <v>1</v>
      </c>
      <c r="I19552" s="20" t="n">
        <f aca="false">IF(OR(I19547&gt;0.001,I19551&gt;0.001),1,0)</f>
        <v>1</v>
      </c>
      <c r="J19552" s="20" t="n">
        <f aca="false">IF(OR(J19547&gt;0.001,J19551&gt;0.001),1,0)</f>
        <v>1</v>
      </c>
      <c r="K19552" s="20" t="n">
        <f aca="false">IF(OR(K19547&gt;0.001,K19551&gt;0.001),1,0)</f>
        <v>1</v>
      </c>
    </row>
    <row r="19553" customFormat="false" ht="15" hidden="false" customHeight="false" outlineLevel="0" collapsed="false">
      <c r="A19553" s="5" t="s">
        <v>315</v>
      </c>
      <c r="G19553" s="20" t="n">
        <f aca="false">IF(G19552=1,1,0)</f>
        <v>0</v>
      </c>
      <c r="H19553" s="20" t="n">
        <f aca="false">IF(AND(H19552=1,SUM($G$19552:G19552)=0),1,0)</f>
        <v>1</v>
      </c>
      <c r="I19553" s="20" t="n">
        <f aca="false">IF(AND(I19552=1,SUM($G$19552:H19552)=0),1,0)</f>
        <v>0</v>
      </c>
      <c r="J19553" s="20" t="n">
        <f aca="false">IF(AND(J19552=1,SUM($G$19552:I19552)=0),1,0)</f>
        <v>0</v>
      </c>
      <c r="K19553" s="20" t="n">
        <f aca="false">IF(AND(K19552=1,SUM($G$19552:J19552)=0),1,0)</f>
        <v>0</v>
      </c>
    </row>
    <row r="19554" customFormat="false" ht="15" hidden="false" customHeight="false" outlineLevel="0" collapsed="false">
      <c r="A19554" s="5" t="s">
        <v>316</v>
      </c>
      <c r="G19554" s="25" t="n">
        <f aca="false">(G19516-F19516)-(G19543+G19443-G19541-G19545-G19549)</f>
        <v>0</v>
      </c>
      <c r="H19554" s="25" t="n">
        <f aca="false">(H19516-G19516)-(H19543+H19443-H19541-H19545-H19549)</f>
        <v>-4.52970994047064E-014</v>
      </c>
      <c r="I19554" s="25" t="n">
        <f aca="false">(I19516-H19516)-(I19543+I19443-I19541-I19545-I19549)</f>
        <v>1.82076576038526E-013</v>
      </c>
      <c r="J19554" s="25" t="n">
        <f aca="false">(J19516-I19516)-(J19543+J19443-J19541-J19545-J19549)</f>
        <v>-2.72670774847938E-013</v>
      </c>
      <c r="K19554" s="25" t="n">
        <f aca="false">(K19516-J19516)-(K19543+K19443-K19541-K19545-K19549)</f>
        <v>1.82076576038526E-013</v>
      </c>
    </row>
    <row r="19556" customFormat="false" ht="15" hidden="false" customHeight="false" outlineLevel="0" collapsed="false">
      <c r="A19556" s="23" t="s">
        <v>318</v>
      </c>
      <c r="B19556" s="24"/>
      <c r="C19556" s="24"/>
      <c r="D19556" s="24"/>
      <c r="E19556" s="24"/>
      <c r="F19556" s="24"/>
      <c r="G19556" s="24"/>
      <c r="H19556" s="24"/>
      <c r="I19556" s="24"/>
      <c r="J19556" s="24"/>
      <c r="K19556" s="24"/>
    </row>
    <row r="19557" customFormat="false" ht="15" hidden="false" customHeight="false" outlineLevel="0" collapsed="false">
      <c r="A19557" s="5" t="s">
        <v>319</v>
      </c>
      <c r="G19557" s="25" t="n">
        <f aca="false">G19516</f>
        <v>1281.0968</v>
      </c>
      <c r="H19557" s="25" t="n">
        <f aca="false">H19516</f>
        <v>1275.8968</v>
      </c>
      <c r="I19557" s="25" t="n">
        <f aca="false">I19516</f>
        <v>1270.6968</v>
      </c>
      <c r="J19557" s="25" t="n">
        <f aca="false">J19516</f>
        <v>1265.4968</v>
      </c>
      <c r="K19557" s="25" t="n">
        <f aca="false">K19516</f>
        <v>1260.2968</v>
      </c>
    </row>
    <row r="19558" customFormat="false" ht="15" hidden="false" customHeight="false" outlineLevel="0" collapsed="false">
      <c r="A19558" s="5" t="s">
        <v>320</v>
      </c>
      <c r="G19558" s="25" t="n">
        <f aca="false">Assumptions!$O$53*G19475+Assumptions!$O$54*G19488+Assumptions!$O$55*G19501+Assumptions!$O$56*G19514</f>
        <v>981.0968</v>
      </c>
      <c r="H19558" s="25" t="n">
        <f aca="false">Assumptions!$O$53*H19475+Assumptions!$O$54*H19488+Assumptions!$O$55*H19501+Assumptions!$O$56*H19514</f>
        <v>975.8968</v>
      </c>
      <c r="I19558" s="25" t="n">
        <f aca="false">Assumptions!$O$53*I19475+Assumptions!$O$54*I19488+Assumptions!$O$55*I19501+Assumptions!$O$56*I19514</f>
        <v>970.6968</v>
      </c>
      <c r="J19558" s="25" t="n">
        <f aca="false">Assumptions!$O$53*J19475+Assumptions!$O$54*J19488+Assumptions!$O$55*J19501+Assumptions!$O$56*J19514</f>
        <v>965.4968</v>
      </c>
      <c r="K19558" s="25" t="n">
        <f aca="false">Assumptions!$O$53*K19475+Assumptions!$O$54*K19488+Assumptions!$O$55*K19501+Assumptions!$O$56*K19514</f>
        <v>960.2968</v>
      </c>
    </row>
    <row r="19559" customFormat="false" ht="15" hidden="false" customHeight="false" outlineLevel="0" collapsed="false">
      <c r="A19559" s="5" t="s">
        <v>321</v>
      </c>
      <c r="G19559" s="25" t="n">
        <f aca="false">G19557-G19550</f>
        <v>1281.0968</v>
      </c>
      <c r="H19559" s="25" t="n">
        <f aca="false">H19557-H19550</f>
        <v>1397.2525292</v>
      </c>
      <c r="I19559" s="25" t="n">
        <f aca="false">I19557-I19550</f>
        <v>1507.398975152</v>
      </c>
      <c r="J19559" s="25" t="n">
        <f aca="false">J19557-J19550</f>
        <v>1603.29569141424</v>
      </c>
      <c r="K19559" s="25" t="n">
        <f aca="false">K19557-K19550</f>
        <v>1686.4808823404</v>
      </c>
    </row>
    <row r="19560" customFormat="false" ht="15" hidden="false" customHeight="false" outlineLevel="0" collapsed="false">
      <c r="A19560" s="5" t="s">
        <v>322</v>
      </c>
      <c r="G19560" s="31" t="n">
        <f aca="false">IF(G19438&gt;0,G19557/G19438,0)</f>
        <v>16.5413800227249</v>
      </c>
      <c r="H19560" s="31" t="n">
        <f aca="false">IF(H19438&gt;0,H19557/H19438,0)</f>
        <v>26.0868812807611</v>
      </c>
      <c r="I19560" s="31" t="n">
        <f aca="false">IF(I19438&gt;0,I19557/I19438,0)</f>
        <v>20.7088178018065</v>
      </c>
      <c r="J19560" s="31" t="n">
        <f aca="false">IF(J19438&gt;0,J19557/J19438,0)</f>
        <v>17.2611283222678</v>
      </c>
      <c r="K19560" s="31" t="n">
        <f aca="false">IF(K19438&gt;0,K19557/K19438,0)</f>
        <v>14.8227900209479</v>
      </c>
    </row>
    <row r="19561" customFormat="false" ht="15" hidden="false" customHeight="false" outlineLevel="0" collapsed="false">
      <c r="A19561" s="5" t="s">
        <v>323</v>
      </c>
      <c r="G19561" s="31" t="n">
        <f aca="false">IF(G19438&gt;0,G19559/G19438,0)</f>
        <v>16.5413800227249</v>
      </c>
      <c r="H19561" s="31" t="n">
        <f aca="false">IF(H19438&gt;0,H19559/H19438,0)</f>
        <v>28.5681105622991</v>
      </c>
      <c r="I19561" s="31" t="n">
        <f aca="false">IF(I19438&gt;0,I19559/I19438,0)</f>
        <v>24.5664038274533</v>
      </c>
      <c r="J19561" s="31" t="n">
        <f aca="false">IF(J19438&gt;0,J19559/J19438,0)</f>
        <v>21.8686389946149</v>
      </c>
      <c r="K19561" s="31" t="n">
        <f aca="false">IF(K19438&gt;0,K19559/K19438,0)</f>
        <v>19.8352895867661</v>
      </c>
    </row>
    <row r="19562" customFormat="false" ht="15" hidden="false" customHeight="false" outlineLevel="0" collapsed="false">
      <c r="A19562" s="5" t="s">
        <v>324</v>
      </c>
      <c r="G19562" s="31" t="n">
        <f aca="false">IF(G19442&gt;0,G19438/G19442,0)</f>
        <v>0.597869383974062</v>
      </c>
      <c r="H19562" s="31" t="n">
        <f aca="false">IF(H19442&gt;0,H19438/H19442,0)</f>
        <v>0.374027109660081</v>
      </c>
      <c r="I19562" s="31" t="n">
        <f aca="false">IF(I19442&gt;0,I19438/I19442,0)</f>
        <v>0.478071824514175</v>
      </c>
      <c r="J19562" s="31" t="n">
        <f aca="false">IF(J19442&gt;0,J19438/J19442,0)</f>
        <v>0.573840521753012</v>
      </c>
      <c r="K19562" s="31" t="n">
        <f aca="false">IF(K19442&gt;0,K19438/K19442,0)</f>
        <v>0.668565910880975</v>
      </c>
    </row>
    <row r="19563" customFormat="false" ht="15" hidden="false" customHeight="false" outlineLevel="0" collapsed="false">
      <c r="A19563" s="5" t="s">
        <v>325</v>
      </c>
      <c r="G19563" s="31" t="n">
        <f aca="false">IF(G19442&gt;0,G19441/G19442,0)</f>
        <v>0.222065771190366</v>
      </c>
      <c r="H19563" s="31" t="n">
        <f aca="false">IF(H19442&gt;0,H19441/H19442,0)</f>
        <v>0.0162620482460903</v>
      </c>
      <c r="I19563" s="31" t="n">
        <f aca="false">IF(I19442&gt;0,I19441/I19442,0)</f>
        <v>0.115396647296525</v>
      </c>
      <c r="J19563" s="31" t="n">
        <f aca="false">IF(J19442&gt;0,J19441/J19442,0)</f>
        <v>0.213140765222547</v>
      </c>
      <c r="K19563" s="31" t="n">
        <f aca="false">IF(K19442&gt;0,K19441/K19442,0)</f>
        <v>0.309823226993622</v>
      </c>
    </row>
    <row r="19564" customFormat="false" ht="15" hidden="false" customHeight="false" outlineLevel="0" collapsed="false">
      <c r="A19564" s="5" t="s">
        <v>182</v>
      </c>
      <c r="G19564" s="21" t="n">
        <f aca="false">IF(G19557&gt;0,G19451/G19557,0)</f>
        <v>-0.0593997268590477</v>
      </c>
      <c r="H19564" s="21" t="n">
        <f aca="false">IF(H19557&gt;0,H19451/H19557,0)</f>
        <v>-0.0910384987249753</v>
      </c>
      <c r="I19564" s="21" t="n">
        <f aca="false">IF(I19557&gt;0,I19451/I19557,0)</f>
        <v>-0.086681925973214</v>
      </c>
      <c r="J19564" s="21" t="n">
        <f aca="false">IF(J19557&gt;0,J19451/J19557,0)</f>
        <v>-0.0757779207835532</v>
      </c>
      <c r="K19564" s="21" t="n">
        <f aca="false">IF(K19557&gt;0,K19451/K19557,0)</f>
        <v>-0.0660044450848086</v>
      </c>
    </row>
    <row r="19565" customFormat="false" ht="15" hidden="false" customHeight="false" outlineLevel="0" collapsed="false">
      <c r="A19565" s="5" t="s">
        <v>326</v>
      </c>
      <c r="G19565" s="31" t="n">
        <f aca="false">IF(G19442+G19541&gt;0,(G19438-G19449-G19446)/(G19442+G19541),0)</f>
        <v>0.262763841472466</v>
      </c>
      <c r="H19565" s="31" t="n">
        <f aca="false">IF(H19442+H19541&gt;0,(H19438-H19449-H19446)/(H19442+H19541),0)</f>
        <v>0.0625604092748976</v>
      </c>
      <c r="I19565" s="31" t="n">
        <f aca="false">IF(I19442+I19541&gt;0,(I19438-I19449-I19446)/(I19442+I19541),0)</f>
        <v>0.158433508080696</v>
      </c>
      <c r="J19565" s="31" t="n">
        <f aca="false">IF(J19442+J19541&gt;0,(J19438-J19449-J19446)/(J19442+J19541),0)</f>
        <v>0.252067742993116</v>
      </c>
      <c r="K19565" s="31" t="n">
        <f aca="false">IF(K19442+K19541&gt;0,(K19438-K19449-K19446)/(K19442+K19541),0)</f>
        <v>0.344650334570687</v>
      </c>
    </row>
    <row r="19566" customFormat="false" ht="15" hidden="false" customHeight="false" outlineLevel="0" collapsed="false">
      <c r="A19566" s="5" t="s">
        <v>327</v>
      </c>
      <c r="G19566" s="25" t="n">
        <f aca="false">MAX(0,G19550)+Assumptions!$P$53*MAX(0,Assumptions!$D$53-G19475)+Assumptions!$P$54*MAX(0,Assumptions!$D$54-G19488)+Assumptions!$P$55*MAX(0,Assumptions!$D$55-G19501)+Assumptions!$P$56*MAX(0,Assumptions!$D$56-G19514)</f>
        <v>83.7032</v>
      </c>
      <c r="H19566" s="25" t="n">
        <f aca="false">MAX(0,H19550)+Assumptions!$P$53*MAX(0,Assumptions!$D$53-H19475)+Assumptions!$P$54*MAX(0,Assumptions!$D$54-H19488)+Assumptions!$P$55*MAX(0,Assumptions!$D$55-H19501)+Assumptions!$P$56*MAX(0,Assumptions!$D$56-H19514)</f>
        <v>83.7032</v>
      </c>
      <c r="I19566" s="25" t="n">
        <f aca="false">MAX(0,I19550)+Assumptions!$P$53*MAX(0,Assumptions!$D$53-I19475)+Assumptions!$P$54*MAX(0,Assumptions!$D$54-I19488)+Assumptions!$P$55*MAX(0,Assumptions!$D$55-I19501)+Assumptions!$P$56*MAX(0,Assumptions!$D$56-I19514)</f>
        <v>83.7032</v>
      </c>
      <c r="J19566" s="25" t="n">
        <f aca="false">MAX(0,J19550)+Assumptions!$P$53*MAX(0,Assumptions!$D$53-J19475)+Assumptions!$P$54*MAX(0,Assumptions!$D$54-J19488)+Assumptions!$P$55*MAX(0,Assumptions!$D$55-J19501)+Assumptions!$P$56*MAX(0,Assumptions!$D$56-J19514)</f>
        <v>83.7032</v>
      </c>
      <c r="K19566" s="25" t="n">
        <f aca="false">MAX(0,K19550)+Assumptions!$P$53*MAX(0,Assumptions!$D$53-K19475)+Assumptions!$P$54*MAX(0,Assumptions!$D$54-K19488)+Assumptions!$P$55*MAX(0,Assumptions!$D$55-K19501)+Assumptions!$P$56*MAX(0,Assumptions!$D$56-K19514)</f>
        <v>83.7032</v>
      </c>
    </row>
    <row r="19567" customFormat="false" ht="15" hidden="false" customHeight="false" outlineLevel="0" collapsed="false">
      <c r="A19567" s="5" t="s">
        <v>328</v>
      </c>
      <c r="G19567" s="21" t="n">
        <f aca="false">IF(G19557&gt;0,G19557/(G19557+MAX(0,G19438*CHOOSE($C$19421,Assumptions!$C$76,Assumptions!$C$95,Assumptions!$C$114)-G19559)),0)</f>
        <v>1</v>
      </c>
      <c r="H19567" s="21" t="n">
        <f aca="false">IF(H19557&gt;0,H19557/(H19557+MAX(0,H19438*CHOOSE($C$19421,Assumptions!$C$76,Assumptions!$C$95,Assumptions!$C$114)-H19559)),0)</f>
        <v>1</v>
      </c>
      <c r="I19567" s="21" t="n">
        <f aca="false">IF(I19557&gt;0,I19557/(I19557+MAX(0,I19438*CHOOSE($C$19421,Assumptions!$C$76,Assumptions!$C$95,Assumptions!$C$114)-I19559)),0)</f>
        <v>1</v>
      </c>
      <c r="J19567" s="21" t="n">
        <f aca="false">IF(J19557&gt;0,J19557/(J19557+MAX(0,J19438*CHOOSE($C$19421,Assumptions!$C$76,Assumptions!$C$95,Assumptions!$C$114)-J19559)),0)</f>
        <v>1</v>
      </c>
      <c r="K19567" s="21" t="n">
        <f aca="false">IF(K19557&gt;0,K19557/(K19557+MAX(0,K19438*CHOOSE($C$19421,Assumptions!$C$76,Assumptions!$C$95,Assumptions!$C$114)-K19559)),0)</f>
        <v>1</v>
      </c>
    </row>
    <row r="19568" customFormat="false" ht="15" hidden="false" customHeight="false" outlineLevel="0" collapsed="false">
      <c r="A19568" s="5" t="s">
        <v>329</v>
      </c>
      <c r="G19568" s="21" t="n">
        <f aca="false">IF(G19557&gt;0,MAX(0,G19550)/G19557,0)</f>
        <v>0</v>
      </c>
      <c r="H19568" s="21" t="n">
        <f aca="false">IF(H19557&gt;0,MAX(0,H19550)/H19557,0)</f>
        <v>0</v>
      </c>
      <c r="I19568" s="21" t="n">
        <f aca="false">IF(I19557&gt;0,MAX(0,I19550)/I19557,0)</f>
        <v>0</v>
      </c>
      <c r="J19568" s="21" t="n">
        <f aca="false">IF(J19557&gt;0,MAX(0,J19550)/J19557,0)</f>
        <v>0</v>
      </c>
      <c r="K19568" s="21" t="n">
        <f aca="false">IF(K19557&gt;0,MAX(0,K19550)/K19557,0)</f>
        <v>0</v>
      </c>
    </row>
    <row r="19569" customFormat="false" ht="15" hidden="false" customHeight="false" outlineLevel="0" collapsed="false">
      <c r="A19569" s="5" t="s">
        <v>330</v>
      </c>
      <c r="G19569" s="25" t="n">
        <f aca="false">Assumptions!$C$27*(1-CHOOSE($C$19421,Assumptions!$C$79,Assumptions!$C$98,Assumptions!$C$117))</f>
        <v>884</v>
      </c>
      <c r="H19569" s="25" t="n">
        <f aca="false">Assumptions!$C$27*(1-CHOOSE($C$19421,Assumptions!$C$79,Assumptions!$C$98,Assumptions!$C$117))</f>
        <v>884</v>
      </c>
      <c r="I19569" s="25" t="n">
        <f aca="false">Assumptions!$C$27*(1-CHOOSE($C$19421,Assumptions!$C$79,Assumptions!$C$98,Assumptions!$C$117))</f>
        <v>884</v>
      </c>
      <c r="J19569" s="25" t="n">
        <f aca="false">Assumptions!$C$27*(1-CHOOSE($C$19421,Assumptions!$C$79,Assumptions!$C$98,Assumptions!$C$117))</f>
        <v>884</v>
      </c>
      <c r="K19569" s="25" t="n">
        <f aca="false">Assumptions!$C$27*(1-CHOOSE($C$19421,Assumptions!$C$79,Assumptions!$C$98,Assumptions!$C$117))</f>
        <v>884</v>
      </c>
    </row>
    <row r="19570" customFormat="false" ht="15" hidden="false" customHeight="false" outlineLevel="0" collapsed="false">
      <c r="A19570" s="23" t="s">
        <v>331</v>
      </c>
      <c r="B19570" s="24"/>
      <c r="C19570" s="24"/>
      <c r="D19570" s="24"/>
      <c r="E19570" s="24"/>
      <c r="F19570" s="24"/>
      <c r="G19570" s="24"/>
      <c r="H19570" s="24"/>
      <c r="I19570" s="24"/>
      <c r="J19570" s="24"/>
      <c r="K19570" s="24"/>
    </row>
    <row r="19571" customFormat="false" ht="15" hidden="false" customHeight="false" outlineLevel="0" collapsed="false">
      <c r="A19571" s="23" t="s">
        <v>332</v>
      </c>
      <c r="B19571" s="24"/>
      <c r="C19571" s="24"/>
      <c r="D19571" s="24"/>
      <c r="E19571" s="24"/>
      <c r="F19571" s="24"/>
      <c r="G19571" s="24"/>
      <c r="H19571" s="24"/>
      <c r="I19571" s="24"/>
      <c r="J19571" s="24"/>
      <c r="K19571" s="24"/>
    </row>
    <row r="19572" customFormat="false" ht="15" hidden="false" customHeight="false" outlineLevel="0" collapsed="false">
      <c r="A19572" s="5" t="s">
        <v>333</v>
      </c>
      <c r="G19572" s="31" t="n">
        <f aca="false">IF(G19438&gt;0,G19559/G19438,99)</f>
        <v>16.5413800227249</v>
      </c>
      <c r="H19572" s="31" t="n">
        <f aca="false">IF(H19438&gt;0,H19559/H19438,99)</f>
        <v>28.5681105622991</v>
      </c>
      <c r="I19572" s="31" t="n">
        <f aca="false">IF(I19438&gt;0,I19559/I19438,99)</f>
        <v>24.5664038274533</v>
      </c>
      <c r="J19572" s="31" t="n">
        <f aca="false">IF(J19438&gt;0,J19559/J19438,99)</f>
        <v>21.8686389946149</v>
      </c>
      <c r="K19572" s="31" t="n">
        <f aca="false">IF(K19438&gt;0,K19559/K19438,99)</f>
        <v>19.8352895867661</v>
      </c>
    </row>
    <row r="19573" customFormat="false" ht="15" hidden="false" customHeight="false" outlineLevel="0" collapsed="false">
      <c r="A19573" s="5" t="s">
        <v>334</v>
      </c>
      <c r="G19573" s="32" t="n">
        <f aca="false">Assumptions!$G$61</f>
        <v>8.5</v>
      </c>
      <c r="H19573" s="32" t="n">
        <f aca="false">Assumptions!$H$61</f>
        <v>8.5</v>
      </c>
      <c r="I19573" s="32" t="n">
        <f aca="false">Assumptions!$I$61</f>
        <v>8.5</v>
      </c>
      <c r="J19573" s="32" t="n">
        <f aca="false">Assumptions!$J$61</f>
        <v>8.5</v>
      </c>
      <c r="K19573" s="32" t="n">
        <f aca="false">Assumptions!$K$61</f>
        <v>8.5</v>
      </c>
    </row>
    <row r="19574" customFormat="false" ht="15" hidden="false" customHeight="false" outlineLevel="0" collapsed="false">
      <c r="A19574" s="5" t="s">
        <v>335</v>
      </c>
      <c r="G19574" s="31" t="n">
        <f aca="false">G19573-G19572</f>
        <v>-8.04138002272492</v>
      </c>
      <c r="H19574" s="31" t="n">
        <f aca="false">H19573-H19572</f>
        <v>-20.0681105622991</v>
      </c>
      <c r="I19574" s="31" t="n">
        <f aca="false">I19573-I19572</f>
        <v>-16.0664038274533</v>
      </c>
      <c r="J19574" s="31" t="n">
        <f aca="false">J19573-J19572</f>
        <v>-13.3686389946149</v>
      </c>
      <c r="K19574" s="31" t="n">
        <f aca="false">K19573-K19572</f>
        <v>-11.3352895867661</v>
      </c>
    </row>
    <row r="19575" customFormat="false" ht="15" hidden="false" customHeight="false" outlineLevel="0" collapsed="false">
      <c r="A19575" s="5" t="s">
        <v>336</v>
      </c>
      <c r="G19575" s="21" t="n">
        <f aca="false">IF(G19573=0,0,G19574/ABS(G19573))</f>
        <v>-0.946044708555873</v>
      </c>
      <c r="H19575" s="21" t="n">
        <f aca="false">IF(H19573=0,0,H19574/ABS(H19573))</f>
        <v>-2.36095418379989</v>
      </c>
      <c r="I19575" s="21" t="n">
        <f aca="false">IF(I19573=0,0,I19574/ABS(I19573))</f>
        <v>-1.89016515617097</v>
      </c>
      <c r="J19575" s="21" t="n">
        <f aca="false">IF(J19573=0,0,J19574/ABS(J19573))</f>
        <v>-1.57278105818998</v>
      </c>
      <c r="K19575" s="21" t="n">
        <f aca="false">IF(K19573=0,0,K19574/ABS(K19573))</f>
        <v>-1.33356348079602</v>
      </c>
    </row>
    <row r="19576" customFormat="false" ht="15" hidden="false" customHeight="false" outlineLevel="0" collapsed="false">
      <c r="A19576" s="5" t="s">
        <v>337</v>
      </c>
      <c r="G19576" s="20" t="n">
        <f aca="false">IF(G19574&lt;0,1,0)</f>
        <v>1</v>
      </c>
      <c r="H19576" s="20" t="n">
        <f aca="false">IF(H19574&lt;0,1,0)</f>
        <v>1</v>
      </c>
      <c r="I19576" s="20" t="n">
        <f aca="false">IF(I19574&lt;0,1,0)</f>
        <v>1</v>
      </c>
      <c r="J19576" s="20" t="n">
        <f aca="false">IF(J19574&lt;0,1,0)</f>
        <v>1</v>
      </c>
      <c r="K19576" s="20" t="n">
        <f aca="false">IF(K19574&lt;0,1,0)</f>
        <v>1</v>
      </c>
    </row>
    <row r="19577" customFormat="false" ht="15" hidden="false" customHeight="false" outlineLevel="0" collapsed="false">
      <c r="A19577" s="5" t="s">
        <v>338</v>
      </c>
      <c r="C19577" s="20" t="n">
        <f aca="false">IFERROR(INDEX($G$19428:$K$19428,MATCH(1,$G$19576:$K$19576,0)),0)</f>
        <v>2026</v>
      </c>
    </row>
    <row r="19578" customFormat="false" ht="15" hidden="false" customHeight="false" outlineLevel="0" collapsed="false">
      <c r="A19578" s="5" t="s">
        <v>339</v>
      </c>
      <c r="C19578" s="21" t="n">
        <f aca="false">MIN($G$19575:$K$19575)</f>
        <v>-2.36095418379989</v>
      </c>
    </row>
    <row r="19579" customFormat="false" ht="15" hidden="false" customHeight="false" outlineLevel="0" collapsed="false">
      <c r="A19579" s="5" t="s">
        <v>340</v>
      </c>
      <c r="G19579" s="20" t="n">
        <f aca="false">G19576</f>
        <v>1</v>
      </c>
      <c r="H19579" s="20" t="n">
        <f aca="false">H19576</f>
        <v>1</v>
      </c>
      <c r="I19579" s="20" t="n">
        <f aca="false">I19576</f>
        <v>1</v>
      </c>
      <c r="J19579" s="20" t="n">
        <f aca="false">J19576</f>
        <v>1</v>
      </c>
      <c r="K19579" s="20" t="n">
        <f aca="false">K19576</f>
        <v>1</v>
      </c>
    </row>
    <row r="19580" customFormat="false" ht="15" hidden="false" customHeight="false" outlineLevel="0" collapsed="false">
      <c r="A19580" s="5" t="s">
        <v>341</v>
      </c>
      <c r="C19580" s="20" t="n">
        <f aca="false">SUM($G$19579:$K$19579)</f>
        <v>5</v>
      </c>
    </row>
    <row r="19581" customFormat="false" ht="15" hidden="false" customHeight="false" outlineLevel="0" collapsed="false">
      <c r="A19581" s="5" t="s">
        <v>342</v>
      </c>
      <c r="C19581" s="21" t="n">
        <f aca="false">MIN(C19578)</f>
        <v>-2.36095418379989</v>
      </c>
    </row>
    <row r="19583" customFormat="false" ht="15" hidden="false" customHeight="false" outlineLevel="0" collapsed="false">
      <c r="A19583" s="23" t="s">
        <v>444</v>
      </c>
      <c r="B19583" s="24"/>
      <c r="C19583" s="24"/>
      <c r="D19583" s="24"/>
      <c r="E19583" s="24"/>
      <c r="F19583" s="24"/>
      <c r="G19583" s="24"/>
      <c r="H19583" s="24"/>
      <c r="I19583" s="24"/>
      <c r="J19583" s="24"/>
      <c r="K19583" s="24"/>
    </row>
    <row r="19584" customFormat="false" ht="15" hidden="false" customHeight="false" outlineLevel="0" collapsed="false">
      <c r="A19584" s="5" t="s">
        <v>445</v>
      </c>
      <c r="G19584" s="20" t="n">
        <f aca="false">IF($C$19585=1,G19553,IF(G19438=MIN($G$19438:$K$19438),1,0))</f>
        <v>0</v>
      </c>
      <c r="H19584" s="20" t="n">
        <f aca="false">IF($C$19585=1,H19553,IF(AND(H19438=MIN($G$19438:$K$19438),SUM($G$19584:G19584)=0),1,0))</f>
        <v>1</v>
      </c>
      <c r="I19584" s="20" t="n">
        <f aca="false">IF($C$19585=1,I19553,IF(AND(I19438=MIN($G$19438:$K$19438),SUM($G$19584:H19584)=0),1,0))</f>
        <v>0</v>
      </c>
      <c r="J19584" s="20" t="n">
        <f aca="false">IF($C$19585=1,J19553,IF(AND(J19438=MIN($G$19438:$K$19438),SUM($G$19584:I19584)=0),1,0))</f>
        <v>0</v>
      </c>
      <c r="K19584" s="20" t="n">
        <f aca="false">IF($C$19585=1,K19553,IF(AND(K19438=MIN($G$19438:$K$19438),SUM($G$19584:J19584)=0),1,0))</f>
        <v>0</v>
      </c>
    </row>
    <row r="19585" customFormat="false" ht="15" hidden="false" customHeight="false" outlineLevel="0" collapsed="false">
      <c r="A19585" s="5" t="s">
        <v>446</v>
      </c>
      <c r="C19585" s="20" t="n">
        <f aca="false">IF(SUM($G$19553:$K$19553)&gt;0,1,0)</f>
        <v>1</v>
      </c>
    </row>
    <row r="19586" customFormat="false" ht="15" hidden="false" customHeight="false" outlineLevel="0" collapsed="false">
      <c r="A19586" s="5" t="s">
        <v>447</v>
      </c>
      <c r="C19586" s="20" t="n">
        <f aca="false">SUMPRODUCT($G$19584:$K$19584,$G$19428:$K$19428)</f>
        <v>2027</v>
      </c>
    </row>
    <row r="19587" customFormat="false" ht="15" hidden="false" customHeight="false" outlineLevel="0" collapsed="false">
      <c r="A19587" s="5" t="s">
        <v>448</v>
      </c>
      <c r="C19587" s="25" t="n">
        <f aca="false">SUMPRODUCT($G$19584:$K$19584,$G$19438:$K$19438)</f>
        <v>48.9095184</v>
      </c>
    </row>
    <row r="19588" customFormat="false" ht="15" hidden="false" customHeight="false" outlineLevel="0" collapsed="false">
      <c r="A19588" s="5" t="s">
        <v>449</v>
      </c>
      <c r="C19588" s="25" t="n">
        <f aca="false">MAX(0,SUMPRODUCT($G$19584:$K$19584,$G$19550:$K$19550))</f>
        <v>0</v>
      </c>
    </row>
    <row r="19589" customFormat="false" ht="15" hidden="false" customHeight="false" outlineLevel="0" collapsed="false">
      <c r="A19589" s="5" t="s">
        <v>450</v>
      </c>
      <c r="C19589" s="25" t="n">
        <f aca="false">(CHOOSE($C$19421,Assumptions!$C$78,Assumptions!$C$97,Assumptions!$C$116)+$C$19425)*C19587</f>
        <v>195.6380736</v>
      </c>
    </row>
    <row r="19590" customFormat="false" ht="15" hidden="false" customHeight="false" outlineLevel="0" collapsed="false">
      <c r="A19590" s="5" t="s">
        <v>451</v>
      </c>
      <c r="C19590" s="25" t="n">
        <f aca="false">Assumptions!$C$27*(1-CHOOSE($C$19421,Assumptions!$C$79,Assumptions!$C$98,Assumptions!$C$117))*CHOOSE($C$19421,Assumptions!$C$80,Assumptions!$C$99,Assumptions!$C$118)</f>
        <v>530.4</v>
      </c>
    </row>
    <row r="19591" customFormat="false" ht="15" hidden="false" customHeight="false" outlineLevel="0" collapsed="false">
      <c r="A19591" s="5" t="s">
        <v>452</v>
      </c>
      <c r="C19591" s="25" t="n">
        <f aca="false">MAX(C19589,C19590)+C19588</f>
        <v>530.4</v>
      </c>
    </row>
    <row r="19592" customFormat="false" ht="15" hidden="false" customHeight="false" outlineLevel="0" collapsed="false">
      <c r="A19592" s="2" t="s">
        <v>453</v>
      </c>
      <c r="C19592" s="16" t="n">
        <f aca="false">IF(ISNUMBER(Assumptions!$C$14),Assumptions!$C$14,C19591)</f>
        <v>530.4</v>
      </c>
    </row>
    <row r="19593" customFormat="false" ht="15" hidden="false" customHeight="false" outlineLevel="0" collapsed="false">
      <c r="A19593" s="5" t="s">
        <v>454</v>
      </c>
      <c r="C19593" s="25" t="n">
        <f aca="false">C19592*Assumptions!$C$15</f>
        <v>21.216</v>
      </c>
    </row>
    <row r="19594" customFormat="false" ht="15" hidden="false" customHeight="false" outlineLevel="0" collapsed="false">
      <c r="A19594" s="2" t="s">
        <v>455</v>
      </c>
      <c r="C19594" s="16" t="n">
        <f aca="false">C19592-C19593</f>
        <v>509.184</v>
      </c>
    </row>
    <row r="19595" customFormat="false" ht="15" hidden="false" customHeight="false" outlineLevel="0" collapsed="false">
      <c r="A19595" s="23" t="s">
        <v>456</v>
      </c>
      <c r="B19595" s="24"/>
      <c r="C19595" s="24"/>
      <c r="D19595" s="24"/>
      <c r="E19595" s="24"/>
      <c r="F19595" s="24"/>
      <c r="G19595" s="24"/>
      <c r="H19595" s="24"/>
      <c r="I19595" s="24"/>
      <c r="J19595" s="24"/>
      <c r="K19595" s="24"/>
    </row>
    <row r="19596" customFormat="false" ht="15" hidden="false" customHeight="false" outlineLevel="0" collapsed="false">
      <c r="A19596" s="5" t="s">
        <v>457</v>
      </c>
      <c r="C19596" s="25" t="n">
        <f aca="false">SUMPRODUCT($G$19584:$K$19584,$G$19475:$K$19475)*(1+SUMPRODUCT($G$19584:$K$19584,$G$19467:$K$19467)*Assumptions!$C$16/12)</f>
        <v>221.6231087</v>
      </c>
    </row>
    <row r="19597" customFormat="false" ht="15" hidden="false" customHeight="false" outlineLevel="0" collapsed="false">
      <c r="A19597" s="5" t="s">
        <v>458</v>
      </c>
      <c r="C19597" s="25" t="n">
        <f aca="false">SUMPRODUCT($G$19584:$K$19584,$G$19488:$K$19488)*(1+SUMPRODUCT($G$19584:$K$19584,$G$19480:$K$19480)*Assumptions!$C$16/12)</f>
        <v>524.3147</v>
      </c>
    </row>
    <row r="19598" customFormat="false" ht="15" hidden="false" customHeight="false" outlineLevel="0" collapsed="false">
      <c r="A19598" s="5" t="s">
        <v>459</v>
      </c>
      <c r="C19598" s="25" t="n">
        <f aca="false">SUMPRODUCT($G$19584:$K$19584,$G$19501:$K$19501)*(1+SUMPRODUCT($G$19584:$K$19584,$G$19493:$K$19493)*Assumptions!$C$16/12)</f>
        <v>256.875</v>
      </c>
    </row>
    <row r="19599" customFormat="false" ht="15" hidden="false" customHeight="false" outlineLevel="0" collapsed="false">
      <c r="A19599" s="5" t="s">
        <v>460</v>
      </c>
      <c r="C19599" s="25" t="n">
        <f aca="false">SUMPRODUCT($G$19584:$K$19584,$G$19514:$K$19514)*(1+SUMPRODUCT($G$19584:$K$19584,$G$19506:$K$19506)*Assumptions!$C$16/12)</f>
        <v>305.625</v>
      </c>
    </row>
    <row r="19600" customFormat="false" ht="15" hidden="false" customHeight="false" outlineLevel="0" collapsed="false">
      <c r="A19600" s="23" t="s">
        <v>461</v>
      </c>
      <c r="B19600" s="24"/>
      <c r="C19600" s="24"/>
      <c r="D19600" s="24"/>
      <c r="E19600" s="24"/>
      <c r="F19600" s="24"/>
      <c r="G19600" s="24"/>
      <c r="H19600" s="24"/>
      <c r="I19600" s="24"/>
      <c r="J19600" s="24"/>
      <c r="K19600" s="24"/>
    </row>
    <row r="19601" customFormat="false" ht="15" hidden="false" customHeight="false" outlineLevel="0" collapsed="false">
      <c r="A19601" s="5" t="s">
        <v>457</v>
      </c>
      <c r="C19601" s="26" t="n">
        <f aca="false">Assumptions!$M$53</f>
        <v>1</v>
      </c>
    </row>
    <row r="19602" customFormat="false" ht="15" hidden="false" customHeight="false" outlineLevel="0" collapsed="false">
      <c r="A19602" s="5" t="s">
        <v>458</v>
      </c>
      <c r="C19602" s="26" t="n">
        <f aca="false">Assumptions!$M$54</f>
        <v>2</v>
      </c>
    </row>
    <row r="19603" customFormat="false" ht="15" hidden="false" customHeight="false" outlineLevel="0" collapsed="false">
      <c r="A19603" s="5" t="s">
        <v>459</v>
      </c>
      <c r="C19603" s="26" t="n">
        <f aca="false">Assumptions!$M$55</f>
        <v>3</v>
      </c>
    </row>
    <row r="19604" customFormat="false" ht="15" hidden="false" customHeight="false" outlineLevel="0" collapsed="false">
      <c r="A19604" s="5" t="s">
        <v>460</v>
      </c>
      <c r="C19604" s="26" t="n">
        <f aca="false">Assumptions!$M$56</f>
        <v>4</v>
      </c>
    </row>
    <row r="19605" customFormat="false" ht="15" hidden="false" customHeight="false" outlineLevel="0" collapsed="false">
      <c r="A19605" s="23" t="s">
        <v>462</v>
      </c>
      <c r="B19605" s="24"/>
      <c r="C19605" s="24"/>
      <c r="D19605" s="24"/>
      <c r="E19605" s="24"/>
      <c r="F19605" s="24"/>
      <c r="G19605" s="24"/>
      <c r="H19605" s="24"/>
      <c r="I19605" s="24"/>
      <c r="J19605" s="24"/>
      <c r="K19605" s="24"/>
    </row>
    <row r="19606" customFormat="false" ht="15" hidden="false" customHeight="false" outlineLevel="0" collapsed="false">
      <c r="A19606" s="5" t="s">
        <v>457</v>
      </c>
      <c r="C19606" s="34" t="n">
        <f aca="false">Assumptions!$Q$53</f>
        <v>0</v>
      </c>
    </row>
    <row r="19607" customFormat="false" ht="15" hidden="false" customHeight="false" outlineLevel="0" collapsed="false">
      <c r="A19607" s="5" t="s">
        <v>458</v>
      </c>
      <c r="C19607" s="34" t="n">
        <f aca="false">Assumptions!$Q$54</f>
        <v>0</v>
      </c>
    </row>
    <row r="19608" customFormat="false" ht="15" hidden="false" customHeight="false" outlineLevel="0" collapsed="false">
      <c r="A19608" s="5" t="s">
        <v>459</v>
      </c>
      <c r="C19608" s="34" t="n">
        <f aca="false">Assumptions!$Q$55</f>
        <v>0</v>
      </c>
    </row>
    <row r="19609" customFormat="false" ht="15" hidden="false" customHeight="false" outlineLevel="0" collapsed="false">
      <c r="A19609" s="5" t="s">
        <v>460</v>
      </c>
      <c r="C19609" s="34" t="n">
        <f aca="false">Assumptions!$Q$56</f>
        <v>0</v>
      </c>
    </row>
    <row r="19610" customFormat="false" ht="15" hidden="false" customHeight="false" outlineLevel="0" collapsed="false">
      <c r="A19610" s="23" t="s">
        <v>463</v>
      </c>
      <c r="B19610" s="24"/>
      <c r="C19610" s="24"/>
      <c r="D19610" s="24"/>
      <c r="E19610" s="24"/>
      <c r="F19610" s="24"/>
      <c r="G19610" s="24"/>
      <c r="H19610" s="24"/>
      <c r="I19610" s="24"/>
      <c r="J19610" s="24"/>
      <c r="K19610" s="24"/>
    </row>
    <row r="19611" customFormat="false" ht="15" hidden="false" customHeight="false" outlineLevel="0" collapsed="false">
      <c r="A19611" s="5" t="s">
        <v>457</v>
      </c>
      <c r="C19611" s="25" t="n">
        <f aca="false">IF(C19606&gt;0,MIN(C19596,C19606*$C$19594),0)</f>
        <v>0</v>
      </c>
    </row>
    <row r="19612" customFormat="false" ht="15" hidden="false" customHeight="false" outlineLevel="0" collapsed="false">
      <c r="A19612" s="5" t="s">
        <v>458</v>
      </c>
      <c r="C19612" s="25" t="n">
        <f aca="false">IF(C19607&gt;0,MIN(C19597,C19607*$C$19594),0)</f>
        <v>0</v>
      </c>
    </row>
    <row r="19613" customFormat="false" ht="15" hidden="false" customHeight="false" outlineLevel="0" collapsed="false">
      <c r="A19613" s="5" t="s">
        <v>459</v>
      </c>
      <c r="C19613" s="25" t="n">
        <f aca="false">IF(C19608&gt;0,MIN(C19598,C19608*$C$19594),0)</f>
        <v>0</v>
      </c>
    </row>
    <row r="19614" customFormat="false" ht="15" hidden="false" customHeight="false" outlineLevel="0" collapsed="false">
      <c r="A19614" s="5" t="s">
        <v>460</v>
      </c>
      <c r="C19614" s="25" t="n">
        <f aca="false">IF(C19609&gt;0,MIN(C19599,C19609*$C$19594),0)</f>
        <v>0</v>
      </c>
    </row>
    <row r="19615" customFormat="false" ht="15" hidden="false" customHeight="false" outlineLevel="0" collapsed="false">
      <c r="A19615" s="23" t="s">
        <v>464</v>
      </c>
      <c r="B19615" s="24"/>
      <c r="C19615" s="24"/>
      <c r="D19615" s="24"/>
      <c r="E19615" s="24"/>
      <c r="F19615" s="24"/>
      <c r="G19615" s="24"/>
      <c r="H19615" s="24"/>
      <c r="I19615" s="24"/>
      <c r="J19615" s="24"/>
      <c r="K19615" s="24"/>
    </row>
    <row r="19616" customFormat="false" ht="15" hidden="false" customHeight="false" outlineLevel="0" collapsed="false">
      <c r="A19616" s="5" t="s">
        <v>457</v>
      </c>
      <c r="C19616" s="25" t="n">
        <f aca="false">IF(C19606&gt;0,C19596-C19611,0)</f>
        <v>0</v>
      </c>
      <c r="G19616" s="20" t="n">
        <f aca="false">IF(AND(G19465=1,G19462=1),1,0)</f>
        <v>0</v>
      </c>
      <c r="H19616" s="20" t="n">
        <f aca="false">IF(G19616=1,1,IF(AND(H19465=1,H19462=1),1,0))</f>
        <v>0</v>
      </c>
      <c r="I19616" s="20" t="n">
        <f aca="false">IF(H19616=1,1,IF(AND(I19465=1,I19462=1),1,0))</f>
        <v>0</v>
      </c>
      <c r="J19616" s="20" t="n">
        <f aca="false">IF(I19616=1,1,IF(AND(J19465=1,J19462=1),1,0))</f>
        <v>0</v>
      </c>
      <c r="K19616" s="20" t="n">
        <f aca="false">IF(J19616=1,1,IF(AND(K19465=1,K19462=1),1,0))</f>
        <v>0</v>
      </c>
    </row>
    <row r="19617" customFormat="false" ht="15" hidden="false" customHeight="false" outlineLevel="0" collapsed="false">
      <c r="A19617" s="5" t="s">
        <v>458</v>
      </c>
      <c r="C19617" s="25" t="n">
        <f aca="false">IF(C19607&gt;0,C19597-C19612,0)</f>
        <v>0</v>
      </c>
      <c r="G19617" s="20" t="n">
        <f aca="false">IF(AND(G19478=1,G19462=1),1,0)</f>
        <v>0</v>
      </c>
      <c r="H19617" s="20" t="n">
        <f aca="false">IF(G19617=1,1,IF(AND(H19478=1,H19462=1),1,0))</f>
        <v>0</v>
      </c>
      <c r="I19617" s="20" t="n">
        <f aca="false">IF(H19617=1,1,IF(AND(I19478=1,I19462=1),1,0))</f>
        <v>0</v>
      </c>
      <c r="J19617" s="20" t="n">
        <f aca="false">IF(I19617=1,1,IF(AND(J19478=1,J19462=1),1,0))</f>
        <v>0</v>
      </c>
      <c r="K19617" s="20" t="n">
        <f aca="false">IF(J19617=1,1,IF(AND(K19478=1,K19462=1),1,0))</f>
        <v>0</v>
      </c>
    </row>
    <row r="19618" customFormat="false" ht="15" hidden="false" customHeight="false" outlineLevel="0" collapsed="false">
      <c r="A19618" s="5" t="s">
        <v>459</v>
      </c>
      <c r="C19618" s="25" t="n">
        <f aca="false">IF(C19608&gt;0,C19598-C19613,0)</f>
        <v>0</v>
      </c>
      <c r="G19618" s="20" t="n">
        <f aca="false">IF(AND(G19491=1,G19462=1),1,0)</f>
        <v>0</v>
      </c>
      <c r="H19618" s="20" t="n">
        <f aca="false">IF(G19618=1,1,IF(AND(H19491=1,H19462=1),1,0))</f>
        <v>0</v>
      </c>
      <c r="I19618" s="20" t="n">
        <f aca="false">IF(H19618=1,1,IF(AND(I19491=1,I19462=1),1,0))</f>
        <v>0</v>
      </c>
      <c r="J19618" s="20" t="n">
        <f aca="false">IF(I19618=1,1,IF(AND(J19491=1,J19462=1),1,0))</f>
        <v>0</v>
      </c>
      <c r="K19618" s="20" t="n">
        <f aca="false">IF(J19618=1,1,IF(AND(K19491=1,K19462=1),1,0))</f>
        <v>0</v>
      </c>
    </row>
    <row r="19619" customFormat="false" ht="15" hidden="false" customHeight="false" outlineLevel="0" collapsed="false">
      <c r="A19619" s="5" t="s">
        <v>460</v>
      </c>
      <c r="C19619" s="25" t="n">
        <f aca="false">IF(C19609&gt;0,C19599-C19614,0)</f>
        <v>0</v>
      </c>
      <c r="G19619" s="20" t="n">
        <f aca="false">IF(AND(G19504=1,G19462=1),1,0)</f>
        <v>0</v>
      </c>
      <c r="H19619" s="20" t="n">
        <f aca="false">IF(G19619=1,1,IF(AND(H19504=1,H19462=1),1,0))</f>
        <v>0</v>
      </c>
      <c r="I19619" s="20" t="n">
        <f aca="false">IF(H19619=1,1,IF(AND(I19504=1,I19462=1),1,0))</f>
        <v>0</v>
      </c>
      <c r="J19619" s="20" t="n">
        <f aca="false">IF(I19619=1,1,IF(AND(J19504=1,J19462=1),1,0))</f>
        <v>0</v>
      </c>
      <c r="K19619" s="20" t="n">
        <f aca="false">IF(J19619=1,1,IF(AND(K19504=1,K19462=1),1,0))</f>
        <v>0</v>
      </c>
    </row>
    <row r="19620" customFormat="false" ht="15" hidden="false" customHeight="false" outlineLevel="0" collapsed="false">
      <c r="A19620" s="23" t="s">
        <v>465</v>
      </c>
      <c r="B19620" s="24"/>
      <c r="C19620" s="24"/>
      <c r="D19620" s="24"/>
      <c r="E19620" s="24"/>
      <c r="F19620" s="24"/>
      <c r="G19620" s="24"/>
      <c r="H19620" s="24"/>
      <c r="I19620" s="24"/>
      <c r="J19620" s="24"/>
      <c r="K19620" s="24"/>
    </row>
    <row r="19621" customFormat="false" ht="15" hidden="false" customHeight="false" outlineLevel="0" collapsed="false">
      <c r="A19621" s="5" t="s">
        <v>457</v>
      </c>
      <c r="C19621" s="25" t="n">
        <f aca="false">IF(C19606&gt;0,C19616,C19596)</f>
        <v>221.6231087</v>
      </c>
    </row>
    <row r="19622" customFormat="false" ht="15" hidden="false" customHeight="false" outlineLevel="0" collapsed="false">
      <c r="A19622" s="5" t="s">
        <v>458</v>
      </c>
      <c r="C19622" s="25" t="n">
        <f aca="false">IF(C19607&gt;0,C19617,C19597)</f>
        <v>524.3147</v>
      </c>
    </row>
    <row r="19623" customFormat="false" ht="15" hidden="false" customHeight="false" outlineLevel="0" collapsed="false">
      <c r="A19623" s="5" t="s">
        <v>459</v>
      </c>
      <c r="C19623" s="25" t="n">
        <f aca="false">IF(C19608&gt;0,C19618,C19598)</f>
        <v>256.875</v>
      </c>
    </row>
    <row r="19624" customFormat="false" ht="15" hidden="false" customHeight="false" outlineLevel="0" collapsed="false">
      <c r="A19624" s="5" t="s">
        <v>460</v>
      </c>
      <c r="C19624" s="25" t="n">
        <f aca="false">IF(C19609&gt;0,C19619,C19599)</f>
        <v>305.625</v>
      </c>
    </row>
    <row r="19625" customFormat="false" ht="15" hidden="false" customHeight="false" outlineLevel="0" collapsed="false">
      <c r="A19625" s="23" t="s">
        <v>466</v>
      </c>
      <c r="B19625" s="24"/>
      <c r="C19625" s="24"/>
      <c r="D19625" s="24"/>
      <c r="E19625" s="24"/>
      <c r="F19625" s="24"/>
      <c r="G19625" s="24"/>
      <c r="H19625" s="24"/>
      <c r="I19625" s="24"/>
      <c r="J19625" s="24"/>
      <c r="K19625" s="24"/>
    </row>
    <row r="19626" customFormat="false" ht="15" hidden="false" customHeight="false" outlineLevel="0" collapsed="false">
      <c r="A19626" s="5" t="s">
        <v>457</v>
      </c>
      <c r="C19626" s="20" t="n">
        <f aca="false">IF(C19606&gt;0,Assumptions!$C$17,C19601)</f>
        <v>1</v>
      </c>
    </row>
    <row r="19627" customFormat="false" ht="15" hidden="false" customHeight="false" outlineLevel="0" collapsed="false">
      <c r="A19627" s="5" t="s">
        <v>458</v>
      </c>
      <c r="C19627" s="20" t="n">
        <f aca="false">IF(C19607&gt;0,Assumptions!$C$17,C19602)</f>
        <v>2</v>
      </c>
    </row>
    <row r="19628" customFormat="false" ht="15" hidden="false" customHeight="false" outlineLevel="0" collapsed="false">
      <c r="A19628" s="5" t="s">
        <v>459</v>
      </c>
      <c r="C19628" s="20" t="n">
        <f aca="false">IF(C19608&gt;0,Assumptions!$C$17,C19603)</f>
        <v>3</v>
      </c>
    </row>
    <row r="19629" customFormat="false" ht="15" hidden="false" customHeight="false" outlineLevel="0" collapsed="false">
      <c r="A19629" s="5" t="s">
        <v>460</v>
      </c>
      <c r="C19629" s="20" t="n">
        <f aca="false">IF(C19609&gt;0,Assumptions!$C$17,C19604)</f>
        <v>4</v>
      </c>
    </row>
    <row r="19630" customFormat="false" ht="15" hidden="false" customHeight="false" outlineLevel="0" collapsed="false">
      <c r="A19630" s="23" t="s">
        <v>467</v>
      </c>
      <c r="B19630" s="24"/>
      <c r="C19630" s="24"/>
      <c r="D19630" s="24"/>
      <c r="E19630" s="24"/>
      <c r="F19630" s="24"/>
      <c r="G19630" s="24"/>
      <c r="H19630" s="24"/>
      <c r="I19630" s="24"/>
      <c r="J19630" s="24"/>
      <c r="K19630" s="24"/>
    </row>
    <row r="19631" customFormat="false" ht="15" hidden="false" customHeight="false" outlineLevel="0" collapsed="false">
      <c r="A19631" s="5" t="s">
        <v>457</v>
      </c>
      <c r="C19631" s="25" t="n">
        <f aca="false">SUMPRODUCT(($C$19626:$C$19629&lt;C19626)*$C$19621:$C$19624)</f>
        <v>0</v>
      </c>
    </row>
    <row r="19632" customFormat="false" ht="15" hidden="false" customHeight="false" outlineLevel="0" collapsed="false">
      <c r="A19632" s="5" t="s">
        <v>458</v>
      </c>
      <c r="C19632" s="25" t="n">
        <f aca="false">SUMPRODUCT(($C$19626:$C$19629&lt;C19627)*$C$19621:$C$19624)</f>
        <v>221.6231087</v>
      </c>
    </row>
    <row r="19633" customFormat="false" ht="15" hidden="false" customHeight="false" outlineLevel="0" collapsed="false">
      <c r="A19633" s="5" t="s">
        <v>459</v>
      </c>
      <c r="C19633" s="25" t="n">
        <f aca="false">SUMPRODUCT(($C$19626:$C$19629&lt;C19628)*$C$19621:$C$19624)</f>
        <v>745.9378087</v>
      </c>
    </row>
    <row r="19634" customFormat="false" ht="15" hidden="false" customHeight="false" outlineLevel="0" collapsed="false">
      <c r="A19634" s="5" t="s">
        <v>460</v>
      </c>
      <c r="C19634" s="25" t="n">
        <f aca="false">SUMPRODUCT(($C$19626:$C$19629&lt;C19629)*$C$19621:$C$19624)</f>
        <v>1002.8128087</v>
      </c>
    </row>
    <row r="19635" customFormat="false" ht="15" hidden="false" customHeight="false" outlineLevel="0" collapsed="false">
      <c r="A19635" s="23" t="s">
        <v>468</v>
      </c>
      <c r="B19635" s="24"/>
      <c r="C19635" s="24"/>
      <c r="D19635" s="24"/>
      <c r="E19635" s="24"/>
      <c r="F19635" s="24"/>
      <c r="G19635" s="24"/>
      <c r="H19635" s="24"/>
      <c r="I19635" s="24"/>
      <c r="J19635" s="24"/>
      <c r="K19635" s="24"/>
    </row>
    <row r="19636" customFormat="false" ht="15" hidden="false" customHeight="false" outlineLevel="0" collapsed="false">
      <c r="A19636" s="5" t="s">
        <v>457</v>
      </c>
      <c r="C19636" s="25" t="n">
        <f aca="false">SUMPRODUCT(($C$19626:$C$19629=C19626)*$C$19621:$C$19624)</f>
        <v>221.6231087</v>
      </c>
    </row>
    <row r="19637" customFormat="false" ht="15" hidden="false" customHeight="false" outlineLevel="0" collapsed="false">
      <c r="A19637" s="5" t="s">
        <v>458</v>
      </c>
      <c r="C19637" s="25" t="n">
        <f aca="false">SUMPRODUCT(($C$19626:$C$19629=C19627)*$C$19621:$C$19624)</f>
        <v>524.3147</v>
      </c>
    </row>
    <row r="19638" customFormat="false" ht="15" hidden="false" customHeight="false" outlineLevel="0" collapsed="false">
      <c r="A19638" s="5" t="s">
        <v>459</v>
      </c>
      <c r="C19638" s="25" t="n">
        <f aca="false">SUMPRODUCT(($C$19626:$C$19629=C19628)*$C$19621:$C$19624)</f>
        <v>256.875</v>
      </c>
    </row>
    <row r="19639" customFormat="false" ht="15" hidden="false" customHeight="false" outlineLevel="0" collapsed="false">
      <c r="A19639" s="5" t="s">
        <v>460</v>
      </c>
      <c r="C19639" s="25" t="n">
        <f aca="false">SUMPRODUCT(($C$19626:$C$19629=C19629)*$C$19621:$C$19624)</f>
        <v>305.625</v>
      </c>
    </row>
    <row r="19640" customFormat="false" ht="15" hidden="false" customHeight="false" outlineLevel="0" collapsed="false">
      <c r="A19640" s="23" t="s">
        <v>469</v>
      </c>
      <c r="B19640" s="24"/>
      <c r="C19640" s="24"/>
      <c r="D19640" s="24"/>
      <c r="E19640" s="24"/>
      <c r="F19640" s="24"/>
      <c r="G19640" s="24"/>
      <c r="H19640" s="24"/>
      <c r="I19640" s="24"/>
      <c r="J19640" s="24"/>
      <c r="K19640" s="24"/>
    </row>
    <row r="19641" customFormat="false" ht="15" hidden="false" customHeight="false" outlineLevel="0" collapsed="false">
      <c r="A19641" s="5" t="s">
        <v>457</v>
      </c>
      <c r="C19641" s="25" t="n">
        <f aca="false">IF(C19636=0,0,C19621/C19636*MAX(0,MIN(C19636,$C$19594-SUM($C$19611:$C$19614)-C19631)))</f>
        <v>221.6231087</v>
      </c>
    </row>
    <row r="19642" customFormat="false" ht="15" hidden="false" customHeight="false" outlineLevel="0" collapsed="false">
      <c r="A19642" s="5" t="s">
        <v>458</v>
      </c>
      <c r="C19642" s="25" t="n">
        <f aca="false">IF(C19637=0,0,C19622/C19637*MAX(0,MIN(C19637,$C$19594-SUM($C$19611:$C$19614)-C19632)))</f>
        <v>287.5608913</v>
      </c>
    </row>
    <row r="19643" customFormat="false" ht="15" hidden="false" customHeight="false" outlineLevel="0" collapsed="false">
      <c r="A19643" s="5" t="s">
        <v>459</v>
      </c>
      <c r="C19643" s="25" t="n">
        <f aca="false">IF(C19638=0,0,C19623/C19638*MAX(0,MIN(C19638,$C$19594-SUM($C$19611:$C$19614)-C19633)))</f>
        <v>0</v>
      </c>
    </row>
    <row r="19644" customFormat="false" ht="15" hidden="false" customHeight="false" outlineLevel="0" collapsed="false">
      <c r="A19644" s="5" t="s">
        <v>460</v>
      </c>
      <c r="C19644" s="25" t="n">
        <f aca="false">IF(C19639=0,0,C19624/C19639*MAX(0,MIN(C19639,$C$19594-SUM($C$19611:$C$19614)-C19634)))</f>
        <v>0</v>
      </c>
    </row>
    <row r="19645" customFormat="false" ht="15" hidden="false" customHeight="false" outlineLevel="0" collapsed="false">
      <c r="A19645" s="23" t="s">
        <v>470</v>
      </c>
      <c r="B19645" s="24"/>
      <c r="C19645" s="24"/>
      <c r="D19645" s="24"/>
      <c r="E19645" s="24"/>
      <c r="F19645" s="24"/>
      <c r="G19645" s="24"/>
      <c r="H19645" s="24"/>
      <c r="I19645" s="24"/>
      <c r="J19645" s="24"/>
      <c r="K19645" s="24"/>
    </row>
    <row r="19646" customFormat="false" ht="15" hidden="false" customHeight="false" outlineLevel="0" collapsed="false">
      <c r="A19646" s="2" t="s">
        <v>457</v>
      </c>
      <c r="C19646" s="16" t="n">
        <f aca="false">C19611+C19641</f>
        <v>221.6231087</v>
      </c>
    </row>
    <row r="19647" customFormat="false" ht="15" hidden="false" customHeight="false" outlineLevel="0" collapsed="false">
      <c r="A19647" s="2" t="s">
        <v>458</v>
      </c>
      <c r="C19647" s="16" t="n">
        <f aca="false">C19612+C19642</f>
        <v>287.5608913</v>
      </c>
    </row>
    <row r="19648" customFormat="false" ht="15" hidden="false" customHeight="false" outlineLevel="0" collapsed="false">
      <c r="A19648" s="2" t="s">
        <v>459</v>
      </c>
      <c r="C19648" s="16" t="n">
        <f aca="false">C19613+C19643</f>
        <v>0</v>
      </c>
    </row>
    <row r="19649" customFormat="false" ht="15" hidden="false" customHeight="false" outlineLevel="0" collapsed="false">
      <c r="A19649" s="2" t="s">
        <v>460</v>
      </c>
      <c r="C19649" s="16" t="n">
        <f aca="false">C19614+C19644</f>
        <v>0</v>
      </c>
    </row>
    <row r="19650" customFormat="false" ht="15" hidden="false" customHeight="false" outlineLevel="0" collapsed="false">
      <c r="A19650" s="23" t="s">
        <v>471</v>
      </c>
      <c r="B19650" s="24"/>
      <c r="C19650" s="24"/>
      <c r="D19650" s="24"/>
      <c r="E19650" s="24"/>
      <c r="F19650" s="24"/>
      <c r="G19650" s="24"/>
      <c r="H19650" s="24"/>
      <c r="I19650" s="24"/>
      <c r="J19650" s="24"/>
      <c r="K19650" s="24"/>
    </row>
    <row r="19651" customFormat="false" ht="15" hidden="false" customHeight="false" outlineLevel="0" collapsed="false">
      <c r="A19651" s="5" t="s">
        <v>457</v>
      </c>
      <c r="C19651" s="21" t="n">
        <f aca="false">IF(C19596=0,1,C19646/C19596)</f>
        <v>1</v>
      </c>
    </row>
    <row r="19652" customFormat="false" ht="15" hidden="false" customHeight="false" outlineLevel="0" collapsed="false">
      <c r="A19652" s="5" t="s">
        <v>458</v>
      </c>
      <c r="C19652" s="21" t="n">
        <f aca="false">IF(C19597=0,1,C19647/C19597)</f>
        <v>0.548450942344359</v>
      </c>
    </row>
    <row r="19653" customFormat="false" ht="15" hidden="false" customHeight="false" outlineLevel="0" collapsed="false">
      <c r="A19653" s="5" t="s">
        <v>459</v>
      </c>
      <c r="C19653" s="21" t="n">
        <f aca="false">IF(C19598=0,1,C19648/C19598)</f>
        <v>0</v>
      </c>
    </row>
    <row r="19654" customFormat="false" ht="15" hidden="false" customHeight="false" outlineLevel="0" collapsed="false">
      <c r="A19654" s="5" t="s">
        <v>460</v>
      </c>
      <c r="C19654" s="21" t="n">
        <f aca="false">IF(C19599=0,1,C19649/C19599)</f>
        <v>0</v>
      </c>
    </row>
    <row r="19655" customFormat="false" ht="15" hidden="false" customHeight="false" outlineLevel="0" collapsed="false">
      <c r="A19655" s="23" t="s">
        <v>472</v>
      </c>
      <c r="B19655" s="24"/>
      <c r="C19655" s="24"/>
      <c r="D19655" s="24"/>
      <c r="E19655" s="24"/>
      <c r="F19655" s="24"/>
      <c r="G19655" s="24"/>
      <c r="H19655" s="24"/>
      <c r="I19655" s="24"/>
      <c r="J19655" s="24"/>
      <c r="K19655" s="24"/>
    </row>
    <row r="19656" customFormat="false" ht="15" hidden="false" customHeight="false" outlineLevel="0" collapsed="false">
      <c r="A19656" s="5" t="s">
        <v>457</v>
      </c>
      <c r="C19656" s="25" t="n">
        <f aca="false">C19596-C19646</f>
        <v>0</v>
      </c>
    </row>
    <row r="19657" customFormat="false" ht="15" hidden="false" customHeight="false" outlineLevel="0" collapsed="false">
      <c r="A19657" s="5" t="s">
        <v>458</v>
      </c>
      <c r="C19657" s="25" t="n">
        <f aca="false">C19597-C19647</f>
        <v>236.7538087</v>
      </c>
    </row>
    <row r="19658" customFormat="false" ht="15" hidden="false" customHeight="false" outlineLevel="0" collapsed="false">
      <c r="A19658" s="5" t="s">
        <v>459</v>
      </c>
      <c r="C19658" s="25" t="n">
        <f aca="false">C19598-C19648</f>
        <v>256.875</v>
      </c>
    </row>
    <row r="19659" customFormat="false" ht="15" hidden="false" customHeight="false" outlineLevel="0" collapsed="false">
      <c r="A19659" s="5" t="s">
        <v>460</v>
      </c>
      <c r="C19659" s="25" t="n">
        <f aca="false">C19599-C19649</f>
        <v>305.625</v>
      </c>
    </row>
    <row r="19660" customFormat="false" ht="15" hidden="false" customHeight="false" outlineLevel="0" collapsed="false">
      <c r="A19660" s="23" t="s">
        <v>473</v>
      </c>
      <c r="B19660" s="24"/>
      <c r="C19660" s="24"/>
      <c r="D19660" s="24"/>
      <c r="E19660" s="24"/>
      <c r="F19660" s="24"/>
      <c r="G19660" s="24"/>
      <c r="H19660" s="24"/>
      <c r="I19660" s="24"/>
      <c r="J19660" s="24"/>
      <c r="K19660" s="24"/>
    </row>
    <row r="19661" customFormat="false" ht="15" hidden="false" customHeight="false" outlineLevel="0" collapsed="false">
      <c r="A19661" s="5" t="s">
        <v>457</v>
      </c>
      <c r="C19661" s="21" t="n">
        <f aca="false">IF(C19596=0,0,C19656/C19596)</f>
        <v>0</v>
      </c>
    </row>
    <row r="19662" customFormat="false" ht="15" hidden="false" customHeight="false" outlineLevel="0" collapsed="false">
      <c r="A19662" s="5" t="s">
        <v>458</v>
      </c>
      <c r="C19662" s="21" t="n">
        <f aca="false">IF(C19597=0,0,C19657/C19597)</f>
        <v>0.451549057655641</v>
      </c>
    </row>
    <row r="19663" customFormat="false" ht="15" hidden="false" customHeight="false" outlineLevel="0" collapsed="false">
      <c r="A19663" s="5" t="s">
        <v>459</v>
      </c>
      <c r="C19663" s="21" t="n">
        <f aca="false">IF(C19598=0,0,C19658/C19598)</f>
        <v>1</v>
      </c>
    </row>
    <row r="19664" customFormat="false" ht="15" hidden="false" customHeight="false" outlineLevel="0" collapsed="false">
      <c r="A19664" s="5" t="s">
        <v>460</v>
      </c>
      <c r="C19664" s="21" t="n">
        <f aca="false">IF(C19599=0,0,C19659/C19599)</f>
        <v>1</v>
      </c>
    </row>
    <row r="19665" customFormat="false" ht="15" hidden="false" customHeight="false" outlineLevel="0" collapsed="false">
      <c r="A19665" s="2" t="s">
        <v>474</v>
      </c>
      <c r="C19665" s="16" t="n">
        <f aca="false">MAX(0,$C$19594-SUM($C$19611:$C$19614)-SUM($C$19621:$C$19624))</f>
        <v>0</v>
      </c>
    </row>
    <row r="19666" customFormat="false" ht="15" hidden="false" customHeight="false" outlineLevel="0" collapsed="false">
      <c r="A19666" s="5" t="s">
        <v>475</v>
      </c>
      <c r="C19666" s="25" t="n">
        <f aca="false">SUM($C$19646:$C$19649)+C19665+C19593-C19592</f>
        <v>0</v>
      </c>
    </row>
    <row r="19668" customFormat="false" ht="15" hidden="false" customHeight="false" outlineLevel="0" collapsed="false">
      <c r="A19668" s="23" t="s">
        <v>478</v>
      </c>
      <c r="B19668" s="24"/>
      <c r="C19668" s="24"/>
      <c r="D19668" s="24"/>
      <c r="E19668" s="24"/>
      <c r="F19668" s="24"/>
      <c r="G19668" s="24"/>
      <c r="H19668" s="24"/>
      <c r="I19668" s="24"/>
      <c r="J19668" s="24"/>
      <c r="K19668" s="24"/>
    </row>
    <row r="19669" customFormat="false" ht="15" hidden="false" customHeight="false" outlineLevel="0" collapsed="false">
      <c r="A19669" s="5" t="s">
        <v>479</v>
      </c>
      <c r="C19669" s="26" t="n">
        <f aca="false">Assumptions!$C$30</f>
        <v>2</v>
      </c>
    </row>
    <row r="19670" customFormat="false" ht="15" hidden="false" customHeight="false" outlineLevel="0" collapsed="false">
      <c r="A19670" s="5" t="s">
        <v>480</v>
      </c>
      <c r="C19670" s="28" t="n">
        <f aca="false">Assumptions!$C$31</f>
        <v>100</v>
      </c>
    </row>
    <row r="19671" customFormat="false" ht="15" hidden="false" customHeight="false" outlineLevel="0" collapsed="false">
      <c r="A19671" s="5" t="s">
        <v>481</v>
      </c>
      <c r="C19671" s="39" t="n">
        <f aca="false">Assumptions!$C$32</f>
        <v>78</v>
      </c>
    </row>
    <row r="19672" customFormat="false" ht="15" hidden="false" customHeight="false" outlineLevel="0" collapsed="false">
      <c r="A19672" s="5" t="s">
        <v>482</v>
      </c>
      <c r="C19672" s="25" t="n">
        <f aca="false">C19670*C19671/100*(1+Assumptions!$C$33)</f>
        <v>78.39</v>
      </c>
    </row>
    <row r="19673" customFormat="false" ht="15" hidden="false" customHeight="false" outlineLevel="0" collapsed="false">
      <c r="A19673" s="5" t="s">
        <v>483</v>
      </c>
      <c r="C19673" s="26" t="n">
        <f aca="false">Assumptions!$C$34</f>
        <v>2</v>
      </c>
    </row>
    <row r="19674" customFormat="false" ht="15" hidden="false" customHeight="false" outlineLevel="0" collapsed="false">
      <c r="A19674" s="5" t="s">
        <v>484</v>
      </c>
      <c r="C19674" s="20" t="n">
        <f aca="false">IF(C19585=1,SUMPRODUCT($G$19553:$K$19553,$G$19429:$K$19429),0)</f>
        <v>2</v>
      </c>
    </row>
    <row r="19675" customFormat="false" ht="15" hidden="false" customHeight="false" outlineLevel="0" collapsed="false">
      <c r="A19675" s="5" t="s">
        <v>485</v>
      </c>
      <c r="C19675" s="21" t="n">
        <f aca="false">IFERROR(C19670/CHOOSE(C19669,SUMPRODUCT($G$19584:$K$19584,$G$19475:$K$19475),SUMPRODUCT($G$19584:$K$19584,$G$19488:$K$19488),SUMPRODUCT($G$19584:$K$19584,$G$19501:$K$19501),SUMPRODUCT($G$19584:$K$19584,$G$19514:$K$19514)),0)</f>
        <v>0.196232339089482</v>
      </c>
    </row>
    <row r="19676" customFormat="false" ht="15" hidden="false" customHeight="false" outlineLevel="0" collapsed="false">
      <c r="A19676" s="5" t="s">
        <v>486</v>
      </c>
      <c r="C19676" s="25" t="n">
        <f aca="false">CHOOSE(C19669,C19646,C19647,C19648,C19649)*C19675</f>
        <v>56.4287463304553</v>
      </c>
    </row>
    <row r="19677" customFormat="false" ht="15" hidden="false" customHeight="false" outlineLevel="0" collapsed="false">
      <c r="A19677" s="5" t="s">
        <v>487</v>
      </c>
      <c r="C19677" s="21" t="n">
        <f aca="false">CHOOSE(C19669,C19651,C19652,C19653,C19654)</f>
        <v>0.548450942344359</v>
      </c>
    </row>
    <row r="19678" customFormat="false" ht="15" hidden="false" customHeight="false" outlineLevel="0" collapsed="false">
      <c r="A19678" s="5" t="s">
        <v>488</v>
      </c>
      <c r="C19678" s="20" t="n">
        <f aca="false">IF(C19585=1,C19674,C19673)</f>
        <v>2</v>
      </c>
    </row>
    <row r="19679" customFormat="false" ht="15" hidden="false" customHeight="false" outlineLevel="0" collapsed="false">
      <c r="A19679" s="5" t="s">
        <v>489</v>
      </c>
      <c r="C19679" s="33" t="n">
        <f aca="false">CHOOSE($C$19421,Assumptions!$C$77,Assumptions!$C$96,Assumptions!$C$115)</f>
        <v>90</v>
      </c>
    </row>
    <row r="19680" customFormat="false" ht="15" hidden="false" customHeight="false" outlineLevel="0" collapsed="false">
      <c r="A19680" s="5" t="s">
        <v>490</v>
      </c>
      <c r="C19680" s="25" t="n">
        <f aca="false">INDEX($G$19438:$K$19438,C19673)*CHOOSE($C$19421,Assumptions!$C$76,Assumptions!$C$95,Assumptions!$C$114)+MAX(0,INDEX($G$19550:$K$19550,C19673))</f>
        <v>244.547592</v>
      </c>
    </row>
    <row r="19681" customFormat="false" ht="15" hidden="false" customHeight="false" outlineLevel="0" collapsed="false">
      <c r="A19681" s="23" t="s">
        <v>491</v>
      </c>
      <c r="B19681" s="24"/>
      <c r="C19681" s="24"/>
      <c r="D19681" s="24"/>
      <c r="E19681" s="24"/>
      <c r="F19681" s="24"/>
      <c r="G19681" s="24"/>
      <c r="H19681" s="24"/>
      <c r="I19681" s="24"/>
      <c r="J19681" s="24"/>
      <c r="K19681" s="24"/>
    </row>
    <row r="19682" customFormat="false" ht="15" hidden="false" customHeight="false" outlineLevel="0" collapsed="false">
      <c r="A19682" s="5" t="s">
        <v>457</v>
      </c>
      <c r="C19682" s="25" t="n">
        <f aca="false">INDEX($G$19475:$K$19475,C19673)</f>
        <v>216.2968</v>
      </c>
    </row>
    <row r="19683" customFormat="false" ht="15" hidden="false" customHeight="false" outlineLevel="0" collapsed="false">
      <c r="A19683" s="5" t="s">
        <v>458</v>
      </c>
      <c r="C19683" s="25" t="n">
        <f aca="false">INDEX($G$19488:$K$19488,C19673)</f>
        <v>509.6</v>
      </c>
    </row>
    <row r="19684" customFormat="false" ht="15" hidden="false" customHeight="false" outlineLevel="0" collapsed="false">
      <c r="A19684" s="5" t="s">
        <v>459</v>
      </c>
      <c r="C19684" s="25" t="n">
        <f aca="false">INDEX($G$19501:$K$19501,C19673)</f>
        <v>250</v>
      </c>
    </row>
    <row r="19685" customFormat="false" ht="15" hidden="false" customHeight="false" outlineLevel="0" collapsed="false">
      <c r="A19685" s="5" t="s">
        <v>460</v>
      </c>
      <c r="C19685" s="25" t="n">
        <f aca="false">INDEX($G$19514:$K$19514,C19673)</f>
        <v>300</v>
      </c>
    </row>
    <row r="19686" customFormat="false" ht="15" hidden="false" customHeight="false" outlineLevel="0" collapsed="false">
      <c r="A19686" s="23" t="s">
        <v>461</v>
      </c>
      <c r="B19686" s="24"/>
      <c r="C19686" s="24"/>
      <c r="D19686" s="24"/>
      <c r="E19686" s="24"/>
      <c r="F19686" s="24"/>
      <c r="G19686" s="24"/>
      <c r="H19686" s="24"/>
      <c r="I19686" s="24"/>
      <c r="J19686" s="24"/>
      <c r="K19686" s="24"/>
    </row>
    <row r="19687" customFormat="false" ht="15" hidden="false" customHeight="false" outlineLevel="0" collapsed="false">
      <c r="A19687" s="5" t="s">
        <v>457</v>
      </c>
      <c r="C19687" s="26" t="n">
        <f aca="false">Assumptions!$M$53</f>
        <v>1</v>
      </c>
    </row>
    <row r="19688" customFormat="false" ht="15" hidden="false" customHeight="false" outlineLevel="0" collapsed="false">
      <c r="A19688" s="5" t="s">
        <v>458</v>
      </c>
      <c r="C19688" s="26" t="n">
        <f aca="false">Assumptions!$M$54</f>
        <v>2</v>
      </c>
    </row>
    <row r="19689" customFormat="false" ht="15" hidden="false" customHeight="false" outlineLevel="0" collapsed="false">
      <c r="A19689" s="5" t="s">
        <v>459</v>
      </c>
      <c r="C19689" s="26" t="n">
        <f aca="false">Assumptions!$M$55</f>
        <v>3</v>
      </c>
    </row>
    <row r="19690" customFormat="false" ht="15" hidden="false" customHeight="false" outlineLevel="0" collapsed="false">
      <c r="A19690" s="5" t="s">
        <v>460</v>
      </c>
      <c r="C19690" s="26" t="n">
        <f aca="false">Assumptions!$M$56</f>
        <v>4</v>
      </c>
    </row>
    <row r="19691" customFormat="false" ht="15" hidden="false" customHeight="false" outlineLevel="0" collapsed="false">
      <c r="A19691" s="23" t="s">
        <v>462</v>
      </c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</row>
    <row r="19692" customFormat="false" ht="15" hidden="false" customHeight="false" outlineLevel="0" collapsed="false">
      <c r="A19692" s="5" t="s">
        <v>457</v>
      </c>
      <c r="C19692" s="34" t="n">
        <f aca="false">Assumptions!$Q$53</f>
        <v>0</v>
      </c>
    </row>
    <row r="19693" customFormat="false" ht="15" hidden="false" customHeight="false" outlineLevel="0" collapsed="false">
      <c r="A19693" s="5" t="s">
        <v>458</v>
      </c>
      <c r="C19693" s="34" t="n">
        <f aca="false">Assumptions!$Q$54</f>
        <v>0</v>
      </c>
    </row>
    <row r="19694" customFormat="false" ht="15" hidden="false" customHeight="false" outlineLevel="0" collapsed="false">
      <c r="A19694" s="5" t="s">
        <v>459</v>
      </c>
      <c r="C19694" s="34" t="n">
        <f aca="false">Assumptions!$Q$55</f>
        <v>0</v>
      </c>
    </row>
    <row r="19695" customFormat="false" ht="15" hidden="false" customHeight="false" outlineLevel="0" collapsed="false">
      <c r="A19695" s="5" t="s">
        <v>460</v>
      </c>
      <c r="C19695" s="34" t="n">
        <f aca="false">Assumptions!$Q$56</f>
        <v>0</v>
      </c>
    </row>
    <row r="19696" customFormat="false" ht="15" hidden="false" customHeight="false" outlineLevel="0" collapsed="false">
      <c r="A19696" s="23" t="s">
        <v>463</v>
      </c>
      <c r="B19696" s="24"/>
      <c r="C19696" s="24"/>
      <c r="D19696" s="24"/>
      <c r="E19696" s="24"/>
      <c r="F19696" s="24"/>
      <c r="G19696" s="24"/>
      <c r="H19696" s="24"/>
      <c r="I19696" s="24"/>
      <c r="J19696" s="24"/>
      <c r="K19696" s="24"/>
    </row>
    <row r="19697" customFormat="false" ht="15" hidden="false" customHeight="false" outlineLevel="0" collapsed="false">
      <c r="A19697" s="5" t="s">
        <v>457</v>
      </c>
      <c r="C19697" s="25" t="n">
        <f aca="false">IF(C19692&gt;0,MIN(C19682,C19692*$C$19680),0)</f>
        <v>0</v>
      </c>
    </row>
    <row r="19698" customFormat="false" ht="15" hidden="false" customHeight="false" outlineLevel="0" collapsed="false">
      <c r="A19698" s="5" t="s">
        <v>458</v>
      </c>
      <c r="C19698" s="25" t="n">
        <f aca="false">IF(C19693&gt;0,MIN(C19683,C19693*$C$19680),0)</f>
        <v>0</v>
      </c>
    </row>
    <row r="19699" customFormat="false" ht="15" hidden="false" customHeight="false" outlineLevel="0" collapsed="false">
      <c r="A19699" s="5" t="s">
        <v>459</v>
      </c>
      <c r="C19699" s="25" t="n">
        <f aca="false">IF(C19694&gt;0,MIN(C19684,C19694*$C$19680),0)</f>
        <v>0</v>
      </c>
    </row>
    <row r="19700" customFormat="false" ht="15" hidden="false" customHeight="false" outlineLevel="0" collapsed="false">
      <c r="A19700" s="5" t="s">
        <v>460</v>
      </c>
      <c r="C19700" s="25" t="n">
        <f aca="false">IF(C19695&gt;0,MIN(C19685,C19695*$C$19680),0)</f>
        <v>0</v>
      </c>
    </row>
    <row r="19701" customFormat="false" ht="15" hidden="false" customHeight="false" outlineLevel="0" collapsed="false">
      <c r="A19701" s="23" t="s">
        <v>464</v>
      </c>
      <c r="B19701" s="24"/>
      <c r="C19701" s="24"/>
      <c r="D19701" s="24"/>
      <c r="E19701" s="24"/>
      <c r="F19701" s="24"/>
      <c r="G19701" s="24"/>
      <c r="H19701" s="24"/>
      <c r="I19701" s="24"/>
      <c r="J19701" s="24"/>
      <c r="K19701" s="24"/>
    </row>
    <row r="19702" customFormat="false" ht="15" hidden="false" customHeight="false" outlineLevel="0" collapsed="false">
      <c r="A19702" s="5" t="s">
        <v>457</v>
      </c>
      <c r="C19702" s="25" t="n">
        <f aca="false">IF(C19692&gt;0,C19682-C19697,0)</f>
        <v>0</v>
      </c>
    </row>
    <row r="19703" customFormat="false" ht="15" hidden="false" customHeight="false" outlineLevel="0" collapsed="false">
      <c r="A19703" s="5" t="s">
        <v>458</v>
      </c>
      <c r="C19703" s="25" t="n">
        <f aca="false">IF(C19693&gt;0,C19683-C19698,0)</f>
        <v>0</v>
      </c>
    </row>
    <row r="19704" customFormat="false" ht="15" hidden="false" customHeight="false" outlineLevel="0" collapsed="false">
      <c r="A19704" s="5" t="s">
        <v>459</v>
      </c>
      <c r="C19704" s="25" t="n">
        <f aca="false">IF(C19694&gt;0,C19684-C19699,0)</f>
        <v>0</v>
      </c>
    </row>
    <row r="19705" customFormat="false" ht="15" hidden="false" customHeight="false" outlineLevel="0" collapsed="false">
      <c r="A19705" s="5" t="s">
        <v>460</v>
      </c>
      <c r="C19705" s="25" t="n">
        <f aca="false">IF(C19695&gt;0,C19685-C19700,0)</f>
        <v>0</v>
      </c>
    </row>
    <row r="19706" customFormat="false" ht="15" hidden="false" customHeight="false" outlineLevel="0" collapsed="false">
      <c r="A19706" s="23" t="s">
        <v>465</v>
      </c>
      <c r="B19706" s="24"/>
      <c r="C19706" s="24"/>
      <c r="D19706" s="24"/>
      <c r="E19706" s="24"/>
      <c r="F19706" s="24"/>
      <c r="G19706" s="24"/>
      <c r="H19706" s="24"/>
      <c r="I19706" s="24"/>
      <c r="J19706" s="24"/>
      <c r="K19706" s="24"/>
    </row>
    <row r="19707" customFormat="false" ht="15" hidden="false" customHeight="false" outlineLevel="0" collapsed="false">
      <c r="A19707" s="5" t="s">
        <v>457</v>
      </c>
      <c r="C19707" s="25" t="n">
        <f aca="false">IF(C19692&gt;0,C19702,C19682)</f>
        <v>216.2968</v>
      </c>
    </row>
    <row r="19708" customFormat="false" ht="15" hidden="false" customHeight="false" outlineLevel="0" collapsed="false">
      <c r="A19708" s="5" t="s">
        <v>458</v>
      </c>
      <c r="C19708" s="25" t="n">
        <f aca="false">IF(C19693&gt;0,C19703,C19683)</f>
        <v>509.6</v>
      </c>
    </row>
    <row r="19709" customFormat="false" ht="15" hidden="false" customHeight="false" outlineLevel="0" collapsed="false">
      <c r="A19709" s="5" t="s">
        <v>459</v>
      </c>
      <c r="C19709" s="25" t="n">
        <f aca="false">IF(C19694&gt;0,C19704,C19684)</f>
        <v>250</v>
      </c>
    </row>
    <row r="19710" customFormat="false" ht="15" hidden="false" customHeight="false" outlineLevel="0" collapsed="false">
      <c r="A19710" s="5" t="s">
        <v>460</v>
      </c>
      <c r="C19710" s="25" t="n">
        <f aca="false">IF(C19695&gt;0,C19705,C19685)</f>
        <v>300</v>
      </c>
    </row>
    <row r="19711" customFormat="false" ht="15" hidden="false" customHeight="false" outlineLevel="0" collapsed="false">
      <c r="A19711" s="23" t="s">
        <v>466</v>
      </c>
      <c r="B19711" s="24"/>
      <c r="C19711" s="24"/>
      <c r="D19711" s="24"/>
      <c r="E19711" s="24"/>
      <c r="F19711" s="24"/>
      <c r="G19711" s="24"/>
      <c r="H19711" s="24"/>
      <c r="I19711" s="24"/>
      <c r="J19711" s="24"/>
      <c r="K19711" s="24"/>
    </row>
    <row r="19712" customFormat="false" ht="15" hidden="false" customHeight="false" outlineLevel="0" collapsed="false">
      <c r="A19712" s="5" t="s">
        <v>457</v>
      </c>
      <c r="C19712" s="20" t="n">
        <f aca="false">IF(C19692&gt;0,Assumptions!$C$17,C19687)</f>
        <v>1</v>
      </c>
    </row>
    <row r="19713" customFormat="false" ht="15" hidden="false" customHeight="false" outlineLevel="0" collapsed="false">
      <c r="A19713" s="5" t="s">
        <v>458</v>
      </c>
      <c r="C19713" s="20" t="n">
        <f aca="false">IF(C19693&gt;0,Assumptions!$C$17,C19688)</f>
        <v>2</v>
      </c>
    </row>
    <row r="19714" customFormat="false" ht="15" hidden="false" customHeight="false" outlineLevel="0" collapsed="false">
      <c r="A19714" s="5" t="s">
        <v>459</v>
      </c>
      <c r="C19714" s="20" t="n">
        <f aca="false">IF(C19694&gt;0,Assumptions!$C$17,C19689)</f>
        <v>3</v>
      </c>
    </row>
    <row r="19715" customFormat="false" ht="15" hidden="false" customHeight="false" outlineLevel="0" collapsed="false">
      <c r="A19715" s="5" t="s">
        <v>460</v>
      </c>
      <c r="C19715" s="20" t="n">
        <f aca="false">IF(C19695&gt;0,Assumptions!$C$17,C19690)</f>
        <v>4</v>
      </c>
    </row>
    <row r="19716" customFormat="false" ht="15" hidden="false" customHeight="false" outlineLevel="0" collapsed="false">
      <c r="A19716" s="23" t="s">
        <v>467</v>
      </c>
      <c r="B19716" s="24"/>
      <c r="C19716" s="24"/>
      <c r="D19716" s="24"/>
      <c r="E19716" s="24"/>
      <c r="F19716" s="24"/>
      <c r="G19716" s="24"/>
      <c r="H19716" s="24"/>
      <c r="I19716" s="24"/>
      <c r="J19716" s="24"/>
      <c r="K19716" s="24"/>
    </row>
    <row r="19717" customFormat="false" ht="15" hidden="false" customHeight="false" outlineLevel="0" collapsed="false">
      <c r="A19717" s="5" t="s">
        <v>457</v>
      </c>
      <c r="C19717" s="25" t="n">
        <f aca="false">SUMPRODUCT(($C$19712:$C$19715&lt;C19712)*$C$19707:$C$19710)</f>
        <v>0</v>
      </c>
    </row>
    <row r="19718" customFormat="false" ht="15" hidden="false" customHeight="false" outlineLevel="0" collapsed="false">
      <c r="A19718" s="5" t="s">
        <v>458</v>
      </c>
      <c r="C19718" s="25" t="n">
        <f aca="false">SUMPRODUCT(($C$19712:$C$19715&lt;C19713)*$C$19707:$C$19710)</f>
        <v>216.2968</v>
      </c>
    </row>
    <row r="19719" customFormat="false" ht="15" hidden="false" customHeight="false" outlineLevel="0" collapsed="false">
      <c r="A19719" s="5" t="s">
        <v>459</v>
      </c>
      <c r="C19719" s="25" t="n">
        <f aca="false">SUMPRODUCT(($C$19712:$C$19715&lt;C19714)*$C$19707:$C$19710)</f>
        <v>725.8968</v>
      </c>
    </row>
    <row r="19720" customFormat="false" ht="15" hidden="false" customHeight="false" outlineLevel="0" collapsed="false">
      <c r="A19720" s="5" t="s">
        <v>460</v>
      </c>
      <c r="C19720" s="25" t="n">
        <f aca="false">SUMPRODUCT(($C$19712:$C$19715&lt;C19715)*$C$19707:$C$19710)</f>
        <v>975.8968</v>
      </c>
    </row>
    <row r="19721" customFormat="false" ht="15" hidden="false" customHeight="false" outlineLevel="0" collapsed="false">
      <c r="A19721" s="23" t="s">
        <v>468</v>
      </c>
      <c r="B19721" s="24"/>
      <c r="C19721" s="24"/>
      <c r="D19721" s="24"/>
      <c r="E19721" s="24"/>
      <c r="F19721" s="24"/>
      <c r="G19721" s="24"/>
      <c r="H19721" s="24"/>
      <c r="I19721" s="24"/>
      <c r="J19721" s="24"/>
      <c r="K19721" s="24"/>
    </row>
    <row r="19722" customFormat="false" ht="15" hidden="false" customHeight="false" outlineLevel="0" collapsed="false">
      <c r="A19722" s="5" t="s">
        <v>457</v>
      </c>
      <c r="C19722" s="25" t="n">
        <f aca="false">SUMPRODUCT(($C$19712:$C$19715=C19712)*$C$19707:$C$19710)</f>
        <v>216.2968</v>
      </c>
    </row>
    <row r="19723" customFormat="false" ht="15" hidden="false" customHeight="false" outlineLevel="0" collapsed="false">
      <c r="A19723" s="5" t="s">
        <v>458</v>
      </c>
      <c r="C19723" s="25" t="n">
        <f aca="false">SUMPRODUCT(($C$19712:$C$19715=C19713)*$C$19707:$C$19710)</f>
        <v>509.6</v>
      </c>
    </row>
    <row r="19724" customFormat="false" ht="15" hidden="false" customHeight="false" outlineLevel="0" collapsed="false">
      <c r="A19724" s="5" t="s">
        <v>459</v>
      </c>
      <c r="C19724" s="25" t="n">
        <f aca="false">SUMPRODUCT(($C$19712:$C$19715=C19714)*$C$19707:$C$19710)</f>
        <v>250</v>
      </c>
    </row>
    <row r="19725" customFormat="false" ht="15" hidden="false" customHeight="false" outlineLevel="0" collapsed="false">
      <c r="A19725" s="5" t="s">
        <v>460</v>
      </c>
      <c r="C19725" s="25" t="n">
        <f aca="false">SUMPRODUCT(($C$19712:$C$19715=C19715)*$C$19707:$C$19710)</f>
        <v>300</v>
      </c>
    </row>
    <row r="19726" customFormat="false" ht="15" hidden="false" customHeight="false" outlineLevel="0" collapsed="false">
      <c r="A19726" s="23" t="s">
        <v>469</v>
      </c>
      <c r="B19726" s="24"/>
      <c r="C19726" s="24"/>
      <c r="D19726" s="24"/>
      <c r="E19726" s="24"/>
      <c r="F19726" s="24"/>
      <c r="G19726" s="24"/>
      <c r="H19726" s="24"/>
      <c r="I19726" s="24"/>
      <c r="J19726" s="24"/>
      <c r="K19726" s="24"/>
    </row>
    <row r="19727" customFormat="false" ht="15" hidden="false" customHeight="false" outlineLevel="0" collapsed="false">
      <c r="A19727" s="5" t="s">
        <v>457</v>
      </c>
      <c r="C19727" s="25" t="n">
        <f aca="false">IF(C19722=0,0,C19707/C19722*MAX(0,MIN(C19722,$C$19680-SUM($C$19697:$C$19700)-C19717)))</f>
        <v>216.2968</v>
      </c>
    </row>
    <row r="19728" customFormat="false" ht="15" hidden="false" customHeight="false" outlineLevel="0" collapsed="false">
      <c r="A19728" s="5" t="s">
        <v>458</v>
      </c>
      <c r="C19728" s="25" t="n">
        <f aca="false">IF(C19723=0,0,C19708/C19723*MAX(0,MIN(C19723,$C$19680-SUM($C$19697:$C$19700)-C19718)))</f>
        <v>28.2507919999998</v>
      </c>
    </row>
    <row r="19729" customFormat="false" ht="15" hidden="false" customHeight="false" outlineLevel="0" collapsed="false">
      <c r="A19729" s="5" t="s">
        <v>459</v>
      </c>
      <c r="C19729" s="25" t="n">
        <f aca="false">IF(C19724=0,0,C19709/C19724*MAX(0,MIN(C19724,$C$19680-SUM($C$19697:$C$19700)-C19719)))</f>
        <v>0</v>
      </c>
    </row>
    <row r="19730" customFormat="false" ht="15" hidden="false" customHeight="false" outlineLevel="0" collapsed="false">
      <c r="A19730" s="5" t="s">
        <v>460</v>
      </c>
      <c r="C19730" s="25" t="n">
        <f aca="false">IF(C19725=0,0,C19710/C19725*MAX(0,MIN(C19725,$C$19680-SUM($C$19697:$C$19700)-C19720)))</f>
        <v>0</v>
      </c>
    </row>
    <row r="19731" customFormat="false" ht="15" hidden="false" customHeight="false" outlineLevel="0" collapsed="false">
      <c r="A19731" s="23" t="s">
        <v>470</v>
      </c>
      <c r="B19731" s="24"/>
      <c r="C19731" s="24"/>
      <c r="D19731" s="24"/>
      <c r="E19731" s="24"/>
      <c r="F19731" s="24"/>
      <c r="G19731" s="24"/>
      <c r="H19731" s="24"/>
      <c r="I19731" s="24"/>
      <c r="J19731" s="24"/>
      <c r="K19731" s="24"/>
    </row>
    <row r="19732" customFormat="false" ht="15" hidden="false" customHeight="false" outlineLevel="0" collapsed="false">
      <c r="A19732" s="2" t="s">
        <v>457</v>
      </c>
      <c r="C19732" s="16" t="n">
        <f aca="false">C19697+C19727</f>
        <v>216.2968</v>
      </c>
    </row>
    <row r="19733" customFormat="false" ht="15" hidden="false" customHeight="false" outlineLevel="0" collapsed="false">
      <c r="A19733" s="2" t="s">
        <v>458</v>
      </c>
      <c r="C19733" s="16" t="n">
        <f aca="false">C19698+C19728</f>
        <v>28.2507919999998</v>
      </c>
    </row>
    <row r="19734" customFormat="false" ht="15" hidden="false" customHeight="false" outlineLevel="0" collapsed="false">
      <c r="A19734" s="2" t="s">
        <v>459</v>
      </c>
      <c r="C19734" s="16" t="n">
        <f aca="false">C19699+C19729</f>
        <v>0</v>
      </c>
    </row>
    <row r="19735" customFormat="false" ht="15" hidden="false" customHeight="false" outlineLevel="0" collapsed="false">
      <c r="A19735" s="2" t="s">
        <v>460</v>
      </c>
      <c r="C19735" s="16" t="n">
        <f aca="false">C19700+C19730</f>
        <v>0</v>
      </c>
    </row>
    <row r="19736" customFormat="false" ht="15" hidden="false" customHeight="false" outlineLevel="0" collapsed="false">
      <c r="A19736" s="23" t="s">
        <v>471</v>
      </c>
      <c r="B19736" s="24"/>
      <c r="C19736" s="24"/>
      <c r="D19736" s="24"/>
      <c r="E19736" s="24"/>
      <c r="F19736" s="24"/>
      <c r="G19736" s="24"/>
      <c r="H19736" s="24"/>
      <c r="I19736" s="24"/>
      <c r="J19736" s="24"/>
      <c r="K19736" s="24"/>
    </row>
    <row r="19737" customFormat="false" ht="15" hidden="false" customHeight="false" outlineLevel="0" collapsed="false">
      <c r="A19737" s="5" t="s">
        <v>457</v>
      </c>
      <c r="C19737" s="21" t="n">
        <f aca="false">IF(C19682=0,1,C19732/C19682)</f>
        <v>1</v>
      </c>
    </row>
    <row r="19738" customFormat="false" ht="15" hidden="false" customHeight="false" outlineLevel="0" collapsed="false">
      <c r="A19738" s="5" t="s">
        <v>458</v>
      </c>
      <c r="C19738" s="21" t="n">
        <f aca="false">IF(C19683=0,1,C19733/C19683)</f>
        <v>0.0554371899529039</v>
      </c>
    </row>
    <row r="19739" customFormat="false" ht="15" hidden="false" customHeight="false" outlineLevel="0" collapsed="false">
      <c r="A19739" s="5" t="s">
        <v>459</v>
      </c>
      <c r="C19739" s="21" t="n">
        <f aca="false">IF(C19684=0,1,C19734/C19684)</f>
        <v>0</v>
      </c>
    </row>
    <row r="19740" customFormat="false" ht="15" hidden="false" customHeight="false" outlineLevel="0" collapsed="false">
      <c r="A19740" s="5" t="s">
        <v>460</v>
      </c>
      <c r="C19740" s="21" t="n">
        <f aca="false">IF(C19685=0,1,C19735/C19685)</f>
        <v>0</v>
      </c>
    </row>
    <row r="19741" customFormat="false" ht="15" hidden="false" customHeight="false" outlineLevel="0" collapsed="false">
      <c r="A19741" s="23" t="s">
        <v>472</v>
      </c>
      <c r="B19741" s="24"/>
      <c r="C19741" s="24"/>
      <c r="D19741" s="24"/>
      <c r="E19741" s="24"/>
      <c r="F19741" s="24"/>
      <c r="G19741" s="24"/>
      <c r="H19741" s="24"/>
      <c r="I19741" s="24"/>
      <c r="J19741" s="24"/>
      <c r="K19741" s="24"/>
    </row>
    <row r="19742" customFormat="false" ht="15" hidden="false" customHeight="false" outlineLevel="0" collapsed="false">
      <c r="A19742" s="5" t="s">
        <v>457</v>
      </c>
      <c r="C19742" s="25" t="n">
        <f aca="false">C19682-C19732</f>
        <v>0</v>
      </c>
    </row>
    <row r="19743" customFormat="false" ht="15" hidden="false" customHeight="false" outlineLevel="0" collapsed="false">
      <c r="A19743" s="5" t="s">
        <v>458</v>
      </c>
      <c r="C19743" s="25" t="n">
        <f aca="false">C19683-C19733</f>
        <v>481.349208</v>
      </c>
    </row>
    <row r="19744" customFormat="false" ht="15" hidden="false" customHeight="false" outlineLevel="0" collapsed="false">
      <c r="A19744" s="5" t="s">
        <v>459</v>
      </c>
      <c r="C19744" s="25" t="n">
        <f aca="false">C19684-C19734</f>
        <v>250</v>
      </c>
    </row>
    <row r="19745" customFormat="false" ht="15" hidden="false" customHeight="false" outlineLevel="0" collapsed="false">
      <c r="A19745" s="5" t="s">
        <v>460</v>
      </c>
      <c r="C19745" s="25" t="n">
        <f aca="false">C19685-C19735</f>
        <v>300</v>
      </c>
    </row>
    <row r="19746" customFormat="false" ht="15" hidden="false" customHeight="false" outlineLevel="0" collapsed="false">
      <c r="A19746" s="23" t="s">
        <v>473</v>
      </c>
      <c r="B19746" s="24"/>
      <c r="C19746" s="24"/>
      <c r="D19746" s="24"/>
      <c r="E19746" s="24"/>
      <c r="F19746" s="24"/>
      <c r="G19746" s="24"/>
      <c r="H19746" s="24"/>
      <c r="I19746" s="24"/>
      <c r="J19746" s="24"/>
      <c r="K19746" s="24"/>
    </row>
    <row r="19747" customFormat="false" ht="15" hidden="false" customHeight="false" outlineLevel="0" collapsed="false">
      <c r="A19747" s="5" t="s">
        <v>457</v>
      </c>
      <c r="C19747" s="21" t="n">
        <f aca="false">IF(C19682=0,0,C19742/C19682)</f>
        <v>0</v>
      </c>
    </row>
    <row r="19748" customFormat="false" ht="15" hidden="false" customHeight="false" outlineLevel="0" collapsed="false">
      <c r="A19748" s="5" t="s">
        <v>458</v>
      </c>
      <c r="C19748" s="21" t="n">
        <f aca="false">IF(C19683=0,0,C19743/C19683)</f>
        <v>0.944562810047096</v>
      </c>
    </row>
    <row r="19749" customFormat="false" ht="15" hidden="false" customHeight="false" outlineLevel="0" collapsed="false">
      <c r="A19749" s="5" t="s">
        <v>459</v>
      </c>
      <c r="C19749" s="21" t="n">
        <f aca="false">IF(C19684=0,0,C19744/C19684)</f>
        <v>1</v>
      </c>
    </row>
    <row r="19750" customFormat="false" ht="15" hidden="false" customHeight="false" outlineLevel="0" collapsed="false">
      <c r="A19750" s="5" t="s">
        <v>460</v>
      </c>
      <c r="C19750" s="21" t="n">
        <f aca="false">IF(C19685=0,0,C19745/C19685)</f>
        <v>1</v>
      </c>
    </row>
    <row r="19751" customFormat="false" ht="15" hidden="false" customHeight="false" outlineLevel="0" collapsed="false">
      <c r="A19751" s="2" t="s">
        <v>474</v>
      </c>
      <c r="C19751" s="16" t="n">
        <f aca="false">MAX(0,$C$19680-SUM($C$19697:$C$19700)-SUM($C$19707:$C$19710))</f>
        <v>0</v>
      </c>
    </row>
    <row r="19752" customFormat="false" ht="15" hidden="false" customHeight="false" outlineLevel="0" collapsed="false">
      <c r="A19752" s="5" t="s">
        <v>492</v>
      </c>
      <c r="C19752" s="33" t="n">
        <f aca="false">MIN(C19679,100*CHOOSE(C19669,C19737,C19738,C19739,C19740))</f>
        <v>5.54371899529039</v>
      </c>
    </row>
    <row r="19753" customFormat="false" ht="15" hidden="false" customHeight="false" outlineLevel="0" collapsed="false">
      <c r="A19753" s="5" t="s">
        <v>493</v>
      </c>
      <c r="C19753" s="20" t="n">
        <f aca="false">IF(C19585=1,C19674+Assumptions!$C$36,C19673)</f>
        <v>3</v>
      </c>
    </row>
    <row r="19754" customFormat="false" ht="15" hidden="false" customHeight="false" outlineLevel="0" collapsed="false">
      <c r="A19754" s="23" t="s">
        <v>494</v>
      </c>
      <c r="B19754" s="24"/>
      <c r="C19754" s="24"/>
      <c r="D19754" s="24"/>
      <c r="E19754" s="24"/>
      <c r="F19754" s="24"/>
      <c r="G19754" s="24"/>
      <c r="H19754" s="24"/>
      <c r="I19754" s="24"/>
      <c r="J19754" s="24"/>
      <c r="K19754" s="24"/>
    </row>
    <row r="19755" customFormat="false" ht="15" hidden="false" customHeight="false" outlineLevel="0" collapsed="false">
      <c r="A19755" s="5" t="s">
        <v>495</v>
      </c>
      <c r="C19755" s="20" t="n">
        <f aca="false">COLUMN()-COLUMN($C$1)</f>
        <v>0</v>
      </c>
      <c r="D19755" s="20" t="n">
        <f aca="false">COLUMN()-COLUMN($C$1)</f>
        <v>1</v>
      </c>
      <c r="E19755" s="20" t="n">
        <f aca="false">COLUMN()-COLUMN($C$1)</f>
        <v>2</v>
      </c>
      <c r="F19755" s="20" t="n">
        <f aca="false">COLUMN()-COLUMN($C$1)</f>
        <v>3</v>
      </c>
      <c r="G19755" s="20" t="n">
        <f aca="false">COLUMN()-COLUMN($C$1)</f>
        <v>4</v>
      </c>
      <c r="H19755" s="20" t="n">
        <f aca="false">COLUMN()-COLUMN($C$1)</f>
        <v>5</v>
      </c>
      <c r="I19755" s="20" t="n">
        <f aca="false">COLUMN()-COLUMN($C$1)</f>
        <v>6</v>
      </c>
    </row>
    <row r="19756" customFormat="false" ht="15" hidden="false" customHeight="false" outlineLevel="0" collapsed="false">
      <c r="A19756" s="5" t="s">
        <v>496</v>
      </c>
      <c r="D19756" s="30" t="n">
        <f aca="false">CHOOSE($C$19669,G19467,G19480,G19493,G19506)</f>
        <v>0.118</v>
      </c>
      <c r="E19756" s="30" t="n">
        <f aca="false">CHOOSE($C$19669,H19467,H19480,H19493,H19506)</f>
        <v>0.1155</v>
      </c>
      <c r="F19756" s="30" t="n">
        <f aca="false">CHOOSE($C$19669,I19467,I19480,I19493,I19506)</f>
        <v>0.113</v>
      </c>
      <c r="G19756" s="30" t="n">
        <f aca="false">CHOOSE($C$19669,J19467,J19480,J19493,J19506)</f>
        <v>0.113</v>
      </c>
      <c r="H19756" s="30" t="n">
        <f aca="false">CHOOSE($C$19669,K19467,K19480,K19493,K19506)</f>
        <v>0.113</v>
      </c>
    </row>
    <row r="19757" customFormat="false" ht="15" hidden="false" customHeight="false" outlineLevel="0" collapsed="false">
      <c r="A19757" s="5" t="s">
        <v>497</v>
      </c>
      <c r="D19757" s="25" t="n">
        <f aca="false">IF(D19755&lt;=$C$19678,$C$19670*D19756,0)</f>
        <v>11.8</v>
      </c>
      <c r="E19757" s="25" t="n">
        <f aca="false">IF(E19755&lt;=$C$19678,$C$19670*E19756,0)</f>
        <v>11.55</v>
      </c>
      <c r="F19757" s="25" t="n">
        <f aca="false">IF(F19755&lt;=$C$19678,$C$19670*F19756,0)</f>
        <v>0</v>
      </c>
      <c r="G19757" s="25" t="n">
        <f aca="false">IF(G19755&lt;=$C$19678,$C$19670*G19756,0)</f>
        <v>0</v>
      </c>
      <c r="H19757" s="25" t="n">
        <f aca="false">IF(H19755&lt;=$C$19678,$C$19670*H19756,0)</f>
        <v>0</v>
      </c>
    </row>
    <row r="19758" customFormat="false" ht="15" hidden="false" customHeight="false" outlineLevel="0" collapsed="false">
      <c r="A19758" s="5" t="s">
        <v>498</v>
      </c>
      <c r="D19758" s="25" t="n">
        <f aca="false">IF(AND($C$19585=0,D19755=$C$19673),$C$19670*$C$19752/100,0)+IF(AND($C$19585=1,D19755=$C$19753),$C$19676,0)</f>
        <v>0</v>
      </c>
      <c r="E19758" s="25" t="n">
        <f aca="false">IF(AND($C$19585=0,E19755=$C$19673),$C$19670*$C$19752/100,0)+IF(AND($C$19585=1,E19755=$C$19753),$C$19676,0)</f>
        <v>0</v>
      </c>
      <c r="F19758" s="25" t="n">
        <f aca="false">IF(AND($C$19585=0,F19755=$C$19673),$C$19670*$C$19752/100,0)+IF(AND($C$19585=1,F19755=$C$19753),$C$19676,0)</f>
        <v>56.4287463304553</v>
      </c>
      <c r="G19758" s="25" t="n">
        <f aca="false">IF(AND($C$19585=0,G19755=$C$19673),$C$19670*$C$19752/100,0)+IF(AND($C$19585=1,G19755=$C$19753),$C$19676,0)</f>
        <v>0</v>
      </c>
      <c r="H19758" s="25" t="n">
        <f aca="false">IF(AND($C$19585=0,H19755=$C$19673),$C$19670*$C$19752/100,0)+IF(AND($C$19585=1,H19755=$C$19753),$C$19676,0)</f>
        <v>0</v>
      </c>
      <c r="I19758" s="25" t="n">
        <f aca="false">IF(AND($C$19585=0,I19755=$C$19673),$C$19670*$C$19752/100,0)+IF(AND($C$19585=1,I19755=$C$19753),$C$19676,0)</f>
        <v>0</v>
      </c>
    </row>
    <row r="19759" customFormat="false" ht="15" hidden="false" customHeight="false" outlineLevel="0" collapsed="false">
      <c r="A19759" s="2" t="s">
        <v>499</v>
      </c>
      <c r="C19759" s="16" t="n">
        <f aca="false">-$C$19672</f>
        <v>-78.39</v>
      </c>
      <c r="D19759" s="16" t="n">
        <f aca="false">D19757+D19758</f>
        <v>11.8</v>
      </c>
      <c r="E19759" s="16" t="n">
        <f aca="false">E19757+E19758</f>
        <v>11.55</v>
      </c>
      <c r="F19759" s="16" t="n">
        <f aca="false">F19757+F19758</f>
        <v>56.4287463304553</v>
      </c>
      <c r="G19759" s="16" t="n">
        <f aca="false">G19757+G19758</f>
        <v>0</v>
      </c>
      <c r="H19759" s="16" t="n">
        <f aca="false">H19757+H19758</f>
        <v>0</v>
      </c>
      <c r="I19759" s="16" t="n">
        <f aca="false">I19757+I19758</f>
        <v>0</v>
      </c>
    </row>
    <row r="19760" customFormat="false" ht="15" hidden="false" customHeight="false" outlineLevel="0" collapsed="false">
      <c r="A19760" s="5" t="s">
        <v>500</v>
      </c>
      <c r="C19760" s="25" t="n">
        <f aca="false">SUM($C$19757:$I$19757)</f>
        <v>23.35</v>
      </c>
    </row>
    <row r="19761" customFormat="false" ht="15" hidden="false" customHeight="false" outlineLevel="0" collapsed="false">
      <c r="A19761" s="5" t="s">
        <v>501</v>
      </c>
      <c r="C19761" s="25" t="n">
        <f aca="false">SUM($C$19758:$I$19758)</f>
        <v>56.4287463304553</v>
      </c>
    </row>
    <row r="19762" customFormat="false" ht="15" hidden="false" customHeight="false" outlineLevel="0" collapsed="false">
      <c r="A19762" s="5" t="s">
        <v>502</v>
      </c>
      <c r="C19762" s="25" t="n">
        <f aca="false">C19760+C19761</f>
        <v>79.7787463304553</v>
      </c>
    </row>
    <row r="19763" customFormat="false" ht="15" hidden="false" customHeight="false" outlineLevel="0" collapsed="false">
      <c r="A19763" s="5" t="s">
        <v>503</v>
      </c>
      <c r="C19763" s="25" t="n">
        <f aca="false">C19761-C19670*C19671/100</f>
        <v>-21.5712536695447</v>
      </c>
    </row>
    <row r="19764" customFormat="false" ht="15" hidden="false" customHeight="false" outlineLevel="0" collapsed="false">
      <c r="A19764" s="5" t="s">
        <v>504</v>
      </c>
      <c r="C19764" s="25" t="n">
        <f aca="false">C19762-C19672</f>
        <v>1.38874633045526</v>
      </c>
    </row>
    <row r="19765" customFormat="false" ht="15" hidden="false" customHeight="false" outlineLevel="0" collapsed="false">
      <c r="A19765" s="2" t="s">
        <v>385</v>
      </c>
      <c r="C19765" s="43" t="n">
        <f aca="false">C19762/C19672</f>
        <v>1.01771586082989</v>
      </c>
    </row>
    <row r="19766" customFormat="false" ht="15" hidden="false" customHeight="false" outlineLevel="0" collapsed="false">
      <c r="A19766" s="2" t="s">
        <v>384</v>
      </c>
      <c r="C19766" s="41" t="n">
        <f aca="false">IF(C19762&lt;=0,-1,IFERROR(IRR($C$19759:$I$19759,MAX(-0.9,C19765^(1/C19753)-1)),IRR($C$19759:$I$19759,0.1)))</f>
        <v>0.00688989684099931</v>
      </c>
    </row>
    <row r="19767" customFormat="false" ht="15" hidden="false" customHeight="false" outlineLevel="0" collapsed="false">
      <c r="A19767" s="5" t="s">
        <v>505</v>
      </c>
      <c r="C19767" s="31" t="n">
        <f aca="false">MAX($G$19561:$K$19561)</f>
        <v>28.5681105622991</v>
      </c>
    </row>
    <row r="19768" customFormat="false" ht="15" hidden="false" customHeight="false" outlineLevel="0" collapsed="false">
      <c r="A19768" s="5" t="s">
        <v>506</v>
      </c>
      <c r="C19768" s="31" t="n">
        <f aca="false">MIN($G$19562:$K$19562)</f>
        <v>0.374027109660081</v>
      </c>
    </row>
    <row r="19769" customFormat="false" ht="15" hidden="false" customHeight="false" outlineLevel="0" collapsed="false">
      <c r="A19769" s="5" t="s">
        <v>507</v>
      </c>
      <c r="C19769" s="25" t="n">
        <f aca="false">SUM($G$19451:$K$19451)</f>
        <v>-481.4808823404</v>
      </c>
    </row>
    <row r="19773" customFormat="false" ht="15" hidden="false" customHeight="false" outlineLevel="0" collapsed="false">
      <c r="A19773" s="9" t="s">
        <v>682</v>
      </c>
      <c r="B19773" s="10"/>
      <c r="C19773" s="10"/>
      <c r="D19773" s="10"/>
      <c r="E19773" s="10"/>
      <c r="F19773" s="10"/>
      <c r="G19773" s="10"/>
      <c r="H19773" s="10"/>
      <c r="I19773" s="10"/>
      <c r="J19773" s="10"/>
      <c r="K19773" s="10"/>
    </row>
    <row r="19774" customFormat="false" ht="15" hidden="false" customHeight="false" outlineLevel="0" collapsed="false">
      <c r="A19774" s="5" t="s">
        <v>622</v>
      </c>
      <c r="C19774" s="11" t="n">
        <v>2</v>
      </c>
    </row>
    <row r="19775" customFormat="false" ht="15" hidden="false" customHeight="false" outlineLevel="0" collapsed="false">
      <c r="A19775" s="5" t="s">
        <v>623</v>
      </c>
      <c r="C19775" s="18" t="n">
        <v>0</v>
      </c>
    </row>
    <row r="19776" customFormat="false" ht="15" hidden="false" customHeight="false" outlineLevel="0" collapsed="false">
      <c r="A19776" s="5" t="s">
        <v>624</v>
      </c>
      <c r="C19776" s="18" t="n">
        <v>0</v>
      </c>
    </row>
    <row r="19777" customFormat="false" ht="15" hidden="false" customHeight="false" outlineLevel="0" collapsed="false">
      <c r="A19777" s="5" t="s">
        <v>625</v>
      </c>
      <c r="C19777" s="18" t="n">
        <v>0</v>
      </c>
    </row>
    <row r="19778" customFormat="false" ht="15" hidden="false" customHeight="false" outlineLevel="0" collapsed="false">
      <c r="A19778" s="5" t="s">
        <v>626</v>
      </c>
      <c r="C19778" s="32" t="n">
        <f aca="false">Sensitivities!$A$63</f>
        <v>1</v>
      </c>
    </row>
    <row r="19780" customFormat="false" ht="15" hidden="false" customHeight="false" outlineLevel="0" collapsed="false">
      <c r="A19780" s="23" t="s">
        <v>237</v>
      </c>
      <c r="B19780" s="24"/>
      <c r="C19780" s="24"/>
      <c r="D19780" s="24"/>
      <c r="E19780" s="24"/>
      <c r="F19780" s="24"/>
      <c r="G19780" s="24"/>
      <c r="H19780" s="24"/>
      <c r="I19780" s="24"/>
      <c r="J19780" s="24"/>
      <c r="K19780" s="24"/>
    </row>
    <row r="19781" customFormat="false" ht="15" hidden="false" customHeight="false" outlineLevel="0" collapsed="false">
      <c r="A19781" s="5" t="s">
        <v>238</v>
      </c>
      <c r="F19781" s="26" t="n">
        <f aca="false">Assumptions!$C$6</f>
        <v>2025</v>
      </c>
      <c r="G19781" s="20" t="n">
        <f aca="false">F19781+1</f>
        <v>2026</v>
      </c>
      <c r="H19781" s="20" t="n">
        <f aca="false">G19781+1</f>
        <v>2027</v>
      </c>
      <c r="I19781" s="20" t="n">
        <f aca="false">H19781+1</f>
        <v>2028</v>
      </c>
      <c r="J19781" s="20" t="n">
        <f aca="false">I19781+1</f>
        <v>2029</v>
      </c>
      <c r="K19781" s="20" t="n">
        <f aca="false">J19781+1</f>
        <v>2030</v>
      </c>
    </row>
    <row r="19782" customFormat="false" ht="15" hidden="false" customHeight="false" outlineLevel="0" collapsed="false">
      <c r="A19782" s="5" t="s">
        <v>239</v>
      </c>
      <c r="G19782" s="20" t="n">
        <f aca="false">G19781-Assumptions!$C$6</f>
        <v>1</v>
      </c>
      <c r="H19782" s="20" t="n">
        <f aca="false">H19781-Assumptions!$C$6</f>
        <v>2</v>
      </c>
      <c r="I19782" s="20" t="n">
        <f aca="false">I19781-Assumptions!$C$6</f>
        <v>3</v>
      </c>
      <c r="J19782" s="20" t="n">
        <f aca="false">J19781-Assumptions!$C$6</f>
        <v>4</v>
      </c>
      <c r="K19782" s="20" t="n">
        <f aca="false">K19781-Assumptions!$C$6</f>
        <v>5</v>
      </c>
    </row>
    <row r="19783" customFormat="false" ht="15" hidden="false" customHeight="false" outlineLevel="0" collapsed="false">
      <c r="A19783" s="5" t="s">
        <v>149</v>
      </c>
      <c r="G19783" s="21" t="n">
        <f aca="false">CHOOSE($C$19774,Assumptions!$G$65,Assumptions!$G$84,Assumptions!$G$103)+$C$19775</f>
        <v>-0.078</v>
      </c>
      <c r="H19783" s="21" t="n">
        <f aca="false">CHOOSE($C$19774,Assumptions!$H$65,Assumptions!$H$84,Assumptions!$H$103)+$C$19775</f>
        <v>-0.039</v>
      </c>
      <c r="I19783" s="21" t="n">
        <f aca="false">CHOOSE($C$19774,Assumptions!$I$65,Assumptions!$I$84,Assumptions!$I$103)+$C$19775</f>
        <v>-0.005</v>
      </c>
      <c r="J19783" s="21" t="n">
        <f aca="false">CHOOSE($C$19774,Assumptions!$J$65,Assumptions!$J$84,Assumptions!$J$103)+$C$19775</f>
        <v>-0.01</v>
      </c>
      <c r="K19783" s="21" t="n">
        <f aca="false">CHOOSE($C$19774,Assumptions!$K$65,Assumptions!$K$84,Assumptions!$K$103)+$C$19775</f>
        <v>-0.01</v>
      </c>
    </row>
    <row r="19784" customFormat="false" ht="15" hidden="false" customHeight="false" outlineLevel="0" collapsed="false">
      <c r="A19784" s="5" t="s">
        <v>150</v>
      </c>
      <c r="G19784" s="21" t="n">
        <f aca="false">CHOOSE($C$19774,Assumptions!$G$66,Assumptions!$G$85,Assumptions!$G$104)</f>
        <v>0.33</v>
      </c>
      <c r="H19784" s="21" t="n">
        <f aca="false">CHOOSE($C$19774,Assumptions!$H$66,Assumptions!$H$85,Assumptions!$H$104)</f>
        <v>0.318</v>
      </c>
      <c r="I19784" s="21" t="n">
        <f aca="false">CHOOSE($C$19774,Assumptions!$I$66,Assumptions!$I$85,Assumptions!$I$104)</f>
        <v>0.324</v>
      </c>
      <c r="J19784" s="21" t="n">
        <f aca="false">CHOOSE($C$19774,Assumptions!$J$66,Assumptions!$J$85,Assumptions!$J$104)</f>
        <v>0.33</v>
      </c>
      <c r="K19784" s="21" t="n">
        <f aca="false">CHOOSE($C$19774,Assumptions!$K$66,Assumptions!$K$85,Assumptions!$K$104)</f>
        <v>0.336</v>
      </c>
    </row>
    <row r="19785" customFormat="false" ht="15" hidden="false" customHeight="false" outlineLevel="0" collapsed="false">
      <c r="A19785" s="5" t="s">
        <v>151</v>
      </c>
      <c r="G19785" s="21" t="n">
        <f aca="false">CHOOSE($C$19774,Assumptions!$G$67,Assumptions!$G$86,Assumptions!$G$105)+$C$19776</f>
        <v>0.035</v>
      </c>
      <c r="H19785" s="21" t="n">
        <f aca="false">CHOOSE($C$19774,Assumptions!$H$67,Assumptions!$H$86,Assumptions!$H$105)+$C$19776</f>
        <v>0.023</v>
      </c>
      <c r="I19785" s="21" t="n">
        <f aca="false">CHOOSE($C$19774,Assumptions!$I$67,Assumptions!$I$86,Assumptions!$I$105)+$C$19776</f>
        <v>0.029</v>
      </c>
      <c r="J19785" s="21" t="n">
        <f aca="false">CHOOSE($C$19774,Assumptions!$J$67,Assumptions!$J$86,Assumptions!$J$105)+$C$19776</f>
        <v>0.035</v>
      </c>
      <c r="K19785" s="21" t="n">
        <f aca="false">CHOOSE($C$19774,Assumptions!$K$67,Assumptions!$K$86,Assumptions!$K$105)+$C$19776</f>
        <v>0.041</v>
      </c>
    </row>
    <row r="19786" customFormat="false" ht="15" hidden="false" customHeight="false" outlineLevel="0" collapsed="false">
      <c r="A19786" s="23" t="s">
        <v>240</v>
      </c>
      <c r="B19786" s="24"/>
      <c r="C19786" s="24"/>
      <c r="D19786" s="24"/>
      <c r="E19786" s="24"/>
      <c r="F19786" s="24"/>
      <c r="G19786" s="24"/>
      <c r="H19786" s="24"/>
      <c r="I19786" s="24"/>
      <c r="J19786" s="24"/>
      <c r="K19786" s="24"/>
    </row>
    <row r="19787" customFormat="false" ht="15" hidden="false" customHeight="false" outlineLevel="0" collapsed="false">
      <c r="A19787" s="2" t="s">
        <v>207</v>
      </c>
      <c r="F19787" s="27" t="n">
        <f aca="false">'Historical Financials'!E17</f>
        <v>2400</v>
      </c>
      <c r="G19787" s="16" t="n">
        <f aca="false">F19787*(1+G19783)</f>
        <v>2212.8</v>
      </c>
      <c r="H19787" s="16" t="n">
        <f aca="false">G19787*(1+H19783)</f>
        <v>2126.5008</v>
      </c>
      <c r="I19787" s="16" t="n">
        <f aca="false">H19787*(1+I19783)</f>
        <v>2115.868296</v>
      </c>
      <c r="J19787" s="16" t="n">
        <f aca="false">I19787*(1+J19783)</f>
        <v>2094.70961304</v>
      </c>
      <c r="K19787" s="16" t="n">
        <f aca="false">J19787*(1+K19783)</f>
        <v>2073.7625169096</v>
      </c>
    </row>
    <row r="19788" customFormat="false" ht="15" hidden="false" customHeight="false" outlineLevel="0" collapsed="false">
      <c r="A19788" s="5" t="s">
        <v>217</v>
      </c>
      <c r="G19788" s="25" t="n">
        <f aca="false">G19787*(1-G19784)</f>
        <v>1482.576</v>
      </c>
      <c r="H19788" s="25" t="n">
        <f aca="false">H19787*(1-H19784)</f>
        <v>1450.2735456</v>
      </c>
      <c r="I19788" s="25" t="n">
        <f aca="false">I19787*(1-I19784)</f>
        <v>1430.326968096</v>
      </c>
      <c r="J19788" s="25" t="n">
        <f aca="false">J19787*(1-J19784)</f>
        <v>1403.4554407368</v>
      </c>
      <c r="K19788" s="25" t="n">
        <f aca="false">K19787*(1-K19784)</f>
        <v>1376.97831122797</v>
      </c>
    </row>
    <row r="19789" customFormat="false" ht="15" hidden="false" customHeight="false" outlineLevel="0" collapsed="false">
      <c r="A19789" s="2" t="s">
        <v>218</v>
      </c>
      <c r="G19789" s="16" t="n">
        <f aca="false">G19787-G19788</f>
        <v>730.224</v>
      </c>
      <c r="H19789" s="16" t="n">
        <f aca="false">H19787-H19788</f>
        <v>676.2272544</v>
      </c>
      <c r="I19789" s="16" t="n">
        <f aca="false">I19787-I19788</f>
        <v>685.541327904</v>
      </c>
      <c r="J19789" s="16" t="n">
        <f aca="false">J19787-J19788</f>
        <v>691.2541723032</v>
      </c>
      <c r="K19789" s="16" t="n">
        <f aca="false">K19787-K19788</f>
        <v>696.784205681626</v>
      </c>
    </row>
    <row r="19790" customFormat="false" ht="15" hidden="false" customHeight="false" outlineLevel="0" collapsed="false">
      <c r="A19790" s="5" t="s">
        <v>241</v>
      </c>
      <c r="G19790" s="25" t="n">
        <f aca="false">G19789-G19791</f>
        <v>652.776</v>
      </c>
      <c r="H19790" s="25" t="n">
        <f aca="false">H19789-H19791</f>
        <v>627.317736</v>
      </c>
      <c r="I19790" s="25" t="n">
        <f aca="false">I19789-I19791</f>
        <v>624.18114732</v>
      </c>
      <c r="J19790" s="25" t="n">
        <f aca="false">J19789-J19791</f>
        <v>617.9393358468</v>
      </c>
      <c r="K19790" s="25" t="n">
        <f aca="false">K19789-K19791</f>
        <v>611.759942488332</v>
      </c>
    </row>
    <row r="19791" customFormat="false" ht="15" hidden="false" customHeight="false" outlineLevel="0" collapsed="false">
      <c r="A19791" s="2" t="s">
        <v>242</v>
      </c>
      <c r="G19791" s="16" t="n">
        <f aca="false">G19787*G19785</f>
        <v>77.448</v>
      </c>
      <c r="H19791" s="16" t="n">
        <f aca="false">H19787*H19785</f>
        <v>48.9095184</v>
      </c>
      <c r="I19791" s="16" t="n">
        <f aca="false">I19787*I19785</f>
        <v>61.360180584</v>
      </c>
      <c r="J19791" s="16" t="n">
        <f aca="false">J19787*J19785</f>
        <v>73.3148364564</v>
      </c>
      <c r="K19791" s="16" t="n">
        <f aca="false">K19787*K19785</f>
        <v>85.0242631932936</v>
      </c>
    </row>
    <row r="19792" customFormat="false" ht="15" hidden="false" customHeight="false" outlineLevel="0" collapsed="false">
      <c r="A19792" s="5" t="s">
        <v>243</v>
      </c>
      <c r="G19792" s="25" t="n">
        <f aca="false">G19787*'Historical Financials'!E22/'Historical Financials'!E17</f>
        <v>48.6816</v>
      </c>
      <c r="H19792" s="25" t="n">
        <f aca="false">H19787*'Historical Financials'!E22/'Historical Financials'!E17</f>
        <v>46.7830176</v>
      </c>
      <c r="I19792" s="25" t="n">
        <f aca="false">I19787*'Historical Financials'!E22/'Historical Financials'!E17</f>
        <v>46.549102512</v>
      </c>
      <c r="J19792" s="25" t="n">
        <f aca="false">J19787*'Historical Financials'!E22/'Historical Financials'!E17</f>
        <v>46.08361148688</v>
      </c>
      <c r="K19792" s="25" t="n">
        <f aca="false">K19787*'Historical Financials'!E22/'Historical Financials'!E17</f>
        <v>45.6227753720112</v>
      </c>
    </row>
    <row r="19793" customFormat="false" ht="15" hidden="false" customHeight="false" outlineLevel="0" collapsed="false">
      <c r="A19793" s="5" t="s">
        <v>244</v>
      </c>
      <c r="G19793" s="25" t="n">
        <f aca="false">G19787*'Historical Financials'!E23/'Historical Financials'!E17</f>
        <v>0</v>
      </c>
      <c r="H19793" s="25" t="n">
        <f aca="false">H19787*'Historical Financials'!E23/'Historical Financials'!E17</f>
        <v>0</v>
      </c>
      <c r="I19793" s="25" t="n">
        <f aca="false">I19787*'Historical Financials'!E23/'Historical Financials'!E17</f>
        <v>0</v>
      </c>
      <c r="J19793" s="25" t="n">
        <f aca="false">J19787*'Historical Financials'!E23/'Historical Financials'!E17</f>
        <v>0</v>
      </c>
      <c r="K19793" s="25" t="n">
        <f aca="false">K19787*'Historical Financials'!E23/'Historical Financials'!E17</f>
        <v>0</v>
      </c>
    </row>
    <row r="19794" customFormat="false" ht="15" hidden="false" customHeight="false" outlineLevel="0" collapsed="false">
      <c r="A19794" s="2" t="s">
        <v>245</v>
      </c>
      <c r="G19794" s="16" t="n">
        <f aca="false">G19791-G19792-G19793</f>
        <v>28.7664</v>
      </c>
      <c r="H19794" s="16" t="n">
        <f aca="false">H19791-H19792-H19793</f>
        <v>2.12650079999998</v>
      </c>
      <c r="I19794" s="16" t="n">
        <f aca="false">I19791-I19792-I19793</f>
        <v>14.811078072</v>
      </c>
      <c r="J19794" s="16" t="n">
        <f aca="false">J19791-J19792-J19793</f>
        <v>27.23122496952</v>
      </c>
      <c r="K19794" s="16" t="n">
        <f aca="false">K19791-K19792-K19793</f>
        <v>39.4014878212824</v>
      </c>
    </row>
    <row r="19795" customFormat="false" ht="15" hidden="false" customHeight="false" outlineLevel="0" collapsed="false">
      <c r="A19795" s="5" t="s">
        <v>246</v>
      </c>
      <c r="G19795" s="25" t="n">
        <f aca="false">G19821+G19834+G19847+G19860</f>
        <v>129.54</v>
      </c>
      <c r="H19795" s="25" t="n">
        <f aca="false">H19821+H19834+H19847+H19860</f>
        <v>130.7646348</v>
      </c>
      <c r="I19795" s="25" t="n">
        <f aca="false">I19821+I19834+I19847+I19860</f>
        <v>128.3492928</v>
      </c>
      <c r="J19795" s="25" t="n">
        <f aca="false">J19821+J19834+J19847+J19860</f>
        <v>127.7616928</v>
      </c>
      <c r="K19795" s="25" t="n">
        <f aca="false">K19821+K19834+K19847+K19860</f>
        <v>127.1740928</v>
      </c>
    </row>
    <row r="19796" customFormat="false" ht="15" hidden="false" customHeight="false" outlineLevel="0" collapsed="false">
      <c r="A19796" s="5" t="s">
        <v>247</v>
      </c>
      <c r="G19796" s="25" t="n">
        <f aca="false">G19822+G19835+G19848+G19861</f>
        <v>0</v>
      </c>
      <c r="H19796" s="25" t="n">
        <f aca="false">H19822+H19835+H19848+H19861</f>
        <v>0</v>
      </c>
      <c r="I19796" s="25" t="n">
        <f aca="false">I19822+I19835+I19848+I19861</f>
        <v>0</v>
      </c>
      <c r="J19796" s="25" t="n">
        <f aca="false">J19822+J19835+J19848+J19861</f>
        <v>0</v>
      </c>
      <c r="K19796" s="25" t="n">
        <f aca="false">K19822+K19835+K19848+K19861</f>
        <v>0</v>
      </c>
    </row>
    <row r="19797" customFormat="false" ht="15" hidden="false" customHeight="false" outlineLevel="0" collapsed="false">
      <c r="A19797" s="5" t="s">
        <v>212</v>
      </c>
      <c r="G19797" s="25" t="n">
        <f aca="false">G19795+G19796</f>
        <v>129.54</v>
      </c>
      <c r="H19797" s="25" t="n">
        <f aca="false">H19795+H19796</f>
        <v>130.7646348</v>
      </c>
      <c r="I19797" s="25" t="n">
        <f aca="false">I19795+I19796</f>
        <v>128.3492928</v>
      </c>
      <c r="J19797" s="25" t="n">
        <f aca="false">J19795+J19796</f>
        <v>127.7616928</v>
      </c>
      <c r="K19797" s="25" t="n">
        <f aca="false">K19795+K19796</f>
        <v>127.1740928</v>
      </c>
    </row>
    <row r="19798" customFormat="false" ht="15" hidden="false" customHeight="false" outlineLevel="0" collapsed="false">
      <c r="A19798" s="2" t="s">
        <v>223</v>
      </c>
      <c r="G19798" s="16" t="n">
        <f aca="false">G19794-G19797</f>
        <v>-100.7736</v>
      </c>
      <c r="H19798" s="16" t="n">
        <f aca="false">H19794-H19797</f>
        <v>-128.638134</v>
      </c>
      <c r="I19798" s="16" t="n">
        <f aca="false">I19794-I19797</f>
        <v>-113.538214728</v>
      </c>
      <c r="J19798" s="16" t="n">
        <f aca="false">J19794-J19797</f>
        <v>-100.53046783048</v>
      </c>
      <c r="K19798" s="16" t="n">
        <f aca="false">K19794-K19797</f>
        <v>-87.7726049787176</v>
      </c>
    </row>
    <row r="19799" customFormat="false" ht="15" hidden="false" customHeight="false" outlineLevel="0" collapsed="false">
      <c r="A19799" s="5" t="s">
        <v>213</v>
      </c>
      <c r="G19799" s="25" t="n">
        <f aca="false">MAX(0,G19798)*Assumptions!$C$9</f>
        <v>0</v>
      </c>
      <c r="H19799" s="25" t="n">
        <f aca="false">MAX(0,H19798)*Assumptions!$C$9</f>
        <v>0</v>
      </c>
      <c r="I19799" s="25" t="n">
        <f aca="false">MAX(0,I19798)*Assumptions!$C$9</f>
        <v>0</v>
      </c>
      <c r="J19799" s="25" t="n">
        <f aca="false">MAX(0,J19798)*Assumptions!$C$9</f>
        <v>0</v>
      </c>
      <c r="K19799" s="25" t="n">
        <f aca="false">MAX(0,K19798)*Assumptions!$C$9</f>
        <v>0</v>
      </c>
    </row>
    <row r="19800" customFormat="false" ht="15" hidden="false" customHeight="false" outlineLevel="0" collapsed="false">
      <c r="A19800" s="2" t="s">
        <v>248</v>
      </c>
      <c r="G19800" s="16" t="n">
        <f aca="false">G19798-G19799</f>
        <v>-100.7736</v>
      </c>
      <c r="H19800" s="16" t="n">
        <f aca="false">H19798-H19799</f>
        <v>-128.638134</v>
      </c>
      <c r="I19800" s="16" t="n">
        <f aca="false">I19798-I19799</f>
        <v>-113.538214728</v>
      </c>
      <c r="J19800" s="16" t="n">
        <f aca="false">J19798-J19799</f>
        <v>-100.53046783048</v>
      </c>
      <c r="K19800" s="16" t="n">
        <f aca="false">K19798-K19799</f>
        <v>-87.7726049787176</v>
      </c>
    </row>
    <row r="19801" customFormat="false" ht="15" hidden="false" customHeight="false" outlineLevel="0" collapsed="false">
      <c r="A19801" s="23" t="s">
        <v>249</v>
      </c>
      <c r="B19801" s="24"/>
      <c r="C19801" s="24"/>
      <c r="D19801" s="24"/>
      <c r="E19801" s="24"/>
      <c r="F19801" s="24"/>
      <c r="G19801" s="24"/>
      <c r="H19801" s="24"/>
      <c r="I19801" s="24"/>
      <c r="J19801" s="24"/>
      <c r="K19801" s="24"/>
    </row>
    <row r="19802" customFormat="false" ht="15" hidden="false" customHeight="false" outlineLevel="0" collapsed="false">
      <c r="A19802" s="5" t="s">
        <v>153</v>
      </c>
      <c r="G19802" s="25" t="n">
        <f aca="false">G19787*CHOOSE($C$19774,Assumptions!$C$69,Assumptions!$C$88,Assumptions!$C$107)</f>
        <v>42.0432</v>
      </c>
      <c r="H19802" s="25" t="n">
        <f aca="false">H19787*CHOOSE($C$19774,Assumptions!$C$69,Assumptions!$C$88,Assumptions!$C$107)</f>
        <v>40.4035152</v>
      </c>
      <c r="I19802" s="25" t="n">
        <f aca="false">I19787*CHOOSE($C$19774,Assumptions!$C$69,Assumptions!$C$88,Assumptions!$C$107)</f>
        <v>40.201497624</v>
      </c>
      <c r="J19802" s="25" t="n">
        <f aca="false">J19787*CHOOSE($C$19774,Assumptions!$C$69,Assumptions!$C$88,Assumptions!$C$107)</f>
        <v>39.79948264776</v>
      </c>
      <c r="K19802" s="25" t="n">
        <f aca="false">K19787*CHOOSE($C$19774,Assumptions!$C$69,Assumptions!$C$88,Assumptions!$C$107)</f>
        <v>39.4014878212824</v>
      </c>
    </row>
    <row r="19803" customFormat="false" ht="15" hidden="false" customHeight="false" outlineLevel="0" collapsed="false">
      <c r="A19803" s="5" t="s">
        <v>250</v>
      </c>
      <c r="G19803" s="25" t="n">
        <f aca="false">CHOOSE($C$19774,Assumptions!$C$70,Assumptions!$C$89,Assumptions!$C$108)*(G19787-F19787)+CHOOSE($C$19774,Assumptions!$C$71,Assumptions!$C$90,Assumptions!$C$109)*G19787</f>
        <v>-18.0384</v>
      </c>
      <c r="H19803" s="25" t="n">
        <f aca="false">CHOOSE($C$19774,Assumptions!$C$70,Assumptions!$C$89,Assumptions!$C$108)*(H19787-G19787)+CHOOSE($C$19774,Assumptions!$C$71,Assumptions!$C$90,Assumptions!$C$109)*H19787</f>
        <v>-6.10290239999999</v>
      </c>
      <c r="I19803" s="25" t="n">
        <f aca="false">CHOOSE($C$19774,Assumptions!$C$70,Assumptions!$C$89,Assumptions!$C$108)*(I19787-H19787)+CHOOSE($C$19774,Assumptions!$C$71,Assumptions!$C$90,Assumptions!$C$109)*I19787</f>
        <v>2.95583611199998</v>
      </c>
      <c r="J19803" s="25" t="n">
        <f aca="false">CHOOSE($C$19774,Assumptions!$C$70,Assumptions!$C$89,Assumptions!$C$108)*(J19787-I19787)+CHOOSE($C$19774,Assumptions!$C$71,Assumptions!$C$90,Assumptions!$C$109)*J19787</f>
        <v>1.65037727087999</v>
      </c>
      <c r="K19803" s="25" t="n">
        <f aca="false">CHOOSE($C$19774,Assumptions!$C$70,Assumptions!$C$89,Assumptions!$C$108)*(K19787-J19787)+CHOOSE($C$19774,Assumptions!$C$71,Assumptions!$C$90,Assumptions!$C$109)*K19787</f>
        <v>1.63387349817119</v>
      </c>
    </row>
    <row r="19804" customFormat="false" ht="15" hidden="false" customHeight="false" outlineLevel="0" collapsed="false">
      <c r="A19804" s="2" t="s">
        <v>251</v>
      </c>
      <c r="G19804" s="16" t="n">
        <f aca="false">G19800+G19792+G19793+G19796-G19802-G19803</f>
        <v>-76.0968</v>
      </c>
      <c r="H19804" s="16" t="n">
        <f aca="false">H19800+H19792+H19793+H19796-H19802-H19803</f>
        <v>-116.1557292</v>
      </c>
      <c r="I19804" s="16" t="n">
        <f aca="false">I19800+I19792+I19793+I19796-I19802-I19803</f>
        <v>-110.146445952</v>
      </c>
      <c r="J19804" s="16" t="n">
        <f aca="false">J19800+J19792+J19793+J19796-J19802-J19803</f>
        <v>-95.89671626224</v>
      </c>
      <c r="K19804" s="16" t="n">
        <f aca="false">K19800+K19792+K19793+K19796-K19802-K19803</f>
        <v>-83.18519092616</v>
      </c>
    </row>
    <row r="19806" customFormat="false" ht="15" hidden="false" customHeight="false" outlineLevel="0" collapsed="false">
      <c r="A19806" s="23" t="s">
        <v>253</v>
      </c>
      <c r="B19806" s="24"/>
      <c r="C19806" s="24"/>
      <c r="D19806" s="24"/>
      <c r="E19806" s="24"/>
      <c r="F19806" s="24"/>
      <c r="G19806" s="24"/>
      <c r="H19806" s="24"/>
      <c r="I19806" s="24"/>
      <c r="J19806" s="24"/>
      <c r="K19806" s="24"/>
    </row>
    <row r="19807" customFormat="false" ht="15" hidden="false" customHeight="false" outlineLevel="0" collapsed="false">
      <c r="A19807" s="5" t="s">
        <v>254</v>
      </c>
      <c r="G19807" s="29" t="n">
        <f aca="false">Assumptions!$G$49</f>
        <v>0.0425</v>
      </c>
      <c r="H19807" s="29" t="n">
        <f aca="false">Assumptions!$H$49</f>
        <v>0.04</v>
      </c>
      <c r="I19807" s="29" t="n">
        <f aca="false">Assumptions!$I$49</f>
        <v>0.0375</v>
      </c>
      <c r="J19807" s="29" t="n">
        <f aca="false">Assumptions!$J$49</f>
        <v>0.0375</v>
      </c>
      <c r="K19807" s="29" t="n">
        <f aca="false">Assumptions!$K$49</f>
        <v>0.0375</v>
      </c>
    </row>
    <row r="19808" customFormat="false" ht="15" hidden="false" customHeight="false" outlineLevel="0" collapsed="false">
      <c r="A19808" s="5" t="s">
        <v>255</v>
      </c>
      <c r="C19808" s="30" t="n">
        <f aca="false">CHOOSE($C$19774,Assumptions!$C$72,Assumptions!$C$91,Assumptions!$C$110)+$C$19777</f>
        <v>0.015</v>
      </c>
    </row>
    <row r="19809" customFormat="false" ht="15" hidden="false" customHeight="false" outlineLevel="0" collapsed="false">
      <c r="A19809" s="5" t="s">
        <v>256</v>
      </c>
      <c r="C19809" s="30" t="n">
        <f aca="false">CHOOSE($C$19774,Assumptions!$C$73,Assumptions!$C$92,Assumptions!$C$111)</f>
        <v>0.135</v>
      </c>
    </row>
    <row r="19810" customFormat="false" ht="15" hidden="false" customHeight="false" outlineLevel="0" collapsed="false">
      <c r="A19810" s="5" t="s">
        <v>257</v>
      </c>
      <c r="C19810" s="31" t="n">
        <f aca="false">CHOOSE($C$19774,Assumptions!$C$74,Assumptions!$C$93,Assumptions!$C$112)</f>
        <v>5.5</v>
      </c>
    </row>
    <row r="19811" customFormat="false" ht="15" hidden="false" customHeight="false" outlineLevel="0" collapsed="false">
      <c r="A19811" s="5" t="s">
        <v>258</v>
      </c>
      <c r="C19811" s="31" t="n">
        <f aca="false">CHOOSE($C$19774,Assumptions!$C$75,Assumptions!$C$94,Assumptions!$C$113)</f>
        <v>1.8</v>
      </c>
    </row>
    <row r="19812" customFormat="false" ht="15" hidden="false" customHeight="false" outlineLevel="0" collapsed="false">
      <c r="A19812" s="5" t="s">
        <v>259</v>
      </c>
      <c r="G19812" s="25" t="n">
        <f aca="false">G19817+G19830+G19843+G19856</f>
        <v>1250</v>
      </c>
      <c r="H19812" s="25" t="n">
        <f aca="false">H19817+H19830+H19843+H19856</f>
        <v>1281.0968</v>
      </c>
      <c r="I19812" s="25" t="n">
        <f aca="false">I19817+I19830+I19843+I19856</f>
        <v>1275.8968</v>
      </c>
      <c r="J19812" s="25" t="n">
        <f aca="false">J19817+J19830+J19843+J19856</f>
        <v>1270.6968</v>
      </c>
      <c r="K19812" s="25" t="n">
        <f aca="false">K19817+K19830+K19843+K19856</f>
        <v>1265.4968</v>
      </c>
    </row>
    <row r="19813" customFormat="false" ht="15" hidden="false" customHeight="false" outlineLevel="0" collapsed="false">
      <c r="A19813" s="5" t="s">
        <v>260</v>
      </c>
      <c r="G19813" s="25" t="n">
        <f aca="false">F19903</f>
        <v>45</v>
      </c>
      <c r="H19813" s="25" t="n">
        <f aca="false">G19903</f>
        <v>0</v>
      </c>
      <c r="I19813" s="25" t="n">
        <f aca="false">H19903</f>
        <v>-121.3557292</v>
      </c>
      <c r="J19813" s="25" t="n">
        <f aca="false">I19903</f>
        <v>-236.702175152</v>
      </c>
      <c r="K19813" s="25" t="n">
        <f aca="false">J19903</f>
        <v>-337.79889141424</v>
      </c>
    </row>
    <row r="19814" customFormat="false" ht="15" hidden="false" customHeight="false" outlineLevel="0" collapsed="false">
      <c r="A19814" s="5" t="s">
        <v>261</v>
      </c>
      <c r="G19814" s="25" t="n">
        <f aca="false">G19817*IF(G19818=1,$C$19809,IF(Assumptions!$I$53=1,MAX(G19807,Assumptions!$G$53)+Assumptions!$F$53+$C$19808,Assumptions!$E$53))+G19830*IF(G19831=1,$C$19809,IF(Assumptions!$I$54=1,MAX(G19807,Assumptions!$G$54)+Assumptions!$F$54+$C$19808,Assumptions!$E$54))+G19843*IF(G19844=1,$C$19809,IF(Assumptions!$I$55=1,MAX(G19807,Assumptions!$G$55)+Assumptions!$F$55+$C$19808,Assumptions!$E$55))+G19856*IF(G19857=1,$C$19809,IF(Assumptions!$I$56=1,MAX(G19807,Assumptions!$G$56)+Assumptions!$F$56+$C$19808,Assumptions!$E$56))</f>
        <v>129.54</v>
      </c>
      <c r="H19814" s="25" t="n">
        <f aca="false">H19817*IF(OR(H19818=1,G19969=1),$C$19809,IF(Assumptions!$I$53=1,MAX(H19807,Assumptions!$G$53)+Assumptions!$F$53+$C$19808,Assumptions!$E$53))+H19830*IF(OR(H19831=1,G19970=1),$C$19809,IF(Assumptions!$I$54=1,MAX(H19807,Assumptions!$G$54)+Assumptions!$F$54+$C$19808,Assumptions!$E$54))+H19843*IF(OR(H19844=1,G19971=1),$C$19809,IF(Assumptions!$I$55=1,MAX(H19807,Assumptions!$G$55)+Assumptions!$F$55+$C$19808,Assumptions!$E$55))+H19856*IF(OR(H19857=1,G19972=1),$C$19809,IF(Assumptions!$I$56=1,MAX(H19807,Assumptions!$G$56)+Assumptions!$F$56+$C$19808,Assumptions!$E$56))</f>
        <v>156.659468</v>
      </c>
      <c r="I19814" s="25" t="n">
        <f aca="false">I19817*IF(OR(I19818=1,H19969=1),$C$19809,IF(Assumptions!$I$53=1,MAX(I19807,Assumptions!$G$53)+Assumptions!$F$53+$C$19808,Assumptions!$E$53))+I19830*IF(OR(I19831=1,H19970=1),$C$19809,IF(Assumptions!$I$54=1,MAX(I19807,Assumptions!$G$54)+Assumptions!$F$54+$C$19808,Assumptions!$E$54))+I19843*IF(OR(I19844=1,H19971=1),$C$19809,IF(Assumptions!$I$55=1,MAX(I19807,Assumptions!$G$55)+Assumptions!$F$55+$C$19808,Assumptions!$E$55))+I19856*IF(OR(I19857=1,H19972=1),$C$19809,IF(Assumptions!$I$56=1,MAX(I19807,Assumptions!$G$56)+Assumptions!$F$56+$C$19808,Assumptions!$E$56))</f>
        <v>139.5604928</v>
      </c>
      <c r="J19814" s="25" t="n">
        <f aca="false">J19817*IF(OR(J19818=1,I19969=1),$C$19809,IF(Assumptions!$I$53=1,MAX(J19807,Assumptions!$G$53)+Assumptions!$F$53+$C$19808,Assumptions!$E$53))+J19830*IF(OR(J19831=1,I19970=1),$C$19809,IF(Assumptions!$I$54=1,MAX(J19807,Assumptions!$G$54)+Assumptions!$F$54+$C$19808,Assumptions!$E$54))+J19843*IF(OR(J19844=1,I19971=1),$C$19809,IF(Assumptions!$I$55=1,MAX(J19807,Assumptions!$G$55)+Assumptions!$F$55+$C$19808,Assumptions!$E$55))+J19856*IF(OR(J19857=1,I19972=1),$C$19809,IF(Assumptions!$I$56=1,MAX(J19807,Assumptions!$G$56)+Assumptions!$F$56+$C$19808,Assumptions!$E$56))</f>
        <v>134.0116928</v>
      </c>
      <c r="K19814" s="25" t="n">
        <f aca="false">K19817*IF(OR(K19818=1,J19969=1),$C$19809,IF(Assumptions!$I$53=1,MAX(K19807,Assumptions!$G$53)+Assumptions!$F$53+$C$19808,Assumptions!$E$53))+K19830*IF(OR(K19831=1,J19970=1),$C$19809,IF(Assumptions!$I$54=1,MAX(K19807,Assumptions!$G$54)+Assumptions!$F$54+$C$19808,Assumptions!$E$54))+K19843*IF(OR(K19844=1,J19971=1),$C$19809,IF(Assumptions!$I$55=1,MAX(K19807,Assumptions!$G$55)+Assumptions!$F$55+$C$19808,Assumptions!$E$55))+K19856*IF(OR(K19857=1,J19972=1),$C$19809,IF(Assumptions!$I$56=1,MAX(K19807,Assumptions!$G$56)+Assumptions!$F$56+$C$19808,Assumptions!$E$56))</f>
        <v>127.1740928</v>
      </c>
    </row>
    <row r="19815" customFormat="false" ht="15" hidden="false" customHeight="false" outlineLevel="0" collapsed="false">
      <c r="A19815" s="5" t="s">
        <v>262</v>
      </c>
      <c r="G19815" s="20" t="n">
        <f aca="false">IF(G19791&lt;=0,0,IF(AND((G19812-G19813)/G19791&lt;=$C$19810,G19791/G19814&gt;=$C$19811),1,0))</f>
        <v>0</v>
      </c>
      <c r="H19815" s="20" t="n">
        <f aca="false">IF(H19791&lt;=0,0,IF(AND((H19812-H19813)/H19791&lt;=$C$19810,H19791/H19814&gt;=$C$19811),1,0))</f>
        <v>0</v>
      </c>
      <c r="I19815" s="20" t="n">
        <f aca="false">IF(I19791&lt;=0,0,IF(AND((I19812-I19813)/I19791&lt;=$C$19810,I19791/I19814&gt;=$C$19811),1,0))</f>
        <v>0</v>
      </c>
      <c r="J19815" s="20" t="n">
        <f aca="false">IF(J19791&lt;=0,0,IF(AND((J19812-J19813)/J19791&lt;=$C$19810,J19791/J19814&gt;=$C$19811),1,0))</f>
        <v>0</v>
      </c>
      <c r="K19815" s="20" t="n">
        <f aca="false">IF(K19791&lt;=0,0,IF(AND((K19812-K19813)/K19791&lt;=$C$19810,K19791/K19814&gt;=$C$19811),1,0))</f>
        <v>0</v>
      </c>
    </row>
    <row r="19816" customFormat="false" ht="15" hidden="false" customHeight="false" outlineLevel="0" collapsed="false">
      <c r="A19816" s="23" t="s">
        <v>263</v>
      </c>
      <c r="B19816" s="24"/>
      <c r="C19816" s="24"/>
      <c r="D19816" s="24"/>
      <c r="E19816" s="24"/>
      <c r="F19816" s="24"/>
      <c r="G19816" s="24"/>
      <c r="H19816" s="24"/>
      <c r="I19816" s="24"/>
      <c r="J19816" s="24"/>
      <c r="K19816" s="24"/>
    </row>
    <row r="19817" customFormat="false" ht="15" hidden="false" customHeight="false" outlineLevel="0" collapsed="false">
      <c r="A19817" s="5" t="s">
        <v>264</v>
      </c>
      <c r="G19817" s="25" t="n">
        <f aca="false">F19828</f>
        <v>180</v>
      </c>
      <c r="H19817" s="25" t="n">
        <f aca="false">G19828</f>
        <v>216.2968</v>
      </c>
      <c r="I19817" s="25" t="n">
        <f aca="false">H19828</f>
        <v>216.2968</v>
      </c>
      <c r="J19817" s="25" t="n">
        <f aca="false">I19828</f>
        <v>216.2968</v>
      </c>
      <c r="K19817" s="25" t="n">
        <f aca="false">J19828</f>
        <v>216.2968</v>
      </c>
    </row>
    <row r="19818" customFormat="false" ht="15" hidden="false" customHeight="false" outlineLevel="0" collapsed="false">
      <c r="A19818" s="5" t="s">
        <v>265</v>
      </c>
      <c r="G19818" s="20" t="n">
        <f aca="false">IF(G19781=Assumptions!$K$53,1,0)</f>
        <v>0</v>
      </c>
      <c r="H19818" s="20" t="n">
        <f aca="false">IF(H19781=Assumptions!$K$53,1,0)</f>
        <v>1</v>
      </c>
      <c r="I19818" s="20" t="n">
        <f aca="false">IF(I19781=Assumptions!$K$53,1,0)</f>
        <v>0</v>
      </c>
      <c r="J19818" s="20" t="n">
        <f aca="false">IF(J19781=Assumptions!$K$53,1,0)</f>
        <v>0</v>
      </c>
      <c r="K19818" s="20" t="n">
        <f aca="false">IF(K19781=Assumptions!$K$53,1,0)</f>
        <v>0</v>
      </c>
    </row>
    <row r="19820" customFormat="false" ht="15" hidden="false" customHeight="false" outlineLevel="0" collapsed="false">
      <c r="A19820" s="5" t="s">
        <v>266</v>
      </c>
      <c r="G19820" s="30" t="n">
        <f aca="false">IF(Assumptions!$I$53=1,MAX(G19807,Assumptions!$G$53)+Assumptions!$F$53+$C$19808,Assumptions!$E$53)</f>
        <v>0.101</v>
      </c>
      <c r="H19820" s="30" t="n">
        <f aca="false">IF(G19969=1,$C$19809,IF(Assumptions!$I$53=1,MAX(H19807,Assumptions!$G$53)+Assumptions!$F$53+$C$19808,Assumptions!$E$53))</f>
        <v>0.0985</v>
      </c>
      <c r="I19820" s="30" t="n">
        <f aca="false">IF(H19969=1,$C$19809,IF(Assumptions!$I$53=1,MAX(I19807,Assumptions!$G$53)+Assumptions!$F$53+$C$19808,Assumptions!$E$53))</f>
        <v>0.096</v>
      </c>
      <c r="J19820" s="30" t="n">
        <f aca="false">IF(I19969=1,$C$19809,IF(Assumptions!$I$53=1,MAX(J19807,Assumptions!$G$53)+Assumptions!$F$53+$C$19808,Assumptions!$E$53))</f>
        <v>0.096</v>
      </c>
      <c r="K19820" s="30" t="n">
        <f aca="false">IF(J19969=1,$C$19809,IF(Assumptions!$I$53=1,MAX(K19807,Assumptions!$G$53)+Assumptions!$F$53+$C$19808,Assumptions!$E$53))</f>
        <v>0.096</v>
      </c>
    </row>
    <row r="19821" customFormat="false" ht="15" hidden="false" customHeight="false" outlineLevel="0" collapsed="false">
      <c r="A19821" s="5" t="s">
        <v>267</v>
      </c>
      <c r="G19821" s="25" t="n">
        <f aca="false">G19817*G19820</f>
        <v>18.18</v>
      </c>
      <c r="H19821" s="25" t="n">
        <f aca="false">H19817*H19820</f>
        <v>21.3052348</v>
      </c>
      <c r="I19821" s="25" t="n">
        <f aca="false">I19817*I19820</f>
        <v>20.7644928</v>
      </c>
      <c r="J19821" s="25" t="n">
        <f aca="false">J19817*J19820</f>
        <v>20.7644928</v>
      </c>
      <c r="K19821" s="25" t="n">
        <f aca="false">K19817*K19820</f>
        <v>20.7644928</v>
      </c>
    </row>
    <row r="19822" customFormat="false" ht="15" hidden="false" customHeight="false" outlineLevel="0" collapsed="false">
      <c r="A19822" s="5" t="s">
        <v>268</v>
      </c>
      <c r="G19822" s="25" t="n">
        <f aca="false">G19817*Assumptions!$H$53</f>
        <v>0</v>
      </c>
      <c r="H19822" s="25" t="n">
        <f aca="false">H19817*Assumptions!$H$53</f>
        <v>0</v>
      </c>
      <c r="I19822" s="25" t="n">
        <f aca="false">I19817*Assumptions!$H$53</f>
        <v>0</v>
      </c>
      <c r="J19822" s="25" t="n">
        <f aca="false">J19817*Assumptions!$H$53</f>
        <v>0</v>
      </c>
      <c r="K19822" s="25" t="n">
        <f aca="false">K19817*Assumptions!$H$53</f>
        <v>0</v>
      </c>
    </row>
    <row r="19823" customFormat="false" ht="15" hidden="false" customHeight="false" outlineLevel="0" collapsed="false">
      <c r="A19823" s="5" t="s">
        <v>269</v>
      </c>
      <c r="G19823" s="25" t="n">
        <f aca="false">MIN(G19817,Assumptions!$L$53*Assumptions!$C$53)</f>
        <v>0</v>
      </c>
      <c r="H19823" s="25" t="n">
        <f aca="false">MIN(H19817,Assumptions!$L$53*Assumptions!$C$53)</f>
        <v>0</v>
      </c>
      <c r="I19823" s="25" t="n">
        <f aca="false">MIN(I19817,Assumptions!$L$53*Assumptions!$C$53)</f>
        <v>0</v>
      </c>
      <c r="J19823" s="25" t="n">
        <f aca="false">MIN(J19817,Assumptions!$L$53*Assumptions!$C$53)</f>
        <v>0</v>
      </c>
      <c r="K19823" s="25" t="n">
        <f aca="false">MIN(K19817,Assumptions!$L$53*Assumptions!$C$53)</f>
        <v>0</v>
      </c>
    </row>
    <row r="19824" customFormat="false" ht="15" hidden="false" customHeight="false" outlineLevel="0" collapsed="false">
      <c r="A19824" s="5" t="s">
        <v>270</v>
      </c>
      <c r="G19824" s="25" t="n">
        <f aca="false">IF(AND(Assumptions!$P$53=1,G19781&lt;Assumptions!$K$53),MIN(MAX(0,-G19895),MAX(0,Assumptions!$D$53-G19817)),0)</f>
        <v>36.2968000000001</v>
      </c>
      <c r="H19824" s="25" t="n">
        <f aca="false">IF(AND(Assumptions!$P$53=1,OR(H19781&lt;Assumptions!$K$53,G19969=1)),MIN(MAX(0,-H19895),MAX(0,Assumptions!$D$53-H19817)),0)</f>
        <v>0</v>
      </c>
      <c r="I19824" s="25" t="n">
        <f aca="false">IF(AND(Assumptions!$P$53=1,OR(I19781&lt;Assumptions!$K$53,H19969=1)),MIN(MAX(0,-I19895),MAX(0,Assumptions!$D$53-I19817)),0)</f>
        <v>0</v>
      </c>
      <c r="J19824" s="25" t="n">
        <f aca="false">IF(AND(Assumptions!$P$53=1,OR(J19781&lt;Assumptions!$K$53,I19969=1)),MIN(MAX(0,-J19895),MAX(0,Assumptions!$D$53-J19817)),0)</f>
        <v>0</v>
      </c>
      <c r="K19824" s="25" t="n">
        <f aca="false">IF(AND(Assumptions!$P$53=1,OR(K19781&lt;Assumptions!$K$53,J19969=1)),MIN(MAX(0,-K19895),MAX(0,Assumptions!$D$53-K19817)),0)</f>
        <v>0</v>
      </c>
    </row>
    <row r="19825" customFormat="false" ht="15" hidden="false" customHeight="false" outlineLevel="0" collapsed="false">
      <c r="A19825" s="5" t="s">
        <v>271</v>
      </c>
      <c r="G19825" s="25" t="n">
        <f aca="false">G19818*MIN(G19817-G19823+G19822,MAX(0,G19897-Assumptions!$C$12*G19815))</f>
        <v>0</v>
      </c>
      <c r="H19825" s="25" t="n">
        <f aca="false">H19818*MIN(H19817-H19823+H19822,MAX(0,H19897-Assumptions!$C$12*H19815))</f>
        <v>0</v>
      </c>
      <c r="I19825" s="25" t="n">
        <f aca="false">I19818*MIN(I19817-I19823+I19822,MAX(0,I19897-Assumptions!$C$12*I19815))</f>
        <v>0</v>
      </c>
      <c r="J19825" s="25" t="n">
        <f aca="false">J19818*MIN(J19817-J19823+J19822,MAX(0,J19897-Assumptions!$C$12*J19815))</f>
        <v>0</v>
      </c>
      <c r="K19825" s="25" t="n">
        <f aca="false">K19818*MIN(K19817-K19823+K19822,MAX(0,K19897-Assumptions!$C$12*K19815))</f>
        <v>0</v>
      </c>
    </row>
    <row r="19826" customFormat="false" ht="15" hidden="false" customHeight="false" outlineLevel="0" collapsed="false">
      <c r="A19826" s="5" t="s">
        <v>272</v>
      </c>
      <c r="G19826" s="25" t="n">
        <f aca="false">Assumptions!$N$53*MIN(G19817+G19824+G19822-G19823-G19825,MAX(0,G19901))</f>
        <v>0</v>
      </c>
      <c r="H19826" s="25" t="n">
        <f aca="false">Assumptions!$N$53*MIN(H19817+H19824+H19822-H19823-H19825,MAX(0,H19901))</f>
        <v>0</v>
      </c>
      <c r="I19826" s="25" t="n">
        <f aca="false">Assumptions!$N$53*MIN(I19817+I19824+I19822-I19823-I19825,MAX(0,I19901))</f>
        <v>0</v>
      </c>
      <c r="J19826" s="25" t="n">
        <f aca="false">Assumptions!$N$53*MIN(J19817+J19824+J19822-J19823-J19825,MAX(0,J19901))</f>
        <v>0</v>
      </c>
      <c r="K19826" s="25" t="n">
        <f aca="false">Assumptions!$N$53*MIN(K19817+K19824+K19822-K19823-K19825,MAX(0,K19901))</f>
        <v>0</v>
      </c>
    </row>
    <row r="19827" customFormat="false" ht="15" hidden="false" customHeight="false" outlineLevel="0" collapsed="false">
      <c r="A19827" s="5" t="s">
        <v>273</v>
      </c>
      <c r="G19827" s="25" t="n">
        <f aca="false">G19818*(1-G19815)*(G19817-G19823+G19822-G19825)</f>
        <v>0</v>
      </c>
      <c r="H19827" s="25" t="n">
        <f aca="false">H19818*(1-H19815)*(H19817-H19823+H19822-H19825)</f>
        <v>216.2968</v>
      </c>
      <c r="I19827" s="25" t="n">
        <f aca="false">I19818*(1-I19815)*(I19817-I19823+I19822-I19825)</f>
        <v>0</v>
      </c>
      <c r="J19827" s="25" t="n">
        <f aca="false">J19818*(1-J19815)*(J19817-J19823+J19822-J19825)</f>
        <v>0</v>
      </c>
      <c r="K19827" s="25" t="n">
        <f aca="false">K19818*(1-K19815)*(K19817-K19823+K19822-K19825)</f>
        <v>0</v>
      </c>
    </row>
    <row r="19828" customFormat="false" ht="15" hidden="false" customHeight="false" outlineLevel="0" collapsed="false">
      <c r="A19828" s="2" t="s">
        <v>274</v>
      </c>
      <c r="F19828" s="27" t="n">
        <f aca="false">Assumptions!$C$53</f>
        <v>180</v>
      </c>
      <c r="G19828" s="16" t="n">
        <f aca="false">G19817+G19824+G19822-G19823-G19825-G19826</f>
        <v>216.2968</v>
      </c>
      <c r="H19828" s="16" t="n">
        <f aca="false">H19817+H19824+H19822-H19823-H19825-H19826</f>
        <v>216.2968</v>
      </c>
      <c r="I19828" s="16" t="n">
        <f aca="false">I19817+I19824+I19822-I19823-I19825-I19826</f>
        <v>216.2968</v>
      </c>
      <c r="J19828" s="16" t="n">
        <f aca="false">J19817+J19824+J19822-J19823-J19825-J19826</f>
        <v>216.2968</v>
      </c>
      <c r="K19828" s="16" t="n">
        <f aca="false">K19817+K19824+K19822-K19823-K19825-K19826</f>
        <v>216.2968</v>
      </c>
    </row>
    <row r="19829" customFormat="false" ht="15" hidden="false" customHeight="false" outlineLevel="0" collapsed="false">
      <c r="A19829" s="23" t="s">
        <v>275</v>
      </c>
      <c r="B19829" s="24"/>
      <c r="C19829" s="24"/>
      <c r="D19829" s="24"/>
      <c r="E19829" s="24"/>
      <c r="F19829" s="24"/>
      <c r="G19829" s="24"/>
      <c r="H19829" s="24"/>
      <c r="I19829" s="24"/>
      <c r="J19829" s="24"/>
      <c r="K19829" s="24"/>
    </row>
    <row r="19830" customFormat="false" ht="15" hidden="false" customHeight="false" outlineLevel="0" collapsed="false">
      <c r="A19830" s="5" t="s">
        <v>264</v>
      </c>
      <c r="G19830" s="25" t="n">
        <f aca="false">F19841</f>
        <v>520</v>
      </c>
      <c r="H19830" s="25" t="n">
        <f aca="false">G19841</f>
        <v>514.8</v>
      </c>
      <c r="I19830" s="25" t="n">
        <f aca="false">H19841</f>
        <v>509.6</v>
      </c>
      <c r="J19830" s="25" t="n">
        <f aca="false">I19841</f>
        <v>504.4</v>
      </c>
      <c r="K19830" s="25" t="n">
        <f aca="false">J19841</f>
        <v>499.2</v>
      </c>
    </row>
    <row r="19831" customFormat="false" ht="15" hidden="false" customHeight="false" outlineLevel="0" collapsed="false">
      <c r="A19831" s="5" t="s">
        <v>265</v>
      </c>
      <c r="G19831" s="20" t="n">
        <f aca="false">IF(G19781=Assumptions!$K$54,1,0)</f>
        <v>0</v>
      </c>
      <c r="H19831" s="20" t="n">
        <f aca="false">IF(H19781=Assumptions!$K$54,1,0)</f>
        <v>0</v>
      </c>
      <c r="I19831" s="20" t="n">
        <f aca="false">IF(I19781=Assumptions!$K$54,1,0)</f>
        <v>1</v>
      </c>
      <c r="J19831" s="20" t="n">
        <f aca="false">IF(J19781=Assumptions!$K$54,1,0)</f>
        <v>0</v>
      </c>
      <c r="K19831" s="20" t="n">
        <f aca="false">IF(K19781=Assumptions!$K$54,1,0)</f>
        <v>0</v>
      </c>
    </row>
    <row r="19833" customFormat="false" ht="15" hidden="false" customHeight="false" outlineLevel="0" collapsed="false">
      <c r="A19833" s="5" t="s">
        <v>266</v>
      </c>
      <c r="G19833" s="30" t="n">
        <f aca="false">IF(Assumptions!$I$54=1,MAX(G19807,Assumptions!$G$54)+Assumptions!$F$54+$C$19808,Assumptions!$E$54)</f>
        <v>0.118</v>
      </c>
      <c r="H19833" s="30" t="n">
        <f aca="false">IF(G19970=1,$C$19809,IF(Assumptions!$I$54=1,MAX(H19807,Assumptions!$G$54)+Assumptions!$F$54+$C$19808,Assumptions!$E$54))</f>
        <v>0.1155</v>
      </c>
      <c r="I19833" s="30" t="n">
        <f aca="false">IF(H19970=1,$C$19809,IF(Assumptions!$I$54=1,MAX(I19807,Assumptions!$G$54)+Assumptions!$F$54+$C$19808,Assumptions!$E$54))</f>
        <v>0.113</v>
      </c>
      <c r="J19833" s="30" t="n">
        <f aca="false">IF(I19970=1,$C$19809,IF(Assumptions!$I$54=1,MAX(J19807,Assumptions!$G$54)+Assumptions!$F$54+$C$19808,Assumptions!$E$54))</f>
        <v>0.113</v>
      </c>
      <c r="K19833" s="30" t="n">
        <f aca="false">IF(J19970=1,$C$19809,IF(Assumptions!$I$54=1,MAX(K19807,Assumptions!$G$54)+Assumptions!$F$54+$C$19808,Assumptions!$E$54))</f>
        <v>0.113</v>
      </c>
    </row>
    <row r="19834" customFormat="false" ht="15" hidden="false" customHeight="false" outlineLevel="0" collapsed="false">
      <c r="A19834" s="5" t="s">
        <v>267</v>
      </c>
      <c r="G19834" s="25" t="n">
        <f aca="false">G19830*G19833</f>
        <v>61.36</v>
      </c>
      <c r="H19834" s="25" t="n">
        <f aca="false">H19830*H19833</f>
        <v>59.4594</v>
      </c>
      <c r="I19834" s="25" t="n">
        <f aca="false">I19830*I19833</f>
        <v>57.5848</v>
      </c>
      <c r="J19834" s="25" t="n">
        <f aca="false">J19830*J19833</f>
        <v>56.9972</v>
      </c>
      <c r="K19834" s="25" t="n">
        <f aca="false">K19830*K19833</f>
        <v>56.4096</v>
      </c>
    </row>
    <row r="19835" customFormat="false" ht="15" hidden="false" customHeight="false" outlineLevel="0" collapsed="false">
      <c r="A19835" s="5" t="s">
        <v>268</v>
      </c>
      <c r="G19835" s="25" t="n">
        <f aca="false">G19830*Assumptions!$H$54</f>
        <v>0</v>
      </c>
      <c r="H19835" s="25" t="n">
        <f aca="false">H19830*Assumptions!$H$54</f>
        <v>0</v>
      </c>
      <c r="I19835" s="25" t="n">
        <f aca="false">I19830*Assumptions!$H$54</f>
        <v>0</v>
      </c>
      <c r="J19835" s="25" t="n">
        <f aca="false">J19830*Assumptions!$H$54</f>
        <v>0</v>
      </c>
      <c r="K19835" s="25" t="n">
        <f aca="false">K19830*Assumptions!$H$54</f>
        <v>0</v>
      </c>
    </row>
    <row r="19836" customFormat="false" ht="15" hidden="false" customHeight="false" outlineLevel="0" collapsed="false">
      <c r="A19836" s="5" t="s">
        <v>269</v>
      </c>
      <c r="G19836" s="25" t="n">
        <f aca="false">MIN(G19830,Assumptions!$L$54*Assumptions!$C$54)</f>
        <v>5.2</v>
      </c>
      <c r="H19836" s="25" t="n">
        <f aca="false">MIN(H19830,Assumptions!$L$54*Assumptions!$C$54)</f>
        <v>5.2</v>
      </c>
      <c r="I19836" s="25" t="n">
        <f aca="false">MIN(I19830,Assumptions!$L$54*Assumptions!$C$54)</f>
        <v>5.2</v>
      </c>
      <c r="J19836" s="25" t="n">
        <f aca="false">MIN(J19830,Assumptions!$L$54*Assumptions!$C$54)</f>
        <v>5.2</v>
      </c>
      <c r="K19836" s="25" t="n">
        <f aca="false">MIN(K19830,Assumptions!$L$54*Assumptions!$C$54)</f>
        <v>5.2</v>
      </c>
    </row>
    <row r="19837" customFormat="false" ht="15" hidden="false" customHeight="false" outlineLevel="0" collapsed="false">
      <c r="A19837" s="5" t="s">
        <v>270</v>
      </c>
      <c r="G19837" s="25" t="n">
        <f aca="false">IF(AND(Assumptions!$P$54=1,G19781&lt;Assumptions!$K$54),MIN(MAX(0,-G19895),MAX(0,Assumptions!$D$54-G19830)),0)</f>
        <v>0</v>
      </c>
      <c r="H19837" s="25" t="n">
        <f aca="false">IF(AND(Assumptions!$P$54=1,OR(H19781&lt;Assumptions!$K$54,G19970=1)),MIN(MAX(0,-H19895),MAX(0,Assumptions!$D$54-H19830)),0)</f>
        <v>0</v>
      </c>
      <c r="I19837" s="25" t="n">
        <f aca="false">IF(AND(Assumptions!$P$54=1,OR(I19781&lt;Assumptions!$K$54,H19970=1)),MIN(MAX(0,-I19895),MAX(0,Assumptions!$D$54-I19830)),0)</f>
        <v>0</v>
      </c>
      <c r="J19837" s="25" t="n">
        <f aca="false">IF(AND(Assumptions!$P$54=1,OR(J19781&lt;Assumptions!$K$54,I19970=1)),MIN(MAX(0,-J19895),MAX(0,Assumptions!$D$54-J19830)),0)</f>
        <v>0</v>
      </c>
      <c r="K19837" s="25" t="n">
        <f aca="false">IF(AND(Assumptions!$P$54=1,OR(K19781&lt;Assumptions!$K$54,J19970=1)),MIN(MAX(0,-K19895),MAX(0,Assumptions!$D$54-K19830)),0)</f>
        <v>0</v>
      </c>
    </row>
    <row r="19838" customFormat="false" ht="15" hidden="false" customHeight="false" outlineLevel="0" collapsed="false">
      <c r="A19838" s="5" t="s">
        <v>271</v>
      </c>
      <c r="G19838" s="25" t="n">
        <f aca="false">G19831*MIN(G19830-G19836+G19835,MAX(0,G19897-Assumptions!$C$12*G19815-G19825))</f>
        <v>0</v>
      </c>
      <c r="H19838" s="25" t="n">
        <f aca="false">H19831*MIN(H19830-H19836+H19835,MAX(0,H19897-Assumptions!$C$12*H19815-H19825))</f>
        <v>0</v>
      </c>
      <c r="I19838" s="25" t="n">
        <f aca="false">I19831*MIN(I19830-I19836+I19835,MAX(0,I19897-Assumptions!$C$12*I19815-I19825))</f>
        <v>0</v>
      </c>
      <c r="J19838" s="25" t="n">
        <f aca="false">J19831*MIN(J19830-J19836+J19835,MAX(0,J19897-Assumptions!$C$12*J19815-J19825))</f>
        <v>0</v>
      </c>
      <c r="K19838" s="25" t="n">
        <f aca="false">K19831*MIN(K19830-K19836+K19835,MAX(0,K19897-Assumptions!$C$12*K19815-K19825))</f>
        <v>0</v>
      </c>
    </row>
    <row r="19839" customFormat="false" ht="15" hidden="false" customHeight="false" outlineLevel="0" collapsed="false">
      <c r="A19839" s="5" t="s">
        <v>272</v>
      </c>
      <c r="G19839" s="25" t="n">
        <f aca="false">Assumptions!$N$54*MIN(G19830+G19837+G19835-G19836-G19838,MAX(0,G19901-G19826))</f>
        <v>0</v>
      </c>
      <c r="H19839" s="25" t="n">
        <f aca="false">Assumptions!$N$54*MIN(H19830+H19837+H19835-H19836-H19838,MAX(0,H19901-H19826))</f>
        <v>0</v>
      </c>
      <c r="I19839" s="25" t="n">
        <f aca="false">Assumptions!$N$54*MIN(I19830+I19837+I19835-I19836-I19838,MAX(0,I19901-I19826))</f>
        <v>0</v>
      </c>
      <c r="J19839" s="25" t="n">
        <f aca="false">Assumptions!$N$54*MIN(J19830+J19837+J19835-J19836-J19838,MAX(0,J19901-J19826))</f>
        <v>0</v>
      </c>
      <c r="K19839" s="25" t="n">
        <f aca="false">Assumptions!$N$54*MIN(K19830+K19837+K19835-K19836-K19838,MAX(0,K19901-K19826))</f>
        <v>0</v>
      </c>
    </row>
    <row r="19840" customFormat="false" ht="15" hidden="false" customHeight="false" outlineLevel="0" collapsed="false">
      <c r="A19840" s="5" t="s">
        <v>273</v>
      </c>
      <c r="G19840" s="25" t="n">
        <f aca="false">G19831*(1-G19815)*(G19830-G19836+G19835-G19838)</f>
        <v>0</v>
      </c>
      <c r="H19840" s="25" t="n">
        <f aca="false">H19831*(1-H19815)*(H19830-H19836+H19835-H19838)</f>
        <v>0</v>
      </c>
      <c r="I19840" s="25" t="n">
        <f aca="false">I19831*(1-I19815)*(I19830-I19836+I19835-I19838)</f>
        <v>504.4</v>
      </c>
      <c r="J19840" s="25" t="n">
        <f aca="false">J19831*(1-J19815)*(J19830-J19836+J19835-J19838)</f>
        <v>0</v>
      </c>
      <c r="K19840" s="25" t="n">
        <f aca="false">K19831*(1-K19815)*(K19830-K19836+K19835-K19838)</f>
        <v>0</v>
      </c>
    </row>
    <row r="19841" customFormat="false" ht="15" hidden="false" customHeight="false" outlineLevel="0" collapsed="false">
      <c r="A19841" s="2" t="s">
        <v>274</v>
      </c>
      <c r="F19841" s="27" t="n">
        <f aca="false">Assumptions!$C$54</f>
        <v>520</v>
      </c>
      <c r="G19841" s="16" t="n">
        <f aca="false">G19830+G19837+G19835-G19836-G19838-G19839</f>
        <v>514.8</v>
      </c>
      <c r="H19841" s="16" t="n">
        <f aca="false">H19830+H19837+H19835-H19836-H19838-H19839</f>
        <v>509.6</v>
      </c>
      <c r="I19841" s="16" t="n">
        <f aca="false">I19830+I19837+I19835-I19836-I19838-I19839</f>
        <v>504.4</v>
      </c>
      <c r="J19841" s="16" t="n">
        <f aca="false">J19830+J19837+J19835-J19836-J19838-J19839</f>
        <v>499.2</v>
      </c>
      <c r="K19841" s="16" t="n">
        <f aca="false">K19830+K19837+K19835-K19836-K19838-K19839</f>
        <v>494</v>
      </c>
    </row>
    <row r="19842" customFormat="false" ht="15" hidden="false" customHeight="false" outlineLevel="0" collapsed="false">
      <c r="A19842" s="23" t="s">
        <v>276</v>
      </c>
      <c r="B19842" s="24"/>
      <c r="C19842" s="24"/>
      <c r="D19842" s="24"/>
      <c r="E19842" s="24"/>
      <c r="F19842" s="24"/>
      <c r="G19842" s="24"/>
      <c r="H19842" s="24"/>
      <c r="I19842" s="24"/>
      <c r="J19842" s="24"/>
      <c r="K19842" s="24"/>
    </row>
    <row r="19843" customFormat="false" ht="15" hidden="false" customHeight="false" outlineLevel="0" collapsed="false">
      <c r="A19843" s="5" t="s">
        <v>264</v>
      </c>
      <c r="G19843" s="25" t="n">
        <f aca="false">F19854</f>
        <v>250</v>
      </c>
      <c r="H19843" s="25" t="n">
        <f aca="false">G19854</f>
        <v>250</v>
      </c>
      <c r="I19843" s="25" t="n">
        <f aca="false">H19854</f>
        <v>250</v>
      </c>
      <c r="J19843" s="25" t="n">
        <f aca="false">I19854</f>
        <v>250</v>
      </c>
      <c r="K19843" s="25" t="n">
        <f aca="false">J19854</f>
        <v>250</v>
      </c>
    </row>
    <row r="19844" customFormat="false" ht="15" hidden="false" customHeight="false" outlineLevel="0" collapsed="false">
      <c r="A19844" s="5" t="s">
        <v>265</v>
      </c>
      <c r="G19844" s="20" t="n">
        <f aca="false">IF(G19781=Assumptions!$K$55,1,0)</f>
        <v>0</v>
      </c>
      <c r="H19844" s="20" t="n">
        <f aca="false">IF(H19781=Assumptions!$K$55,1,0)</f>
        <v>0</v>
      </c>
      <c r="I19844" s="20" t="n">
        <f aca="false">IF(I19781=Assumptions!$K$55,1,0)</f>
        <v>0</v>
      </c>
      <c r="J19844" s="20" t="n">
        <f aca="false">IF(J19781=Assumptions!$K$55,1,0)</f>
        <v>1</v>
      </c>
      <c r="K19844" s="20" t="n">
        <f aca="false">IF(K19781=Assumptions!$K$55,1,0)</f>
        <v>0</v>
      </c>
    </row>
    <row r="19846" customFormat="false" ht="15" hidden="false" customHeight="false" outlineLevel="0" collapsed="false">
      <c r="A19846" s="5" t="s">
        <v>266</v>
      </c>
      <c r="G19846" s="30" t="n">
        <f aca="false">IF(Assumptions!$I$55=1,MAX(G19807,Assumptions!$G$55)+Assumptions!$F$55+$C$19808,Assumptions!$E$55)</f>
        <v>0.11</v>
      </c>
      <c r="H19846" s="30" t="n">
        <f aca="false">IF(G19971=1,$C$19809,IF(Assumptions!$I$55=1,MAX(H19807,Assumptions!$G$55)+Assumptions!$F$55+$C$19808,Assumptions!$E$55))</f>
        <v>0.11</v>
      </c>
      <c r="I19846" s="30" t="n">
        <f aca="false">IF(H19971=1,$C$19809,IF(Assumptions!$I$55=1,MAX(I19807,Assumptions!$G$55)+Assumptions!$F$55+$C$19808,Assumptions!$E$55))</f>
        <v>0.11</v>
      </c>
      <c r="J19846" s="30" t="n">
        <f aca="false">IF(I19971=1,$C$19809,IF(Assumptions!$I$55=1,MAX(J19807,Assumptions!$G$55)+Assumptions!$F$55+$C$19808,Assumptions!$E$55))</f>
        <v>0.11</v>
      </c>
      <c r="K19846" s="30" t="n">
        <f aca="false">IF(J19971=1,$C$19809,IF(Assumptions!$I$55=1,MAX(K19807,Assumptions!$G$55)+Assumptions!$F$55+$C$19808,Assumptions!$E$55))</f>
        <v>0.11</v>
      </c>
    </row>
    <row r="19847" customFormat="false" ht="15" hidden="false" customHeight="false" outlineLevel="0" collapsed="false">
      <c r="A19847" s="5" t="s">
        <v>267</v>
      </c>
      <c r="G19847" s="25" t="n">
        <f aca="false">G19843*G19846</f>
        <v>27.5</v>
      </c>
      <c r="H19847" s="25" t="n">
        <f aca="false">H19843*H19846</f>
        <v>27.5</v>
      </c>
      <c r="I19847" s="25" t="n">
        <f aca="false">I19843*I19846</f>
        <v>27.5</v>
      </c>
      <c r="J19847" s="25" t="n">
        <f aca="false">J19843*J19846</f>
        <v>27.5</v>
      </c>
      <c r="K19847" s="25" t="n">
        <f aca="false">K19843*K19846</f>
        <v>27.5</v>
      </c>
    </row>
    <row r="19848" customFormat="false" ht="15" hidden="false" customHeight="false" outlineLevel="0" collapsed="false">
      <c r="A19848" s="5" t="s">
        <v>268</v>
      </c>
      <c r="G19848" s="25" t="n">
        <f aca="false">G19843*Assumptions!$H$55</f>
        <v>0</v>
      </c>
      <c r="H19848" s="25" t="n">
        <f aca="false">H19843*Assumptions!$H$55</f>
        <v>0</v>
      </c>
      <c r="I19848" s="25" t="n">
        <f aca="false">I19843*Assumptions!$H$55</f>
        <v>0</v>
      </c>
      <c r="J19848" s="25" t="n">
        <f aca="false">J19843*Assumptions!$H$55</f>
        <v>0</v>
      </c>
      <c r="K19848" s="25" t="n">
        <f aca="false">K19843*Assumptions!$H$55</f>
        <v>0</v>
      </c>
    </row>
    <row r="19849" customFormat="false" ht="15" hidden="false" customHeight="false" outlineLevel="0" collapsed="false">
      <c r="A19849" s="5" t="s">
        <v>269</v>
      </c>
      <c r="G19849" s="25" t="n">
        <f aca="false">MIN(G19843,Assumptions!$L$55*Assumptions!$C$55)</f>
        <v>0</v>
      </c>
      <c r="H19849" s="25" t="n">
        <f aca="false">MIN(H19843,Assumptions!$L$55*Assumptions!$C$55)</f>
        <v>0</v>
      </c>
      <c r="I19849" s="25" t="n">
        <f aca="false">MIN(I19843,Assumptions!$L$55*Assumptions!$C$55)</f>
        <v>0</v>
      </c>
      <c r="J19849" s="25" t="n">
        <f aca="false">MIN(J19843,Assumptions!$L$55*Assumptions!$C$55)</f>
        <v>0</v>
      </c>
      <c r="K19849" s="25" t="n">
        <f aca="false">MIN(K19843,Assumptions!$L$55*Assumptions!$C$55)</f>
        <v>0</v>
      </c>
    </row>
    <row r="19850" customFormat="false" ht="15" hidden="false" customHeight="false" outlineLevel="0" collapsed="false">
      <c r="A19850" s="5" t="s">
        <v>270</v>
      </c>
      <c r="G19850" s="25" t="n">
        <f aca="false">IF(AND(Assumptions!$P$55=1,G19781&lt;Assumptions!$K$55),MIN(MAX(0,-G19895),MAX(0,Assumptions!$D$55-G19843)),0)</f>
        <v>0</v>
      </c>
      <c r="H19850" s="25" t="n">
        <f aca="false">IF(AND(Assumptions!$P$55=1,OR(H19781&lt;Assumptions!$K$55,G19971=1)),MIN(MAX(0,-H19895),MAX(0,Assumptions!$D$55-H19843)),0)</f>
        <v>0</v>
      </c>
      <c r="I19850" s="25" t="n">
        <f aca="false">IF(AND(Assumptions!$P$55=1,OR(I19781&lt;Assumptions!$K$55,H19971=1)),MIN(MAX(0,-I19895),MAX(0,Assumptions!$D$55-I19843)),0)</f>
        <v>0</v>
      </c>
      <c r="J19850" s="25" t="n">
        <f aca="false">IF(AND(Assumptions!$P$55=1,OR(J19781&lt;Assumptions!$K$55,I19971=1)),MIN(MAX(0,-J19895),MAX(0,Assumptions!$D$55-J19843)),0)</f>
        <v>0</v>
      </c>
      <c r="K19850" s="25" t="n">
        <f aca="false">IF(AND(Assumptions!$P$55=1,OR(K19781&lt;Assumptions!$K$55,J19971=1)),MIN(MAX(0,-K19895),MAX(0,Assumptions!$D$55-K19843)),0)</f>
        <v>0</v>
      </c>
    </row>
    <row r="19851" customFormat="false" ht="15" hidden="false" customHeight="false" outlineLevel="0" collapsed="false">
      <c r="A19851" s="5" t="s">
        <v>271</v>
      </c>
      <c r="G19851" s="25" t="n">
        <f aca="false">G19844*MIN(G19843-G19849+G19848,MAX(0,G19897-Assumptions!$C$12*G19815-G19825-G19838))</f>
        <v>0</v>
      </c>
      <c r="H19851" s="25" t="n">
        <f aca="false">H19844*MIN(H19843-H19849+H19848,MAX(0,H19897-Assumptions!$C$12*H19815-H19825-H19838))</f>
        <v>0</v>
      </c>
      <c r="I19851" s="25" t="n">
        <f aca="false">I19844*MIN(I19843-I19849+I19848,MAX(0,I19897-Assumptions!$C$12*I19815-I19825-I19838))</f>
        <v>0</v>
      </c>
      <c r="J19851" s="25" t="n">
        <f aca="false">J19844*MIN(J19843-J19849+J19848,MAX(0,J19897-Assumptions!$C$12*J19815-J19825-J19838))</f>
        <v>0</v>
      </c>
      <c r="K19851" s="25" t="n">
        <f aca="false">K19844*MIN(K19843-K19849+K19848,MAX(0,K19897-Assumptions!$C$12*K19815-K19825-K19838))</f>
        <v>0</v>
      </c>
    </row>
    <row r="19852" customFormat="false" ht="15" hidden="false" customHeight="false" outlineLevel="0" collapsed="false">
      <c r="A19852" s="5" t="s">
        <v>272</v>
      </c>
      <c r="G19852" s="25" t="n">
        <f aca="false">Assumptions!$N$55*MIN(G19843+G19850+G19848-G19849-G19851,MAX(0,G19901-G19826-G19839))</f>
        <v>0</v>
      </c>
      <c r="H19852" s="25" t="n">
        <f aca="false">Assumptions!$N$55*MIN(H19843+H19850+H19848-H19849-H19851,MAX(0,H19901-H19826-H19839))</f>
        <v>0</v>
      </c>
      <c r="I19852" s="25" t="n">
        <f aca="false">Assumptions!$N$55*MIN(I19843+I19850+I19848-I19849-I19851,MAX(0,I19901-I19826-I19839))</f>
        <v>0</v>
      </c>
      <c r="J19852" s="25" t="n">
        <f aca="false">Assumptions!$N$55*MIN(J19843+J19850+J19848-J19849-J19851,MAX(0,J19901-J19826-J19839))</f>
        <v>0</v>
      </c>
      <c r="K19852" s="25" t="n">
        <f aca="false">Assumptions!$N$55*MIN(K19843+K19850+K19848-K19849-K19851,MAX(0,K19901-K19826-K19839))</f>
        <v>0</v>
      </c>
    </row>
    <row r="19853" customFormat="false" ht="15" hidden="false" customHeight="false" outlineLevel="0" collapsed="false">
      <c r="A19853" s="5" t="s">
        <v>273</v>
      </c>
      <c r="G19853" s="25" t="n">
        <f aca="false">G19844*(1-G19815)*(G19843-G19849+G19848-G19851)</f>
        <v>0</v>
      </c>
      <c r="H19853" s="25" t="n">
        <f aca="false">H19844*(1-H19815)*(H19843-H19849+H19848-H19851)</f>
        <v>0</v>
      </c>
      <c r="I19853" s="25" t="n">
        <f aca="false">I19844*(1-I19815)*(I19843-I19849+I19848-I19851)</f>
        <v>0</v>
      </c>
      <c r="J19853" s="25" t="n">
        <f aca="false">J19844*(1-J19815)*(J19843-J19849+J19848-J19851)</f>
        <v>250</v>
      </c>
      <c r="K19853" s="25" t="n">
        <f aca="false">K19844*(1-K19815)*(K19843-K19849+K19848-K19851)</f>
        <v>0</v>
      </c>
    </row>
    <row r="19854" customFormat="false" ht="15" hidden="false" customHeight="false" outlineLevel="0" collapsed="false">
      <c r="A19854" s="2" t="s">
        <v>274</v>
      </c>
      <c r="F19854" s="27" t="n">
        <f aca="false">Assumptions!$C$55</f>
        <v>250</v>
      </c>
      <c r="G19854" s="16" t="n">
        <f aca="false">G19843+G19850+G19848-G19849-G19851-G19852</f>
        <v>250</v>
      </c>
      <c r="H19854" s="16" t="n">
        <f aca="false">H19843+H19850+H19848-H19849-H19851-H19852</f>
        <v>250</v>
      </c>
      <c r="I19854" s="16" t="n">
        <f aca="false">I19843+I19850+I19848-I19849-I19851-I19852</f>
        <v>250</v>
      </c>
      <c r="J19854" s="16" t="n">
        <f aca="false">J19843+J19850+J19848-J19849-J19851-J19852</f>
        <v>250</v>
      </c>
      <c r="K19854" s="16" t="n">
        <f aca="false">K19843+K19850+K19848-K19849-K19851-K19852</f>
        <v>250</v>
      </c>
    </row>
    <row r="19855" customFormat="false" ht="15" hidden="false" customHeight="false" outlineLevel="0" collapsed="false">
      <c r="A19855" s="23" t="s">
        <v>277</v>
      </c>
      <c r="B19855" s="24"/>
      <c r="C19855" s="24"/>
      <c r="D19855" s="24"/>
      <c r="E19855" s="24"/>
      <c r="F19855" s="24"/>
      <c r="G19855" s="24"/>
      <c r="H19855" s="24"/>
      <c r="I19855" s="24"/>
      <c r="J19855" s="24"/>
      <c r="K19855" s="24"/>
    </row>
    <row r="19856" customFormat="false" ht="15" hidden="false" customHeight="false" outlineLevel="0" collapsed="false">
      <c r="A19856" s="5" t="s">
        <v>264</v>
      </c>
      <c r="G19856" s="25" t="n">
        <f aca="false">F19867</f>
        <v>300</v>
      </c>
      <c r="H19856" s="25" t="n">
        <f aca="false">G19867</f>
        <v>300</v>
      </c>
      <c r="I19856" s="25" t="n">
        <f aca="false">H19867</f>
        <v>300</v>
      </c>
      <c r="J19856" s="25" t="n">
        <f aca="false">I19867</f>
        <v>300</v>
      </c>
      <c r="K19856" s="25" t="n">
        <f aca="false">J19867</f>
        <v>300</v>
      </c>
    </row>
    <row r="19857" customFormat="false" ht="15" hidden="false" customHeight="false" outlineLevel="0" collapsed="false">
      <c r="A19857" s="5" t="s">
        <v>265</v>
      </c>
      <c r="G19857" s="20" t="n">
        <f aca="false">IF(G19781=Assumptions!$K$56,1,0)</f>
        <v>0</v>
      </c>
      <c r="H19857" s="20" t="n">
        <f aca="false">IF(H19781=Assumptions!$K$56,1,0)</f>
        <v>1</v>
      </c>
      <c r="I19857" s="20" t="n">
        <f aca="false">IF(I19781=Assumptions!$K$56,1,0)</f>
        <v>0</v>
      </c>
      <c r="J19857" s="20" t="n">
        <f aca="false">IF(J19781=Assumptions!$K$56,1,0)</f>
        <v>0</v>
      </c>
      <c r="K19857" s="20" t="n">
        <f aca="false">IF(K19781=Assumptions!$K$56,1,0)</f>
        <v>0</v>
      </c>
    </row>
    <row r="19859" customFormat="false" ht="15" hidden="false" customHeight="false" outlineLevel="0" collapsed="false">
      <c r="A19859" s="5" t="s">
        <v>266</v>
      </c>
      <c r="G19859" s="30" t="n">
        <f aca="false">IF(Assumptions!$I$56=1,MAX(G19807,Assumptions!$G$56)+Assumptions!$F$56+$C$19808,Assumptions!$E$56)</f>
        <v>0.075</v>
      </c>
      <c r="H19859" s="30" t="n">
        <f aca="false">IF(G19972=1,$C$19809,IF(Assumptions!$I$56=1,MAX(H19807,Assumptions!$G$56)+Assumptions!$F$56+$C$19808,Assumptions!$E$56))</f>
        <v>0.075</v>
      </c>
      <c r="I19859" s="30" t="n">
        <f aca="false">IF(H19972=1,$C$19809,IF(Assumptions!$I$56=1,MAX(I19807,Assumptions!$G$56)+Assumptions!$F$56+$C$19808,Assumptions!$E$56))</f>
        <v>0.075</v>
      </c>
      <c r="J19859" s="30" t="n">
        <f aca="false">IF(I19972=1,$C$19809,IF(Assumptions!$I$56=1,MAX(J19807,Assumptions!$G$56)+Assumptions!$F$56+$C$19808,Assumptions!$E$56))</f>
        <v>0.075</v>
      </c>
      <c r="K19859" s="30" t="n">
        <f aca="false">IF(J19972=1,$C$19809,IF(Assumptions!$I$56=1,MAX(K19807,Assumptions!$G$56)+Assumptions!$F$56+$C$19808,Assumptions!$E$56))</f>
        <v>0.075</v>
      </c>
    </row>
    <row r="19860" customFormat="false" ht="15" hidden="false" customHeight="false" outlineLevel="0" collapsed="false">
      <c r="A19860" s="5" t="s">
        <v>267</v>
      </c>
      <c r="G19860" s="25" t="n">
        <f aca="false">G19856*G19859</f>
        <v>22.5</v>
      </c>
      <c r="H19860" s="25" t="n">
        <f aca="false">H19856*H19859</f>
        <v>22.5</v>
      </c>
      <c r="I19860" s="25" t="n">
        <f aca="false">I19856*I19859</f>
        <v>22.5</v>
      </c>
      <c r="J19860" s="25" t="n">
        <f aca="false">J19856*J19859</f>
        <v>22.5</v>
      </c>
      <c r="K19860" s="25" t="n">
        <f aca="false">K19856*K19859</f>
        <v>22.5</v>
      </c>
    </row>
    <row r="19861" customFormat="false" ht="15" hidden="false" customHeight="false" outlineLevel="0" collapsed="false">
      <c r="A19861" s="5" t="s">
        <v>268</v>
      </c>
      <c r="G19861" s="25" t="n">
        <f aca="false">G19856*Assumptions!$H$56</f>
        <v>0</v>
      </c>
      <c r="H19861" s="25" t="n">
        <f aca="false">H19856*Assumptions!$H$56</f>
        <v>0</v>
      </c>
      <c r="I19861" s="25" t="n">
        <f aca="false">I19856*Assumptions!$H$56</f>
        <v>0</v>
      </c>
      <c r="J19861" s="25" t="n">
        <f aca="false">J19856*Assumptions!$H$56</f>
        <v>0</v>
      </c>
      <c r="K19861" s="25" t="n">
        <f aca="false">K19856*Assumptions!$H$56</f>
        <v>0</v>
      </c>
    </row>
    <row r="19862" customFormat="false" ht="15" hidden="false" customHeight="false" outlineLevel="0" collapsed="false">
      <c r="A19862" s="5" t="s">
        <v>269</v>
      </c>
      <c r="G19862" s="25" t="n">
        <f aca="false">MIN(G19856,Assumptions!$L$56*Assumptions!$C$56)</f>
        <v>0</v>
      </c>
      <c r="H19862" s="25" t="n">
        <f aca="false">MIN(H19856,Assumptions!$L$56*Assumptions!$C$56)</f>
        <v>0</v>
      </c>
      <c r="I19862" s="25" t="n">
        <f aca="false">MIN(I19856,Assumptions!$L$56*Assumptions!$C$56)</f>
        <v>0</v>
      </c>
      <c r="J19862" s="25" t="n">
        <f aca="false">MIN(J19856,Assumptions!$L$56*Assumptions!$C$56)</f>
        <v>0</v>
      </c>
      <c r="K19862" s="25" t="n">
        <f aca="false">MIN(K19856,Assumptions!$L$56*Assumptions!$C$56)</f>
        <v>0</v>
      </c>
    </row>
    <row r="19863" customFormat="false" ht="15" hidden="false" customHeight="false" outlineLevel="0" collapsed="false">
      <c r="A19863" s="5" t="s">
        <v>270</v>
      </c>
      <c r="G19863" s="25" t="n">
        <f aca="false">IF(AND(Assumptions!$P$56=1,G19781&lt;Assumptions!$K$56),MIN(MAX(0,-G19895),MAX(0,Assumptions!$D$56-G19856)),0)</f>
        <v>0</v>
      </c>
      <c r="H19863" s="25" t="n">
        <f aca="false">IF(AND(Assumptions!$P$56=1,OR(H19781&lt;Assumptions!$K$56,G19972=1)),MIN(MAX(0,-H19895),MAX(0,Assumptions!$D$56-H19856)),0)</f>
        <v>0</v>
      </c>
      <c r="I19863" s="25" t="n">
        <f aca="false">IF(AND(Assumptions!$P$56=1,OR(I19781&lt;Assumptions!$K$56,H19972=1)),MIN(MAX(0,-I19895),MAX(0,Assumptions!$D$56-I19856)),0)</f>
        <v>0</v>
      </c>
      <c r="J19863" s="25" t="n">
        <f aca="false">IF(AND(Assumptions!$P$56=1,OR(J19781&lt;Assumptions!$K$56,I19972=1)),MIN(MAX(0,-J19895),MAX(0,Assumptions!$D$56-J19856)),0)</f>
        <v>0</v>
      </c>
      <c r="K19863" s="25" t="n">
        <f aca="false">IF(AND(Assumptions!$P$56=1,OR(K19781&lt;Assumptions!$K$56,J19972=1)),MIN(MAX(0,-K19895),MAX(0,Assumptions!$D$56-K19856)),0)</f>
        <v>0</v>
      </c>
    </row>
    <row r="19864" customFormat="false" ht="15" hidden="false" customHeight="false" outlineLevel="0" collapsed="false">
      <c r="A19864" s="5" t="s">
        <v>271</v>
      </c>
      <c r="G19864" s="25" t="n">
        <f aca="false">G19857*MIN(G19856-G19862+G19861,MAX(0,G19897-Assumptions!$C$12*G19815-G19825-G19838-G19851))</f>
        <v>0</v>
      </c>
      <c r="H19864" s="25" t="n">
        <f aca="false">H19857*MIN(H19856-H19862+H19861,MAX(0,H19897-Assumptions!$C$12*H19815-H19825-H19838-H19851))</f>
        <v>0</v>
      </c>
      <c r="I19864" s="25" t="n">
        <f aca="false">I19857*MIN(I19856-I19862+I19861,MAX(0,I19897-Assumptions!$C$12*I19815-I19825-I19838-I19851))</f>
        <v>0</v>
      </c>
      <c r="J19864" s="25" t="n">
        <f aca="false">J19857*MIN(J19856-J19862+J19861,MAX(0,J19897-Assumptions!$C$12*J19815-J19825-J19838-J19851))</f>
        <v>0</v>
      </c>
      <c r="K19864" s="25" t="n">
        <f aca="false">K19857*MIN(K19856-K19862+K19861,MAX(0,K19897-Assumptions!$C$12*K19815-K19825-K19838-K19851))</f>
        <v>0</v>
      </c>
    </row>
    <row r="19865" customFormat="false" ht="15" hidden="false" customHeight="false" outlineLevel="0" collapsed="false">
      <c r="A19865" s="5" t="s">
        <v>272</v>
      </c>
      <c r="G19865" s="25" t="n">
        <f aca="false">Assumptions!$N$56*MIN(G19856+G19863+G19861-G19862-G19864,MAX(0,G19901-G19826-G19839-G19852))</f>
        <v>0</v>
      </c>
      <c r="H19865" s="25" t="n">
        <f aca="false">Assumptions!$N$56*MIN(H19856+H19863+H19861-H19862-H19864,MAX(0,H19901-H19826-H19839-H19852))</f>
        <v>0</v>
      </c>
      <c r="I19865" s="25" t="n">
        <f aca="false">Assumptions!$N$56*MIN(I19856+I19863+I19861-I19862-I19864,MAX(0,I19901-I19826-I19839-I19852))</f>
        <v>0</v>
      </c>
      <c r="J19865" s="25" t="n">
        <f aca="false">Assumptions!$N$56*MIN(J19856+J19863+J19861-J19862-J19864,MAX(0,J19901-J19826-J19839-J19852))</f>
        <v>0</v>
      </c>
      <c r="K19865" s="25" t="n">
        <f aca="false">Assumptions!$N$56*MIN(K19856+K19863+K19861-K19862-K19864,MAX(0,K19901-K19826-K19839-K19852))</f>
        <v>0</v>
      </c>
    </row>
    <row r="19866" customFormat="false" ht="15" hidden="false" customHeight="false" outlineLevel="0" collapsed="false">
      <c r="A19866" s="5" t="s">
        <v>273</v>
      </c>
      <c r="G19866" s="25" t="n">
        <f aca="false">G19857*(1-G19815)*(G19856-G19862+G19861-G19864)</f>
        <v>0</v>
      </c>
      <c r="H19866" s="25" t="n">
        <f aca="false">H19857*(1-H19815)*(H19856-H19862+H19861-H19864)</f>
        <v>300</v>
      </c>
      <c r="I19866" s="25" t="n">
        <f aca="false">I19857*(1-I19815)*(I19856-I19862+I19861-I19864)</f>
        <v>0</v>
      </c>
      <c r="J19866" s="25" t="n">
        <f aca="false">J19857*(1-J19815)*(J19856-J19862+J19861-J19864)</f>
        <v>0</v>
      </c>
      <c r="K19866" s="25" t="n">
        <f aca="false">K19857*(1-K19815)*(K19856-K19862+K19861-K19864)</f>
        <v>0</v>
      </c>
    </row>
    <row r="19867" customFormat="false" ht="15" hidden="false" customHeight="false" outlineLevel="0" collapsed="false">
      <c r="A19867" s="2" t="s">
        <v>274</v>
      </c>
      <c r="F19867" s="27" t="n">
        <f aca="false">Assumptions!$C$56</f>
        <v>300</v>
      </c>
      <c r="G19867" s="16" t="n">
        <f aca="false">G19856+G19863+G19861-G19862-G19864-G19865</f>
        <v>300</v>
      </c>
      <c r="H19867" s="16" t="n">
        <f aca="false">H19856+H19863+H19861-H19862-H19864-H19865</f>
        <v>300</v>
      </c>
      <c r="I19867" s="16" t="n">
        <f aca="false">I19856+I19863+I19861-I19862-I19864-I19865</f>
        <v>300</v>
      </c>
      <c r="J19867" s="16" t="n">
        <f aca="false">J19856+J19863+J19861-J19862-J19864-J19865</f>
        <v>300</v>
      </c>
      <c r="K19867" s="16" t="n">
        <f aca="false">K19856+K19863+K19861-K19862-K19864-K19865</f>
        <v>300</v>
      </c>
    </row>
    <row r="19868" customFormat="false" ht="15" hidden="false" customHeight="false" outlineLevel="0" collapsed="false">
      <c r="A19868" s="23" t="s">
        <v>278</v>
      </c>
      <c r="B19868" s="24"/>
      <c r="C19868" s="24"/>
      <c r="D19868" s="24"/>
      <c r="E19868" s="24"/>
      <c r="F19868" s="24"/>
      <c r="G19868" s="24"/>
      <c r="H19868" s="24"/>
      <c r="I19868" s="24"/>
      <c r="J19868" s="24"/>
      <c r="K19868" s="24"/>
    </row>
    <row r="19869" customFormat="false" ht="15" hidden="false" customHeight="false" outlineLevel="0" collapsed="false">
      <c r="A19869" s="2" t="s">
        <v>279</v>
      </c>
      <c r="F19869" s="16" t="n">
        <f aca="false">F19828+F19841+F19854+F19867</f>
        <v>1250</v>
      </c>
      <c r="G19869" s="16" t="n">
        <f aca="false">G19828+G19841+G19854+G19867</f>
        <v>1281.0968</v>
      </c>
      <c r="H19869" s="16" t="n">
        <f aca="false">H19828+H19841+H19854+H19867</f>
        <v>1275.8968</v>
      </c>
      <c r="I19869" s="16" t="n">
        <f aca="false">I19828+I19841+I19854+I19867</f>
        <v>1270.6968</v>
      </c>
      <c r="J19869" s="16" t="n">
        <f aca="false">J19828+J19841+J19854+J19867</f>
        <v>1265.4968</v>
      </c>
      <c r="K19869" s="16" t="n">
        <f aca="false">K19828+K19841+K19854+K19867</f>
        <v>1260.2968</v>
      </c>
    </row>
    <row r="19870" customFormat="false" ht="15" hidden="false" customHeight="false" outlineLevel="0" collapsed="false">
      <c r="A19870" s="5" t="s">
        <v>280</v>
      </c>
      <c r="G19870" s="25" t="n">
        <f aca="false">G19818*Assumptions!$C$53+G19831*Assumptions!$C$54+G19844*Assumptions!$C$55+G19857*Assumptions!$C$56</f>
        <v>0</v>
      </c>
      <c r="H19870" s="25" t="n">
        <f aca="false">H19818*Assumptions!$C$53+H19831*Assumptions!$C$54+H19844*Assumptions!$C$55+H19857*Assumptions!$C$56</f>
        <v>480</v>
      </c>
      <c r="I19870" s="25" t="n">
        <f aca="false">I19818*Assumptions!$C$53+I19831*Assumptions!$C$54+I19844*Assumptions!$C$55+I19857*Assumptions!$C$56</f>
        <v>520</v>
      </c>
      <c r="J19870" s="25" t="n">
        <f aca="false">J19818*Assumptions!$C$53+J19831*Assumptions!$C$54+J19844*Assumptions!$C$55+J19857*Assumptions!$C$56</f>
        <v>250</v>
      </c>
      <c r="K19870" s="25" t="n">
        <f aca="false">K19818*Assumptions!$C$53+K19831*Assumptions!$C$54+K19844*Assumptions!$C$55+K19857*Assumptions!$C$56</f>
        <v>0</v>
      </c>
    </row>
    <row r="19871" customFormat="false" ht="15" hidden="false" customHeight="false" outlineLevel="0" collapsed="false">
      <c r="A19871" s="23" t="s">
        <v>281</v>
      </c>
      <c r="B19871" s="24"/>
      <c r="C19871" s="24"/>
      <c r="D19871" s="24"/>
      <c r="E19871" s="24"/>
      <c r="F19871" s="24"/>
      <c r="G19871" s="24"/>
      <c r="H19871" s="24"/>
      <c r="I19871" s="24"/>
      <c r="J19871" s="24"/>
      <c r="K19871" s="24"/>
    </row>
    <row r="19872" customFormat="false" ht="15" hidden="false" customHeight="false" outlineLevel="0" collapsed="false">
      <c r="A19872" s="5" t="s">
        <v>282</v>
      </c>
      <c r="C19872" s="25" t="n">
        <f aca="false">SUMPRODUCT($G$19818:$K$19818,$G$19817:$K$19817-$G$19823:$K$19823+$G$19822:$K$19822)</f>
        <v>216.2968</v>
      </c>
    </row>
    <row r="19873" customFormat="false" ht="15" hidden="false" customHeight="false" outlineLevel="0" collapsed="false">
      <c r="A19873" s="5" t="s">
        <v>283</v>
      </c>
      <c r="C19873" s="25" t="n">
        <f aca="false">SUMPRODUCT($G$19818:$K$19818,$G$19825:$K$19825)</f>
        <v>0</v>
      </c>
    </row>
    <row r="19874" customFormat="false" ht="15" hidden="false" customHeight="false" outlineLevel="0" collapsed="false">
      <c r="A19874" s="5" t="s">
        <v>284</v>
      </c>
      <c r="C19874" s="5" t="str">
        <f aca="false">IF(SUM($G$19818:$K$19818)=0,"n/a (beyond horizon)",IF(SUMPRODUCT($G$19818:$K$19818,$G$19815:$K$19815)&gt;0,"REFINANCING PASS","REFINANCING FAILURE"))</f>
        <v>REFINANCING FAILURE</v>
      </c>
    </row>
    <row r="19875" customFormat="false" ht="15" hidden="false" customHeight="false" outlineLevel="0" collapsed="false">
      <c r="A19875" s="5" t="s">
        <v>285</v>
      </c>
      <c r="C19875" s="5" t="str">
        <f aca="false">IF(SUM($G$19818:$K$19818)=0,"n/a",IF(C19873&gt;=C19872-0.001,"Repaid from cash",IF(SUMPRODUCT($G$19818:$K$19818,$G$19815:$K$19815)&gt;0,IF(C19873&gt;0,"Partly repaid; remainder refinanced","Refinanced"),IF(SUM($G$19827:$K$19827)&gt;0.001,IF(C19873&gt;0,"Partial repayment; PAYMENT DEFAULT","PAYMENT DEFAULT"),"Repaid from cash"))))</f>
        <v>PAYMENT DEFAULT</v>
      </c>
    </row>
    <row r="19876" customFormat="false" ht="15" hidden="false" customHeight="false" outlineLevel="0" collapsed="false">
      <c r="A19876" s="5" t="s">
        <v>286</v>
      </c>
      <c r="C19876" s="25" t="n">
        <f aca="false">SUMPRODUCT($G$19831:$K$19831,$G$19830:$K$19830-$G$19836:$K$19836+$G$19835:$K$19835)</f>
        <v>504.4</v>
      </c>
    </row>
    <row r="19877" customFormat="false" ht="15" hidden="false" customHeight="false" outlineLevel="0" collapsed="false">
      <c r="A19877" s="5" t="s">
        <v>287</v>
      </c>
      <c r="C19877" s="25" t="n">
        <f aca="false">SUMPRODUCT($G$19831:$K$19831,$G$19838:$K$19838)</f>
        <v>0</v>
      </c>
    </row>
    <row r="19878" customFormat="false" ht="15" hidden="false" customHeight="false" outlineLevel="0" collapsed="false">
      <c r="A19878" s="5" t="s">
        <v>288</v>
      </c>
      <c r="C19878" s="5" t="str">
        <f aca="false">IF(SUM($G$19831:$K$19831)=0,"n/a (beyond horizon)",IF(SUMPRODUCT($G$19831:$K$19831,$G$19815:$K$19815)&gt;0,"REFINANCING PASS","REFINANCING FAILURE"))</f>
        <v>REFINANCING FAILURE</v>
      </c>
    </row>
    <row r="19879" customFormat="false" ht="15" hidden="false" customHeight="false" outlineLevel="0" collapsed="false">
      <c r="A19879" s="5" t="s">
        <v>289</v>
      </c>
      <c r="C19879" s="5" t="str">
        <f aca="false">IF(SUM($G$19831:$K$19831)=0,"n/a",IF(C19877&gt;=C19876-0.001,"Repaid from cash",IF(SUMPRODUCT($G$19831:$K$19831,$G$19815:$K$19815)&gt;0,IF(C19877&gt;0,"Partly repaid; remainder refinanced","Refinanced"),IF(SUM($G$19840:$K$19840)&gt;0.001,IF(C19877&gt;0,"Partial repayment; PAYMENT DEFAULT","PAYMENT DEFAULT"),"Repaid from cash"))))</f>
        <v>PAYMENT DEFAULT</v>
      </c>
    </row>
    <row r="19880" customFormat="false" ht="15" hidden="false" customHeight="false" outlineLevel="0" collapsed="false">
      <c r="A19880" s="5" t="s">
        <v>290</v>
      </c>
      <c r="C19880" s="25" t="n">
        <f aca="false">SUMPRODUCT($G$19844:$K$19844,$G$19843:$K$19843-$G$19849:$K$19849+$G$19848:$K$19848)</f>
        <v>250</v>
      </c>
    </row>
    <row r="19881" customFormat="false" ht="15" hidden="false" customHeight="false" outlineLevel="0" collapsed="false">
      <c r="A19881" s="5" t="s">
        <v>291</v>
      </c>
      <c r="C19881" s="25" t="n">
        <f aca="false">SUMPRODUCT($G$19844:$K$19844,$G$19851:$K$19851)</f>
        <v>0</v>
      </c>
    </row>
    <row r="19882" customFormat="false" ht="15" hidden="false" customHeight="false" outlineLevel="0" collapsed="false">
      <c r="A19882" s="5" t="s">
        <v>292</v>
      </c>
      <c r="C19882" s="5" t="str">
        <f aca="false">IF(SUM($G$19844:$K$19844)=0,"n/a (beyond horizon)",IF(SUMPRODUCT($G$19844:$K$19844,$G$19815:$K$19815)&gt;0,"REFINANCING PASS","REFINANCING FAILURE"))</f>
        <v>REFINANCING FAILURE</v>
      </c>
    </row>
    <row r="19883" customFormat="false" ht="15" hidden="false" customHeight="false" outlineLevel="0" collapsed="false">
      <c r="A19883" s="5" t="s">
        <v>293</v>
      </c>
      <c r="C19883" s="5" t="str">
        <f aca="false">IF(SUM($G$19844:$K$19844)=0,"n/a",IF(C19881&gt;=C19880-0.001,"Repaid from cash",IF(SUMPRODUCT($G$19844:$K$19844,$G$19815:$K$19815)&gt;0,IF(C19881&gt;0,"Partly repaid; remainder refinanced","Refinanced"),IF(SUM($G$19853:$K$19853)&gt;0.001,IF(C19881&gt;0,"Partial repayment; PAYMENT DEFAULT","PAYMENT DEFAULT"),"Repaid from cash"))))</f>
        <v>PAYMENT DEFAULT</v>
      </c>
    </row>
    <row r="19884" customFormat="false" ht="15" hidden="false" customHeight="false" outlineLevel="0" collapsed="false">
      <c r="A19884" s="5" t="s">
        <v>294</v>
      </c>
      <c r="C19884" s="25" t="n">
        <f aca="false">SUMPRODUCT($G$19857:$K$19857,$G$19856:$K$19856-$G$19862:$K$19862+$G$19861:$K$19861)</f>
        <v>300</v>
      </c>
    </row>
    <row r="19885" customFormat="false" ht="15" hidden="false" customHeight="false" outlineLevel="0" collapsed="false">
      <c r="A19885" s="5" t="s">
        <v>295</v>
      </c>
      <c r="C19885" s="25" t="n">
        <f aca="false">SUMPRODUCT($G$19857:$K$19857,$G$19864:$K$19864)</f>
        <v>0</v>
      </c>
    </row>
    <row r="19886" customFormat="false" ht="15" hidden="false" customHeight="false" outlineLevel="0" collapsed="false">
      <c r="A19886" s="5" t="s">
        <v>296</v>
      </c>
      <c r="C19886" s="5" t="str">
        <f aca="false">IF(SUM($G$19857:$K$19857)=0,"n/a (beyond horizon)",IF(SUMPRODUCT($G$19857:$K$19857,$G$19815:$K$19815)&gt;0,"REFINANCING PASS","REFINANCING FAILURE"))</f>
        <v>REFINANCING FAILURE</v>
      </c>
    </row>
    <row r="19887" customFormat="false" ht="15" hidden="false" customHeight="false" outlineLevel="0" collapsed="false">
      <c r="A19887" s="5" t="s">
        <v>297</v>
      </c>
      <c r="C19887" s="5" t="str">
        <f aca="false">IF(SUM($G$19857:$K$19857)=0,"n/a",IF(C19885&gt;=C19884-0.001,"Repaid from cash",IF(SUMPRODUCT($G$19857:$K$19857,$G$19815:$K$19815)&gt;0,IF(C19885&gt;0,"Partly repaid; remainder refinanced","Refinanced"),IF(SUM($G$19866:$K$19866)&gt;0.001,IF(C19885&gt;0,"Partial repayment; PAYMENT DEFAULT","PAYMENT DEFAULT"),"Repaid from cash"))))</f>
        <v>PAYMENT DEFAULT</v>
      </c>
    </row>
    <row r="19888" customFormat="false" ht="15" hidden="false" customHeight="false" outlineLevel="0" collapsed="false">
      <c r="A19888" s="5" t="s">
        <v>298</v>
      </c>
      <c r="C19888" s="20" t="n">
        <f aca="false">IF(C19874="REFINANCING FAILURE",1,0)+IF(C19878="REFINANCING FAILURE",1,0)+IF(C19882="REFINANCING FAILURE",1,0)+IF(C19886="REFINANCING FAILURE",1,0)</f>
        <v>4</v>
      </c>
    </row>
    <row r="19890" customFormat="false" ht="15" hidden="false" customHeight="false" outlineLevel="0" collapsed="false">
      <c r="A19890" s="23" t="s">
        <v>300</v>
      </c>
      <c r="B19890" s="24"/>
      <c r="C19890" s="24"/>
      <c r="D19890" s="24"/>
      <c r="E19890" s="24"/>
      <c r="F19890" s="24"/>
      <c r="G19890" s="24"/>
      <c r="H19890" s="24"/>
      <c r="I19890" s="24"/>
      <c r="J19890" s="24"/>
      <c r="K19890" s="24"/>
    </row>
    <row r="19891" customFormat="false" ht="15" hidden="false" customHeight="false" outlineLevel="0" collapsed="false">
      <c r="A19891" s="5" t="s">
        <v>260</v>
      </c>
      <c r="G19891" s="25" t="n">
        <f aca="false">F19903</f>
        <v>45</v>
      </c>
      <c r="H19891" s="25" t="n">
        <f aca="false">G19903</f>
        <v>0</v>
      </c>
      <c r="I19891" s="25" t="n">
        <f aca="false">H19903</f>
        <v>-121.3557292</v>
      </c>
      <c r="J19891" s="25" t="n">
        <f aca="false">I19903</f>
        <v>-236.702175152</v>
      </c>
      <c r="K19891" s="25" t="n">
        <f aca="false">J19903</f>
        <v>-337.79889141424</v>
      </c>
    </row>
    <row r="19892" customFormat="false" ht="15" hidden="false" customHeight="false" outlineLevel="0" collapsed="false">
      <c r="A19892" s="5" t="s">
        <v>301</v>
      </c>
      <c r="G19892" s="25" t="n">
        <f aca="false">G19804</f>
        <v>-76.0968</v>
      </c>
      <c r="H19892" s="25" t="n">
        <f aca="false">H19804</f>
        <v>-116.1557292</v>
      </c>
      <c r="I19892" s="25" t="n">
        <f aca="false">I19804</f>
        <v>-110.146445952</v>
      </c>
      <c r="J19892" s="25" t="n">
        <f aca="false">J19804</f>
        <v>-95.89671626224</v>
      </c>
      <c r="K19892" s="25" t="n">
        <f aca="false">K19804</f>
        <v>-83.18519092616</v>
      </c>
    </row>
    <row r="19893" customFormat="false" ht="15" hidden="false" customHeight="false" outlineLevel="0" collapsed="false">
      <c r="A19893" s="5" t="s">
        <v>302</v>
      </c>
      <c r="G19893" s="25" t="n">
        <f aca="false">CHOOSE($C$19774,Assumptions!$G$68,Assumptions!$G$87,Assumptions!$G$106)</f>
        <v>0</v>
      </c>
      <c r="H19893" s="25" t="n">
        <f aca="false">CHOOSE($C$19774,Assumptions!$H$68,Assumptions!$H$87,Assumptions!$H$106)</f>
        <v>0</v>
      </c>
      <c r="I19893" s="25" t="n">
        <f aca="false">CHOOSE($C$19774,Assumptions!$I$68,Assumptions!$I$87,Assumptions!$I$106)</f>
        <v>0</v>
      </c>
      <c r="J19893" s="25" t="n">
        <f aca="false">CHOOSE($C$19774,Assumptions!$J$68,Assumptions!$J$87,Assumptions!$J$106)</f>
        <v>0</v>
      </c>
      <c r="K19893" s="25" t="n">
        <f aca="false">CHOOSE($C$19774,Assumptions!$K$68,Assumptions!$K$87,Assumptions!$K$106)</f>
        <v>0</v>
      </c>
    </row>
    <row r="19894" customFormat="false" ht="15" hidden="false" customHeight="false" outlineLevel="0" collapsed="false">
      <c r="A19894" s="5" t="s">
        <v>303</v>
      </c>
      <c r="G19894" s="25" t="n">
        <f aca="false">G19823+G19836+G19849+G19862</f>
        <v>5.2</v>
      </c>
      <c r="H19894" s="25" t="n">
        <f aca="false">H19823+H19836+H19849+H19862</f>
        <v>5.2</v>
      </c>
      <c r="I19894" s="25" t="n">
        <f aca="false">I19823+I19836+I19849+I19862</f>
        <v>5.2</v>
      </c>
      <c r="J19894" s="25" t="n">
        <f aca="false">J19823+J19836+J19849+J19862</f>
        <v>5.2</v>
      </c>
      <c r="K19894" s="25" t="n">
        <f aca="false">K19823+K19836+K19849+K19862</f>
        <v>5.2</v>
      </c>
    </row>
    <row r="19895" customFormat="false" ht="15" hidden="false" customHeight="false" outlineLevel="0" collapsed="false">
      <c r="A19895" s="2" t="s">
        <v>304</v>
      </c>
      <c r="G19895" s="16" t="n">
        <f aca="false">G19891+G19892+G19893-G19894</f>
        <v>-36.2968000000001</v>
      </c>
      <c r="H19895" s="16" t="n">
        <f aca="false">H19891+H19892+H19893-H19894</f>
        <v>-121.3557292</v>
      </c>
      <c r="I19895" s="16" t="n">
        <f aca="false">I19891+I19892+I19893-I19894</f>
        <v>-236.702175152</v>
      </c>
      <c r="J19895" s="16" t="n">
        <f aca="false">J19891+J19892+J19893-J19894</f>
        <v>-337.79889141424</v>
      </c>
      <c r="K19895" s="16" t="n">
        <f aca="false">K19891+K19892+K19893-K19894</f>
        <v>-426.1840823404</v>
      </c>
    </row>
    <row r="19896" customFormat="false" ht="15" hidden="false" customHeight="false" outlineLevel="0" collapsed="false">
      <c r="A19896" s="5" t="s">
        <v>305</v>
      </c>
      <c r="G19896" s="25" t="n">
        <f aca="false">G19824+G19837+G19850+G19863</f>
        <v>36.2968000000001</v>
      </c>
      <c r="H19896" s="25" t="n">
        <f aca="false">H19824+H19837+H19850+H19863</f>
        <v>0</v>
      </c>
      <c r="I19896" s="25" t="n">
        <f aca="false">I19824+I19837+I19850+I19863</f>
        <v>0</v>
      </c>
      <c r="J19896" s="25" t="n">
        <f aca="false">J19824+J19837+J19850+J19863</f>
        <v>0</v>
      </c>
      <c r="K19896" s="25" t="n">
        <f aca="false">K19824+K19837+K19850+K19863</f>
        <v>0</v>
      </c>
    </row>
    <row r="19897" customFormat="false" ht="15" hidden="false" customHeight="false" outlineLevel="0" collapsed="false">
      <c r="A19897" s="2" t="s">
        <v>306</v>
      </c>
      <c r="G19897" s="16" t="n">
        <f aca="false">G19895+G19896</f>
        <v>0</v>
      </c>
      <c r="H19897" s="16" t="n">
        <f aca="false">H19895+H19896</f>
        <v>-121.3557292</v>
      </c>
      <c r="I19897" s="16" t="n">
        <f aca="false">I19895+I19896</f>
        <v>-236.702175152</v>
      </c>
      <c r="J19897" s="16" t="n">
        <f aca="false">J19895+J19896</f>
        <v>-337.79889141424</v>
      </c>
      <c r="K19897" s="16" t="n">
        <f aca="false">K19895+K19896</f>
        <v>-426.1840823404</v>
      </c>
    </row>
    <row r="19898" customFormat="false" ht="15" hidden="false" customHeight="false" outlineLevel="0" collapsed="false">
      <c r="A19898" s="5" t="s">
        <v>307</v>
      </c>
      <c r="G19898" s="25" t="n">
        <f aca="false">G19825+G19838+G19851+G19864</f>
        <v>0</v>
      </c>
      <c r="H19898" s="25" t="n">
        <f aca="false">H19825+H19838+H19851+H19864</f>
        <v>0</v>
      </c>
      <c r="I19898" s="25" t="n">
        <f aca="false">I19825+I19838+I19851+I19864</f>
        <v>0</v>
      </c>
      <c r="J19898" s="25" t="n">
        <f aca="false">J19825+J19838+J19851+J19864</f>
        <v>0</v>
      </c>
      <c r="K19898" s="25" t="n">
        <f aca="false">K19825+K19838+K19851+K19864</f>
        <v>0</v>
      </c>
    </row>
    <row r="19899" customFormat="false" ht="15" hidden="false" customHeight="false" outlineLevel="0" collapsed="false">
      <c r="A19899" s="2" t="s">
        <v>308</v>
      </c>
      <c r="G19899" s="16" t="n">
        <f aca="false">G19897-G19898</f>
        <v>0</v>
      </c>
      <c r="H19899" s="16" t="n">
        <f aca="false">H19897-H19898</f>
        <v>-121.3557292</v>
      </c>
      <c r="I19899" s="16" t="n">
        <f aca="false">I19897-I19898</f>
        <v>-236.702175152</v>
      </c>
      <c r="J19899" s="16" t="n">
        <f aca="false">J19897-J19898</f>
        <v>-337.79889141424</v>
      </c>
      <c r="K19899" s="16" t="n">
        <f aca="false">K19897-K19898</f>
        <v>-426.1840823404</v>
      </c>
    </row>
    <row r="19900" customFormat="false" ht="15" hidden="false" customHeight="false" outlineLevel="0" collapsed="false">
      <c r="A19900" s="5" t="s">
        <v>309</v>
      </c>
      <c r="G19900" s="25" t="n">
        <f aca="false">MAX(0,-G19899)</f>
        <v>-0</v>
      </c>
      <c r="H19900" s="25" t="n">
        <f aca="false">MAX(0,-H19899)</f>
        <v>121.3557292</v>
      </c>
      <c r="I19900" s="25" t="n">
        <f aca="false">MAX(0,-I19899)</f>
        <v>236.702175152</v>
      </c>
      <c r="J19900" s="25" t="n">
        <f aca="false">MAX(0,-J19899)</f>
        <v>337.79889141424</v>
      </c>
      <c r="K19900" s="25" t="n">
        <f aca="false">MAX(0,-K19899)</f>
        <v>426.1840823404</v>
      </c>
    </row>
    <row r="19901" customFormat="false" ht="15" hidden="false" customHeight="false" outlineLevel="0" collapsed="false">
      <c r="A19901" s="5" t="s">
        <v>310</v>
      </c>
      <c r="G19901" s="25" t="n">
        <f aca="false">MAX(0,G19899-Assumptions!$C$12)*Assumptions!$C$13</f>
        <v>0</v>
      </c>
      <c r="H19901" s="25" t="n">
        <f aca="false">MAX(0,H19899-Assumptions!$C$12)*Assumptions!$C$13</f>
        <v>0</v>
      </c>
      <c r="I19901" s="25" t="n">
        <f aca="false">MAX(0,I19899-Assumptions!$C$12)*Assumptions!$C$13</f>
        <v>0</v>
      </c>
      <c r="J19901" s="25" t="n">
        <f aca="false">MAX(0,J19899-Assumptions!$C$12)*Assumptions!$C$13</f>
        <v>0</v>
      </c>
      <c r="K19901" s="25" t="n">
        <f aca="false">MAX(0,K19899-Assumptions!$C$12)*Assumptions!$C$13</f>
        <v>0</v>
      </c>
    </row>
    <row r="19902" customFormat="false" ht="15" hidden="false" customHeight="false" outlineLevel="0" collapsed="false">
      <c r="A19902" s="5" t="s">
        <v>311</v>
      </c>
      <c r="G19902" s="25" t="n">
        <f aca="false">G19826+G19839+G19852+G19865</f>
        <v>0</v>
      </c>
      <c r="H19902" s="25" t="n">
        <f aca="false">H19826+H19839+H19852+H19865</f>
        <v>0</v>
      </c>
      <c r="I19902" s="25" t="n">
        <f aca="false">I19826+I19839+I19852+I19865</f>
        <v>0</v>
      </c>
      <c r="J19902" s="25" t="n">
        <f aca="false">J19826+J19839+J19852+J19865</f>
        <v>0</v>
      </c>
      <c r="K19902" s="25" t="n">
        <f aca="false">K19826+K19839+K19852+K19865</f>
        <v>0</v>
      </c>
    </row>
    <row r="19903" customFormat="false" ht="15" hidden="false" customHeight="false" outlineLevel="0" collapsed="false">
      <c r="A19903" s="2" t="s">
        <v>312</v>
      </c>
      <c r="F19903" s="27" t="n">
        <f aca="false">Assumptions!$C$11</f>
        <v>45</v>
      </c>
      <c r="G19903" s="16" t="n">
        <f aca="false">G19899-G19902</f>
        <v>0</v>
      </c>
      <c r="H19903" s="16" t="n">
        <f aca="false">H19899-H19902</f>
        <v>-121.3557292</v>
      </c>
      <c r="I19903" s="16" t="n">
        <f aca="false">I19899-I19902</f>
        <v>-236.702175152</v>
      </c>
      <c r="J19903" s="16" t="n">
        <f aca="false">J19899-J19902</f>
        <v>-337.79889141424</v>
      </c>
      <c r="K19903" s="16" t="n">
        <f aca="false">K19899-K19902</f>
        <v>-426.1840823404</v>
      </c>
    </row>
    <row r="19904" customFormat="false" ht="15" hidden="false" customHeight="false" outlineLevel="0" collapsed="false">
      <c r="A19904" s="5" t="s">
        <v>313</v>
      </c>
      <c r="G19904" s="25" t="n">
        <f aca="false">G19827+G19840+G19853+G19866</f>
        <v>0</v>
      </c>
      <c r="H19904" s="25" t="n">
        <f aca="false">H19827+H19840+H19853+H19866</f>
        <v>516.2968</v>
      </c>
      <c r="I19904" s="25" t="n">
        <f aca="false">I19827+I19840+I19853+I19866</f>
        <v>504.4</v>
      </c>
      <c r="J19904" s="25" t="n">
        <f aca="false">J19827+J19840+J19853+J19866</f>
        <v>250</v>
      </c>
      <c r="K19904" s="25" t="n">
        <f aca="false">K19827+K19840+K19853+K19866</f>
        <v>0</v>
      </c>
    </row>
    <row r="19905" customFormat="false" ht="15" hidden="false" customHeight="false" outlineLevel="0" collapsed="false">
      <c r="A19905" s="5" t="s">
        <v>314</v>
      </c>
      <c r="G19905" s="20" t="n">
        <f aca="false">IF(OR(G19900&gt;0.001,G19904&gt;0.001),1,0)</f>
        <v>0</v>
      </c>
      <c r="H19905" s="20" t="n">
        <f aca="false">IF(OR(H19900&gt;0.001,H19904&gt;0.001),1,0)</f>
        <v>1</v>
      </c>
      <c r="I19905" s="20" t="n">
        <f aca="false">IF(OR(I19900&gt;0.001,I19904&gt;0.001),1,0)</f>
        <v>1</v>
      </c>
      <c r="J19905" s="20" t="n">
        <f aca="false">IF(OR(J19900&gt;0.001,J19904&gt;0.001),1,0)</f>
        <v>1</v>
      </c>
      <c r="K19905" s="20" t="n">
        <f aca="false">IF(OR(K19900&gt;0.001,K19904&gt;0.001),1,0)</f>
        <v>1</v>
      </c>
    </row>
    <row r="19906" customFormat="false" ht="15" hidden="false" customHeight="false" outlineLevel="0" collapsed="false">
      <c r="A19906" s="5" t="s">
        <v>315</v>
      </c>
      <c r="G19906" s="20" t="n">
        <f aca="false">IF(G19905=1,1,0)</f>
        <v>0</v>
      </c>
      <c r="H19906" s="20" t="n">
        <f aca="false">IF(AND(H19905=1,SUM($G$19905:G19905)=0),1,0)</f>
        <v>1</v>
      </c>
      <c r="I19906" s="20" t="n">
        <f aca="false">IF(AND(I19905=1,SUM($G$19905:H19905)=0),1,0)</f>
        <v>0</v>
      </c>
      <c r="J19906" s="20" t="n">
        <f aca="false">IF(AND(J19905=1,SUM($G$19905:I19905)=0),1,0)</f>
        <v>0</v>
      </c>
      <c r="K19906" s="20" t="n">
        <f aca="false">IF(AND(K19905=1,SUM($G$19905:J19905)=0),1,0)</f>
        <v>0</v>
      </c>
    </row>
    <row r="19907" customFormat="false" ht="15" hidden="false" customHeight="false" outlineLevel="0" collapsed="false">
      <c r="A19907" s="5" t="s">
        <v>316</v>
      </c>
      <c r="G19907" s="25" t="n">
        <f aca="false">(G19869-F19869)-(G19896+G19796-G19894-G19898-G19902)</f>
        <v>0</v>
      </c>
      <c r="H19907" s="25" t="n">
        <f aca="false">(H19869-G19869)-(H19896+H19796-H19894-H19898-H19902)</f>
        <v>-4.52970994047064E-014</v>
      </c>
      <c r="I19907" s="25" t="n">
        <f aca="false">(I19869-H19869)-(I19896+I19796-I19894-I19898-I19902)</f>
        <v>1.82076576038526E-013</v>
      </c>
      <c r="J19907" s="25" t="n">
        <f aca="false">(J19869-I19869)-(J19896+J19796-J19894-J19898-J19902)</f>
        <v>-2.72670774847938E-013</v>
      </c>
      <c r="K19907" s="25" t="n">
        <f aca="false">(K19869-J19869)-(K19896+K19796-K19894-K19898-K19902)</f>
        <v>1.82076576038526E-013</v>
      </c>
    </row>
    <row r="19909" customFormat="false" ht="15" hidden="false" customHeight="false" outlineLevel="0" collapsed="false">
      <c r="A19909" s="23" t="s">
        <v>318</v>
      </c>
      <c r="B19909" s="24"/>
      <c r="C19909" s="24"/>
      <c r="D19909" s="24"/>
      <c r="E19909" s="24"/>
      <c r="F19909" s="24"/>
      <c r="G19909" s="24"/>
      <c r="H19909" s="24"/>
      <c r="I19909" s="24"/>
      <c r="J19909" s="24"/>
      <c r="K19909" s="24"/>
    </row>
    <row r="19910" customFormat="false" ht="15" hidden="false" customHeight="false" outlineLevel="0" collapsed="false">
      <c r="A19910" s="5" t="s">
        <v>319</v>
      </c>
      <c r="G19910" s="25" t="n">
        <f aca="false">G19869</f>
        <v>1281.0968</v>
      </c>
      <c r="H19910" s="25" t="n">
        <f aca="false">H19869</f>
        <v>1275.8968</v>
      </c>
      <c r="I19910" s="25" t="n">
        <f aca="false">I19869</f>
        <v>1270.6968</v>
      </c>
      <c r="J19910" s="25" t="n">
        <f aca="false">J19869</f>
        <v>1265.4968</v>
      </c>
      <c r="K19910" s="25" t="n">
        <f aca="false">K19869</f>
        <v>1260.2968</v>
      </c>
    </row>
    <row r="19911" customFormat="false" ht="15" hidden="false" customHeight="false" outlineLevel="0" collapsed="false">
      <c r="A19911" s="5" t="s">
        <v>320</v>
      </c>
      <c r="G19911" s="25" t="n">
        <f aca="false">Assumptions!$O$53*G19828+Assumptions!$O$54*G19841+Assumptions!$O$55*G19854+Assumptions!$O$56*G19867</f>
        <v>981.0968</v>
      </c>
      <c r="H19911" s="25" t="n">
        <f aca="false">Assumptions!$O$53*H19828+Assumptions!$O$54*H19841+Assumptions!$O$55*H19854+Assumptions!$O$56*H19867</f>
        <v>975.8968</v>
      </c>
      <c r="I19911" s="25" t="n">
        <f aca="false">Assumptions!$O$53*I19828+Assumptions!$O$54*I19841+Assumptions!$O$55*I19854+Assumptions!$O$56*I19867</f>
        <v>970.6968</v>
      </c>
      <c r="J19911" s="25" t="n">
        <f aca="false">Assumptions!$O$53*J19828+Assumptions!$O$54*J19841+Assumptions!$O$55*J19854+Assumptions!$O$56*J19867</f>
        <v>965.4968</v>
      </c>
      <c r="K19911" s="25" t="n">
        <f aca="false">Assumptions!$O$53*K19828+Assumptions!$O$54*K19841+Assumptions!$O$55*K19854+Assumptions!$O$56*K19867</f>
        <v>960.2968</v>
      </c>
    </row>
    <row r="19912" customFormat="false" ht="15" hidden="false" customHeight="false" outlineLevel="0" collapsed="false">
      <c r="A19912" s="5" t="s">
        <v>321</v>
      </c>
      <c r="G19912" s="25" t="n">
        <f aca="false">G19910-G19903</f>
        <v>1281.0968</v>
      </c>
      <c r="H19912" s="25" t="n">
        <f aca="false">H19910-H19903</f>
        <v>1397.2525292</v>
      </c>
      <c r="I19912" s="25" t="n">
        <f aca="false">I19910-I19903</f>
        <v>1507.398975152</v>
      </c>
      <c r="J19912" s="25" t="n">
        <f aca="false">J19910-J19903</f>
        <v>1603.29569141424</v>
      </c>
      <c r="K19912" s="25" t="n">
        <f aca="false">K19910-K19903</f>
        <v>1686.4808823404</v>
      </c>
    </row>
    <row r="19913" customFormat="false" ht="15" hidden="false" customHeight="false" outlineLevel="0" collapsed="false">
      <c r="A19913" s="5" t="s">
        <v>322</v>
      </c>
      <c r="G19913" s="31" t="n">
        <f aca="false">IF(G19791&gt;0,G19910/G19791,0)</f>
        <v>16.5413800227249</v>
      </c>
      <c r="H19913" s="31" t="n">
        <f aca="false">IF(H19791&gt;0,H19910/H19791,0)</f>
        <v>26.0868812807611</v>
      </c>
      <c r="I19913" s="31" t="n">
        <f aca="false">IF(I19791&gt;0,I19910/I19791,0)</f>
        <v>20.7088178018065</v>
      </c>
      <c r="J19913" s="31" t="n">
        <f aca="false">IF(J19791&gt;0,J19910/J19791,0)</f>
        <v>17.2611283222678</v>
      </c>
      <c r="K19913" s="31" t="n">
        <f aca="false">IF(K19791&gt;0,K19910/K19791,0)</f>
        <v>14.8227900209479</v>
      </c>
    </row>
    <row r="19914" customFormat="false" ht="15" hidden="false" customHeight="false" outlineLevel="0" collapsed="false">
      <c r="A19914" s="5" t="s">
        <v>323</v>
      </c>
      <c r="G19914" s="31" t="n">
        <f aca="false">IF(G19791&gt;0,G19912/G19791,0)</f>
        <v>16.5413800227249</v>
      </c>
      <c r="H19914" s="31" t="n">
        <f aca="false">IF(H19791&gt;0,H19912/H19791,0)</f>
        <v>28.5681105622991</v>
      </c>
      <c r="I19914" s="31" t="n">
        <f aca="false">IF(I19791&gt;0,I19912/I19791,0)</f>
        <v>24.5664038274533</v>
      </c>
      <c r="J19914" s="31" t="n">
        <f aca="false">IF(J19791&gt;0,J19912/J19791,0)</f>
        <v>21.8686389946149</v>
      </c>
      <c r="K19914" s="31" t="n">
        <f aca="false">IF(K19791&gt;0,K19912/K19791,0)</f>
        <v>19.8352895867661</v>
      </c>
    </row>
    <row r="19915" customFormat="false" ht="15" hidden="false" customHeight="false" outlineLevel="0" collapsed="false">
      <c r="A19915" s="5" t="s">
        <v>324</v>
      </c>
      <c r="G19915" s="31" t="n">
        <f aca="false">IF(G19795&gt;0,G19791/G19795,0)</f>
        <v>0.597869383974062</v>
      </c>
      <c r="H19915" s="31" t="n">
        <f aca="false">IF(H19795&gt;0,H19791/H19795,0)</f>
        <v>0.374027109660081</v>
      </c>
      <c r="I19915" s="31" t="n">
        <f aca="false">IF(I19795&gt;0,I19791/I19795,0)</f>
        <v>0.478071824514175</v>
      </c>
      <c r="J19915" s="31" t="n">
        <f aca="false">IF(J19795&gt;0,J19791/J19795,0)</f>
        <v>0.573840521753012</v>
      </c>
      <c r="K19915" s="31" t="n">
        <f aca="false">IF(K19795&gt;0,K19791/K19795,0)</f>
        <v>0.668565910880975</v>
      </c>
    </row>
    <row r="19916" customFormat="false" ht="15" hidden="false" customHeight="false" outlineLevel="0" collapsed="false">
      <c r="A19916" s="5" t="s">
        <v>325</v>
      </c>
      <c r="G19916" s="31" t="n">
        <f aca="false">IF(G19795&gt;0,G19794/G19795,0)</f>
        <v>0.222065771190366</v>
      </c>
      <c r="H19916" s="31" t="n">
        <f aca="false">IF(H19795&gt;0,H19794/H19795,0)</f>
        <v>0.0162620482460903</v>
      </c>
      <c r="I19916" s="31" t="n">
        <f aca="false">IF(I19795&gt;0,I19794/I19795,0)</f>
        <v>0.115396647296525</v>
      </c>
      <c r="J19916" s="31" t="n">
        <f aca="false">IF(J19795&gt;0,J19794/J19795,0)</f>
        <v>0.213140765222547</v>
      </c>
      <c r="K19916" s="31" t="n">
        <f aca="false">IF(K19795&gt;0,K19794/K19795,0)</f>
        <v>0.309823226993622</v>
      </c>
    </row>
    <row r="19917" customFormat="false" ht="15" hidden="false" customHeight="false" outlineLevel="0" collapsed="false">
      <c r="A19917" s="5" t="s">
        <v>182</v>
      </c>
      <c r="G19917" s="21" t="n">
        <f aca="false">IF(G19910&gt;0,G19804/G19910,0)</f>
        <v>-0.0593997268590477</v>
      </c>
      <c r="H19917" s="21" t="n">
        <f aca="false">IF(H19910&gt;0,H19804/H19910,0)</f>
        <v>-0.0910384987249753</v>
      </c>
      <c r="I19917" s="21" t="n">
        <f aca="false">IF(I19910&gt;0,I19804/I19910,0)</f>
        <v>-0.086681925973214</v>
      </c>
      <c r="J19917" s="21" t="n">
        <f aca="false">IF(J19910&gt;0,J19804/J19910,0)</f>
        <v>-0.0757779207835532</v>
      </c>
      <c r="K19917" s="21" t="n">
        <f aca="false">IF(K19910&gt;0,K19804/K19910,0)</f>
        <v>-0.0660044450848086</v>
      </c>
    </row>
    <row r="19918" customFormat="false" ht="15" hidden="false" customHeight="false" outlineLevel="0" collapsed="false">
      <c r="A19918" s="5" t="s">
        <v>326</v>
      </c>
      <c r="G19918" s="31" t="n">
        <f aca="false">IF(G19795+G19894&gt;0,(G19791-G19802-G19799)/(G19795+G19894),0)</f>
        <v>0.262763841472466</v>
      </c>
      <c r="H19918" s="31" t="n">
        <f aca="false">IF(H19795+H19894&gt;0,(H19791-H19802-H19799)/(H19795+H19894),0)</f>
        <v>0.0625604092748976</v>
      </c>
      <c r="I19918" s="31" t="n">
        <f aca="false">IF(I19795+I19894&gt;0,(I19791-I19802-I19799)/(I19795+I19894),0)</f>
        <v>0.158433508080696</v>
      </c>
      <c r="J19918" s="31" t="n">
        <f aca="false">IF(J19795+J19894&gt;0,(J19791-J19802-J19799)/(J19795+J19894),0)</f>
        <v>0.252067742993116</v>
      </c>
      <c r="K19918" s="31" t="n">
        <f aca="false">IF(K19795+K19894&gt;0,(K19791-K19802-K19799)/(K19795+K19894),0)</f>
        <v>0.344650334570687</v>
      </c>
    </row>
    <row r="19919" customFormat="false" ht="15" hidden="false" customHeight="false" outlineLevel="0" collapsed="false">
      <c r="A19919" s="5" t="s">
        <v>327</v>
      </c>
      <c r="G19919" s="25" t="n">
        <f aca="false">MAX(0,G19903)+Assumptions!$P$53*MAX(0,Assumptions!$D$53-G19828)+Assumptions!$P$54*MAX(0,Assumptions!$D$54-G19841)+Assumptions!$P$55*MAX(0,Assumptions!$D$55-G19854)+Assumptions!$P$56*MAX(0,Assumptions!$D$56-G19867)</f>
        <v>83.7032</v>
      </c>
      <c r="H19919" s="25" t="n">
        <f aca="false">MAX(0,H19903)+Assumptions!$P$53*MAX(0,Assumptions!$D$53-H19828)+Assumptions!$P$54*MAX(0,Assumptions!$D$54-H19841)+Assumptions!$P$55*MAX(0,Assumptions!$D$55-H19854)+Assumptions!$P$56*MAX(0,Assumptions!$D$56-H19867)</f>
        <v>83.7032</v>
      </c>
      <c r="I19919" s="25" t="n">
        <f aca="false">MAX(0,I19903)+Assumptions!$P$53*MAX(0,Assumptions!$D$53-I19828)+Assumptions!$P$54*MAX(0,Assumptions!$D$54-I19841)+Assumptions!$P$55*MAX(0,Assumptions!$D$55-I19854)+Assumptions!$P$56*MAX(0,Assumptions!$D$56-I19867)</f>
        <v>83.7032</v>
      </c>
      <c r="J19919" s="25" t="n">
        <f aca="false">MAX(0,J19903)+Assumptions!$P$53*MAX(0,Assumptions!$D$53-J19828)+Assumptions!$P$54*MAX(0,Assumptions!$D$54-J19841)+Assumptions!$P$55*MAX(0,Assumptions!$D$55-J19854)+Assumptions!$P$56*MAX(0,Assumptions!$D$56-J19867)</f>
        <v>83.7032</v>
      </c>
      <c r="K19919" s="25" t="n">
        <f aca="false">MAX(0,K19903)+Assumptions!$P$53*MAX(0,Assumptions!$D$53-K19828)+Assumptions!$P$54*MAX(0,Assumptions!$D$54-K19841)+Assumptions!$P$55*MAX(0,Assumptions!$D$55-K19854)+Assumptions!$P$56*MAX(0,Assumptions!$D$56-K19867)</f>
        <v>83.7032</v>
      </c>
    </row>
    <row r="19920" customFormat="false" ht="15" hidden="false" customHeight="false" outlineLevel="0" collapsed="false">
      <c r="A19920" s="5" t="s">
        <v>328</v>
      </c>
      <c r="G19920" s="21" t="n">
        <f aca="false">IF(G19910&gt;0,G19910/(G19910+MAX(0,G19791*CHOOSE($C$19774,Assumptions!$C$76,Assumptions!$C$95,Assumptions!$C$114)-G19912)),0)</f>
        <v>1</v>
      </c>
      <c r="H19920" s="21" t="n">
        <f aca="false">IF(H19910&gt;0,H19910/(H19910+MAX(0,H19791*CHOOSE($C$19774,Assumptions!$C$76,Assumptions!$C$95,Assumptions!$C$114)-H19912)),0)</f>
        <v>1</v>
      </c>
      <c r="I19920" s="21" t="n">
        <f aca="false">IF(I19910&gt;0,I19910/(I19910+MAX(0,I19791*CHOOSE($C$19774,Assumptions!$C$76,Assumptions!$C$95,Assumptions!$C$114)-I19912)),0)</f>
        <v>1</v>
      </c>
      <c r="J19920" s="21" t="n">
        <f aca="false">IF(J19910&gt;0,J19910/(J19910+MAX(0,J19791*CHOOSE($C$19774,Assumptions!$C$76,Assumptions!$C$95,Assumptions!$C$114)-J19912)),0)</f>
        <v>1</v>
      </c>
      <c r="K19920" s="21" t="n">
        <f aca="false">IF(K19910&gt;0,K19910/(K19910+MAX(0,K19791*CHOOSE($C$19774,Assumptions!$C$76,Assumptions!$C$95,Assumptions!$C$114)-K19912)),0)</f>
        <v>1</v>
      </c>
    </row>
    <row r="19921" customFormat="false" ht="15" hidden="false" customHeight="false" outlineLevel="0" collapsed="false">
      <c r="A19921" s="5" t="s">
        <v>329</v>
      </c>
      <c r="G19921" s="21" t="n">
        <f aca="false">IF(G19910&gt;0,MAX(0,G19903)/G19910,0)</f>
        <v>0</v>
      </c>
      <c r="H19921" s="21" t="n">
        <f aca="false">IF(H19910&gt;0,MAX(0,H19903)/H19910,0)</f>
        <v>0</v>
      </c>
      <c r="I19921" s="21" t="n">
        <f aca="false">IF(I19910&gt;0,MAX(0,I19903)/I19910,0)</f>
        <v>0</v>
      </c>
      <c r="J19921" s="21" t="n">
        <f aca="false">IF(J19910&gt;0,MAX(0,J19903)/J19910,0)</f>
        <v>0</v>
      </c>
      <c r="K19921" s="21" t="n">
        <f aca="false">IF(K19910&gt;0,MAX(0,K19903)/K19910,0)</f>
        <v>0</v>
      </c>
    </row>
    <row r="19922" customFormat="false" ht="15" hidden="false" customHeight="false" outlineLevel="0" collapsed="false">
      <c r="A19922" s="5" t="s">
        <v>330</v>
      </c>
      <c r="G19922" s="25" t="n">
        <f aca="false">Assumptions!$C$27*(1-CHOOSE($C$19774,Assumptions!$C$79,Assumptions!$C$98,Assumptions!$C$117))</f>
        <v>884</v>
      </c>
      <c r="H19922" s="25" t="n">
        <f aca="false">Assumptions!$C$27*(1-CHOOSE($C$19774,Assumptions!$C$79,Assumptions!$C$98,Assumptions!$C$117))</f>
        <v>884</v>
      </c>
      <c r="I19922" s="25" t="n">
        <f aca="false">Assumptions!$C$27*(1-CHOOSE($C$19774,Assumptions!$C$79,Assumptions!$C$98,Assumptions!$C$117))</f>
        <v>884</v>
      </c>
      <c r="J19922" s="25" t="n">
        <f aca="false">Assumptions!$C$27*(1-CHOOSE($C$19774,Assumptions!$C$79,Assumptions!$C$98,Assumptions!$C$117))</f>
        <v>884</v>
      </c>
      <c r="K19922" s="25" t="n">
        <f aca="false">Assumptions!$C$27*(1-CHOOSE($C$19774,Assumptions!$C$79,Assumptions!$C$98,Assumptions!$C$117))</f>
        <v>884</v>
      </c>
    </row>
    <row r="19923" customFormat="false" ht="15" hidden="false" customHeight="false" outlineLevel="0" collapsed="false">
      <c r="A19923" s="23" t="s">
        <v>331</v>
      </c>
      <c r="B19923" s="24"/>
      <c r="C19923" s="24"/>
      <c r="D19923" s="24"/>
      <c r="E19923" s="24"/>
      <c r="F19923" s="24"/>
      <c r="G19923" s="24"/>
      <c r="H19923" s="24"/>
      <c r="I19923" s="24"/>
      <c r="J19923" s="24"/>
      <c r="K19923" s="24"/>
    </row>
    <row r="19924" customFormat="false" ht="15" hidden="false" customHeight="false" outlineLevel="0" collapsed="false">
      <c r="A19924" s="23" t="s">
        <v>332</v>
      </c>
      <c r="B19924" s="24"/>
      <c r="C19924" s="24"/>
      <c r="D19924" s="24"/>
      <c r="E19924" s="24"/>
      <c r="F19924" s="24"/>
      <c r="G19924" s="24"/>
      <c r="H19924" s="24"/>
      <c r="I19924" s="24"/>
      <c r="J19924" s="24"/>
      <c r="K19924" s="24"/>
    </row>
    <row r="19925" customFormat="false" ht="15" hidden="false" customHeight="false" outlineLevel="0" collapsed="false">
      <c r="A19925" s="5" t="s">
        <v>333</v>
      </c>
      <c r="G19925" s="31" t="n">
        <f aca="false">IF(G19791&gt;0,G19912/G19791,99)</f>
        <v>16.5413800227249</v>
      </c>
      <c r="H19925" s="31" t="n">
        <f aca="false">IF(H19791&gt;0,H19912/H19791,99)</f>
        <v>28.5681105622991</v>
      </c>
      <c r="I19925" s="31" t="n">
        <f aca="false">IF(I19791&gt;0,I19912/I19791,99)</f>
        <v>24.5664038274533</v>
      </c>
      <c r="J19925" s="31" t="n">
        <f aca="false">IF(J19791&gt;0,J19912/J19791,99)</f>
        <v>21.8686389946149</v>
      </c>
      <c r="K19925" s="31" t="n">
        <f aca="false">IF(K19791&gt;0,K19912/K19791,99)</f>
        <v>19.8352895867661</v>
      </c>
    </row>
    <row r="19926" customFormat="false" ht="15" hidden="false" customHeight="false" outlineLevel="0" collapsed="false">
      <c r="A19926" s="5" t="s">
        <v>334</v>
      </c>
      <c r="G19926" s="32" t="n">
        <f aca="false">Assumptions!$G$61</f>
        <v>8.5</v>
      </c>
      <c r="H19926" s="32" t="n">
        <f aca="false">Assumptions!$H$61</f>
        <v>8.5</v>
      </c>
      <c r="I19926" s="32" t="n">
        <f aca="false">Assumptions!$I$61</f>
        <v>8.5</v>
      </c>
      <c r="J19926" s="32" t="n">
        <f aca="false">Assumptions!$J$61</f>
        <v>8.5</v>
      </c>
      <c r="K19926" s="32" t="n">
        <f aca="false">Assumptions!$K$61</f>
        <v>8.5</v>
      </c>
    </row>
    <row r="19927" customFormat="false" ht="15" hidden="false" customHeight="false" outlineLevel="0" collapsed="false">
      <c r="A19927" s="5" t="s">
        <v>335</v>
      </c>
      <c r="G19927" s="31" t="n">
        <f aca="false">G19926-G19925</f>
        <v>-8.04138002272492</v>
      </c>
      <c r="H19927" s="31" t="n">
        <f aca="false">H19926-H19925</f>
        <v>-20.0681105622991</v>
      </c>
      <c r="I19927" s="31" t="n">
        <f aca="false">I19926-I19925</f>
        <v>-16.0664038274533</v>
      </c>
      <c r="J19927" s="31" t="n">
        <f aca="false">J19926-J19925</f>
        <v>-13.3686389946149</v>
      </c>
      <c r="K19927" s="31" t="n">
        <f aca="false">K19926-K19925</f>
        <v>-11.3352895867661</v>
      </c>
    </row>
    <row r="19928" customFormat="false" ht="15" hidden="false" customHeight="false" outlineLevel="0" collapsed="false">
      <c r="A19928" s="5" t="s">
        <v>336</v>
      </c>
      <c r="G19928" s="21" t="n">
        <f aca="false">IF(G19926=0,0,G19927/ABS(G19926))</f>
        <v>-0.946044708555873</v>
      </c>
      <c r="H19928" s="21" t="n">
        <f aca="false">IF(H19926=0,0,H19927/ABS(H19926))</f>
        <v>-2.36095418379989</v>
      </c>
      <c r="I19928" s="21" t="n">
        <f aca="false">IF(I19926=0,0,I19927/ABS(I19926))</f>
        <v>-1.89016515617097</v>
      </c>
      <c r="J19928" s="21" t="n">
        <f aca="false">IF(J19926=0,0,J19927/ABS(J19926))</f>
        <v>-1.57278105818998</v>
      </c>
      <c r="K19928" s="21" t="n">
        <f aca="false">IF(K19926=0,0,K19927/ABS(K19926))</f>
        <v>-1.33356348079602</v>
      </c>
    </row>
    <row r="19929" customFormat="false" ht="15" hidden="false" customHeight="false" outlineLevel="0" collapsed="false">
      <c r="A19929" s="5" t="s">
        <v>337</v>
      </c>
      <c r="G19929" s="20" t="n">
        <f aca="false">IF(G19927&lt;0,1,0)</f>
        <v>1</v>
      </c>
      <c r="H19929" s="20" t="n">
        <f aca="false">IF(H19927&lt;0,1,0)</f>
        <v>1</v>
      </c>
      <c r="I19929" s="20" t="n">
        <f aca="false">IF(I19927&lt;0,1,0)</f>
        <v>1</v>
      </c>
      <c r="J19929" s="20" t="n">
        <f aca="false">IF(J19927&lt;0,1,0)</f>
        <v>1</v>
      </c>
      <c r="K19929" s="20" t="n">
        <f aca="false">IF(K19927&lt;0,1,0)</f>
        <v>1</v>
      </c>
    </row>
    <row r="19930" customFormat="false" ht="15" hidden="false" customHeight="false" outlineLevel="0" collapsed="false">
      <c r="A19930" s="5" t="s">
        <v>338</v>
      </c>
      <c r="C19930" s="20" t="n">
        <f aca="false">IFERROR(INDEX($G$19781:$K$19781,MATCH(1,$G$19929:$K$19929,0)),0)</f>
        <v>2026</v>
      </c>
    </row>
    <row r="19931" customFormat="false" ht="15" hidden="false" customHeight="false" outlineLevel="0" collapsed="false">
      <c r="A19931" s="5" t="s">
        <v>339</v>
      </c>
      <c r="C19931" s="21" t="n">
        <f aca="false">MIN($G$19928:$K$19928)</f>
        <v>-2.36095418379989</v>
      </c>
    </row>
    <row r="19932" customFormat="false" ht="15" hidden="false" customHeight="false" outlineLevel="0" collapsed="false">
      <c r="A19932" s="5" t="s">
        <v>340</v>
      </c>
      <c r="G19932" s="20" t="n">
        <f aca="false">G19929</f>
        <v>1</v>
      </c>
      <c r="H19932" s="20" t="n">
        <f aca="false">H19929</f>
        <v>1</v>
      </c>
      <c r="I19932" s="20" t="n">
        <f aca="false">I19929</f>
        <v>1</v>
      </c>
      <c r="J19932" s="20" t="n">
        <f aca="false">J19929</f>
        <v>1</v>
      </c>
      <c r="K19932" s="20" t="n">
        <f aca="false">K19929</f>
        <v>1</v>
      </c>
    </row>
    <row r="19933" customFormat="false" ht="15" hidden="false" customHeight="false" outlineLevel="0" collapsed="false">
      <c r="A19933" s="5" t="s">
        <v>341</v>
      </c>
      <c r="C19933" s="20" t="n">
        <f aca="false">SUM($G$19932:$K$19932)</f>
        <v>5</v>
      </c>
    </row>
    <row r="19934" customFormat="false" ht="15" hidden="false" customHeight="false" outlineLevel="0" collapsed="false">
      <c r="A19934" s="5" t="s">
        <v>342</v>
      </c>
      <c r="C19934" s="21" t="n">
        <f aca="false">MIN(C19931)</f>
        <v>-2.36095418379989</v>
      </c>
    </row>
    <row r="19936" customFormat="false" ht="15" hidden="false" customHeight="false" outlineLevel="0" collapsed="false">
      <c r="A19936" s="23" t="s">
        <v>444</v>
      </c>
      <c r="B19936" s="24"/>
      <c r="C19936" s="24"/>
      <c r="D19936" s="24"/>
      <c r="E19936" s="24"/>
      <c r="F19936" s="24"/>
      <c r="G19936" s="24"/>
      <c r="H19936" s="24"/>
      <c r="I19936" s="24"/>
      <c r="J19936" s="24"/>
      <c r="K19936" s="24"/>
    </row>
    <row r="19937" customFormat="false" ht="15" hidden="false" customHeight="false" outlineLevel="0" collapsed="false">
      <c r="A19937" s="5" t="s">
        <v>445</v>
      </c>
      <c r="G19937" s="20" t="n">
        <f aca="false">IF($C$19938=1,G19906,IF(G19791=MIN($G$19791:$K$19791),1,0))</f>
        <v>0</v>
      </c>
      <c r="H19937" s="20" t="n">
        <f aca="false">IF($C$19938=1,H19906,IF(AND(H19791=MIN($G$19791:$K$19791),SUM($G$19937:G19937)=0),1,0))</f>
        <v>1</v>
      </c>
      <c r="I19937" s="20" t="n">
        <f aca="false">IF($C$19938=1,I19906,IF(AND(I19791=MIN($G$19791:$K$19791),SUM($G$19937:H19937)=0),1,0))</f>
        <v>0</v>
      </c>
      <c r="J19937" s="20" t="n">
        <f aca="false">IF($C$19938=1,J19906,IF(AND(J19791=MIN($G$19791:$K$19791),SUM($G$19937:I19937)=0),1,0))</f>
        <v>0</v>
      </c>
      <c r="K19937" s="20" t="n">
        <f aca="false">IF($C$19938=1,K19906,IF(AND(K19791=MIN($G$19791:$K$19791),SUM($G$19937:J19937)=0),1,0))</f>
        <v>0</v>
      </c>
    </row>
    <row r="19938" customFormat="false" ht="15" hidden="false" customHeight="false" outlineLevel="0" collapsed="false">
      <c r="A19938" s="5" t="s">
        <v>446</v>
      </c>
      <c r="C19938" s="20" t="n">
        <f aca="false">IF(SUM($G$19906:$K$19906)&gt;0,1,0)</f>
        <v>1</v>
      </c>
    </row>
    <row r="19939" customFormat="false" ht="15" hidden="false" customHeight="false" outlineLevel="0" collapsed="false">
      <c r="A19939" s="5" t="s">
        <v>447</v>
      </c>
      <c r="C19939" s="20" t="n">
        <f aca="false">SUMPRODUCT($G$19937:$K$19937,$G$19781:$K$19781)</f>
        <v>2027</v>
      </c>
    </row>
    <row r="19940" customFormat="false" ht="15" hidden="false" customHeight="false" outlineLevel="0" collapsed="false">
      <c r="A19940" s="5" t="s">
        <v>448</v>
      </c>
      <c r="C19940" s="25" t="n">
        <f aca="false">SUMPRODUCT($G$19937:$K$19937,$G$19791:$K$19791)</f>
        <v>48.9095184</v>
      </c>
    </row>
    <row r="19941" customFormat="false" ht="15" hidden="false" customHeight="false" outlineLevel="0" collapsed="false">
      <c r="A19941" s="5" t="s">
        <v>449</v>
      </c>
      <c r="C19941" s="25" t="n">
        <f aca="false">MAX(0,SUMPRODUCT($G$19937:$K$19937,$G$19903:$K$19903))</f>
        <v>0</v>
      </c>
    </row>
    <row r="19942" customFormat="false" ht="15" hidden="false" customHeight="false" outlineLevel="0" collapsed="false">
      <c r="A19942" s="5" t="s">
        <v>450</v>
      </c>
      <c r="C19942" s="25" t="n">
        <f aca="false">(CHOOSE($C$19774,Assumptions!$C$78,Assumptions!$C$97,Assumptions!$C$116)+$C$19778)*C19940</f>
        <v>244.547592</v>
      </c>
    </row>
    <row r="19943" customFormat="false" ht="15" hidden="false" customHeight="false" outlineLevel="0" collapsed="false">
      <c r="A19943" s="5" t="s">
        <v>451</v>
      </c>
      <c r="C19943" s="25" t="n">
        <f aca="false">Assumptions!$C$27*(1-CHOOSE($C$19774,Assumptions!$C$79,Assumptions!$C$98,Assumptions!$C$117))*CHOOSE($C$19774,Assumptions!$C$80,Assumptions!$C$99,Assumptions!$C$118)</f>
        <v>530.4</v>
      </c>
    </row>
    <row r="19944" customFormat="false" ht="15" hidden="false" customHeight="false" outlineLevel="0" collapsed="false">
      <c r="A19944" s="5" t="s">
        <v>452</v>
      </c>
      <c r="C19944" s="25" t="n">
        <f aca="false">MAX(C19942,C19943)+C19941</f>
        <v>530.4</v>
      </c>
    </row>
    <row r="19945" customFormat="false" ht="15" hidden="false" customHeight="false" outlineLevel="0" collapsed="false">
      <c r="A19945" s="2" t="s">
        <v>453</v>
      </c>
      <c r="C19945" s="16" t="n">
        <f aca="false">IF(ISNUMBER(Assumptions!$C$14),Assumptions!$C$14,C19944)</f>
        <v>530.4</v>
      </c>
    </row>
    <row r="19946" customFormat="false" ht="15" hidden="false" customHeight="false" outlineLevel="0" collapsed="false">
      <c r="A19946" s="5" t="s">
        <v>454</v>
      </c>
      <c r="C19946" s="25" t="n">
        <f aca="false">C19945*Assumptions!$C$15</f>
        <v>21.216</v>
      </c>
    </row>
    <row r="19947" customFormat="false" ht="15" hidden="false" customHeight="false" outlineLevel="0" collapsed="false">
      <c r="A19947" s="2" t="s">
        <v>455</v>
      </c>
      <c r="C19947" s="16" t="n">
        <f aca="false">C19945-C19946</f>
        <v>509.184</v>
      </c>
    </row>
    <row r="19948" customFormat="false" ht="15" hidden="false" customHeight="false" outlineLevel="0" collapsed="false">
      <c r="A19948" s="23" t="s">
        <v>456</v>
      </c>
      <c r="B19948" s="24"/>
      <c r="C19948" s="24"/>
      <c r="D19948" s="24"/>
      <c r="E19948" s="24"/>
      <c r="F19948" s="24"/>
      <c r="G19948" s="24"/>
      <c r="H19948" s="24"/>
      <c r="I19948" s="24"/>
      <c r="J19948" s="24"/>
      <c r="K19948" s="24"/>
    </row>
    <row r="19949" customFormat="false" ht="15" hidden="false" customHeight="false" outlineLevel="0" collapsed="false">
      <c r="A19949" s="5" t="s">
        <v>457</v>
      </c>
      <c r="C19949" s="25" t="n">
        <f aca="false">SUMPRODUCT($G$19937:$K$19937,$G$19828:$K$19828)*(1+SUMPRODUCT($G$19937:$K$19937,$G$19820:$K$19820)*Assumptions!$C$16/12)</f>
        <v>221.6231087</v>
      </c>
    </row>
    <row r="19950" customFormat="false" ht="15" hidden="false" customHeight="false" outlineLevel="0" collapsed="false">
      <c r="A19950" s="5" t="s">
        <v>458</v>
      </c>
      <c r="C19950" s="25" t="n">
        <f aca="false">SUMPRODUCT($G$19937:$K$19937,$G$19841:$K$19841)*(1+SUMPRODUCT($G$19937:$K$19937,$G$19833:$K$19833)*Assumptions!$C$16/12)</f>
        <v>524.3147</v>
      </c>
    </row>
    <row r="19951" customFormat="false" ht="15" hidden="false" customHeight="false" outlineLevel="0" collapsed="false">
      <c r="A19951" s="5" t="s">
        <v>459</v>
      </c>
      <c r="C19951" s="25" t="n">
        <f aca="false">SUMPRODUCT($G$19937:$K$19937,$G$19854:$K$19854)*(1+SUMPRODUCT($G$19937:$K$19937,$G$19846:$K$19846)*Assumptions!$C$16/12)</f>
        <v>256.875</v>
      </c>
    </row>
    <row r="19952" customFormat="false" ht="15" hidden="false" customHeight="false" outlineLevel="0" collapsed="false">
      <c r="A19952" s="5" t="s">
        <v>460</v>
      </c>
      <c r="C19952" s="25" t="n">
        <f aca="false">SUMPRODUCT($G$19937:$K$19937,$G$19867:$K$19867)*(1+SUMPRODUCT($G$19937:$K$19937,$G$19859:$K$19859)*Assumptions!$C$16/12)</f>
        <v>305.625</v>
      </c>
    </row>
    <row r="19953" customFormat="false" ht="15" hidden="false" customHeight="false" outlineLevel="0" collapsed="false">
      <c r="A19953" s="23" t="s">
        <v>461</v>
      </c>
      <c r="B19953" s="24"/>
      <c r="C19953" s="24"/>
      <c r="D19953" s="24"/>
      <c r="E19953" s="24"/>
      <c r="F19953" s="24"/>
      <c r="G19953" s="24"/>
      <c r="H19953" s="24"/>
      <c r="I19953" s="24"/>
      <c r="J19953" s="24"/>
      <c r="K19953" s="24"/>
    </row>
    <row r="19954" customFormat="false" ht="15" hidden="false" customHeight="false" outlineLevel="0" collapsed="false">
      <c r="A19954" s="5" t="s">
        <v>457</v>
      </c>
      <c r="C19954" s="26" t="n">
        <f aca="false">Assumptions!$M$53</f>
        <v>1</v>
      </c>
    </row>
    <row r="19955" customFormat="false" ht="15" hidden="false" customHeight="false" outlineLevel="0" collapsed="false">
      <c r="A19955" s="5" t="s">
        <v>458</v>
      </c>
      <c r="C19955" s="26" t="n">
        <f aca="false">Assumptions!$M$54</f>
        <v>2</v>
      </c>
    </row>
    <row r="19956" customFormat="false" ht="15" hidden="false" customHeight="false" outlineLevel="0" collapsed="false">
      <c r="A19956" s="5" t="s">
        <v>459</v>
      </c>
      <c r="C19956" s="26" t="n">
        <f aca="false">Assumptions!$M$55</f>
        <v>3</v>
      </c>
    </row>
    <row r="19957" customFormat="false" ht="15" hidden="false" customHeight="false" outlineLevel="0" collapsed="false">
      <c r="A19957" s="5" t="s">
        <v>460</v>
      </c>
      <c r="C19957" s="26" t="n">
        <f aca="false">Assumptions!$M$56</f>
        <v>4</v>
      </c>
    </row>
    <row r="19958" customFormat="false" ht="15" hidden="false" customHeight="false" outlineLevel="0" collapsed="false">
      <c r="A19958" s="23" t="s">
        <v>462</v>
      </c>
      <c r="B19958" s="24"/>
      <c r="C19958" s="24"/>
      <c r="D19958" s="24"/>
      <c r="E19958" s="24"/>
      <c r="F19958" s="24"/>
      <c r="G19958" s="24"/>
      <c r="H19958" s="24"/>
      <c r="I19958" s="24"/>
      <c r="J19958" s="24"/>
      <c r="K19958" s="24"/>
    </row>
    <row r="19959" customFormat="false" ht="15" hidden="false" customHeight="false" outlineLevel="0" collapsed="false">
      <c r="A19959" s="5" t="s">
        <v>457</v>
      </c>
      <c r="C19959" s="34" t="n">
        <f aca="false">Assumptions!$Q$53</f>
        <v>0</v>
      </c>
    </row>
    <row r="19960" customFormat="false" ht="15" hidden="false" customHeight="false" outlineLevel="0" collapsed="false">
      <c r="A19960" s="5" t="s">
        <v>458</v>
      </c>
      <c r="C19960" s="34" t="n">
        <f aca="false">Assumptions!$Q$54</f>
        <v>0</v>
      </c>
    </row>
    <row r="19961" customFormat="false" ht="15" hidden="false" customHeight="false" outlineLevel="0" collapsed="false">
      <c r="A19961" s="5" t="s">
        <v>459</v>
      </c>
      <c r="C19961" s="34" t="n">
        <f aca="false">Assumptions!$Q$55</f>
        <v>0</v>
      </c>
    </row>
    <row r="19962" customFormat="false" ht="15" hidden="false" customHeight="false" outlineLevel="0" collapsed="false">
      <c r="A19962" s="5" t="s">
        <v>460</v>
      </c>
      <c r="C19962" s="34" t="n">
        <f aca="false">Assumptions!$Q$56</f>
        <v>0</v>
      </c>
    </row>
    <row r="19963" customFormat="false" ht="15" hidden="false" customHeight="false" outlineLevel="0" collapsed="false">
      <c r="A19963" s="23" t="s">
        <v>463</v>
      </c>
      <c r="B19963" s="24"/>
      <c r="C19963" s="24"/>
      <c r="D19963" s="24"/>
      <c r="E19963" s="24"/>
      <c r="F19963" s="24"/>
      <c r="G19963" s="24"/>
      <c r="H19963" s="24"/>
      <c r="I19963" s="24"/>
      <c r="J19963" s="24"/>
      <c r="K19963" s="24"/>
    </row>
    <row r="19964" customFormat="false" ht="15" hidden="false" customHeight="false" outlineLevel="0" collapsed="false">
      <c r="A19964" s="5" t="s">
        <v>457</v>
      </c>
      <c r="C19964" s="25" t="n">
        <f aca="false">IF(C19959&gt;0,MIN(C19949,C19959*$C$19947),0)</f>
        <v>0</v>
      </c>
    </row>
    <row r="19965" customFormat="false" ht="15" hidden="false" customHeight="false" outlineLevel="0" collapsed="false">
      <c r="A19965" s="5" t="s">
        <v>458</v>
      </c>
      <c r="C19965" s="25" t="n">
        <f aca="false">IF(C19960&gt;0,MIN(C19950,C19960*$C$19947),0)</f>
        <v>0</v>
      </c>
    </row>
    <row r="19966" customFormat="false" ht="15" hidden="false" customHeight="false" outlineLevel="0" collapsed="false">
      <c r="A19966" s="5" t="s">
        <v>459</v>
      </c>
      <c r="C19966" s="25" t="n">
        <f aca="false">IF(C19961&gt;0,MIN(C19951,C19961*$C$19947),0)</f>
        <v>0</v>
      </c>
    </row>
    <row r="19967" customFormat="false" ht="15" hidden="false" customHeight="false" outlineLevel="0" collapsed="false">
      <c r="A19967" s="5" t="s">
        <v>460</v>
      </c>
      <c r="C19967" s="25" t="n">
        <f aca="false">IF(C19962&gt;0,MIN(C19952,C19962*$C$19947),0)</f>
        <v>0</v>
      </c>
    </row>
    <row r="19968" customFormat="false" ht="15" hidden="false" customHeight="false" outlineLevel="0" collapsed="false">
      <c r="A19968" s="23" t="s">
        <v>464</v>
      </c>
      <c r="B19968" s="24"/>
      <c r="C19968" s="24"/>
      <c r="D19968" s="24"/>
      <c r="E19968" s="24"/>
      <c r="F19968" s="24"/>
      <c r="G19968" s="24"/>
      <c r="H19968" s="24"/>
      <c r="I19968" s="24"/>
      <c r="J19968" s="24"/>
      <c r="K19968" s="24"/>
    </row>
    <row r="19969" customFormat="false" ht="15" hidden="false" customHeight="false" outlineLevel="0" collapsed="false">
      <c r="A19969" s="5" t="s">
        <v>457</v>
      </c>
      <c r="C19969" s="25" t="n">
        <f aca="false">IF(C19959&gt;0,C19949-C19964,0)</f>
        <v>0</v>
      </c>
      <c r="G19969" s="20" t="n">
        <f aca="false">IF(AND(G19818=1,G19815=1),1,0)</f>
        <v>0</v>
      </c>
      <c r="H19969" s="20" t="n">
        <f aca="false">IF(G19969=1,1,IF(AND(H19818=1,H19815=1),1,0))</f>
        <v>0</v>
      </c>
      <c r="I19969" s="20" t="n">
        <f aca="false">IF(H19969=1,1,IF(AND(I19818=1,I19815=1),1,0))</f>
        <v>0</v>
      </c>
      <c r="J19969" s="20" t="n">
        <f aca="false">IF(I19969=1,1,IF(AND(J19818=1,J19815=1),1,0))</f>
        <v>0</v>
      </c>
      <c r="K19969" s="20" t="n">
        <f aca="false">IF(J19969=1,1,IF(AND(K19818=1,K19815=1),1,0))</f>
        <v>0</v>
      </c>
    </row>
    <row r="19970" customFormat="false" ht="15" hidden="false" customHeight="false" outlineLevel="0" collapsed="false">
      <c r="A19970" s="5" t="s">
        <v>458</v>
      </c>
      <c r="C19970" s="25" t="n">
        <f aca="false">IF(C19960&gt;0,C19950-C19965,0)</f>
        <v>0</v>
      </c>
      <c r="G19970" s="20" t="n">
        <f aca="false">IF(AND(G19831=1,G19815=1),1,0)</f>
        <v>0</v>
      </c>
      <c r="H19970" s="20" t="n">
        <f aca="false">IF(G19970=1,1,IF(AND(H19831=1,H19815=1),1,0))</f>
        <v>0</v>
      </c>
      <c r="I19970" s="20" t="n">
        <f aca="false">IF(H19970=1,1,IF(AND(I19831=1,I19815=1),1,0))</f>
        <v>0</v>
      </c>
      <c r="J19970" s="20" t="n">
        <f aca="false">IF(I19970=1,1,IF(AND(J19831=1,J19815=1),1,0))</f>
        <v>0</v>
      </c>
      <c r="K19970" s="20" t="n">
        <f aca="false">IF(J19970=1,1,IF(AND(K19831=1,K19815=1),1,0))</f>
        <v>0</v>
      </c>
    </row>
    <row r="19971" customFormat="false" ht="15" hidden="false" customHeight="false" outlineLevel="0" collapsed="false">
      <c r="A19971" s="5" t="s">
        <v>459</v>
      </c>
      <c r="C19971" s="25" t="n">
        <f aca="false">IF(C19961&gt;0,C19951-C19966,0)</f>
        <v>0</v>
      </c>
      <c r="G19971" s="20" t="n">
        <f aca="false">IF(AND(G19844=1,G19815=1),1,0)</f>
        <v>0</v>
      </c>
      <c r="H19971" s="20" t="n">
        <f aca="false">IF(G19971=1,1,IF(AND(H19844=1,H19815=1),1,0))</f>
        <v>0</v>
      </c>
      <c r="I19971" s="20" t="n">
        <f aca="false">IF(H19971=1,1,IF(AND(I19844=1,I19815=1),1,0))</f>
        <v>0</v>
      </c>
      <c r="J19971" s="20" t="n">
        <f aca="false">IF(I19971=1,1,IF(AND(J19844=1,J19815=1),1,0))</f>
        <v>0</v>
      </c>
      <c r="K19971" s="20" t="n">
        <f aca="false">IF(J19971=1,1,IF(AND(K19844=1,K19815=1),1,0))</f>
        <v>0</v>
      </c>
    </row>
    <row r="19972" customFormat="false" ht="15" hidden="false" customHeight="false" outlineLevel="0" collapsed="false">
      <c r="A19972" s="5" t="s">
        <v>460</v>
      </c>
      <c r="C19972" s="25" t="n">
        <f aca="false">IF(C19962&gt;0,C19952-C19967,0)</f>
        <v>0</v>
      </c>
      <c r="G19972" s="20" t="n">
        <f aca="false">IF(AND(G19857=1,G19815=1),1,0)</f>
        <v>0</v>
      </c>
      <c r="H19972" s="20" t="n">
        <f aca="false">IF(G19972=1,1,IF(AND(H19857=1,H19815=1),1,0))</f>
        <v>0</v>
      </c>
      <c r="I19972" s="20" t="n">
        <f aca="false">IF(H19972=1,1,IF(AND(I19857=1,I19815=1),1,0))</f>
        <v>0</v>
      </c>
      <c r="J19972" s="20" t="n">
        <f aca="false">IF(I19972=1,1,IF(AND(J19857=1,J19815=1),1,0))</f>
        <v>0</v>
      </c>
      <c r="K19972" s="20" t="n">
        <f aca="false">IF(J19972=1,1,IF(AND(K19857=1,K19815=1),1,0))</f>
        <v>0</v>
      </c>
    </row>
    <row r="19973" customFormat="false" ht="15" hidden="false" customHeight="false" outlineLevel="0" collapsed="false">
      <c r="A19973" s="23" t="s">
        <v>465</v>
      </c>
      <c r="B19973" s="24"/>
      <c r="C19973" s="24"/>
      <c r="D19973" s="24"/>
      <c r="E19973" s="24"/>
      <c r="F19973" s="24"/>
      <c r="G19973" s="24"/>
      <c r="H19973" s="24"/>
      <c r="I19973" s="24"/>
      <c r="J19973" s="24"/>
      <c r="K19973" s="24"/>
    </row>
    <row r="19974" customFormat="false" ht="15" hidden="false" customHeight="false" outlineLevel="0" collapsed="false">
      <c r="A19974" s="5" t="s">
        <v>457</v>
      </c>
      <c r="C19974" s="25" t="n">
        <f aca="false">IF(C19959&gt;0,C19969,C19949)</f>
        <v>221.6231087</v>
      </c>
    </row>
    <row r="19975" customFormat="false" ht="15" hidden="false" customHeight="false" outlineLevel="0" collapsed="false">
      <c r="A19975" s="5" t="s">
        <v>458</v>
      </c>
      <c r="C19975" s="25" t="n">
        <f aca="false">IF(C19960&gt;0,C19970,C19950)</f>
        <v>524.3147</v>
      </c>
    </row>
    <row r="19976" customFormat="false" ht="15" hidden="false" customHeight="false" outlineLevel="0" collapsed="false">
      <c r="A19976" s="5" t="s">
        <v>459</v>
      </c>
      <c r="C19976" s="25" t="n">
        <f aca="false">IF(C19961&gt;0,C19971,C19951)</f>
        <v>256.875</v>
      </c>
    </row>
    <row r="19977" customFormat="false" ht="15" hidden="false" customHeight="false" outlineLevel="0" collapsed="false">
      <c r="A19977" s="5" t="s">
        <v>460</v>
      </c>
      <c r="C19977" s="25" t="n">
        <f aca="false">IF(C19962&gt;0,C19972,C19952)</f>
        <v>305.625</v>
      </c>
    </row>
    <row r="19978" customFormat="false" ht="15" hidden="false" customHeight="false" outlineLevel="0" collapsed="false">
      <c r="A19978" s="23" t="s">
        <v>466</v>
      </c>
      <c r="B19978" s="24"/>
      <c r="C19978" s="24"/>
      <c r="D19978" s="24"/>
      <c r="E19978" s="24"/>
      <c r="F19978" s="24"/>
      <c r="G19978" s="24"/>
      <c r="H19978" s="24"/>
      <c r="I19978" s="24"/>
      <c r="J19978" s="24"/>
      <c r="K19978" s="24"/>
    </row>
    <row r="19979" customFormat="false" ht="15" hidden="false" customHeight="false" outlineLevel="0" collapsed="false">
      <c r="A19979" s="5" t="s">
        <v>457</v>
      </c>
      <c r="C19979" s="20" t="n">
        <f aca="false">IF(C19959&gt;0,Assumptions!$C$17,C19954)</f>
        <v>1</v>
      </c>
    </row>
    <row r="19980" customFormat="false" ht="15" hidden="false" customHeight="false" outlineLevel="0" collapsed="false">
      <c r="A19980" s="5" t="s">
        <v>458</v>
      </c>
      <c r="C19980" s="20" t="n">
        <f aca="false">IF(C19960&gt;0,Assumptions!$C$17,C19955)</f>
        <v>2</v>
      </c>
    </row>
    <row r="19981" customFormat="false" ht="15" hidden="false" customHeight="false" outlineLevel="0" collapsed="false">
      <c r="A19981" s="5" t="s">
        <v>459</v>
      </c>
      <c r="C19981" s="20" t="n">
        <f aca="false">IF(C19961&gt;0,Assumptions!$C$17,C19956)</f>
        <v>3</v>
      </c>
    </row>
    <row r="19982" customFormat="false" ht="15" hidden="false" customHeight="false" outlineLevel="0" collapsed="false">
      <c r="A19982" s="5" t="s">
        <v>460</v>
      </c>
      <c r="C19982" s="20" t="n">
        <f aca="false">IF(C19962&gt;0,Assumptions!$C$17,C19957)</f>
        <v>4</v>
      </c>
    </row>
    <row r="19983" customFormat="false" ht="15" hidden="false" customHeight="false" outlineLevel="0" collapsed="false">
      <c r="A19983" s="23" t="s">
        <v>467</v>
      </c>
      <c r="B19983" s="24"/>
      <c r="C19983" s="24"/>
      <c r="D19983" s="24"/>
      <c r="E19983" s="24"/>
      <c r="F19983" s="24"/>
      <c r="G19983" s="24"/>
      <c r="H19983" s="24"/>
      <c r="I19983" s="24"/>
      <c r="J19983" s="24"/>
      <c r="K19983" s="24"/>
    </row>
    <row r="19984" customFormat="false" ht="15" hidden="false" customHeight="false" outlineLevel="0" collapsed="false">
      <c r="A19984" s="5" t="s">
        <v>457</v>
      </c>
      <c r="C19984" s="25" t="n">
        <f aca="false">SUMPRODUCT(($C$19979:$C$19982&lt;C19979)*$C$19974:$C$19977)</f>
        <v>0</v>
      </c>
    </row>
    <row r="19985" customFormat="false" ht="15" hidden="false" customHeight="false" outlineLevel="0" collapsed="false">
      <c r="A19985" s="5" t="s">
        <v>458</v>
      </c>
      <c r="C19985" s="25" t="n">
        <f aca="false">SUMPRODUCT(($C$19979:$C$19982&lt;C19980)*$C$19974:$C$19977)</f>
        <v>221.6231087</v>
      </c>
    </row>
    <row r="19986" customFormat="false" ht="15" hidden="false" customHeight="false" outlineLevel="0" collapsed="false">
      <c r="A19986" s="5" t="s">
        <v>459</v>
      </c>
      <c r="C19986" s="25" t="n">
        <f aca="false">SUMPRODUCT(($C$19979:$C$19982&lt;C19981)*$C$19974:$C$19977)</f>
        <v>745.9378087</v>
      </c>
    </row>
    <row r="19987" customFormat="false" ht="15" hidden="false" customHeight="false" outlineLevel="0" collapsed="false">
      <c r="A19987" s="5" t="s">
        <v>460</v>
      </c>
      <c r="C19987" s="25" t="n">
        <f aca="false">SUMPRODUCT(($C$19979:$C$19982&lt;C19982)*$C$19974:$C$19977)</f>
        <v>1002.8128087</v>
      </c>
    </row>
    <row r="19988" customFormat="false" ht="15" hidden="false" customHeight="false" outlineLevel="0" collapsed="false">
      <c r="A19988" s="23" t="s">
        <v>468</v>
      </c>
      <c r="B19988" s="24"/>
      <c r="C19988" s="24"/>
      <c r="D19988" s="24"/>
      <c r="E19988" s="24"/>
      <c r="F19988" s="24"/>
      <c r="G19988" s="24"/>
      <c r="H19988" s="24"/>
      <c r="I19988" s="24"/>
      <c r="J19988" s="24"/>
      <c r="K19988" s="24"/>
    </row>
    <row r="19989" customFormat="false" ht="15" hidden="false" customHeight="false" outlineLevel="0" collapsed="false">
      <c r="A19989" s="5" t="s">
        <v>457</v>
      </c>
      <c r="C19989" s="25" t="n">
        <f aca="false">SUMPRODUCT(($C$19979:$C$19982=C19979)*$C$19974:$C$19977)</f>
        <v>221.6231087</v>
      </c>
    </row>
    <row r="19990" customFormat="false" ht="15" hidden="false" customHeight="false" outlineLevel="0" collapsed="false">
      <c r="A19990" s="5" t="s">
        <v>458</v>
      </c>
      <c r="C19990" s="25" t="n">
        <f aca="false">SUMPRODUCT(($C$19979:$C$19982=C19980)*$C$19974:$C$19977)</f>
        <v>524.3147</v>
      </c>
    </row>
    <row r="19991" customFormat="false" ht="15" hidden="false" customHeight="false" outlineLevel="0" collapsed="false">
      <c r="A19991" s="5" t="s">
        <v>459</v>
      </c>
      <c r="C19991" s="25" t="n">
        <f aca="false">SUMPRODUCT(($C$19979:$C$19982=C19981)*$C$19974:$C$19977)</f>
        <v>256.875</v>
      </c>
    </row>
    <row r="19992" customFormat="false" ht="15" hidden="false" customHeight="false" outlineLevel="0" collapsed="false">
      <c r="A19992" s="5" t="s">
        <v>460</v>
      </c>
      <c r="C19992" s="25" t="n">
        <f aca="false">SUMPRODUCT(($C$19979:$C$19982=C19982)*$C$19974:$C$19977)</f>
        <v>305.625</v>
      </c>
    </row>
    <row r="19993" customFormat="false" ht="15" hidden="false" customHeight="false" outlineLevel="0" collapsed="false">
      <c r="A19993" s="23" t="s">
        <v>469</v>
      </c>
      <c r="B19993" s="24"/>
      <c r="C19993" s="24"/>
      <c r="D19993" s="24"/>
      <c r="E19993" s="24"/>
      <c r="F19993" s="24"/>
      <c r="G19993" s="24"/>
      <c r="H19993" s="24"/>
      <c r="I19993" s="24"/>
      <c r="J19993" s="24"/>
      <c r="K19993" s="24"/>
    </row>
    <row r="19994" customFormat="false" ht="15" hidden="false" customHeight="false" outlineLevel="0" collapsed="false">
      <c r="A19994" s="5" t="s">
        <v>457</v>
      </c>
      <c r="C19994" s="25" t="n">
        <f aca="false">IF(C19989=0,0,C19974/C19989*MAX(0,MIN(C19989,$C$19947-SUM($C$19964:$C$19967)-C19984)))</f>
        <v>221.6231087</v>
      </c>
    </row>
    <row r="19995" customFormat="false" ht="15" hidden="false" customHeight="false" outlineLevel="0" collapsed="false">
      <c r="A19995" s="5" t="s">
        <v>458</v>
      </c>
      <c r="C19995" s="25" t="n">
        <f aca="false">IF(C19990=0,0,C19975/C19990*MAX(0,MIN(C19990,$C$19947-SUM($C$19964:$C$19967)-C19985)))</f>
        <v>287.5608913</v>
      </c>
    </row>
    <row r="19996" customFormat="false" ht="15" hidden="false" customHeight="false" outlineLevel="0" collapsed="false">
      <c r="A19996" s="5" t="s">
        <v>459</v>
      </c>
      <c r="C19996" s="25" t="n">
        <f aca="false">IF(C19991=0,0,C19976/C19991*MAX(0,MIN(C19991,$C$19947-SUM($C$19964:$C$19967)-C19986)))</f>
        <v>0</v>
      </c>
    </row>
    <row r="19997" customFormat="false" ht="15" hidden="false" customHeight="false" outlineLevel="0" collapsed="false">
      <c r="A19997" s="5" t="s">
        <v>460</v>
      </c>
      <c r="C19997" s="25" t="n">
        <f aca="false">IF(C19992=0,0,C19977/C19992*MAX(0,MIN(C19992,$C$19947-SUM($C$19964:$C$19967)-C19987)))</f>
        <v>0</v>
      </c>
    </row>
    <row r="19998" customFormat="false" ht="15" hidden="false" customHeight="false" outlineLevel="0" collapsed="false">
      <c r="A19998" s="23" t="s">
        <v>470</v>
      </c>
      <c r="B19998" s="24"/>
      <c r="C19998" s="24"/>
      <c r="D19998" s="24"/>
      <c r="E19998" s="24"/>
      <c r="F19998" s="24"/>
      <c r="G19998" s="24"/>
      <c r="H19998" s="24"/>
      <c r="I19998" s="24"/>
      <c r="J19998" s="24"/>
      <c r="K19998" s="24"/>
    </row>
    <row r="19999" customFormat="false" ht="15" hidden="false" customHeight="false" outlineLevel="0" collapsed="false">
      <c r="A19999" s="2" t="s">
        <v>457</v>
      </c>
      <c r="C19999" s="16" t="n">
        <f aca="false">C19964+C19994</f>
        <v>221.6231087</v>
      </c>
    </row>
    <row r="20000" customFormat="false" ht="15" hidden="false" customHeight="false" outlineLevel="0" collapsed="false">
      <c r="A20000" s="2" t="s">
        <v>458</v>
      </c>
      <c r="C20000" s="16" t="n">
        <f aca="false">C19965+C19995</f>
        <v>287.5608913</v>
      </c>
    </row>
    <row r="20001" customFormat="false" ht="15" hidden="false" customHeight="false" outlineLevel="0" collapsed="false">
      <c r="A20001" s="2" t="s">
        <v>459</v>
      </c>
      <c r="C20001" s="16" t="n">
        <f aca="false">C19966+C19996</f>
        <v>0</v>
      </c>
    </row>
    <row r="20002" customFormat="false" ht="15" hidden="false" customHeight="false" outlineLevel="0" collapsed="false">
      <c r="A20002" s="2" t="s">
        <v>460</v>
      </c>
      <c r="C20002" s="16" t="n">
        <f aca="false">C19967+C19997</f>
        <v>0</v>
      </c>
    </row>
    <row r="20003" customFormat="false" ht="15" hidden="false" customHeight="false" outlineLevel="0" collapsed="false">
      <c r="A20003" s="23" t="s">
        <v>471</v>
      </c>
      <c r="B20003" s="24"/>
      <c r="C20003" s="24"/>
      <c r="D20003" s="24"/>
      <c r="E20003" s="24"/>
      <c r="F20003" s="24"/>
      <c r="G20003" s="24"/>
      <c r="H20003" s="24"/>
      <c r="I20003" s="24"/>
      <c r="J20003" s="24"/>
      <c r="K20003" s="24"/>
    </row>
    <row r="20004" customFormat="false" ht="15" hidden="false" customHeight="false" outlineLevel="0" collapsed="false">
      <c r="A20004" s="5" t="s">
        <v>457</v>
      </c>
      <c r="C20004" s="21" t="n">
        <f aca="false">IF(C19949=0,1,C19999/C19949)</f>
        <v>1</v>
      </c>
    </row>
    <row r="20005" customFormat="false" ht="15" hidden="false" customHeight="false" outlineLevel="0" collapsed="false">
      <c r="A20005" s="5" t="s">
        <v>458</v>
      </c>
      <c r="C20005" s="21" t="n">
        <f aca="false">IF(C19950=0,1,C20000/C19950)</f>
        <v>0.548450942344359</v>
      </c>
    </row>
    <row r="20006" customFormat="false" ht="15" hidden="false" customHeight="false" outlineLevel="0" collapsed="false">
      <c r="A20006" s="5" t="s">
        <v>459</v>
      </c>
      <c r="C20006" s="21" t="n">
        <f aca="false">IF(C19951=0,1,C20001/C19951)</f>
        <v>0</v>
      </c>
    </row>
    <row r="20007" customFormat="false" ht="15" hidden="false" customHeight="false" outlineLevel="0" collapsed="false">
      <c r="A20007" s="5" t="s">
        <v>460</v>
      </c>
      <c r="C20007" s="21" t="n">
        <f aca="false">IF(C19952=0,1,C20002/C19952)</f>
        <v>0</v>
      </c>
    </row>
    <row r="20008" customFormat="false" ht="15" hidden="false" customHeight="false" outlineLevel="0" collapsed="false">
      <c r="A20008" s="23" t="s">
        <v>472</v>
      </c>
      <c r="B20008" s="24"/>
      <c r="C20008" s="24"/>
      <c r="D20008" s="24"/>
      <c r="E20008" s="24"/>
      <c r="F20008" s="24"/>
      <c r="G20008" s="24"/>
      <c r="H20008" s="24"/>
      <c r="I20008" s="24"/>
      <c r="J20008" s="24"/>
      <c r="K20008" s="24"/>
    </row>
    <row r="20009" customFormat="false" ht="15" hidden="false" customHeight="false" outlineLevel="0" collapsed="false">
      <c r="A20009" s="5" t="s">
        <v>457</v>
      </c>
      <c r="C20009" s="25" t="n">
        <f aca="false">C19949-C19999</f>
        <v>0</v>
      </c>
    </row>
    <row r="20010" customFormat="false" ht="15" hidden="false" customHeight="false" outlineLevel="0" collapsed="false">
      <c r="A20010" s="5" t="s">
        <v>458</v>
      </c>
      <c r="C20010" s="25" t="n">
        <f aca="false">C19950-C20000</f>
        <v>236.7538087</v>
      </c>
    </row>
    <row r="20011" customFormat="false" ht="15" hidden="false" customHeight="false" outlineLevel="0" collapsed="false">
      <c r="A20011" s="5" t="s">
        <v>459</v>
      </c>
      <c r="C20011" s="25" t="n">
        <f aca="false">C19951-C20001</f>
        <v>256.875</v>
      </c>
    </row>
    <row r="20012" customFormat="false" ht="15" hidden="false" customHeight="false" outlineLevel="0" collapsed="false">
      <c r="A20012" s="5" t="s">
        <v>460</v>
      </c>
      <c r="C20012" s="25" t="n">
        <f aca="false">C19952-C20002</f>
        <v>305.625</v>
      </c>
    </row>
    <row r="20013" customFormat="false" ht="15" hidden="false" customHeight="false" outlineLevel="0" collapsed="false">
      <c r="A20013" s="23" t="s">
        <v>473</v>
      </c>
      <c r="B20013" s="24"/>
      <c r="C20013" s="24"/>
      <c r="D20013" s="24"/>
      <c r="E20013" s="24"/>
      <c r="F20013" s="24"/>
      <c r="G20013" s="24"/>
      <c r="H20013" s="24"/>
      <c r="I20013" s="24"/>
      <c r="J20013" s="24"/>
      <c r="K20013" s="24"/>
    </row>
    <row r="20014" customFormat="false" ht="15" hidden="false" customHeight="false" outlineLevel="0" collapsed="false">
      <c r="A20014" s="5" t="s">
        <v>457</v>
      </c>
      <c r="C20014" s="21" t="n">
        <f aca="false">IF(C19949=0,0,C20009/C19949)</f>
        <v>0</v>
      </c>
    </row>
    <row r="20015" customFormat="false" ht="15" hidden="false" customHeight="false" outlineLevel="0" collapsed="false">
      <c r="A20015" s="5" t="s">
        <v>458</v>
      </c>
      <c r="C20015" s="21" t="n">
        <f aca="false">IF(C19950=0,0,C20010/C19950)</f>
        <v>0.451549057655641</v>
      </c>
    </row>
    <row r="20016" customFormat="false" ht="15" hidden="false" customHeight="false" outlineLevel="0" collapsed="false">
      <c r="A20016" s="5" t="s">
        <v>459</v>
      </c>
      <c r="C20016" s="21" t="n">
        <f aca="false">IF(C19951=0,0,C20011/C19951)</f>
        <v>1</v>
      </c>
    </row>
    <row r="20017" customFormat="false" ht="15" hidden="false" customHeight="false" outlineLevel="0" collapsed="false">
      <c r="A20017" s="5" t="s">
        <v>460</v>
      </c>
      <c r="C20017" s="21" t="n">
        <f aca="false">IF(C19952=0,0,C20012/C19952)</f>
        <v>1</v>
      </c>
    </row>
    <row r="20018" customFormat="false" ht="15" hidden="false" customHeight="false" outlineLevel="0" collapsed="false">
      <c r="A20018" s="2" t="s">
        <v>474</v>
      </c>
      <c r="C20018" s="16" t="n">
        <f aca="false">MAX(0,$C$19947-SUM($C$19964:$C$19967)-SUM($C$19974:$C$19977))</f>
        <v>0</v>
      </c>
    </row>
    <row r="20019" customFormat="false" ht="15" hidden="false" customHeight="false" outlineLevel="0" collapsed="false">
      <c r="A20019" s="5" t="s">
        <v>475</v>
      </c>
      <c r="C20019" s="25" t="n">
        <f aca="false">SUM($C$19999:$C$20002)+C20018+C19946-C19945</f>
        <v>0</v>
      </c>
    </row>
    <row r="20021" customFormat="false" ht="15" hidden="false" customHeight="false" outlineLevel="0" collapsed="false">
      <c r="A20021" s="23" t="s">
        <v>478</v>
      </c>
      <c r="B20021" s="24"/>
      <c r="C20021" s="24"/>
      <c r="D20021" s="24"/>
      <c r="E20021" s="24"/>
      <c r="F20021" s="24"/>
      <c r="G20021" s="24"/>
      <c r="H20021" s="24"/>
      <c r="I20021" s="24"/>
      <c r="J20021" s="24"/>
      <c r="K20021" s="24"/>
    </row>
    <row r="20022" customFormat="false" ht="15" hidden="false" customHeight="false" outlineLevel="0" collapsed="false">
      <c r="A20022" s="5" t="s">
        <v>479</v>
      </c>
      <c r="C20022" s="26" t="n">
        <f aca="false">Assumptions!$C$30</f>
        <v>2</v>
      </c>
    </row>
    <row r="20023" customFormat="false" ht="15" hidden="false" customHeight="false" outlineLevel="0" collapsed="false">
      <c r="A20023" s="5" t="s">
        <v>480</v>
      </c>
      <c r="C20023" s="28" t="n">
        <f aca="false">Assumptions!$C$31</f>
        <v>100</v>
      </c>
    </row>
    <row r="20024" customFormat="false" ht="15" hidden="false" customHeight="false" outlineLevel="0" collapsed="false">
      <c r="A20024" s="5" t="s">
        <v>481</v>
      </c>
      <c r="C20024" s="39" t="n">
        <f aca="false">Assumptions!$C$32</f>
        <v>78</v>
      </c>
    </row>
    <row r="20025" customFormat="false" ht="15" hidden="false" customHeight="false" outlineLevel="0" collapsed="false">
      <c r="A20025" s="5" t="s">
        <v>482</v>
      </c>
      <c r="C20025" s="25" t="n">
        <f aca="false">C20023*C20024/100*(1+Assumptions!$C$33)</f>
        <v>78.39</v>
      </c>
    </row>
    <row r="20026" customFormat="false" ht="15" hidden="false" customHeight="false" outlineLevel="0" collapsed="false">
      <c r="A20026" s="5" t="s">
        <v>483</v>
      </c>
      <c r="C20026" s="26" t="n">
        <f aca="false">Assumptions!$C$34</f>
        <v>2</v>
      </c>
    </row>
    <row r="20027" customFormat="false" ht="15" hidden="false" customHeight="false" outlineLevel="0" collapsed="false">
      <c r="A20027" s="5" t="s">
        <v>484</v>
      </c>
      <c r="C20027" s="20" t="n">
        <f aca="false">IF(C19938=1,SUMPRODUCT($G$19906:$K$19906,$G$19782:$K$19782),0)</f>
        <v>2</v>
      </c>
    </row>
    <row r="20028" customFormat="false" ht="15" hidden="false" customHeight="false" outlineLevel="0" collapsed="false">
      <c r="A20028" s="5" t="s">
        <v>485</v>
      </c>
      <c r="C20028" s="21" t="n">
        <f aca="false">IFERROR(C20023/CHOOSE(C20022,SUMPRODUCT($G$19937:$K$19937,$G$19828:$K$19828),SUMPRODUCT($G$19937:$K$19937,$G$19841:$K$19841),SUMPRODUCT($G$19937:$K$19937,$G$19854:$K$19854),SUMPRODUCT($G$19937:$K$19937,$G$19867:$K$19867)),0)</f>
        <v>0.196232339089482</v>
      </c>
    </row>
    <row r="20029" customFormat="false" ht="15" hidden="false" customHeight="false" outlineLevel="0" collapsed="false">
      <c r="A20029" s="5" t="s">
        <v>486</v>
      </c>
      <c r="C20029" s="25" t="n">
        <f aca="false">CHOOSE(C20022,C19999,C20000,C20001,C20002)*C20028</f>
        <v>56.4287463304553</v>
      </c>
    </row>
    <row r="20030" customFormat="false" ht="15" hidden="false" customHeight="false" outlineLevel="0" collapsed="false">
      <c r="A20030" s="5" t="s">
        <v>487</v>
      </c>
      <c r="C20030" s="21" t="n">
        <f aca="false">CHOOSE(C20022,C20004,C20005,C20006,C20007)</f>
        <v>0.548450942344359</v>
      </c>
    </row>
    <row r="20031" customFormat="false" ht="15" hidden="false" customHeight="false" outlineLevel="0" collapsed="false">
      <c r="A20031" s="5" t="s">
        <v>488</v>
      </c>
      <c r="C20031" s="20" t="n">
        <f aca="false">IF(C19938=1,C20027,C20026)</f>
        <v>2</v>
      </c>
    </row>
    <row r="20032" customFormat="false" ht="15" hidden="false" customHeight="false" outlineLevel="0" collapsed="false">
      <c r="A20032" s="5" t="s">
        <v>489</v>
      </c>
      <c r="C20032" s="33" t="n">
        <f aca="false">CHOOSE($C$19774,Assumptions!$C$77,Assumptions!$C$96,Assumptions!$C$115)</f>
        <v>90</v>
      </c>
    </row>
    <row r="20033" customFormat="false" ht="15" hidden="false" customHeight="false" outlineLevel="0" collapsed="false">
      <c r="A20033" s="5" t="s">
        <v>490</v>
      </c>
      <c r="C20033" s="25" t="n">
        <f aca="false">INDEX($G$19791:$K$19791,C20026)*CHOOSE($C$19774,Assumptions!$C$76,Assumptions!$C$95,Assumptions!$C$114)+MAX(0,INDEX($G$19903:$K$19903,C20026))</f>
        <v>244.547592</v>
      </c>
    </row>
    <row r="20034" customFormat="false" ht="15" hidden="false" customHeight="false" outlineLevel="0" collapsed="false">
      <c r="A20034" s="23" t="s">
        <v>491</v>
      </c>
      <c r="B20034" s="24"/>
      <c r="C20034" s="24"/>
      <c r="D20034" s="24"/>
      <c r="E20034" s="24"/>
      <c r="F20034" s="24"/>
      <c r="G20034" s="24"/>
      <c r="H20034" s="24"/>
      <c r="I20034" s="24"/>
      <c r="J20034" s="24"/>
      <c r="K20034" s="24"/>
    </row>
    <row r="20035" customFormat="false" ht="15" hidden="false" customHeight="false" outlineLevel="0" collapsed="false">
      <c r="A20035" s="5" t="s">
        <v>457</v>
      </c>
      <c r="C20035" s="25" t="n">
        <f aca="false">INDEX($G$19828:$K$19828,C20026)</f>
        <v>216.2968</v>
      </c>
    </row>
    <row r="20036" customFormat="false" ht="15" hidden="false" customHeight="false" outlineLevel="0" collapsed="false">
      <c r="A20036" s="5" t="s">
        <v>458</v>
      </c>
      <c r="C20036" s="25" t="n">
        <f aca="false">INDEX($G$19841:$K$19841,C20026)</f>
        <v>509.6</v>
      </c>
    </row>
    <row r="20037" customFormat="false" ht="15" hidden="false" customHeight="false" outlineLevel="0" collapsed="false">
      <c r="A20037" s="5" t="s">
        <v>459</v>
      </c>
      <c r="C20037" s="25" t="n">
        <f aca="false">INDEX($G$19854:$K$19854,C20026)</f>
        <v>250</v>
      </c>
    </row>
    <row r="20038" customFormat="false" ht="15" hidden="false" customHeight="false" outlineLevel="0" collapsed="false">
      <c r="A20038" s="5" t="s">
        <v>460</v>
      </c>
      <c r="C20038" s="25" t="n">
        <f aca="false">INDEX($G$19867:$K$19867,C20026)</f>
        <v>300</v>
      </c>
    </row>
    <row r="20039" customFormat="false" ht="15" hidden="false" customHeight="false" outlineLevel="0" collapsed="false">
      <c r="A20039" s="23" t="s">
        <v>461</v>
      </c>
      <c r="B20039" s="24"/>
      <c r="C20039" s="24"/>
      <c r="D20039" s="24"/>
      <c r="E20039" s="24"/>
      <c r="F20039" s="24"/>
      <c r="G20039" s="24"/>
      <c r="H20039" s="24"/>
      <c r="I20039" s="24"/>
      <c r="J20039" s="24"/>
      <c r="K20039" s="24"/>
    </row>
    <row r="20040" customFormat="false" ht="15" hidden="false" customHeight="false" outlineLevel="0" collapsed="false">
      <c r="A20040" s="5" t="s">
        <v>457</v>
      </c>
      <c r="C20040" s="26" t="n">
        <f aca="false">Assumptions!$M$53</f>
        <v>1</v>
      </c>
    </row>
    <row r="20041" customFormat="false" ht="15" hidden="false" customHeight="false" outlineLevel="0" collapsed="false">
      <c r="A20041" s="5" t="s">
        <v>458</v>
      </c>
      <c r="C20041" s="26" t="n">
        <f aca="false">Assumptions!$M$54</f>
        <v>2</v>
      </c>
    </row>
    <row r="20042" customFormat="false" ht="15" hidden="false" customHeight="false" outlineLevel="0" collapsed="false">
      <c r="A20042" s="5" t="s">
        <v>459</v>
      </c>
      <c r="C20042" s="26" t="n">
        <f aca="false">Assumptions!$M$55</f>
        <v>3</v>
      </c>
    </row>
    <row r="20043" customFormat="false" ht="15" hidden="false" customHeight="false" outlineLevel="0" collapsed="false">
      <c r="A20043" s="5" t="s">
        <v>460</v>
      </c>
      <c r="C20043" s="26" t="n">
        <f aca="false">Assumptions!$M$56</f>
        <v>4</v>
      </c>
    </row>
    <row r="20044" customFormat="false" ht="15" hidden="false" customHeight="false" outlineLevel="0" collapsed="false">
      <c r="A20044" s="23" t="s">
        <v>462</v>
      </c>
      <c r="B20044" s="24"/>
      <c r="C20044" s="24"/>
      <c r="D20044" s="24"/>
      <c r="E20044" s="24"/>
      <c r="F20044" s="24"/>
      <c r="G20044" s="24"/>
      <c r="H20044" s="24"/>
      <c r="I20044" s="24"/>
      <c r="J20044" s="24"/>
      <c r="K20044" s="24"/>
    </row>
    <row r="20045" customFormat="false" ht="15" hidden="false" customHeight="false" outlineLevel="0" collapsed="false">
      <c r="A20045" s="5" t="s">
        <v>457</v>
      </c>
      <c r="C20045" s="34" t="n">
        <f aca="false">Assumptions!$Q$53</f>
        <v>0</v>
      </c>
    </row>
    <row r="20046" customFormat="false" ht="15" hidden="false" customHeight="false" outlineLevel="0" collapsed="false">
      <c r="A20046" s="5" t="s">
        <v>458</v>
      </c>
      <c r="C20046" s="34" t="n">
        <f aca="false">Assumptions!$Q$54</f>
        <v>0</v>
      </c>
    </row>
    <row r="20047" customFormat="false" ht="15" hidden="false" customHeight="false" outlineLevel="0" collapsed="false">
      <c r="A20047" s="5" t="s">
        <v>459</v>
      </c>
      <c r="C20047" s="34" t="n">
        <f aca="false">Assumptions!$Q$55</f>
        <v>0</v>
      </c>
    </row>
    <row r="20048" customFormat="false" ht="15" hidden="false" customHeight="false" outlineLevel="0" collapsed="false">
      <c r="A20048" s="5" t="s">
        <v>460</v>
      </c>
      <c r="C20048" s="34" t="n">
        <f aca="false">Assumptions!$Q$56</f>
        <v>0</v>
      </c>
    </row>
    <row r="20049" customFormat="false" ht="15" hidden="false" customHeight="false" outlineLevel="0" collapsed="false">
      <c r="A20049" s="23" t="s">
        <v>463</v>
      </c>
      <c r="B20049" s="24"/>
      <c r="C20049" s="24"/>
      <c r="D20049" s="24"/>
      <c r="E20049" s="24"/>
      <c r="F20049" s="24"/>
      <c r="G20049" s="24"/>
      <c r="H20049" s="24"/>
      <c r="I20049" s="24"/>
      <c r="J20049" s="24"/>
      <c r="K20049" s="24"/>
    </row>
    <row r="20050" customFormat="false" ht="15" hidden="false" customHeight="false" outlineLevel="0" collapsed="false">
      <c r="A20050" s="5" t="s">
        <v>457</v>
      </c>
      <c r="C20050" s="25" t="n">
        <f aca="false">IF(C20045&gt;0,MIN(C20035,C20045*$C$20033),0)</f>
        <v>0</v>
      </c>
    </row>
    <row r="20051" customFormat="false" ht="15" hidden="false" customHeight="false" outlineLevel="0" collapsed="false">
      <c r="A20051" s="5" t="s">
        <v>458</v>
      </c>
      <c r="C20051" s="25" t="n">
        <f aca="false">IF(C20046&gt;0,MIN(C20036,C20046*$C$20033),0)</f>
        <v>0</v>
      </c>
    </row>
    <row r="20052" customFormat="false" ht="15" hidden="false" customHeight="false" outlineLevel="0" collapsed="false">
      <c r="A20052" s="5" t="s">
        <v>459</v>
      </c>
      <c r="C20052" s="25" t="n">
        <f aca="false">IF(C20047&gt;0,MIN(C20037,C20047*$C$20033),0)</f>
        <v>0</v>
      </c>
    </row>
    <row r="20053" customFormat="false" ht="15" hidden="false" customHeight="false" outlineLevel="0" collapsed="false">
      <c r="A20053" s="5" t="s">
        <v>460</v>
      </c>
      <c r="C20053" s="25" t="n">
        <f aca="false">IF(C20048&gt;0,MIN(C20038,C20048*$C$20033),0)</f>
        <v>0</v>
      </c>
    </row>
    <row r="20054" customFormat="false" ht="15" hidden="false" customHeight="false" outlineLevel="0" collapsed="false">
      <c r="A20054" s="23" t="s">
        <v>464</v>
      </c>
      <c r="B20054" s="24"/>
      <c r="C20054" s="24"/>
      <c r="D20054" s="24"/>
      <c r="E20054" s="24"/>
      <c r="F20054" s="24"/>
      <c r="G20054" s="24"/>
      <c r="H20054" s="24"/>
      <c r="I20054" s="24"/>
      <c r="J20054" s="24"/>
      <c r="K20054" s="24"/>
    </row>
    <row r="20055" customFormat="false" ht="15" hidden="false" customHeight="false" outlineLevel="0" collapsed="false">
      <c r="A20055" s="5" t="s">
        <v>457</v>
      </c>
      <c r="C20055" s="25" t="n">
        <f aca="false">IF(C20045&gt;0,C20035-C20050,0)</f>
        <v>0</v>
      </c>
    </row>
    <row r="20056" customFormat="false" ht="15" hidden="false" customHeight="false" outlineLevel="0" collapsed="false">
      <c r="A20056" s="5" t="s">
        <v>458</v>
      </c>
      <c r="C20056" s="25" t="n">
        <f aca="false">IF(C20046&gt;0,C20036-C20051,0)</f>
        <v>0</v>
      </c>
    </row>
    <row r="20057" customFormat="false" ht="15" hidden="false" customHeight="false" outlineLevel="0" collapsed="false">
      <c r="A20057" s="5" t="s">
        <v>459</v>
      </c>
      <c r="C20057" s="25" t="n">
        <f aca="false">IF(C20047&gt;0,C20037-C20052,0)</f>
        <v>0</v>
      </c>
    </row>
    <row r="20058" customFormat="false" ht="15" hidden="false" customHeight="false" outlineLevel="0" collapsed="false">
      <c r="A20058" s="5" t="s">
        <v>460</v>
      </c>
      <c r="C20058" s="25" t="n">
        <f aca="false">IF(C20048&gt;0,C20038-C20053,0)</f>
        <v>0</v>
      </c>
    </row>
    <row r="20059" customFormat="false" ht="15" hidden="false" customHeight="false" outlineLevel="0" collapsed="false">
      <c r="A20059" s="23" t="s">
        <v>465</v>
      </c>
      <c r="B20059" s="24"/>
      <c r="C20059" s="24"/>
      <c r="D20059" s="24"/>
      <c r="E20059" s="24"/>
      <c r="F20059" s="24"/>
      <c r="G20059" s="24"/>
      <c r="H20059" s="24"/>
      <c r="I20059" s="24"/>
      <c r="J20059" s="24"/>
      <c r="K20059" s="24"/>
    </row>
    <row r="20060" customFormat="false" ht="15" hidden="false" customHeight="false" outlineLevel="0" collapsed="false">
      <c r="A20060" s="5" t="s">
        <v>457</v>
      </c>
      <c r="C20060" s="25" t="n">
        <f aca="false">IF(C20045&gt;0,C20055,C20035)</f>
        <v>216.2968</v>
      </c>
    </row>
    <row r="20061" customFormat="false" ht="15" hidden="false" customHeight="false" outlineLevel="0" collapsed="false">
      <c r="A20061" s="5" t="s">
        <v>458</v>
      </c>
      <c r="C20061" s="25" t="n">
        <f aca="false">IF(C20046&gt;0,C20056,C20036)</f>
        <v>509.6</v>
      </c>
    </row>
    <row r="20062" customFormat="false" ht="15" hidden="false" customHeight="false" outlineLevel="0" collapsed="false">
      <c r="A20062" s="5" t="s">
        <v>459</v>
      </c>
      <c r="C20062" s="25" t="n">
        <f aca="false">IF(C20047&gt;0,C20057,C20037)</f>
        <v>250</v>
      </c>
    </row>
    <row r="20063" customFormat="false" ht="15" hidden="false" customHeight="false" outlineLevel="0" collapsed="false">
      <c r="A20063" s="5" t="s">
        <v>460</v>
      </c>
      <c r="C20063" s="25" t="n">
        <f aca="false">IF(C20048&gt;0,C20058,C20038)</f>
        <v>300</v>
      </c>
    </row>
    <row r="20064" customFormat="false" ht="15" hidden="false" customHeight="false" outlineLevel="0" collapsed="false">
      <c r="A20064" s="23" t="s">
        <v>466</v>
      </c>
      <c r="B20064" s="24"/>
      <c r="C20064" s="24"/>
      <c r="D20064" s="24"/>
      <c r="E20064" s="24"/>
      <c r="F20064" s="24"/>
      <c r="G20064" s="24"/>
      <c r="H20064" s="24"/>
      <c r="I20064" s="24"/>
      <c r="J20064" s="24"/>
      <c r="K20064" s="24"/>
    </row>
    <row r="20065" customFormat="false" ht="15" hidden="false" customHeight="false" outlineLevel="0" collapsed="false">
      <c r="A20065" s="5" t="s">
        <v>457</v>
      </c>
      <c r="C20065" s="20" t="n">
        <f aca="false">IF(C20045&gt;0,Assumptions!$C$17,C20040)</f>
        <v>1</v>
      </c>
    </row>
    <row r="20066" customFormat="false" ht="15" hidden="false" customHeight="false" outlineLevel="0" collapsed="false">
      <c r="A20066" s="5" t="s">
        <v>458</v>
      </c>
      <c r="C20066" s="20" t="n">
        <f aca="false">IF(C20046&gt;0,Assumptions!$C$17,C20041)</f>
        <v>2</v>
      </c>
    </row>
    <row r="20067" customFormat="false" ht="15" hidden="false" customHeight="false" outlineLevel="0" collapsed="false">
      <c r="A20067" s="5" t="s">
        <v>459</v>
      </c>
      <c r="C20067" s="20" t="n">
        <f aca="false">IF(C20047&gt;0,Assumptions!$C$17,C20042)</f>
        <v>3</v>
      </c>
    </row>
    <row r="20068" customFormat="false" ht="15" hidden="false" customHeight="false" outlineLevel="0" collapsed="false">
      <c r="A20068" s="5" t="s">
        <v>460</v>
      </c>
      <c r="C20068" s="20" t="n">
        <f aca="false">IF(C20048&gt;0,Assumptions!$C$17,C20043)</f>
        <v>4</v>
      </c>
    </row>
    <row r="20069" customFormat="false" ht="15" hidden="false" customHeight="false" outlineLevel="0" collapsed="false">
      <c r="A20069" s="23" t="s">
        <v>467</v>
      </c>
      <c r="B20069" s="24"/>
      <c r="C20069" s="24"/>
      <c r="D20069" s="24"/>
      <c r="E20069" s="24"/>
      <c r="F20069" s="24"/>
      <c r="G20069" s="24"/>
      <c r="H20069" s="24"/>
      <c r="I20069" s="24"/>
      <c r="J20069" s="24"/>
      <c r="K20069" s="24"/>
    </row>
    <row r="20070" customFormat="false" ht="15" hidden="false" customHeight="false" outlineLevel="0" collapsed="false">
      <c r="A20070" s="5" t="s">
        <v>457</v>
      </c>
      <c r="C20070" s="25" t="n">
        <f aca="false">SUMPRODUCT(($C$20065:$C$20068&lt;C20065)*$C$20060:$C$20063)</f>
        <v>0</v>
      </c>
    </row>
    <row r="20071" customFormat="false" ht="15" hidden="false" customHeight="false" outlineLevel="0" collapsed="false">
      <c r="A20071" s="5" t="s">
        <v>458</v>
      </c>
      <c r="C20071" s="25" t="n">
        <f aca="false">SUMPRODUCT(($C$20065:$C$20068&lt;C20066)*$C$20060:$C$20063)</f>
        <v>216.2968</v>
      </c>
    </row>
    <row r="20072" customFormat="false" ht="15" hidden="false" customHeight="false" outlineLevel="0" collapsed="false">
      <c r="A20072" s="5" t="s">
        <v>459</v>
      </c>
      <c r="C20072" s="25" t="n">
        <f aca="false">SUMPRODUCT(($C$20065:$C$20068&lt;C20067)*$C$20060:$C$20063)</f>
        <v>725.8968</v>
      </c>
    </row>
    <row r="20073" customFormat="false" ht="15" hidden="false" customHeight="false" outlineLevel="0" collapsed="false">
      <c r="A20073" s="5" t="s">
        <v>460</v>
      </c>
      <c r="C20073" s="25" t="n">
        <f aca="false">SUMPRODUCT(($C$20065:$C$20068&lt;C20068)*$C$20060:$C$20063)</f>
        <v>975.8968</v>
      </c>
    </row>
    <row r="20074" customFormat="false" ht="15" hidden="false" customHeight="false" outlineLevel="0" collapsed="false">
      <c r="A20074" s="23" t="s">
        <v>468</v>
      </c>
      <c r="B20074" s="24"/>
      <c r="C20074" s="24"/>
      <c r="D20074" s="24"/>
      <c r="E20074" s="24"/>
      <c r="F20074" s="24"/>
      <c r="G20074" s="24"/>
      <c r="H20074" s="24"/>
      <c r="I20074" s="24"/>
      <c r="J20074" s="24"/>
      <c r="K20074" s="24"/>
    </row>
    <row r="20075" customFormat="false" ht="15" hidden="false" customHeight="false" outlineLevel="0" collapsed="false">
      <c r="A20075" s="5" t="s">
        <v>457</v>
      </c>
      <c r="C20075" s="25" t="n">
        <f aca="false">SUMPRODUCT(($C$20065:$C$20068=C20065)*$C$20060:$C$20063)</f>
        <v>216.2968</v>
      </c>
    </row>
    <row r="20076" customFormat="false" ht="15" hidden="false" customHeight="false" outlineLevel="0" collapsed="false">
      <c r="A20076" s="5" t="s">
        <v>458</v>
      </c>
      <c r="C20076" s="25" t="n">
        <f aca="false">SUMPRODUCT(($C$20065:$C$20068=C20066)*$C$20060:$C$20063)</f>
        <v>509.6</v>
      </c>
    </row>
    <row r="20077" customFormat="false" ht="15" hidden="false" customHeight="false" outlineLevel="0" collapsed="false">
      <c r="A20077" s="5" t="s">
        <v>459</v>
      </c>
      <c r="C20077" s="25" t="n">
        <f aca="false">SUMPRODUCT(($C$20065:$C$20068=C20067)*$C$20060:$C$20063)</f>
        <v>250</v>
      </c>
    </row>
    <row r="20078" customFormat="false" ht="15" hidden="false" customHeight="false" outlineLevel="0" collapsed="false">
      <c r="A20078" s="5" t="s">
        <v>460</v>
      </c>
      <c r="C20078" s="25" t="n">
        <f aca="false">SUMPRODUCT(($C$20065:$C$20068=C20068)*$C$20060:$C$20063)</f>
        <v>300</v>
      </c>
    </row>
    <row r="20079" customFormat="false" ht="15" hidden="false" customHeight="false" outlineLevel="0" collapsed="false">
      <c r="A20079" s="23" t="s">
        <v>469</v>
      </c>
      <c r="B20079" s="24"/>
      <c r="C20079" s="24"/>
      <c r="D20079" s="24"/>
      <c r="E20079" s="24"/>
      <c r="F20079" s="24"/>
      <c r="G20079" s="24"/>
      <c r="H20079" s="24"/>
      <c r="I20079" s="24"/>
      <c r="J20079" s="24"/>
      <c r="K20079" s="24"/>
    </row>
    <row r="20080" customFormat="false" ht="15" hidden="false" customHeight="false" outlineLevel="0" collapsed="false">
      <c r="A20080" s="5" t="s">
        <v>457</v>
      </c>
      <c r="C20080" s="25" t="n">
        <f aca="false">IF(C20075=0,0,C20060/C20075*MAX(0,MIN(C20075,$C$20033-SUM($C$20050:$C$20053)-C20070)))</f>
        <v>216.2968</v>
      </c>
    </row>
    <row r="20081" customFormat="false" ht="15" hidden="false" customHeight="false" outlineLevel="0" collapsed="false">
      <c r="A20081" s="5" t="s">
        <v>458</v>
      </c>
      <c r="C20081" s="25" t="n">
        <f aca="false">IF(C20076=0,0,C20061/C20076*MAX(0,MIN(C20076,$C$20033-SUM($C$20050:$C$20053)-C20071)))</f>
        <v>28.2507919999998</v>
      </c>
    </row>
    <row r="20082" customFormat="false" ht="15" hidden="false" customHeight="false" outlineLevel="0" collapsed="false">
      <c r="A20082" s="5" t="s">
        <v>459</v>
      </c>
      <c r="C20082" s="25" t="n">
        <f aca="false">IF(C20077=0,0,C20062/C20077*MAX(0,MIN(C20077,$C$20033-SUM($C$20050:$C$20053)-C20072)))</f>
        <v>0</v>
      </c>
    </row>
    <row r="20083" customFormat="false" ht="15" hidden="false" customHeight="false" outlineLevel="0" collapsed="false">
      <c r="A20083" s="5" t="s">
        <v>460</v>
      </c>
      <c r="C20083" s="25" t="n">
        <f aca="false">IF(C20078=0,0,C20063/C20078*MAX(0,MIN(C20078,$C$20033-SUM($C$20050:$C$20053)-C20073)))</f>
        <v>0</v>
      </c>
    </row>
    <row r="20084" customFormat="false" ht="15" hidden="false" customHeight="false" outlineLevel="0" collapsed="false">
      <c r="A20084" s="23" t="s">
        <v>470</v>
      </c>
      <c r="B20084" s="24"/>
      <c r="C20084" s="24"/>
      <c r="D20084" s="24"/>
      <c r="E20084" s="24"/>
      <c r="F20084" s="24"/>
      <c r="G20084" s="24"/>
      <c r="H20084" s="24"/>
      <c r="I20084" s="24"/>
      <c r="J20084" s="24"/>
      <c r="K20084" s="24"/>
    </row>
    <row r="20085" customFormat="false" ht="15" hidden="false" customHeight="false" outlineLevel="0" collapsed="false">
      <c r="A20085" s="2" t="s">
        <v>457</v>
      </c>
      <c r="C20085" s="16" t="n">
        <f aca="false">C20050+C20080</f>
        <v>216.2968</v>
      </c>
    </row>
    <row r="20086" customFormat="false" ht="15" hidden="false" customHeight="false" outlineLevel="0" collapsed="false">
      <c r="A20086" s="2" t="s">
        <v>458</v>
      </c>
      <c r="C20086" s="16" t="n">
        <f aca="false">C20051+C20081</f>
        <v>28.2507919999998</v>
      </c>
    </row>
    <row r="20087" customFormat="false" ht="15" hidden="false" customHeight="false" outlineLevel="0" collapsed="false">
      <c r="A20087" s="2" t="s">
        <v>459</v>
      </c>
      <c r="C20087" s="16" t="n">
        <f aca="false">C20052+C20082</f>
        <v>0</v>
      </c>
    </row>
    <row r="20088" customFormat="false" ht="15" hidden="false" customHeight="false" outlineLevel="0" collapsed="false">
      <c r="A20088" s="2" t="s">
        <v>460</v>
      </c>
      <c r="C20088" s="16" t="n">
        <f aca="false">C20053+C20083</f>
        <v>0</v>
      </c>
    </row>
    <row r="20089" customFormat="false" ht="15" hidden="false" customHeight="false" outlineLevel="0" collapsed="false">
      <c r="A20089" s="23" t="s">
        <v>471</v>
      </c>
      <c r="B20089" s="24"/>
      <c r="C20089" s="24"/>
      <c r="D20089" s="24"/>
      <c r="E20089" s="24"/>
      <c r="F20089" s="24"/>
      <c r="G20089" s="24"/>
      <c r="H20089" s="24"/>
      <c r="I20089" s="24"/>
      <c r="J20089" s="24"/>
      <c r="K20089" s="24"/>
    </row>
    <row r="20090" customFormat="false" ht="15" hidden="false" customHeight="false" outlineLevel="0" collapsed="false">
      <c r="A20090" s="5" t="s">
        <v>457</v>
      </c>
      <c r="C20090" s="21" t="n">
        <f aca="false">IF(C20035=0,1,C20085/C20035)</f>
        <v>1</v>
      </c>
    </row>
    <row r="20091" customFormat="false" ht="15" hidden="false" customHeight="false" outlineLevel="0" collapsed="false">
      <c r="A20091" s="5" t="s">
        <v>458</v>
      </c>
      <c r="C20091" s="21" t="n">
        <f aca="false">IF(C20036=0,1,C20086/C20036)</f>
        <v>0.0554371899529039</v>
      </c>
    </row>
    <row r="20092" customFormat="false" ht="15" hidden="false" customHeight="false" outlineLevel="0" collapsed="false">
      <c r="A20092" s="5" t="s">
        <v>459</v>
      </c>
      <c r="C20092" s="21" t="n">
        <f aca="false">IF(C20037=0,1,C20087/C20037)</f>
        <v>0</v>
      </c>
    </row>
    <row r="20093" customFormat="false" ht="15" hidden="false" customHeight="false" outlineLevel="0" collapsed="false">
      <c r="A20093" s="5" t="s">
        <v>460</v>
      </c>
      <c r="C20093" s="21" t="n">
        <f aca="false">IF(C20038=0,1,C20088/C20038)</f>
        <v>0</v>
      </c>
    </row>
    <row r="20094" customFormat="false" ht="15" hidden="false" customHeight="false" outlineLevel="0" collapsed="false">
      <c r="A20094" s="23" t="s">
        <v>472</v>
      </c>
      <c r="B20094" s="24"/>
      <c r="C20094" s="24"/>
      <c r="D20094" s="24"/>
      <c r="E20094" s="24"/>
      <c r="F20094" s="24"/>
      <c r="G20094" s="24"/>
      <c r="H20094" s="24"/>
      <c r="I20094" s="24"/>
      <c r="J20094" s="24"/>
      <c r="K20094" s="24"/>
    </row>
    <row r="20095" customFormat="false" ht="15" hidden="false" customHeight="false" outlineLevel="0" collapsed="false">
      <c r="A20095" s="5" t="s">
        <v>457</v>
      </c>
      <c r="C20095" s="25" t="n">
        <f aca="false">C20035-C20085</f>
        <v>0</v>
      </c>
    </row>
    <row r="20096" customFormat="false" ht="15" hidden="false" customHeight="false" outlineLevel="0" collapsed="false">
      <c r="A20096" s="5" t="s">
        <v>458</v>
      </c>
      <c r="C20096" s="25" t="n">
        <f aca="false">C20036-C20086</f>
        <v>481.349208</v>
      </c>
    </row>
    <row r="20097" customFormat="false" ht="15" hidden="false" customHeight="false" outlineLevel="0" collapsed="false">
      <c r="A20097" s="5" t="s">
        <v>459</v>
      </c>
      <c r="C20097" s="25" t="n">
        <f aca="false">C20037-C20087</f>
        <v>250</v>
      </c>
    </row>
    <row r="20098" customFormat="false" ht="15" hidden="false" customHeight="false" outlineLevel="0" collapsed="false">
      <c r="A20098" s="5" t="s">
        <v>460</v>
      </c>
      <c r="C20098" s="25" t="n">
        <f aca="false">C20038-C20088</f>
        <v>300</v>
      </c>
    </row>
    <row r="20099" customFormat="false" ht="15" hidden="false" customHeight="false" outlineLevel="0" collapsed="false">
      <c r="A20099" s="23" t="s">
        <v>473</v>
      </c>
      <c r="B20099" s="24"/>
      <c r="C20099" s="24"/>
      <c r="D20099" s="24"/>
      <c r="E20099" s="24"/>
      <c r="F20099" s="24"/>
      <c r="G20099" s="24"/>
      <c r="H20099" s="24"/>
      <c r="I20099" s="24"/>
      <c r="J20099" s="24"/>
      <c r="K20099" s="24"/>
    </row>
    <row r="20100" customFormat="false" ht="15" hidden="false" customHeight="false" outlineLevel="0" collapsed="false">
      <c r="A20100" s="5" t="s">
        <v>457</v>
      </c>
      <c r="C20100" s="21" t="n">
        <f aca="false">IF(C20035=0,0,C20095/C20035)</f>
        <v>0</v>
      </c>
    </row>
    <row r="20101" customFormat="false" ht="15" hidden="false" customHeight="false" outlineLevel="0" collapsed="false">
      <c r="A20101" s="5" t="s">
        <v>458</v>
      </c>
      <c r="C20101" s="21" t="n">
        <f aca="false">IF(C20036=0,0,C20096/C20036)</f>
        <v>0.944562810047096</v>
      </c>
    </row>
    <row r="20102" customFormat="false" ht="15" hidden="false" customHeight="false" outlineLevel="0" collapsed="false">
      <c r="A20102" s="5" t="s">
        <v>459</v>
      </c>
      <c r="C20102" s="21" t="n">
        <f aca="false">IF(C20037=0,0,C20097/C20037)</f>
        <v>1</v>
      </c>
    </row>
    <row r="20103" customFormat="false" ht="15" hidden="false" customHeight="false" outlineLevel="0" collapsed="false">
      <c r="A20103" s="5" t="s">
        <v>460</v>
      </c>
      <c r="C20103" s="21" t="n">
        <f aca="false">IF(C20038=0,0,C20098/C20038)</f>
        <v>1</v>
      </c>
    </row>
    <row r="20104" customFormat="false" ht="15" hidden="false" customHeight="false" outlineLevel="0" collapsed="false">
      <c r="A20104" s="2" t="s">
        <v>474</v>
      </c>
      <c r="C20104" s="16" t="n">
        <f aca="false">MAX(0,$C$20033-SUM($C$20050:$C$20053)-SUM($C$20060:$C$20063))</f>
        <v>0</v>
      </c>
    </row>
    <row r="20105" customFormat="false" ht="15" hidden="false" customHeight="false" outlineLevel="0" collapsed="false">
      <c r="A20105" s="5" t="s">
        <v>492</v>
      </c>
      <c r="C20105" s="33" t="n">
        <f aca="false">MIN(C20032,100*CHOOSE(C20022,C20090,C20091,C20092,C20093))</f>
        <v>5.54371899529039</v>
      </c>
    </row>
    <row r="20106" customFormat="false" ht="15" hidden="false" customHeight="false" outlineLevel="0" collapsed="false">
      <c r="A20106" s="5" t="s">
        <v>493</v>
      </c>
      <c r="C20106" s="20" t="n">
        <f aca="false">IF(C19938=1,C20027+Assumptions!$C$36,C20026)</f>
        <v>3</v>
      </c>
    </row>
    <row r="20107" customFormat="false" ht="15" hidden="false" customHeight="false" outlineLevel="0" collapsed="false">
      <c r="A20107" s="23" t="s">
        <v>494</v>
      </c>
      <c r="B20107" s="24"/>
      <c r="C20107" s="24"/>
      <c r="D20107" s="24"/>
      <c r="E20107" s="24"/>
      <c r="F20107" s="24"/>
      <c r="G20107" s="24"/>
      <c r="H20107" s="24"/>
      <c r="I20107" s="24"/>
      <c r="J20107" s="24"/>
      <c r="K20107" s="24"/>
    </row>
    <row r="20108" customFormat="false" ht="15" hidden="false" customHeight="false" outlineLevel="0" collapsed="false">
      <c r="A20108" s="5" t="s">
        <v>495</v>
      </c>
      <c r="C20108" s="20" t="n">
        <f aca="false">COLUMN()-COLUMN($C$1)</f>
        <v>0</v>
      </c>
      <c r="D20108" s="20" t="n">
        <f aca="false">COLUMN()-COLUMN($C$1)</f>
        <v>1</v>
      </c>
      <c r="E20108" s="20" t="n">
        <f aca="false">COLUMN()-COLUMN($C$1)</f>
        <v>2</v>
      </c>
      <c r="F20108" s="20" t="n">
        <f aca="false">COLUMN()-COLUMN($C$1)</f>
        <v>3</v>
      </c>
      <c r="G20108" s="20" t="n">
        <f aca="false">COLUMN()-COLUMN($C$1)</f>
        <v>4</v>
      </c>
      <c r="H20108" s="20" t="n">
        <f aca="false">COLUMN()-COLUMN($C$1)</f>
        <v>5</v>
      </c>
      <c r="I20108" s="20" t="n">
        <f aca="false">COLUMN()-COLUMN($C$1)</f>
        <v>6</v>
      </c>
    </row>
    <row r="20109" customFormat="false" ht="15" hidden="false" customHeight="false" outlineLevel="0" collapsed="false">
      <c r="A20109" s="5" t="s">
        <v>496</v>
      </c>
      <c r="D20109" s="30" t="n">
        <f aca="false">CHOOSE($C$20022,G19820,G19833,G19846,G19859)</f>
        <v>0.118</v>
      </c>
      <c r="E20109" s="30" t="n">
        <f aca="false">CHOOSE($C$20022,H19820,H19833,H19846,H19859)</f>
        <v>0.1155</v>
      </c>
      <c r="F20109" s="30" t="n">
        <f aca="false">CHOOSE($C$20022,I19820,I19833,I19846,I19859)</f>
        <v>0.113</v>
      </c>
      <c r="G20109" s="30" t="n">
        <f aca="false">CHOOSE($C$20022,J19820,J19833,J19846,J19859)</f>
        <v>0.113</v>
      </c>
      <c r="H20109" s="30" t="n">
        <f aca="false">CHOOSE($C$20022,K19820,K19833,K19846,K19859)</f>
        <v>0.113</v>
      </c>
    </row>
    <row r="20110" customFormat="false" ht="15" hidden="false" customHeight="false" outlineLevel="0" collapsed="false">
      <c r="A20110" s="5" t="s">
        <v>497</v>
      </c>
      <c r="D20110" s="25" t="n">
        <f aca="false">IF(D20108&lt;=$C$20031,$C$20023*D20109,0)</f>
        <v>11.8</v>
      </c>
      <c r="E20110" s="25" t="n">
        <f aca="false">IF(E20108&lt;=$C$20031,$C$20023*E20109,0)</f>
        <v>11.55</v>
      </c>
      <c r="F20110" s="25" t="n">
        <f aca="false">IF(F20108&lt;=$C$20031,$C$20023*F20109,0)</f>
        <v>0</v>
      </c>
      <c r="G20110" s="25" t="n">
        <f aca="false">IF(G20108&lt;=$C$20031,$C$20023*G20109,0)</f>
        <v>0</v>
      </c>
      <c r="H20110" s="25" t="n">
        <f aca="false">IF(H20108&lt;=$C$20031,$C$20023*H20109,0)</f>
        <v>0</v>
      </c>
    </row>
    <row r="20111" customFormat="false" ht="15" hidden="false" customHeight="false" outlineLevel="0" collapsed="false">
      <c r="A20111" s="5" t="s">
        <v>498</v>
      </c>
      <c r="D20111" s="25" t="n">
        <f aca="false">IF(AND($C$19938=0,D20108=$C$20026),$C$20023*$C$20105/100,0)+IF(AND($C$19938=1,D20108=$C$20106),$C$20029,0)</f>
        <v>0</v>
      </c>
      <c r="E20111" s="25" t="n">
        <f aca="false">IF(AND($C$19938=0,E20108=$C$20026),$C$20023*$C$20105/100,0)+IF(AND($C$19938=1,E20108=$C$20106),$C$20029,0)</f>
        <v>0</v>
      </c>
      <c r="F20111" s="25" t="n">
        <f aca="false">IF(AND($C$19938=0,F20108=$C$20026),$C$20023*$C$20105/100,0)+IF(AND($C$19938=1,F20108=$C$20106),$C$20029,0)</f>
        <v>56.4287463304553</v>
      </c>
      <c r="G20111" s="25" t="n">
        <f aca="false">IF(AND($C$19938=0,G20108=$C$20026),$C$20023*$C$20105/100,0)+IF(AND($C$19938=1,G20108=$C$20106),$C$20029,0)</f>
        <v>0</v>
      </c>
      <c r="H20111" s="25" t="n">
        <f aca="false">IF(AND($C$19938=0,H20108=$C$20026),$C$20023*$C$20105/100,0)+IF(AND($C$19938=1,H20108=$C$20106),$C$20029,0)</f>
        <v>0</v>
      </c>
      <c r="I20111" s="25" t="n">
        <f aca="false">IF(AND($C$19938=0,I20108=$C$20026),$C$20023*$C$20105/100,0)+IF(AND($C$19938=1,I20108=$C$20106),$C$20029,0)</f>
        <v>0</v>
      </c>
    </row>
    <row r="20112" customFormat="false" ht="15" hidden="false" customHeight="false" outlineLevel="0" collapsed="false">
      <c r="A20112" s="2" t="s">
        <v>499</v>
      </c>
      <c r="C20112" s="16" t="n">
        <f aca="false">-$C$20025</f>
        <v>-78.39</v>
      </c>
      <c r="D20112" s="16" t="n">
        <f aca="false">D20110+D20111</f>
        <v>11.8</v>
      </c>
      <c r="E20112" s="16" t="n">
        <f aca="false">E20110+E20111</f>
        <v>11.55</v>
      </c>
      <c r="F20112" s="16" t="n">
        <f aca="false">F20110+F20111</f>
        <v>56.4287463304553</v>
      </c>
      <c r="G20112" s="16" t="n">
        <f aca="false">G20110+G20111</f>
        <v>0</v>
      </c>
      <c r="H20112" s="16" t="n">
        <f aca="false">H20110+H20111</f>
        <v>0</v>
      </c>
      <c r="I20112" s="16" t="n">
        <f aca="false">I20110+I20111</f>
        <v>0</v>
      </c>
    </row>
    <row r="20113" customFormat="false" ht="15" hidden="false" customHeight="false" outlineLevel="0" collapsed="false">
      <c r="A20113" s="5" t="s">
        <v>500</v>
      </c>
      <c r="C20113" s="25" t="n">
        <f aca="false">SUM($C$20110:$I$20110)</f>
        <v>23.35</v>
      </c>
    </row>
    <row r="20114" customFormat="false" ht="15" hidden="false" customHeight="false" outlineLevel="0" collapsed="false">
      <c r="A20114" s="5" t="s">
        <v>501</v>
      </c>
      <c r="C20114" s="25" t="n">
        <f aca="false">SUM($C$20111:$I$20111)</f>
        <v>56.4287463304553</v>
      </c>
    </row>
    <row r="20115" customFormat="false" ht="15" hidden="false" customHeight="false" outlineLevel="0" collapsed="false">
      <c r="A20115" s="5" t="s">
        <v>502</v>
      </c>
      <c r="C20115" s="25" t="n">
        <f aca="false">C20113+C20114</f>
        <v>79.7787463304553</v>
      </c>
    </row>
    <row r="20116" customFormat="false" ht="15" hidden="false" customHeight="false" outlineLevel="0" collapsed="false">
      <c r="A20116" s="5" t="s">
        <v>503</v>
      </c>
      <c r="C20116" s="25" t="n">
        <f aca="false">C20114-C20023*C20024/100</f>
        <v>-21.5712536695447</v>
      </c>
    </row>
    <row r="20117" customFormat="false" ht="15" hidden="false" customHeight="false" outlineLevel="0" collapsed="false">
      <c r="A20117" s="5" t="s">
        <v>504</v>
      </c>
      <c r="C20117" s="25" t="n">
        <f aca="false">C20115-C20025</f>
        <v>1.38874633045526</v>
      </c>
    </row>
    <row r="20118" customFormat="false" ht="15" hidden="false" customHeight="false" outlineLevel="0" collapsed="false">
      <c r="A20118" s="2" t="s">
        <v>385</v>
      </c>
      <c r="C20118" s="43" t="n">
        <f aca="false">C20115/C20025</f>
        <v>1.01771586082989</v>
      </c>
    </row>
    <row r="20119" customFormat="false" ht="15" hidden="false" customHeight="false" outlineLevel="0" collapsed="false">
      <c r="A20119" s="2" t="s">
        <v>384</v>
      </c>
      <c r="C20119" s="41" t="n">
        <f aca="false">IF(C20115&lt;=0,-1,IFERROR(IRR($C$20112:$I$20112,MAX(-0.9,C20118^(1/C20106)-1)),IRR($C$20112:$I$20112,0.1)))</f>
        <v>0.00688989684099931</v>
      </c>
    </row>
    <row r="20120" customFormat="false" ht="15" hidden="false" customHeight="false" outlineLevel="0" collapsed="false">
      <c r="A20120" s="5" t="s">
        <v>505</v>
      </c>
      <c r="C20120" s="31" t="n">
        <f aca="false">MAX($G$19914:$K$19914)</f>
        <v>28.5681105622991</v>
      </c>
    </row>
    <row r="20121" customFormat="false" ht="15" hidden="false" customHeight="false" outlineLevel="0" collapsed="false">
      <c r="A20121" s="5" t="s">
        <v>506</v>
      </c>
      <c r="C20121" s="31" t="n">
        <f aca="false">MIN($G$19915:$K$19915)</f>
        <v>0.374027109660081</v>
      </c>
    </row>
    <row r="20122" customFormat="false" ht="15" hidden="false" customHeight="false" outlineLevel="0" collapsed="false">
      <c r="A20122" s="5" t="s">
        <v>507</v>
      </c>
      <c r="C20122" s="25" t="n">
        <f aca="false">SUM($G$19804:$K$19804)</f>
        <v>-481.4808823404</v>
      </c>
    </row>
    <row r="20126" customFormat="false" ht="15" hidden="false" customHeight="false" outlineLevel="0" collapsed="false">
      <c r="A20126" s="9" t="s">
        <v>683</v>
      </c>
      <c r="B20126" s="10"/>
      <c r="C20126" s="10"/>
      <c r="D20126" s="10"/>
      <c r="E20126" s="10"/>
      <c r="F20126" s="10"/>
      <c r="G20126" s="10"/>
      <c r="H20126" s="10"/>
      <c r="I20126" s="10"/>
      <c r="J20126" s="10"/>
      <c r="K20126" s="10"/>
    </row>
    <row r="20127" customFormat="false" ht="15" hidden="false" customHeight="false" outlineLevel="0" collapsed="false">
      <c r="A20127" s="5" t="s">
        <v>622</v>
      </c>
      <c r="C20127" s="11" t="n">
        <v>2</v>
      </c>
    </row>
    <row r="20128" customFormat="false" ht="15" hidden="false" customHeight="false" outlineLevel="0" collapsed="false">
      <c r="A20128" s="5" t="s">
        <v>623</v>
      </c>
      <c r="C20128" s="18" t="n">
        <v>0</v>
      </c>
    </row>
    <row r="20129" customFormat="false" ht="15" hidden="false" customHeight="false" outlineLevel="0" collapsed="false">
      <c r="A20129" s="5" t="s">
        <v>624</v>
      </c>
      <c r="C20129" s="18" t="n">
        <v>0</v>
      </c>
    </row>
    <row r="20130" customFormat="false" ht="15" hidden="false" customHeight="false" outlineLevel="0" collapsed="false">
      <c r="A20130" s="5" t="s">
        <v>625</v>
      </c>
      <c r="C20130" s="18" t="n">
        <v>0</v>
      </c>
    </row>
    <row r="20131" customFormat="false" ht="15" hidden="false" customHeight="false" outlineLevel="0" collapsed="false">
      <c r="A20131" s="5" t="s">
        <v>626</v>
      </c>
      <c r="C20131" s="32" t="n">
        <f aca="false">Sensitivities!$A$64</f>
        <v>2</v>
      </c>
    </row>
    <row r="20133" customFormat="false" ht="15" hidden="false" customHeight="false" outlineLevel="0" collapsed="false">
      <c r="A20133" s="23" t="s">
        <v>237</v>
      </c>
      <c r="B20133" s="24"/>
      <c r="C20133" s="24"/>
      <c r="D20133" s="24"/>
      <c r="E20133" s="24"/>
      <c r="F20133" s="24"/>
      <c r="G20133" s="24"/>
      <c r="H20133" s="24"/>
      <c r="I20133" s="24"/>
      <c r="J20133" s="24"/>
      <c r="K20133" s="24"/>
    </row>
    <row r="20134" customFormat="false" ht="15" hidden="false" customHeight="false" outlineLevel="0" collapsed="false">
      <c r="A20134" s="5" t="s">
        <v>238</v>
      </c>
      <c r="F20134" s="26" t="n">
        <f aca="false">Assumptions!$C$6</f>
        <v>2025</v>
      </c>
      <c r="G20134" s="20" t="n">
        <f aca="false">F20134+1</f>
        <v>2026</v>
      </c>
      <c r="H20134" s="20" t="n">
        <f aca="false">G20134+1</f>
        <v>2027</v>
      </c>
      <c r="I20134" s="20" t="n">
        <f aca="false">H20134+1</f>
        <v>2028</v>
      </c>
      <c r="J20134" s="20" t="n">
        <f aca="false">I20134+1</f>
        <v>2029</v>
      </c>
      <c r="K20134" s="20" t="n">
        <f aca="false">J20134+1</f>
        <v>2030</v>
      </c>
    </row>
    <row r="20135" customFormat="false" ht="15" hidden="false" customHeight="false" outlineLevel="0" collapsed="false">
      <c r="A20135" s="5" t="s">
        <v>239</v>
      </c>
      <c r="G20135" s="20" t="n">
        <f aca="false">G20134-Assumptions!$C$6</f>
        <v>1</v>
      </c>
      <c r="H20135" s="20" t="n">
        <f aca="false">H20134-Assumptions!$C$6</f>
        <v>2</v>
      </c>
      <c r="I20135" s="20" t="n">
        <f aca="false">I20134-Assumptions!$C$6</f>
        <v>3</v>
      </c>
      <c r="J20135" s="20" t="n">
        <f aca="false">J20134-Assumptions!$C$6</f>
        <v>4</v>
      </c>
      <c r="K20135" s="20" t="n">
        <f aca="false">K20134-Assumptions!$C$6</f>
        <v>5</v>
      </c>
    </row>
    <row r="20136" customFormat="false" ht="15" hidden="false" customHeight="false" outlineLevel="0" collapsed="false">
      <c r="A20136" s="5" t="s">
        <v>149</v>
      </c>
      <c r="G20136" s="21" t="n">
        <f aca="false">CHOOSE($C$20127,Assumptions!$G$65,Assumptions!$G$84,Assumptions!$G$103)+$C$20128</f>
        <v>-0.078</v>
      </c>
      <c r="H20136" s="21" t="n">
        <f aca="false">CHOOSE($C$20127,Assumptions!$H$65,Assumptions!$H$84,Assumptions!$H$103)+$C$20128</f>
        <v>-0.039</v>
      </c>
      <c r="I20136" s="21" t="n">
        <f aca="false">CHOOSE($C$20127,Assumptions!$I$65,Assumptions!$I$84,Assumptions!$I$103)+$C$20128</f>
        <v>-0.005</v>
      </c>
      <c r="J20136" s="21" t="n">
        <f aca="false">CHOOSE($C$20127,Assumptions!$J$65,Assumptions!$J$84,Assumptions!$J$103)+$C$20128</f>
        <v>-0.01</v>
      </c>
      <c r="K20136" s="21" t="n">
        <f aca="false">CHOOSE($C$20127,Assumptions!$K$65,Assumptions!$K$84,Assumptions!$K$103)+$C$20128</f>
        <v>-0.01</v>
      </c>
    </row>
    <row r="20137" customFormat="false" ht="15" hidden="false" customHeight="false" outlineLevel="0" collapsed="false">
      <c r="A20137" s="5" t="s">
        <v>150</v>
      </c>
      <c r="G20137" s="21" t="n">
        <f aca="false">CHOOSE($C$20127,Assumptions!$G$66,Assumptions!$G$85,Assumptions!$G$104)</f>
        <v>0.33</v>
      </c>
      <c r="H20137" s="21" t="n">
        <f aca="false">CHOOSE($C$20127,Assumptions!$H$66,Assumptions!$H$85,Assumptions!$H$104)</f>
        <v>0.318</v>
      </c>
      <c r="I20137" s="21" t="n">
        <f aca="false">CHOOSE($C$20127,Assumptions!$I$66,Assumptions!$I$85,Assumptions!$I$104)</f>
        <v>0.324</v>
      </c>
      <c r="J20137" s="21" t="n">
        <f aca="false">CHOOSE($C$20127,Assumptions!$J$66,Assumptions!$J$85,Assumptions!$J$104)</f>
        <v>0.33</v>
      </c>
      <c r="K20137" s="21" t="n">
        <f aca="false">CHOOSE($C$20127,Assumptions!$K$66,Assumptions!$K$85,Assumptions!$K$104)</f>
        <v>0.336</v>
      </c>
    </row>
    <row r="20138" customFormat="false" ht="15" hidden="false" customHeight="false" outlineLevel="0" collapsed="false">
      <c r="A20138" s="5" t="s">
        <v>151</v>
      </c>
      <c r="G20138" s="21" t="n">
        <f aca="false">CHOOSE($C$20127,Assumptions!$G$67,Assumptions!$G$86,Assumptions!$G$105)+$C$20129</f>
        <v>0.035</v>
      </c>
      <c r="H20138" s="21" t="n">
        <f aca="false">CHOOSE($C$20127,Assumptions!$H$67,Assumptions!$H$86,Assumptions!$H$105)+$C$20129</f>
        <v>0.023</v>
      </c>
      <c r="I20138" s="21" t="n">
        <f aca="false">CHOOSE($C$20127,Assumptions!$I$67,Assumptions!$I$86,Assumptions!$I$105)+$C$20129</f>
        <v>0.029</v>
      </c>
      <c r="J20138" s="21" t="n">
        <f aca="false">CHOOSE($C$20127,Assumptions!$J$67,Assumptions!$J$86,Assumptions!$J$105)+$C$20129</f>
        <v>0.035</v>
      </c>
      <c r="K20138" s="21" t="n">
        <f aca="false">CHOOSE($C$20127,Assumptions!$K$67,Assumptions!$K$86,Assumptions!$K$105)+$C$20129</f>
        <v>0.041</v>
      </c>
    </row>
    <row r="20139" customFormat="false" ht="15" hidden="false" customHeight="false" outlineLevel="0" collapsed="false">
      <c r="A20139" s="23" t="s">
        <v>240</v>
      </c>
      <c r="B20139" s="24"/>
      <c r="C20139" s="24"/>
      <c r="D20139" s="24"/>
      <c r="E20139" s="24"/>
      <c r="F20139" s="24"/>
      <c r="G20139" s="24"/>
      <c r="H20139" s="24"/>
      <c r="I20139" s="24"/>
      <c r="J20139" s="24"/>
      <c r="K20139" s="24"/>
    </row>
    <row r="20140" customFormat="false" ht="15" hidden="false" customHeight="false" outlineLevel="0" collapsed="false">
      <c r="A20140" s="2" t="s">
        <v>207</v>
      </c>
      <c r="F20140" s="27" t="n">
        <f aca="false">'Historical Financials'!E17</f>
        <v>2400</v>
      </c>
      <c r="G20140" s="16" t="n">
        <f aca="false">F20140*(1+G20136)</f>
        <v>2212.8</v>
      </c>
      <c r="H20140" s="16" t="n">
        <f aca="false">G20140*(1+H20136)</f>
        <v>2126.5008</v>
      </c>
      <c r="I20140" s="16" t="n">
        <f aca="false">H20140*(1+I20136)</f>
        <v>2115.868296</v>
      </c>
      <c r="J20140" s="16" t="n">
        <f aca="false">I20140*(1+J20136)</f>
        <v>2094.70961304</v>
      </c>
      <c r="K20140" s="16" t="n">
        <f aca="false">J20140*(1+K20136)</f>
        <v>2073.7625169096</v>
      </c>
    </row>
    <row r="20141" customFormat="false" ht="15" hidden="false" customHeight="false" outlineLevel="0" collapsed="false">
      <c r="A20141" s="5" t="s">
        <v>217</v>
      </c>
      <c r="G20141" s="25" t="n">
        <f aca="false">G20140*(1-G20137)</f>
        <v>1482.576</v>
      </c>
      <c r="H20141" s="25" t="n">
        <f aca="false">H20140*(1-H20137)</f>
        <v>1450.2735456</v>
      </c>
      <c r="I20141" s="25" t="n">
        <f aca="false">I20140*(1-I20137)</f>
        <v>1430.326968096</v>
      </c>
      <c r="J20141" s="25" t="n">
        <f aca="false">J20140*(1-J20137)</f>
        <v>1403.4554407368</v>
      </c>
      <c r="K20141" s="25" t="n">
        <f aca="false">K20140*(1-K20137)</f>
        <v>1376.97831122797</v>
      </c>
    </row>
    <row r="20142" customFormat="false" ht="15" hidden="false" customHeight="false" outlineLevel="0" collapsed="false">
      <c r="A20142" s="2" t="s">
        <v>218</v>
      </c>
      <c r="G20142" s="16" t="n">
        <f aca="false">G20140-G20141</f>
        <v>730.224</v>
      </c>
      <c r="H20142" s="16" t="n">
        <f aca="false">H20140-H20141</f>
        <v>676.2272544</v>
      </c>
      <c r="I20142" s="16" t="n">
        <f aca="false">I20140-I20141</f>
        <v>685.541327904</v>
      </c>
      <c r="J20142" s="16" t="n">
        <f aca="false">J20140-J20141</f>
        <v>691.2541723032</v>
      </c>
      <c r="K20142" s="16" t="n">
        <f aca="false">K20140-K20141</f>
        <v>696.784205681626</v>
      </c>
    </row>
    <row r="20143" customFormat="false" ht="15" hidden="false" customHeight="false" outlineLevel="0" collapsed="false">
      <c r="A20143" s="5" t="s">
        <v>241</v>
      </c>
      <c r="G20143" s="25" t="n">
        <f aca="false">G20142-G20144</f>
        <v>652.776</v>
      </c>
      <c r="H20143" s="25" t="n">
        <f aca="false">H20142-H20144</f>
        <v>627.317736</v>
      </c>
      <c r="I20143" s="25" t="n">
        <f aca="false">I20142-I20144</f>
        <v>624.18114732</v>
      </c>
      <c r="J20143" s="25" t="n">
        <f aca="false">J20142-J20144</f>
        <v>617.9393358468</v>
      </c>
      <c r="K20143" s="25" t="n">
        <f aca="false">K20142-K20144</f>
        <v>611.759942488332</v>
      </c>
    </row>
    <row r="20144" customFormat="false" ht="15" hidden="false" customHeight="false" outlineLevel="0" collapsed="false">
      <c r="A20144" s="2" t="s">
        <v>242</v>
      </c>
      <c r="G20144" s="16" t="n">
        <f aca="false">G20140*G20138</f>
        <v>77.448</v>
      </c>
      <c r="H20144" s="16" t="n">
        <f aca="false">H20140*H20138</f>
        <v>48.9095184</v>
      </c>
      <c r="I20144" s="16" t="n">
        <f aca="false">I20140*I20138</f>
        <v>61.360180584</v>
      </c>
      <c r="J20144" s="16" t="n">
        <f aca="false">J20140*J20138</f>
        <v>73.3148364564</v>
      </c>
      <c r="K20144" s="16" t="n">
        <f aca="false">K20140*K20138</f>
        <v>85.0242631932936</v>
      </c>
    </row>
    <row r="20145" customFormat="false" ht="15" hidden="false" customHeight="false" outlineLevel="0" collapsed="false">
      <c r="A20145" s="5" t="s">
        <v>243</v>
      </c>
      <c r="G20145" s="25" t="n">
        <f aca="false">G20140*'Historical Financials'!E22/'Historical Financials'!E17</f>
        <v>48.6816</v>
      </c>
      <c r="H20145" s="25" t="n">
        <f aca="false">H20140*'Historical Financials'!E22/'Historical Financials'!E17</f>
        <v>46.7830176</v>
      </c>
      <c r="I20145" s="25" t="n">
        <f aca="false">I20140*'Historical Financials'!E22/'Historical Financials'!E17</f>
        <v>46.549102512</v>
      </c>
      <c r="J20145" s="25" t="n">
        <f aca="false">J20140*'Historical Financials'!E22/'Historical Financials'!E17</f>
        <v>46.08361148688</v>
      </c>
      <c r="K20145" s="25" t="n">
        <f aca="false">K20140*'Historical Financials'!E22/'Historical Financials'!E17</f>
        <v>45.6227753720112</v>
      </c>
    </row>
    <row r="20146" customFormat="false" ht="15" hidden="false" customHeight="false" outlineLevel="0" collapsed="false">
      <c r="A20146" s="5" t="s">
        <v>244</v>
      </c>
      <c r="G20146" s="25" t="n">
        <f aca="false">G20140*'Historical Financials'!E23/'Historical Financials'!E17</f>
        <v>0</v>
      </c>
      <c r="H20146" s="25" t="n">
        <f aca="false">H20140*'Historical Financials'!E23/'Historical Financials'!E17</f>
        <v>0</v>
      </c>
      <c r="I20146" s="25" t="n">
        <f aca="false">I20140*'Historical Financials'!E23/'Historical Financials'!E17</f>
        <v>0</v>
      </c>
      <c r="J20146" s="25" t="n">
        <f aca="false">J20140*'Historical Financials'!E23/'Historical Financials'!E17</f>
        <v>0</v>
      </c>
      <c r="K20146" s="25" t="n">
        <f aca="false">K20140*'Historical Financials'!E23/'Historical Financials'!E17</f>
        <v>0</v>
      </c>
    </row>
    <row r="20147" customFormat="false" ht="15" hidden="false" customHeight="false" outlineLevel="0" collapsed="false">
      <c r="A20147" s="2" t="s">
        <v>245</v>
      </c>
      <c r="G20147" s="16" t="n">
        <f aca="false">G20144-G20145-G20146</f>
        <v>28.7664</v>
      </c>
      <c r="H20147" s="16" t="n">
        <f aca="false">H20144-H20145-H20146</f>
        <v>2.12650079999998</v>
      </c>
      <c r="I20147" s="16" t="n">
        <f aca="false">I20144-I20145-I20146</f>
        <v>14.811078072</v>
      </c>
      <c r="J20147" s="16" t="n">
        <f aca="false">J20144-J20145-J20146</f>
        <v>27.23122496952</v>
      </c>
      <c r="K20147" s="16" t="n">
        <f aca="false">K20144-K20145-K20146</f>
        <v>39.4014878212824</v>
      </c>
    </row>
    <row r="20148" customFormat="false" ht="15" hidden="false" customHeight="false" outlineLevel="0" collapsed="false">
      <c r="A20148" s="5" t="s">
        <v>246</v>
      </c>
      <c r="G20148" s="25" t="n">
        <f aca="false">G20174+G20187+G20200+G20213</f>
        <v>129.54</v>
      </c>
      <c r="H20148" s="25" t="n">
        <f aca="false">H20174+H20187+H20200+H20213</f>
        <v>130.7646348</v>
      </c>
      <c r="I20148" s="25" t="n">
        <f aca="false">I20174+I20187+I20200+I20213</f>
        <v>128.3492928</v>
      </c>
      <c r="J20148" s="25" t="n">
        <f aca="false">J20174+J20187+J20200+J20213</f>
        <v>127.7616928</v>
      </c>
      <c r="K20148" s="25" t="n">
        <f aca="false">K20174+K20187+K20200+K20213</f>
        <v>127.1740928</v>
      </c>
    </row>
    <row r="20149" customFormat="false" ht="15" hidden="false" customHeight="false" outlineLevel="0" collapsed="false">
      <c r="A20149" s="5" t="s">
        <v>247</v>
      </c>
      <c r="G20149" s="25" t="n">
        <f aca="false">G20175+G20188+G20201+G20214</f>
        <v>0</v>
      </c>
      <c r="H20149" s="25" t="n">
        <f aca="false">H20175+H20188+H20201+H20214</f>
        <v>0</v>
      </c>
      <c r="I20149" s="25" t="n">
        <f aca="false">I20175+I20188+I20201+I20214</f>
        <v>0</v>
      </c>
      <c r="J20149" s="25" t="n">
        <f aca="false">J20175+J20188+J20201+J20214</f>
        <v>0</v>
      </c>
      <c r="K20149" s="25" t="n">
        <f aca="false">K20175+K20188+K20201+K20214</f>
        <v>0</v>
      </c>
    </row>
    <row r="20150" customFormat="false" ht="15" hidden="false" customHeight="false" outlineLevel="0" collapsed="false">
      <c r="A20150" s="5" t="s">
        <v>212</v>
      </c>
      <c r="G20150" s="25" t="n">
        <f aca="false">G20148+G20149</f>
        <v>129.54</v>
      </c>
      <c r="H20150" s="25" t="n">
        <f aca="false">H20148+H20149</f>
        <v>130.7646348</v>
      </c>
      <c r="I20150" s="25" t="n">
        <f aca="false">I20148+I20149</f>
        <v>128.3492928</v>
      </c>
      <c r="J20150" s="25" t="n">
        <f aca="false">J20148+J20149</f>
        <v>127.7616928</v>
      </c>
      <c r="K20150" s="25" t="n">
        <f aca="false">K20148+K20149</f>
        <v>127.1740928</v>
      </c>
    </row>
    <row r="20151" customFormat="false" ht="15" hidden="false" customHeight="false" outlineLevel="0" collapsed="false">
      <c r="A20151" s="2" t="s">
        <v>223</v>
      </c>
      <c r="G20151" s="16" t="n">
        <f aca="false">G20147-G20150</f>
        <v>-100.7736</v>
      </c>
      <c r="H20151" s="16" t="n">
        <f aca="false">H20147-H20150</f>
        <v>-128.638134</v>
      </c>
      <c r="I20151" s="16" t="n">
        <f aca="false">I20147-I20150</f>
        <v>-113.538214728</v>
      </c>
      <c r="J20151" s="16" t="n">
        <f aca="false">J20147-J20150</f>
        <v>-100.53046783048</v>
      </c>
      <c r="K20151" s="16" t="n">
        <f aca="false">K20147-K20150</f>
        <v>-87.7726049787176</v>
      </c>
    </row>
    <row r="20152" customFormat="false" ht="15" hidden="false" customHeight="false" outlineLevel="0" collapsed="false">
      <c r="A20152" s="5" t="s">
        <v>213</v>
      </c>
      <c r="G20152" s="25" t="n">
        <f aca="false">MAX(0,G20151)*Assumptions!$C$9</f>
        <v>0</v>
      </c>
      <c r="H20152" s="25" t="n">
        <f aca="false">MAX(0,H20151)*Assumptions!$C$9</f>
        <v>0</v>
      </c>
      <c r="I20152" s="25" t="n">
        <f aca="false">MAX(0,I20151)*Assumptions!$C$9</f>
        <v>0</v>
      </c>
      <c r="J20152" s="25" t="n">
        <f aca="false">MAX(0,J20151)*Assumptions!$C$9</f>
        <v>0</v>
      </c>
      <c r="K20152" s="25" t="n">
        <f aca="false">MAX(0,K20151)*Assumptions!$C$9</f>
        <v>0</v>
      </c>
    </row>
    <row r="20153" customFormat="false" ht="15" hidden="false" customHeight="false" outlineLevel="0" collapsed="false">
      <c r="A20153" s="2" t="s">
        <v>248</v>
      </c>
      <c r="G20153" s="16" t="n">
        <f aca="false">G20151-G20152</f>
        <v>-100.7736</v>
      </c>
      <c r="H20153" s="16" t="n">
        <f aca="false">H20151-H20152</f>
        <v>-128.638134</v>
      </c>
      <c r="I20153" s="16" t="n">
        <f aca="false">I20151-I20152</f>
        <v>-113.538214728</v>
      </c>
      <c r="J20153" s="16" t="n">
        <f aca="false">J20151-J20152</f>
        <v>-100.53046783048</v>
      </c>
      <c r="K20153" s="16" t="n">
        <f aca="false">K20151-K20152</f>
        <v>-87.7726049787176</v>
      </c>
    </row>
    <row r="20154" customFormat="false" ht="15" hidden="false" customHeight="false" outlineLevel="0" collapsed="false">
      <c r="A20154" s="23" t="s">
        <v>249</v>
      </c>
      <c r="B20154" s="24"/>
      <c r="C20154" s="24"/>
      <c r="D20154" s="24"/>
      <c r="E20154" s="24"/>
      <c r="F20154" s="24"/>
      <c r="G20154" s="24"/>
      <c r="H20154" s="24"/>
      <c r="I20154" s="24"/>
      <c r="J20154" s="24"/>
      <c r="K20154" s="24"/>
    </row>
    <row r="20155" customFormat="false" ht="15" hidden="false" customHeight="false" outlineLevel="0" collapsed="false">
      <c r="A20155" s="5" t="s">
        <v>153</v>
      </c>
      <c r="G20155" s="25" t="n">
        <f aca="false">G20140*CHOOSE($C$20127,Assumptions!$C$69,Assumptions!$C$88,Assumptions!$C$107)</f>
        <v>42.0432</v>
      </c>
      <c r="H20155" s="25" t="n">
        <f aca="false">H20140*CHOOSE($C$20127,Assumptions!$C$69,Assumptions!$C$88,Assumptions!$C$107)</f>
        <v>40.4035152</v>
      </c>
      <c r="I20155" s="25" t="n">
        <f aca="false">I20140*CHOOSE($C$20127,Assumptions!$C$69,Assumptions!$C$88,Assumptions!$C$107)</f>
        <v>40.201497624</v>
      </c>
      <c r="J20155" s="25" t="n">
        <f aca="false">J20140*CHOOSE($C$20127,Assumptions!$C$69,Assumptions!$C$88,Assumptions!$C$107)</f>
        <v>39.79948264776</v>
      </c>
      <c r="K20155" s="25" t="n">
        <f aca="false">K20140*CHOOSE($C$20127,Assumptions!$C$69,Assumptions!$C$88,Assumptions!$C$107)</f>
        <v>39.4014878212824</v>
      </c>
    </row>
    <row r="20156" customFormat="false" ht="15" hidden="false" customHeight="false" outlineLevel="0" collapsed="false">
      <c r="A20156" s="5" t="s">
        <v>250</v>
      </c>
      <c r="G20156" s="25" t="n">
        <f aca="false">CHOOSE($C$20127,Assumptions!$C$70,Assumptions!$C$89,Assumptions!$C$108)*(G20140-F20140)+CHOOSE($C$20127,Assumptions!$C$71,Assumptions!$C$90,Assumptions!$C$109)*G20140</f>
        <v>-18.0384</v>
      </c>
      <c r="H20156" s="25" t="n">
        <f aca="false">CHOOSE($C$20127,Assumptions!$C$70,Assumptions!$C$89,Assumptions!$C$108)*(H20140-G20140)+CHOOSE($C$20127,Assumptions!$C$71,Assumptions!$C$90,Assumptions!$C$109)*H20140</f>
        <v>-6.10290239999999</v>
      </c>
      <c r="I20156" s="25" t="n">
        <f aca="false">CHOOSE($C$20127,Assumptions!$C$70,Assumptions!$C$89,Assumptions!$C$108)*(I20140-H20140)+CHOOSE($C$20127,Assumptions!$C$71,Assumptions!$C$90,Assumptions!$C$109)*I20140</f>
        <v>2.95583611199998</v>
      </c>
      <c r="J20156" s="25" t="n">
        <f aca="false">CHOOSE($C$20127,Assumptions!$C$70,Assumptions!$C$89,Assumptions!$C$108)*(J20140-I20140)+CHOOSE($C$20127,Assumptions!$C$71,Assumptions!$C$90,Assumptions!$C$109)*J20140</f>
        <v>1.65037727087999</v>
      </c>
      <c r="K20156" s="25" t="n">
        <f aca="false">CHOOSE($C$20127,Assumptions!$C$70,Assumptions!$C$89,Assumptions!$C$108)*(K20140-J20140)+CHOOSE($C$20127,Assumptions!$C$71,Assumptions!$C$90,Assumptions!$C$109)*K20140</f>
        <v>1.63387349817119</v>
      </c>
    </row>
    <row r="20157" customFormat="false" ht="15" hidden="false" customHeight="false" outlineLevel="0" collapsed="false">
      <c r="A20157" s="2" t="s">
        <v>251</v>
      </c>
      <c r="G20157" s="16" t="n">
        <f aca="false">G20153+G20145+G20146+G20149-G20155-G20156</f>
        <v>-76.0968</v>
      </c>
      <c r="H20157" s="16" t="n">
        <f aca="false">H20153+H20145+H20146+H20149-H20155-H20156</f>
        <v>-116.1557292</v>
      </c>
      <c r="I20157" s="16" t="n">
        <f aca="false">I20153+I20145+I20146+I20149-I20155-I20156</f>
        <v>-110.146445952</v>
      </c>
      <c r="J20157" s="16" t="n">
        <f aca="false">J20153+J20145+J20146+J20149-J20155-J20156</f>
        <v>-95.89671626224</v>
      </c>
      <c r="K20157" s="16" t="n">
        <f aca="false">K20153+K20145+K20146+K20149-K20155-K20156</f>
        <v>-83.18519092616</v>
      </c>
    </row>
    <row r="20159" customFormat="false" ht="15" hidden="false" customHeight="false" outlineLevel="0" collapsed="false">
      <c r="A20159" s="23" t="s">
        <v>253</v>
      </c>
      <c r="B20159" s="24"/>
      <c r="C20159" s="24"/>
      <c r="D20159" s="24"/>
      <c r="E20159" s="24"/>
      <c r="F20159" s="24"/>
      <c r="G20159" s="24"/>
      <c r="H20159" s="24"/>
      <c r="I20159" s="24"/>
      <c r="J20159" s="24"/>
      <c r="K20159" s="24"/>
    </row>
    <row r="20160" customFormat="false" ht="15" hidden="false" customHeight="false" outlineLevel="0" collapsed="false">
      <c r="A20160" s="5" t="s">
        <v>254</v>
      </c>
      <c r="G20160" s="29" t="n">
        <f aca="false">Assumptions!$G$49</f>
        <v>0.0425</v>
      </c>
      <c r="H20160" s="29" t="n">
        <f aca="false">Assumptions!$H$49</f>
        <v>0.04</v>
      </c>
      <c r="I20160" s="29" t="n">
        <f aca="false">Assumptions!$I$49</f>
        <v>0.0375</v>
      </c>
      <c r="J20160" s="29" t="n">
        <f aca="false">Assumptions!$J$49</f>
        <v>0.0375</v>
      </c>
      <c r="K20160" s="29" t="n">
        <f aca="false">Assumptions!$K$49</f>
        <v>0.0375</v>
      </c>
    </row>
    <row r="20161" customFormat="false" ht="15" hidden="false" customHeight="false" outlineLevel="0" collapsed="false">
      <c r="A20161" s="5" t="s">
        <v>255</v>
      </c>
      <c r="C20161" s="30" t="n">
        <f aca="false">CHOOSE($C$20127,Assumptions!$C$72,Assumptions!$C$91,Assumptions!$C$110)+$C$20130</f>
        <v>0.015</v>
      </c>
    </row>
    <row r="20162" customFormat="false" ht="15" hidden="false" customHeight="false" outlineLevel="0" collapsed="false">
      <c r="A20162" s="5" t="s">
        <v>256</v>
      </c>
      <c r="C20162" s="30" t="n">
        <f aca="false">CHOOSE($C$20127,Assumptions!$C$73,Assumptions!$C$92,Assumptions!$C$111)</f>
        <v>0.135</v>
      </c>
    </row>
    <row r="20163" customFormat="false" ht="15" hidden="false" customHeight="false" outlineLevel="0" collapsed="false">
      <c r="A20163" s="5" t="s">
        <v>257</v>
      </c>
      <c r="C20163" s="31" t="n">
        <f aca="false">CHOOSE($C$20127,Assumptions!$C$74,Assumptions!$C$93,Assumptions!$C$112)</f>
        <v>5.5</v>
      </c>
    </row>
    <row r="20164" customFormat="false" ht="15" hidden="false" customHeight="false" outlineLevel="0" collapsed="false">
      <c r="A20164" s="5" t="s">
        <v>258</v>
      </c>
      <c r="C20164" s="31" t="n">
        <f aca="false">CHOOSE($C$20127,Assumptions!$C$75,Assumptions!$C$94,Assumptions!$C$113)</f>
        <v>1.8</v>
      </c>
    </row>
    <row r="20165" customFormat="false" ht="15" hidden="false" customHeight="false" outlineLevel="0" collapsed="false">
      <c r="A20165" s="5" t="s">
        <v>259</v>
      </c>
      <c r="G20165" s="25" t="n">
        <f aca="false">G20170+G20183+G20196+G20209</f>
        <v>1250</v>
      </c>
      <c r="H20165" s="25" t="n">
        <f aca="false">H20170+H20183+H20196+H20209</f>
        <v>1281.0968</v>
      </c>
      <c r="I20165" s="25" t="n">
        <f aca="false">I20170+I20183+I20196+I20209</f>
        <v>1275.8968</v>
      </c>
      <c r="J20165" s="25" t="n">
        <f aca="false">J20170+J20183+J20196+J20209</f>
        <v>1270.6968</v>
      </c>
      <c r="K20165" s="25" t="n">
        <f aca="false">K20170+K20183+K20196+K20209</f>
        <v>1265.4968</v>
      </c>
    </row>
    <row r="20166" customFormat="false" ht="15" hidden="false" customHeight="false" outlineLevel="0" collapsed="false">
      <c r="A20166" s="5" t="s">
        <v>260</v>
      </c>
      <c r="G20166" s="25" t="n">
        <f aca="false">F20256</f>
        <v>45</v>
      </c>
      <c r="H20166" s="25" t="n">
        <f aca="false">G20256</f>
        <v>0</v>
      </c>
      <c r="I20166" s="25" t="n">
        <f aca="false">H20256</f>
        <v>-121.3557292</v>
      </c>
      <c r="J20166" s="25" t="n">
        <f aca="false">I20256</f>
        <v>-236.702175152</v>
      </c>
      <c r="K20166" s="25" t="n">
        <f aca="false">J20256</f>
        <v>-337.79889141424</v>
      </c>
    </row>
    <row r="20167" customFormat="false" ht="15" hidden="false" customHeight="false" outlineLevel="0" collapsed="false">
      <c r="A20167" s="5" t="s">
        <v>261</v>
      </c>
      <c r="G20167" s="25" t="n">
        <f aca="false">G20170*IF(G20171=1,$C$20162,IF(Assumptions!$I$53=1,MAX(G20160,Assumptions!$G$53)+Assumptions!$F$53+$C$20161,Assumptions!$E$53))+G20183*IF(G20184=1,$C$20162,IF(Assumptions!$I$54=1,MAX(G20160,Assumptions!$G$54)+Assumptions!$F$54+$C$20161,Assumptions!$E$54))+G20196*IF(G20197=1,$C$20162,IF(Assumptions!$I$55=1,MAX(G20160,Assumptions!$G$55)+Assumptions!$F$55+$C$20161,Assumptions!$E$55))+G20209*IF(G20210=1,$C$20162,IF(Assumptions!$I$56=1,MAX(G20160,Assumptions!$G$56)+Assumptions!$F$56+$C$20161,Assumptions!$E$56))</f>
        <v>129.54</v>
      </c>
      <c r="H20167" s="25" t="n">
        <f aca="false">H20170*IF(OR(H20171=1,G20322=1),$C$20162,IF(Assumptions!$I$53=1,MAX(H20160,Assumptions!$G$53)+Assumptions!$F$53+$C$20161,Assumptions!$E$53))+H20183*IF(OR(H20184=1,G20323=1),$C$20162,IF(Assumptions!$I$54=1,MAX(H20160,Assumptions!$G$54)+Assumptions!$F$54+$C$20161,Assumptions!$E$54))+H20196*IF(OR(H20197=1,G20324=1),$C$20162,IF(Assumptions!$I$55=1,MAX(H20160,Assumptions!$G$55)+Assumptions!$F$55+$C$20161,Assumptions!$E$55))+H20209*IF(OR(H20210=1,G20325=1),$C$20162,IF(Assumptions!$I$56=1,MAX(H20160,Assumptions!$G$56)+Assumptions!$F$56+$C$20161,Assumptions!$E$56))</f>
        <v>156.659468</v>
      </c>
      <c r="I20167" s="25" t="n">
        <f aca="false">I20170*IF(OR(I20171=1,H20322=1),$C$20162,IF(Assumptions!$I$53=1,MAX(I20160,Assumptions!$G$53)+Assumptions!$F$53+$C$20161,Assumptions!$E$53))+I20183*IF(OR(I20184=1,H20323=1),$C$20162,IF(Assumptions!$I$54=1,MAX(I20160,Assumptions!$G$54)+Assumptions!$F$54+$C$20161,Assumptions!$E$54))+I20196*IF(OR(I20197=1,H20324=1),$C$20162,IF(Assumptions!$I$55=1,MAX(I20160,Assumptions!$G$55)+Assumptions!$F$55+$C$20161,Assumptions!$E$55))+I20209*IF(OR(I20210=1,H20325=1),$C$20162,IF(Assumptions!$I$56=1,MAX(I20160,Assumptions!$G$56)+Assumptions!$F$56+$C$20161,Assumptions!$E$56))</f>
        <v>139.5604928</v>
      </c>
      <c r="J20167" s="25" t="n">
        <f aca="false">J20170*IF(OR(J20171=1,I20322=1),$C$20162,IF(Assumptions!$I$53=1,MAX(J20160,Assumptions!$G$53)+Assumptions!$F$53+$C$20161,Assumptions!$E$53))+J20183*IF(OR(J20184=1,I20323=1),$C$20162,IF(Assumptions!$I$54=1,MAX(J20160,Assumptions!$G$54)+Assumptions!$F$54+$C$20161,Assumptions!$E$54))+J20196*IF(OR(J20197=1,I20324=1),$C$20162,IF(Assumptions!$I$55=1,MAX(J20160,Assumptions!$G$55)+Assumptions!$F$55+$C$20161,Assumptions!$E$55))+J20209*IF(OR(J20210=1,I20325=1),$C$20162,IF(Assumptions!$I$56=1,MAX(J20160,Assumptions!$G$56)+Assumptions!$F$56+$C$20161,Assumptions!$E$56))</f>
        <v>134.0116928</v>
      </c>
      <c r="K20167" s="25" t="n">
        <f aca="false">K20170*IF(OR(K20171=1,J20322=1),$C$20162,IF(Assumptions!$I$53=1,MAX(K20160,Assumptions!$G$53)+Assumptions!$F$53+$C$20161,Assumptions!$E$53))+K20183*IF(OR(K20184=1,J20323=1),$C$20162,IF(Assumptions!$I$54=1,MAX(K20160,Assumptions!$G$54)+Assumptions!$F$54+$C$20161,Assumptions!$E$54))+K20196*IF(OR(K20197=1,J20324=1),$C$20162,IF(Assumptions!$I$55=1,MAX(K20160,Assumptions!$G$55)+Assumptions!$F$55+$C$20161,Assumptions!$E$55))+K20209*IF(OR(K20210=1,J20325=1),$C$20162,IF(Assumptions!$I$56=1,MAX(K20160,Assumptions!$G$56)+Assumptions!$F$56+$C$20161,Assumptions!$E$56))</f>
        <v>127.1740928</v>
      </c>
    </row>
    <row r="20168" customFormat="false" ht="15" hidden="false" customHeight="false" outlineLevel="0" collapsed="false">
      <c r="A20168" s="5" t="s">
        <v>262</v>
      </c>
      <c r="G20168" s="20" t="n">
        <f aca="false">IF(G20144&lt;=0,0,IF(AND((G20165-G20166)/G20144&lt;=$C$20163,G20144/G20167&gt;=$C$20164),1,0))</f>
        <v>0</v>
      </c>
      <c r="H20168" s="20" t="n">
        <f aca="false">IF(H20144&lt;=0,0,IF(AND((H20165-H20166)/H20144&lt;=$C$20163,H20144/H20167&gt;=$C$20164),1,0))</f>
        <v>0</v>
      </c>
      <c r="I20168" s="20" t="n">
        <f aca="false">IF(I20144&lt;=0,0,IF(AND((I20165-I20166)/I20144&lt;=$C$20163,I20144/I20167&gt;=$C$20164),1,0))</f>
        <v>0</v>
      </c>
      <c r="J20168" s="20" t="n">
        <f aca="false">IF(J20144&lt;=0,0,IF(AND((J20165-J20166)/J20144&lt;=$C$20163,J20144/J20167&gt;=$C$20164),1,0))</f>
        <v>0</v>
      </c>
      <c r="K20168" s="20" t="n">
        <f aca="false">IF(K20144&lt;=0,0,IF(AND((K20165-K20166)/K20144&lt;=$C$20163,K20144/K20167&gt;=$C$20164),1,0))</f>
        <v>0</v>
      </c>
    </row>
    <row r="20169" customFormat="false" ht="15" hidden="false" customHeight="false" outlineLevel="0" collapsed="false">
      <c r="A20169" s="23" t="s">
        <v>263</v>
      </c>
      <c r="B20169" s="24"/>
      <c r="C20169" s="24"/>
      <c r="D20169" s="24"/>
      <c r="E20169" s="24"/>
      <c r="F20169" s="24"/>
      <c r="G20169" s="24"/>
      <c r="H20169" s="24"/>
      <c r="I20169" s="24"/>
      <c r="J20169" s="24"/>
      <c r="K20169" s="24"/>
    </row>
    <row r="20170" customFormat="false" ht="15" hidden="false" customHeight="false" outlineLevel="0" collapsed="false">
      <c r="A20170" s="5" t="s">
        <v>264</v>
      </c>
      <c r="G20170" s="25" t="n">
        <f aca="false">F20181</f>
        <v>180</v>
      </c>
      <c r="H20170" s="25" t="n">
        <f aca="false">G20181</f>
        <v>216.2968</v>
      </c>
      <c r="I20170" s="25" t="n">
        <f aca="false">H20181</f>
        <v>216.2968</v>
      </c>
      <c r="J20170" s="25" t="n">
        <f aca="false">I20181</f>
        <v>216.2968</v>
      </c>
      <c r="K20170" s="25" t="n">
        <f aca="false">J20181</f>
        <v>216.2968</v>
      </c>
    </row>
    <row r="20171" customFormat="false" ht="15" hidden="false" customHeight="false" outlineLevel="0" collapsed="false">
      <c r="A20171" s="5" t="s">
        <v>265</v>
      </c>
      <c r="G20171" s="20" t="n">
        <f aca="false">IF(G20134=Assumptions!$K$53,1,0)</f>
        <v>0</v>
      </c>
      <c r="H20171" s="20" t="n">
        <f aca="false">IF(H20134=Assumptions!$K$53,1,0)</f>
        <v>1</v>
      </c>
      <c r="I20171" s="20" t="n">
        <f aca="false">IF(I20134=Assumptions!$K$53,1,0)</f>
        <v>0</v>
      </c>
      <c r="J20171" s="20" t="n">
        <f aca="false">IF(J20134=Assumptions!$K$53,1,0)</f>
        <v>0</v>
      </c>
      <c r="K20171" s="20" t="n">
        <f aca="false">IF(K20134=Assumptions!$K$53,1,0)</f>
        <v>0</v>
      </c>
    </row>
    <row r="20173" customFormat="false" ht="15" hidden="false" customHeight="false" outlineLevel="0" collapsed="false">
      <c r="A20173" s="5" t="s">
        <v>266</v>
      </c>
      <c r="G20173" s="30" t="n">
        <f aca="false">IF(Assumptions!$I$53=1,MAX(G20160,Assumptions!$G$53)+Assumptions!$F$53+$C$20161,Assumptions!$E$53)</f>
        <v>0.101</v>
      </c>
      <c r="H20173" s="30" t="n">
        <f aca="false">IF(G20322=1,$C$20162,IF(Assumptions!$I$53=1,MAX(H20160,Assumptions!$G$53)+Assumptions!$F$53+$C$20161,Assumptions!$E$53))</f>
        <v>0.0985</v>
      </c>
      <c r="I20173" s="30" t="n">
        <f aca="false">IF(H20322=1,$C$20162,IF(Assumptions!$I$53=1,MAX(I20160,Assumptions!$G$53)+Assumptions!$F$53+$C$20161,Assumptions!$E$53))</f>
        <v>0.096</v>
      </c>
      <c r="J20173" s="30" t="n">
        <f aca="false">IF(I20322=1,$C$20162,IF(Assumptions!$I$53=1,MAX(J20160,Assumptions!$G$53)+Assumptions!$F$53+$C$20161,Assumptions!$E$53))</f>
        <v>0.096</v>
      </c>
      <c r="K20173" s="30" t="n">
        <f aca="false">IF(J20322=1,$C$20162,IF(Assumptions!$I$53=1,MAX(K20160,Assumptions!$G$53)+Assumptions!$F$53+$C$20161,Assumptions!$E$53))</f>
        <v>0.096</v>
      </c>
    </row>
    <row r="20174" customFormat="false" ht="15" hidden="false" customHeight="false" outlineLevel="0" collapsed="false">
      <c r="A20174" s="5" t="s">
        <v>267</v>
      </c>
      <c r="G20174" s="25" t="n">
        <f aca="false">G20170*G20173</f>
        <v>18.18</v>
      </c>
      <c r="H20174" s="25" t="n">
        <f aca="false">H20170*H20173</f>
        <v>21.3052348</v>
      </c>
      <c r="I20174" s="25" t="n">
        <f aca="false">I20170*I20173</f>
        <v>20.7644928</v>
      </c>
      <c r="J20174" s="25" t="n">
        <f aca="false">J20170*J20173</f>
        <v>20.7644928</v>
      </c>
      <c r="K20174" s="25" t="n">
        <f aca="false">K20170*K20173</f>
        <v>20.7644928</v>
      </c>
    </row>
    <row r="20175" customFormat="false" ht="15" hidden="false" customHeight="false" outlineLevel="0" collapsed="false">
      <c r="A20175" s="5" t="s">
        <v>268</v>
      </c>
      <c r="G20175" s="25" t="n">
        <f aca="false">G20170*Assumptions!$H$53</f>
        <v>0</v>
      </c>
      <c r="H20175" s="25" t="n">
        <f aca="false">H20170*Assumptions!$H$53</f>
        <v>0</v>
      </c>
      <c r="I20175" s="25" t="n">
        <f aca="false">I20170*Assumptions!$H$53</f>
        <v>0</v>
      </c>
      <c r="J20175" s="25" t="n">
        <f aca="false">J20170*Assumptions!$H$53</f>
        <v>0</v>
      </c>
      <c r="K20175" s="25" t="n">
        <f aca="false">K20170*Assumptions!$H$53</f>
        <v>0</v>
      </c>
    </row>
    <row r="20176" customFormat="false" ht="15" hidden="false" customHeight="false" outlineLevel="0" collapsed="false">
      <c r="A20176" s="5" t="s">
        <v>269</v>
      </c>
      <c r="G20176" s="25" t="n">
        <f aca="false">MIN(G20170,Assumptions!$L$53*Assumptions!$C$53)</f>
        <v>0</v>
      </c>
      <c r="H20176" s="25" t="n">
        <f aca="false">MIN(H20170,Assumptions!$L$53*Assumptions!$C$53)</f>
        <v>0</v>
      </c>
      <c r="I20176" s="25" t="n">
        <f aca="false">MIN(I20170,Assumptions!$L$53*Assumptions!$C$53)</f>
        <v>0</v>
      </c>
      <c r="J20176" s="25" t="n">
        <f aca="false">MIN(J20170,Assumptions!$L$53*Assumptions!$C$53)</f>
        <v>0</v>
      </c>
      <c r="K20176" s="25" t="n">
        <f aca="false">MIN(K20170,Assumptions!$L$53*Assumptions!$C$53)</f>
        <v>0</v>
      </c>
    </row>
    <row r="20177" customFormat="false" ht="15" hidden="false" customHeight="false" outlineLevel="0" collapsed="false">
      <c r="A20177" s="5" t="s">
        <v>270</v>
      </c>
      <c r="G20177" s="25" t="n">
        <f aca="false">IF(AND(Assumptions!$P$53=1,G20134&lt;Assumptions!$K$53),MIN(MAX(0,-G20248),MAX(0,Assumptions!$D$53-G20170)),0)</f>
        <v>36.2968000000001</v>
      </c>
      <c r="H20177" s="25" t="n">
        <f aca="false">IF(AND(Assumptions!$P$53=1,OR(H20134&lt;Assumptions!$K$53,G20322=1)),MIN(MAX(0,-H20248),MAX(0,Assumptions!$D$53-H20170)),0)</f>
        <v>0</v>
      </c>
      <c r="I20177" s="25" t="n">
        <f aca="false">IF(AND(Assumptions!$P$53=1,OR(I20134&lt;Assumptions!$K$53,H20322=1)),MIN(MAX(0,-I20248),MAX(0,Assumptions!$D$53-I20170)),0)</f>
        <v>0</v>
      </c>
      <c r="J20177" s="25" t="n">
        <f aca="false">IF(AND(Assumptions!$P$53=1,OR(J20134&lt;Assumptions!$K$53,I20322=1)),MIN(MAX(0,-J20248),MAX(0,Assumptions!$D$53-J20170)),0)</f>
        <v>0</v>
      </c>
      <c r="K20177" s="25" t="n">
        <f aca="false">IF(AND(Assumptions!$P$53=1,OR(K20134&lt;Assumptions!$K$53,J20322=1)),MIN(MAX(0,-K20248),MAX(0,Assumptions!$D$53-K20170)),0)</f>
        <v>0</v>
      </c>
    </row>
    <row r="20178" customFormat="false" ht="15" hidden="false" customHeight="false" outlineLevel="0" collapsed="false">
      <c r="A20178" s="5" t="s">
        <v>271</v>
      </c>
      <c r="G20178" s="25" t="n">
        <f aca="false">G20171*MIN(G20170-G20176+G20175,MAX(0,G20250-Assumptions!$C$12*G20168))</f>
        <v>0</v>
      </c>
      <c r="H20178" s="25" t="n">
        <f aca="false">H20171*MIN(H20170-H20176+H20175,MAX(0,H20250-Assumptions!$C$12*H20168))</f>
        <v>0</v>
      </c>
      <c r="I20178" s="25" t="n">
        <f aca="false">I20171*MIN(I20170-I20176+I20175,MAX(0,I20250-Assumptions!$C$12*I20168))</f>
        <v>0</v>
      </c>
      <c r="J20178" s="25" t="n">
        <f aca="false">J20171*MIN(J20170-J20176+J20175,MAX(0,J20250-Assumptions!$C$12*J20168))</f>
        <v>0</v>
      </c>
      <c r="K20178" s="25" t="n">
        <f aca="false">K20171*MIN(K20170-K20176+K20175,MAX(0,K20250-Assumptions!$C$12*K20168))</f>
        <v>0</v>
      </c>
    </row>
    <row r="20179" customFormat="false" ht="15" hidden="false" customHeight="false" outlineLevel="0" collapsed="false">
      <c r="A20179" s="5" t="s">
        <v>272</v>
      </c>
      <c r="G20179" s="25" t="n">
        <f aca="false">Assumptions!$N$53*MIN(G20170+G20177+G20175-G20176-G20178,MAX(0,G20254))</f>
        <v>0</v>
      </c>
      <c r="H20179" s="25" t="n">
        <f aca="false">Assumptions!$N$53*MIN(H20170+H20177+H20175-H20176-H20178,MAX(0,H20254))</f>
        <v>0</v>
      </c>
      <c r="I20179" s="25" t="n">
        <f aca="false">Assumptions!$N$53*MIN(I20170+I20177+I20175-I20176-I20178,MAX(0,I20254))</f>
        <v>0</v>
      </c>
      <c r="J20179" s="25" t="n">
        <f aca="false">Assumptions!$N$53*MIN(J20170+J20177+J20175-J20176-J20178,MAX(0,J20254))</f>
        <v>0</v>
      </c>
      <c r="K20179" s="25" t="n">
        <f aca="false">Assumptions!$N$53*MIN(K20170+K20177+K20175-K20176-K20178,MAX(0,K20254))</f>
        <v>0</v>
      </c>
    </row>
    <row r="20180" customFormat="false" ht="15" hidden="false" customHeight="false" outlineLevel="0" collapsed="false">
      <c r="A20180" s="5" t="s">
        <v>273</v>
      </c>
      <c r="G20180" s="25" t="n">
        <f aca="false">G20171*(1-G20168)*(G20170-G20176+G20175-G20178)</f>
        <v>0</v>
      </c>
      <c r="H20180" s="25" t="n">
        <f aca="false">H20171*(1-H20168)*(H20170-H20176+H20175-H20178)</f>
        <v>216.2968</v>
      </c>
      <c r="I20180" s="25" t="n">
        <f aca="false">I20171*(1-I20168)*(I20170-I20176+I20175-I20178)</f>
        <v>0</v>
      </c>
      <c r="J20180" s="25" t="n">
        <f aca="false">J20171*(1-J20168)*(J20170-J20176+J20175-J20178)</f>
        <v>0</v>
      </c>
      <c r="K20180" s="25" t="n">
        <f aca="false">K20171*(1-K20168)*(K20170-K20176+K20175-K20178)</f>
        <v>0</v>
      </c>
    </row>
    <row r="20181" customFormat="false" ht="15" hidden="false" customHeight="false" outlineLevel="0" collapsed="false">
      <c r="A20181" s="2" t="s">
        <v>274</v>
      </c>
      <c r="F20181" s="27" t="n">
        <f aca="false">Assumptions!$C$53</f>
        <v>180</v>
      </c>
      <c r="G20181" s="16" t="n">
        <f aca="false">G20170+G20177+G20175-G20176-G20178-G20179</f>
        <v>216.2968</v>
      </c>
      <c r="H20181" s="16" t="n">
        <f aca="false">H20170+H20177+H20175-H20176-H20178-H20179</f>
        <v>216.2968</v>
      </c>
      <c r="I20181" s="16" t="n">
        <f aca="false">I20170+I20177+I20175-I20176-I20178-I20179</f>
        <v>216.2968</v>
      </c>
      <c r="J20181" s="16" t="n">
        <f aca="false">J20170+J20177+J20175-J20176-J20178-J20179</f>
        <v>216.2968</v>
      </c>
      <c r="K20181" s="16" t="n">
        <f aca="false">K20170+K20177+K20175-K20176-K20178-K20179</f>
        <v>216.2968</v>
      </c>
    </row>
    <row r="20182" customFormat="false" ht="15" hidden="false" customHeight="false" outlineLevel="0" collapsed="false">
      <c r="A20182" s="23" t="s">
        <v>275</v>
      </c>
      <c r="B20182" s="24"/>
      <c r="C20182" s="24"/>
      <c r="D20182" s="24"/>
      <c r="E20182" s="24"/>
      <c r="F20182" s="24"/>
      <c r="G20182" s="24"/>
      <c r="H20182" s="24"/>
      <c r="I20182" s="24"/>
      <c r="J20182" s="24"/>
      <c r="K20182" s="24"/>
    </row>
    <row r="20183" customFormat="false" ht="15" hidden="false" customHeight="false" outlineLevel="0" collapsed="false">
      <c r="A20183" s="5" t="s">
        <v>264</v>
      </c>
      <c r="G20183" s="25" t="n">
        <f aca="false">F20194</f>
        <v>520</v>
      </c>
      <c r="H20183" s="25" t="n">
        <f aca="false">G20194</f>
        <v>514.8</v>
      </c>
      <c r="I20183" s="25" t="n">
        <f aca="false">H20194</f>
        <v>509.6</v>
      </c>
      <c r="J20183" s="25" t="n">
        <f aca="false">I20194</f>
        <v>504.4</v>
      </c>
      <c r="K20183" s="25" t="n">
        <f aca="false">J20194</f>
        <v>499.2</v>
      </c>
    </row>
    <row r="20184" customFormat="false" ht="15" hidden="false" customHeight="false" outlineLevel="0" collapsed="false">
      <c r="A20184" s="5" t="s">
        <v>265</v>
      </c>
      <c r="G20184" s="20" t="n">
        <f aca="false">IF(G20134=Assumptions!$K$54,1,0)</f>
        <v>0</v>
      </c>
      <c r="H20184" s="20" t="n">
        <f aca="false">IF(H20134=Assumptions!$K$54,1,0)</f>
        <v>0</v>
      </c>
      <c r="I20184" s="20" t="n">
        <f aca="false">IF(I20134=Assumptions!$K$54,1,0)</f>
        <v>1</v>
      </c>
      <c r="J20184" s="20" t="n">
        <f aca="false">IF(J20134=Assumptions!$K$54,1,0)</f>
        <v>0</v>
      </c>
      <c r="K20184" s="20" t="n">
        <f aca="false">IF(K20134=Assumptions!$K$54,1,0)</f>
        <v>0</v>
      </c>
    </row>
    <row r="20186" customFormat="false" ht="15" hidden="false" customHeight="false" outlineLevel="0" collapsed="false">
      <c r="A20186" s="5" t="s">
        <v>266</v>
      </c>
      <c r="G20186" s="30" t="n">
        <f aca="false">IF(Assumptions!$I$54=1,MAX(G20160,Assumptions!$G$54)+Assumptions!$F$54+$C$20161,Assumptions!$E$54)</f>
        <v>0.118</v>
      </c>
      <c r="H20186" s="30" t="n">
        <f aca="false">IF(G20323=1,$C$20162,IF(Assumptions!$I$54=1,MAX(H20160,Assumptions!$G$54)+Assumptions!$F$54+$C$20161,Assumptions!$E$54))</f>
        <v>0.1155</v>
      </c>
      <c r="I20186" s="30" t="n">
        <f aca="false">IF(H20323=1,$C$20162,IF(Assumptions!$I$54=1,MAX(I20160,Assumptions!$G$54)+Assumptions!$F$54+$C$20161,Assumptions!$E$54))</f>
        <v>0.113</v>
      </c>
      <c r="J20186" s="30" t="n">
        <f aca="false">IF(I20323=1,$C$20162,IF(Assumptions!$I$54=1,MAX(J20160,Assumptions!$G$54)+Assumptions!$F$54+$C$20161,Assumptions!$E$54))</f>
        <v>0.113</v>
      </c>
      <c r="K20186" s="30" t="n">
        <f aca="false">IF(J20323=1,$C$20162,IF(Assumptions!$I$54=1,MAX(K20160,Assumptions!$G$54)+Assumptions!$F$54+$C$20161,Assumptions!$E$54))</f>
        <v>0.113</v>
      </c>
    </row>
    <row r="20187" customFormat="false" ht="15" hidden="false" customHeight="false" outlineLevel="0" collapsed="false">
      <c r="A20187" s="5" t="s">
        <v>267</v>
      </c>
      <c r="G20187" s="25" t="n">
        <f aca="false">G20183*G20186</f>
        <v>61.36</v>
      </c>
      <c r="H20187" s="25" t="n">
        <f aca="false">H20183*H20186</f>
        <v>59.4594</v>
      </c>
      <c r="I20187" s="25" t="n">
        <f aca="false">I20183*I20186</f>
        <v>57.5848</v>
      </c>
      <c r="J20187" s="25" t="n">
        <f aca="false">J20183*J20186</f>
        <v>56.9972</v>
      </c>
      <c r="K20187" s="25" t="n">
        <f aca="false">K20183*K20186</f>
        <v>56.4096</v>
      </c>
    </row>
    <row r="20188" customFormat="false" ht="15" hidden="false" customHeight="false" outlineLevel="0" collapsed="false">
      <c r="A20188" s="5" t="s">
        <v>268</v>
      </c>
      <c r="G20188" s="25" t="n">
        <f aca="false">G20183*Assumptions!$H$54</f>
        <v>0</v>
      </c>
      <c r="H20188" s="25" t="n">
        <f aca="false">H20183*Assumptions!$H$54</f>
        <v>0</v>
      </c>
      <c r="I20188" s="25" t="n">
        <f aca="false">I20183*Assumptions!$H$54</f>
        <v>0</v>
      </c>
      <c r="J20188" s="25" t="n">
        <f aca="false">J20183*Assumptions!$H$54</f>
        <v>0</v>
      </c>
      <c r="K20188" s="25" t="n">
        <f aca="false">K20183*Assumptions!$H$54</f>
        <v>0</v>
      </c>
    </row>
    <row r="20189" customFormat="false" ht="15" hidden="false" customHeight="false" outlineLevel="0" collapsed="false">
      <c r="A20189" s="5" t="s">
        <v>269</v>
      </c>
      <c r="G20189" s="25" t="n">
        <f aca="false">MIN(G20183,Assumptions!$L$54*Assumptions!$C$54)</f>
        <v>5.2</v>
      </c>
      <c r="H20189" s="25" t="n">
        <f aca="false">MIN(H20183,Assumptions!$L$54*Assumptions!$C$54)</f>
        <v>5.2</v>
      </c>
      <c r="I20189" s="25" t="n">
        <f aca="false">MIN(I20183,Assumptions!$L$54*Assumptions!$C$54)</f>
        <v>5.2</v>
      </c>
      <c r="J20189" s="25" t="n">
        <f aca="false">MIN(J20183,Assumptions!$L$54*Assumptions!$C$54)</f>
        <v>5.2</v>
      </c>
      <c r="K20189" s="25" t="n">
        <f aca="false">MIN(K20183,Assumptions!$L$54*Assumptions!$C$54)</f>
        <v>5.2</v>
      </c>
    </row>
    <row r="20190" customFormat="false" ht="15" hidden="false" customHeight="false" outlineLevel="0" collapsed="false">
      <c r="A20190" s="5" t="s">
        <v>270</v>
      </c>
      <c r="G20190" s="25" t="n">
        <f aca="false">IF(AND(Assumptions!$P$54=1,G20134&lt;Assumptions!$K$54),MIN(MAX(0,-G20248),MAX(0,Assumptions!$D$54-G20183)),0)</f>
        <v>0</v>
      </c>
      <c r="H20190" s="25" t="n">
        <f aca="false">IF(AND(Assumptions!$P$54=1,OR(H20134&lt;Assumptions!$K$54,G20323=1)),MIN(MAX(0,-H20248),MAX(0,Assumptions!$D$54-H20183)),0)</f>
        <v>0</v>
      </c>
      <c r="I20190" s="25" t="n">
        <f aca="false">IF(AND(Assumptions!$P$54=1,OR(I20134&lt;Assumptions!$K$54,H20323=1)),MIN(MAX(0,-I20248),MAX(0,Assumptions!$D$54-I20183)),0)</f>
        <v>0</v>
      </c>
      <c r="J20190" s="25" t="n">
        <f aca="false">IF(AND(Assumptions!$P$54=1,OR(J20134&lt;Assumptions!$K$54,I20323=1)),MIN(MAX(0,-J20248),MAX(0,Assumptions!$D$54-J20183)),0)</f>
        <v>0</v>
      </c>
      <c r="K20190" s="25" t="n">
        <f aca="false">IF(AND(Assumptions!$P$54=1,OR(K20134&lt;Assumptions!$K$54,J20323=1)),MIN(MAX(0,-K20248),MAX(0,Assumptions!$D$54-K20183)),0)</f>
        <v>0</v>
      </c>
    </row>
    <row r="20191" customFormat="false" ht="15" hidden="false" customHeight="false" outlineLevel="0" collapsed="false">
      <c r="A20191" s="5" t="s">
        <v>271</v>
      </c>
      <c r="G20191" s="25" t="n">
        <f aca="false">G20184*MIN(G20183-G20189+G20188,MAX(0,G20250-Assumptions!$C$12*G20168-G20178))</f>
        <v>0</v>
      </c>
      <c r="H20191" s="25" t="n">
        <f aca="false">H20184*MIN(H20183-H20189+H20188,MAX(0,H20250-Assumptions!$C$12*H20168-H20178))</f>
        <v>0</v>
      </c>
      <c r="I20191" s="25" t="n">
        <f aca="false">I20184*MIN(I20183-I20189+I20188,MAX(0,I20250-Assumptions!$C$12*I20168-I20178))</f>
        <v>0</v>
      </c>
      <c r="J20191" s="25" t="n">
        <f aca="false">J20184*MIN(J20183-J20189+J20188,MAX(0,J20250-Assumptions!$C$12*J20168-J20178))</f>
        <v>0</v>
      </c>
      <c r="K20191" s="25" t="n">
        <f aca="false">K20184*MIN(K20183-K20189+K20188,MAX(0,K20250-Assumptions!$C$12*K20168-K20178))</f>
        <v>0</v>
      </c>
    </row>
    <row r="20192" customFormat="false" ht="15" hidden="false" customHeight="false" outlineLevel="0" collapsed="false">
      <c r="A20192" s="5" t="s">
        <v>272</v>
      </c>
      <c r="G20192" s="25" t="n">
        <f aca="false">Assumptions!$N$54*MIN(G20183+G20190+G20188-G20189-G20191,MAX(0,G20254-G20179))</f>
        <v>0</v>
      </c>
      <c r="H20192" s="25" t="n">
        <f aca="false">Assumptions!$N$54*MIN(H20183+H20190+H20188-H20189-H20191,MAX(0,H20254-H20179))</f>
        <v>0</v>
      </c>
      <c r="I20192" s="25" t="n">
        <f aca="false">Assumptions!$N$54*MIN(I20183+I20190+I20188-I20189-I20191,MAX(0,I20254-I20179))</f>
        <v>0</v>
      </c>
      <c r="J20192" s="25" t="n">
        <f aca="false">Assumptions!$N$54*MIN(J20183+J20190+J20188-J20189-J20191,MAX(0,J20254-J20179))</f>
        <v>0</v>
      </c>
      <c r="K20192" s="25" t="n">
        <f aca="false">Assumptions!$N$54*MIN(K20183+K20190+K20188-K20189-K20191,MAX(0,K20254-K20179))</f>
        <v>0</v>
      </c>
    </row>
    <row r="20193" customFormat="false" ht="15" hidden="false" customHeight="false" outlineLevel="0" collapsed="false">
      <c r="A20193" s="5" t="s">
        <v>273</v>
      </c>
      <c r="G20193" s="25" t="n">
        <f aca="false">G20184*(1-G20168)*(G20183-G20189+G20188-G20191)</f>
        <v>0</v>
      </c>
      <c r="H20193" s="25" t="n">
        <f aca="false">H20184*(1-H20168)*(H20183-H20189+H20188-H20191)</f>
        <v>0</v>
      </c>
      <c r="I20193" s="25" t="n">
        <f aca="false">I20184*(1-I20168)*(I20183-I20189+I20188-I20191)</f>
        <v>504.4</v>
      </c>
      <c r="J20193" s="25" t="n">
        <f aca="false">J20184*(1-J20168)*(J20183-J20189+J20188-J20191)</f>
        <v>0</v>
      </c>
      <c r="K20193" s="25" t="n">
        <f aca="false">K20184*(1-K20168)*(K20183-K20189+K20188-K20191)</f>
        <v>0</v>
      </c>
    </row>
    <row r="20194" customFormat="false" ht="15" hidden="false" customHeight="false" outlineLevel="0" collapsed="false">
      <c r="A20194" s="2" t="s">
        <v>274</v>
      </c>
      <c r="F20194" s="27" t="n">
        <f aca="false">Assumptions!$C$54</f>
        <v>520</v>
      </c>
      <c r="G20194" s="16" t="n">
        <f aca="false">G20183+G20190+G20188-G20189-G20191-G20192</f>
        <v>514.8</v>
      </c>
      <c r="H20194" s="16" t="n">
        <f aca="false">H20183+H20190+H20188-H20189-H20191-H20192</f>
        <v>509.6</v>
      </c>
      <c r="I20194" s="16" t="n">
        <f aca="false">I20183+I20190+I20188-I20189-I20191-I20192</f>
        <v>504.4</v>
      </c>
      <c r="J20194" s="16" t="n">
        <f aca="false">J20183+J20190+J20188-J20189-J20191-J20192</f>
        <v>499.2</v>
      </c>
      <c r="K20194" s="16" t="n">
        <f aca="false">K20183+K20190+K20188-K20189-K20191-K20192</f>
        <v>494</v>
      </c>
    </row>
    <row r="20195" customFormat="false" ht="15" hidden="false" customHeight="false" outlineLevel="0" collapsed="false">
      <c r="A20195" s="23" t="s">
        <v>276</v>
      </c>
      <c r="B20195" s="24"/>
      <c r="C20195" s="24"/>
      <c r="D20195" s="24"/>
      <c r="E20195" s="24"/>
      <c r="F20195" s="24"/>
      <c r="G20195" s="24"/>
      <c r="H20195" s="24"/>
      <c r="I20195" s="24"/>
      <c r="J20195" s="24"/>
      <c r="K20195" s="24"/>
    </row>
    <row r="20196" customFormat="false" ht="15" hidden="false" customHeight="false" outlineLevel="0" collapsed="false">
      <c r="A20196" s="5" t="s">
        <v>264</v>
      </c>
      <c r="G20196" s="25" t="n">
        <f aca="false">F20207</f>
        <v>250</v>
      </c>
      <c r="H20196" s="25" t="n">
        <f aca="false">G20207</f>
        <v>250</v>
      </c>
      <c r="I20196" s="25" t="n">
        <f aca="false">H20207</f>
        <v>250</v>
      </c>
      <c r="J20196" s="25" t="n">
        <f aca="false">I20207</f>
        <v>250</v>
      </c>
      <c r="K20196" s="25" t="n">
        <f aca="false">J20207</f>
        <v>250</v>
      </c>
    </row>
    <row r="20197" customFormat="false" ht="15" hidden="false" customHeight="false" outlineLevel="0" collapsed="false">
      <c r="A20197" s="5" t="s">
        <v>265</v>
      </c>
      <c r="G20197" s="20" t="n">
        <f aca="false">IF(G20134=Assumptions!$K$55,1,0)</f>
        <v>0</v>
      </c>
      <c r="H20197" s="20" t="n">
        <f aca="false">IF(H20134=Assumptions!$K$55,1,0)</f>
        <v>0</v>
      </c>
      <c r="I20197" s="20" t="n">
        <f aca="false">IF(I20134=Assumptions!$K$55,1,0)</f>
        <v>0</v>
      </c>
      <c r="J20197" s="20" t="n">
        <f aca="false">IF(J20134=Assumptions!$K$55,1,0)</f>
        <v>1</v>
      </c>
      <c r="K20197" s="20" t="n">
        <f aca="false">IF(K20134=Assumptions!$K$55,1,0)</f>
        <v>0</v>
      </c>
    </row>
    <row r="20199" customFormat="false" ht="15" hidden="false" customHeight="false" outlineLevel="0" collapsed="false">
      <c r="A20199" s="5" t="s">
        <v>266</v>
      </c>
      <c r="G20199" s="30" t="n">
        <f aca="false">IF(Assumptions!$I$55=1,MAX(G20160,Assumptions!$G$55)+Assumptions!$F$55+$C$20161,Assumptions!$E$55)</f>
        <v>0.11</v>
      </c>
      <c r="H20199" s="30" t="n">
        <f aca="false">IF(G20324=1,$C$20162,IF(Assumptions!$I$55=1,MAX(H20160,Assumptions!$G$55)+Assumptions!$F$55+$C$20161,Assumptions!$E$55))</f>
        <v>0.11</v>
      </c>
      <c r="I20199" s="30" t="n">
        <f aca="false">IF(H20324=1,$C$20162,IF(Assumptions!$I$55=1,MAX(I20160,Assumptions!$G$55)+Assumptions!$F$55+$C$20161,Assumptions!$E$55))</f>
        <v>0.11</v>
      </c>
      <c r="J20199" s="30" t="n">
        <f aca="false">IF(I20324=1,$C$20162,IF(Assumptions!$I$55=1,MAX(J20160,Assumptions!$G$55)+Assumptions!$F$55+$C$20161,Assumptions!$E$55))</f>
        <v>0.11</v>
      </c>
      <c r="K20199" s="30" t="n">
        <f aca="false">IF(J20324=1,$C$20162,IF(Assumptions!$I$55=1,MAX(K20160,Assumptions!$G$55)+Assumptions!$F$55+$C$20161,Assumptions!$E$55))</f>
        <v>0.11</v>
      </c>
    </row>
    <row r="20200" customFormat="false" ht="15" hidden="false" customHeight="false" outlineLevel="0" collapsed="false">
      <c r="A20200" s="5" t="s">
        <v>267</v>
      </c>
      <c r="G20200" s="25" t="n">
        <f aca="false">G20196*G20199</f>
        <v>27.5</v>
      </c>
      <c r="H20200" s="25" t="n">
        <f aca="false">H20196*H20199</f>
        <v>27.5</v>
      </c>
      <c r="I20200" s="25" t="n">
        <f aca="false">I20196*I20199</f>
        <v>27.5</v>
      </c>
      <c r="J20200" s="25" t="n">
        <f aca="false">J20196*J20199</f>
        <v>27.5</v>
      </c>
      <c r="K20200" s="25" t="n">
        <f aca="false">K20196*K20199</f>
        <v>27.5</v>
      </c>
    </row>
    <row r="20201" customFormat="false" ht="15" hidden="false" customHeight="false" outlineLevel="0" collapsed="false">
      <c r="A20201" s="5" t="s">
        <v>268</v>
      </c>
      <c r="G20201" s="25" t="n">
        <f aca="false">G20196*Assumptions!$H$55</f>
        <v>0</v>
      </c>
      <c r="H20201" s="25" t="n">
        <f aca="false">H20196*Assumptions!$H$55</f>
        <v>0</v>
      </c>
      <c r="I20201" s="25" t="n">
        <f aca="false">I20196*Assumptions!$H$55</f>
        <v>0</v>
      </c>
      <c r="J20201" s="25" t="n">
        <f aca="false">J20196*Assumptions!$H$55</f>
        <v>0</v>
      </c>
      <c r="K20201" s="25" t="n">
        <f aca="false">K20196*Assumptions!$H$55</f>
        <v>0</v>
      </c>
    </row>
    <row r="20202" customFormat="false" ht="15" hidden="false" customHeight="false" outlineLevel="0" collapsed="false">
      <c r="A20202" s="5" t="s">
        <v>269</v>
      </c>
      <c r="G20202" s="25" t="n">
        <f aca="false">MIN(G20196,Assumptions!$L$55*Assumptions!$C$55)</f>
        <v>0</v>
      </c>
      <c r="H20202" s="25" t="n">
        <f aca="false">MIN(H20196,Assumptions!$L$55*Assumptions!$C$55)</f>
        <v>0</v>
      </c>
      <c r="I20202" s="25" t="n">
        <f aca="false">MIN(I20196,Assumptions!$L$55*Assumptions!$C$55)</f>
        <v>0</v>
      </c>
      <c r="J20202" s="25" t="n">
        <f aca="false">MIN(J20196,Assumptions!$L$55*Assumptions!$C$55)</f>
        <v>0</v>
      </c>
      <c r="K20202" s="25" t="n">
        <f aca="false">MIN(K20196,Assumptions!$L$55*Assumptions!$C$55)</f>
        <v>0</v>
      </c>
    </row>
    <row r="20203" customFormat="false" ht="15" hidden="false" customHeight="false" outlineLevel="0" collapsed="false">
      <c r="A20203" s="5" t="s">
        <v>270</v>
      </c>
      <c r="G20203" s="25" t="n">
        <f aca="false">IF(AND(Assumptions!$P$55=1,G20134&lt;Assumptions!$K$55),MIN(MAX(0,-G20248),MAX(0,Assumptions!$D$55-G20196)),0)</f>
        <v>0</v>
      </c>
      <c r="H20203" s="25" t="n">
        <f aca="false">IF(AND(Assumptions!$P$55=1,OR(H20134&lt;Assumptions!$K$55,G20324=1)),MIN(MAX(0,-H20248),MAX(0,Assumptions!$D$55-H20196)),0)</f>
        <v>0</v>
      </c>
      <c r="I20203" s="25" t="n">
        <f aca="false">IF(AND(Assumptions!$P$55=1,OR(I20134&lt;Assumptions!$K$55,H20324=1)),MIN(MAX(0,-I20248),MAX(0,Assumptions!$D$55-I20196)),0)</f>
        <v>0</v>
      </c>
      <c r="J20203" s="25" t="n">
        <f aca="false">IF(AND(Assumptions!$P$55=1,OR(J20134&lt;Assumptions!$K$55,I20324=1)),MIN(MAX(0,-J20248),MAX(0,Assumptions!$D$55-J20196)),0)</f>
        <v>0</v>
      </c>
      <c r="K20203" s="25" t="n">
        <f aca="false">IF(AND(Assumptions!$P$55=1,OR(K20134&lt;Assumptions!$K$55,J20324=1)),MIN(MAX(0,-K20248),MAX(0,Assumptions!$D$55-K20196)),0)</f>
        <v>0</v>
      </c>
    </row>
    <row r="20204" customFormat="false" ht="15" hidden="false" customHeight="false" outlineLevel="0" collapsed="false">
      <c r="A20204" s="5" t="s">
        <v>271</v>
      </c>
      <c r="G20204" s="25" t="n">
        <f aca="false">G20197*MIN(G20196-G20202+G20201,MAX(0,G20250-Assumptions!$C$12*G20168-G20178-G20191))</f>
        <v>0</v>
      </c>
      <c r="H20204" s="25" t="n">
        <f aca="false">H20197*MIN(H20196-H20202+H20201,MAX(0,H20250-Assumptions!$C$12*H20168-H20178-H20191))</f>
        <v>0</v>
      </c>
      <c r="I20204" s="25" t="n">
        <f aca="false">I20197*MIN(I20196-I20202+I20201,MAX(0,I20250-Assumptions!$C$12*I20168-I20178-I20191))</f>
        <v>0</v>
      </c>
      <c r="J20204" s="25" t="n">
        <f aca="false">J20197*MIN(J20196-J20202+J20201,MAX(0,J20250-Assumptions!$C$12*J20168-J20178-J20191))</f>
        <v>0</v>
      </c>
      <c r="K20204" s="25" t="n">
        <f aca="false">K20197*MIN(K20196-K20202+K20201,MAX(0,K20250-Assumptions!$C$12*K20168-K20178-K20191))</f>
        <v>0</v>
      </c>
    </row>
    <row r="20205" customFormat="false" ht="15" hidden="false" customHeight="false" outlineLevel="0" collapsed="false">
      <c r="A20205" s="5" t="s">
        <v>272</v>
      </c>
      <c r="G20205" s="25" t="n">
        <f aca="false">Assumptions!$N$55*MIN(G20196+G20203+G20201-G20202-G20204,MAX(0,G20254-G20179-G20192))</f>
        <v>0</v>
      </c>
      <c r="H20205" s="25" t="n">
        <f aca="false">Assumptions!$N$55*MIN(H20196+H20203+H20201-H20202-H20204,MAX(0,H20254-H20179-H20192))</f>
        <v>0</v>
      </c>
      <c r="I20205" s="25" t="n">
        <f aca="false">Assumptions!$N$55*MIN(I20196+I20203+I20201-I20202-I20204,MAX(0,I20254-I20179-I20192))</f>
        <v>0</v>
      </c>
      <c r="J20205" s="25" t="n">
        <f aca="false">Assumptions!$N$55*MIN(J20196+J20203+J20201-J20202-J20204,MAX(0,J20254-J20179-J20192))</f>
        <v>0</v>
      </c>
      <c r="K20205" s="25" t="n">
        <f aca="false">Assumptions!$N$55*MIN(K20196+K20203+K20201-K20202-K20204,MAX(0,K20254-K20179-K20192))</f>
        <v>0</v>
      </c>
    </row>
    <row r="20206" customFormat="false" ht="15" hidden="false" customHeight="false" outlineLevel="0" collapsed="false">
      <c r="A20206" s="5" t="s">
        <v>273</v>
      </c>
      <c r="G20206" s="25" t="n">
        <f aca="false">G20197*(1-G20168)*(G20196-G20202+G20201-G20204)</f>
        <v>0</v>
      </c>
      <c r="H20206" s="25" t="n">
        <f aca="false">H20197*(1-H20168)*(H20196-H20202+H20201-H20204)</f>
        <v>0</v>
      </c>
      <c r="I20206" s="25" t="n">
        <f aca="false">I20197*(1-I20168)*(I20196-I20202+I20201-I20204)</f>
        <v>0</v>
      </c>
      <c r="J20206" s="25" t="n">
        <f aca="false">J20197*(1-J20168)*(J20196-J20202+J20201-J20204)</f>
        <v>250</v>
      </c>
      <c r="K20206" s="25" t="n">
        <f aca="false">K20197*(1-K20168)*(K20196-K20202+K20201-K20204)</f>
        <v>0</v>
      </c>
    </row>
    <row r="20207" customFormat="false" ht="15" hidden="false" customHeight="false" outlineLevel="0" collapsed="false">
      <c r="A20207" s="2" t="s">
        <v>274</v>
      </c>
      <c r="F20207" s="27" t="n">
        <f aca="false">Assumptions!$C$55</f>
        <v>250</v>
      </c>
      <c r="G20207" s="16" t="n">
        <f aca="false">G20196+G20203+G20201-G20202-G20204-G20205</f>
        <v>250</v>
      </c>
      <c r="H20207" s="16" t="n">
        <f aca="false">H20196+H20203+H20201-H20202-H20204-H20205</f>
        <v>250</v>
      </c>
      <c r="I20207" s="16" t="n">
        <f aca="false">I20196+I20203+I20201-I20202-I20204-I20205</f>
        <v>250</v>
      </c>
      <c r="J20207" s="16" t="n">
        <f aca="false">J20196+J20203+J20201-J20202-J20204-J20205</f>
        <v>250</v>
      </c>
      <c r="K20207" s="16" t="n">
        <f aca="false">K20196+K20203+K20201-K20202-K20204-K20205</f>
        <v>250</v>
      </c>
    </row>
    <row r="20208" customFormat="false" ht="15" hidden="false" customHeight="false" outlineLevel="0" collapsed="false">
      <c r="A20208" s="23" t="s">
        <v>277</v>
      </c>
      <c r="B20208" s="24"/>
      <c r="C20208" s="24"/>
      <c r="D20208" s="24"/>
      <c r="E20208" s="24"/>
      <c r="F20208" s="24"/>
      <c r="G20208" s="24"/>
      <c r="H20208" s="24"/>
      <c r="I20208" s="24"/>
      <c r="J20208" s="24"/>
      <c r="K20208" s="24"/>
    </row>
    <row r="20209" customFormat="false" ht="15" hidden="false" customHeight="false" outlineLevel="0" collapsed="false">
      <c r="A20209" s="5" t="s">
        <v>264</v>
      </c>
      <c r="G20209" s="25" t="n">
        <f aca="false">F20220</f>
        <v>300</v>
      </c>
      <c r="H20209" s="25" t="n">
        <f aca="false">G20220</f>
        <v>300</v>
      </c>
      <c r="I20209" s="25" t="n">
        <f aca="false">H20220</f>
        <v>300</v>
      </c>
      <c r="J20209" s="25" t="n">
        <f aca="false">I20220</f>
        <v>300</v>
      </c>
      <c r="K20209" s="25" t="n">
        <f aca="false">J20220</f>
        <v>300</v>
      </c>
    </row>
    <row r="20210" customFormat="false" ht="15" hidden="false" customHeight="false" outlineLevel="0" collapsed="false">
      <c r="A20210" s="5" t="s">
        <v>265</v>
      </c>
      <c r="G20210" s="20" t="n">
        <f aca="false">IF(G20134=Assumptions!$K$56,1,0)</f>
        <v>0</v>
      </c>
      <c r="H20210" s="20" t="n">
        <f aca="false">IF(H20134=Assumptions!$K$56,1,0)</f>
        <v>1</v>
      </c>
      <c r="I20210" s="20" t="n">
        <f aca="false">IF(I20134=Assumptions!$K$56,1,0)</f>
        <v>0</v>
      </c>
      <c r="J20210" s="20" t="n">
        <f aca="false">IF(J20134=Assumptions!$K$56,1,0)</f>
        <v>0</v>
      </c>
      <c r="K20210" s="20" t="n">
        <f aca="false">IF(K20134=Assumptions!$K$56,1,0)</f>
        <v>0</v>
      </c>
    </row>
    <row r="20212" customFormat="false" ht="15" hidden="false" customHeight="false" outlineLevel="0" collapsed="false">
      <c r="A20212" s="5" t="s">
        <v>266</v>
      </c>
      <c r="G20212" s="30" t="n">
        <f aca="false">IF(Assumptions!$I$56=1,MAX(G20160,Assumptions!$G$56)+Assumptions!$F$56+$C$20161,Assumptions!$E$56)</f>
        <v>0.075</v>
      </c>
      <c r="H20212" s="30" t="n">
        <f aca="false">IF(G20325=1,$C$20162,IF(Assumptions!$I$56=1,MAX(H20160,Assumptions!$G$56)+Assumptions!$F$56+$C$20161,Assumptions!$E$56))</f>
        <v>0.075</v>
      </c>
      <c r="I20212" s="30" t="n">
        <f aca="false">IF(H20325=1,$C$20162,IF(Assumptions!$I$56=1,MAX(I20160,Assumptions!$G$56)+Assumptions!$F$56+$C$20161,Assumptions!$E$56))</f>
        <v>0.075</v>
      </c>
      <c r="J20212" s="30" t="n">
        <f aca="false">IF(I20325=1,$C$20162,IF(Assumptions!$I$56=1,MAX(J20160,Assumptions!$G$56)+Assumptions!$F$56+$C$20161,Assumptions!$E$56))</f>
        <v>0.075</v>
      </c>
      <c r="K20212" s="30" t="n">
        <f aca="false">IF(J20325=1,$C$20162,IF(Assumptions!$I$56=1,MAX(K20160,Assumptions!$G$56)+Assumptions!$F$56+$C$20161,Assumptions!$E$56))</f>
        <v>0.075</v>
      </c>
    </row>
    <row r="20213" customFormat="false" ht="15" hidden="false" customHeight="false" outlineLevel="0" collapsed="false">
      <c r="A20213" s="5" t="s">
        <v>267</v>
      </c>
      <c r="G20213" s="25" t="n">
        <f aca="false">G20209*G20212</f>
        <v>22.5</v>
      </c>
      <c r="H20213" s="25" t="n">
        <f aca="false">H20209*H20212</f>
        <v>22.5</v>
      </c>
      <c r="I20213" s="25" t="n">
        <f aca="false">I20209*I20212</f>
        <v>22.5</v>
      </c>
      <c r="J20213" s="25" t="n">
        <f aca="false">J20209*J20212</f>
        <v>22.5</v>
      </c>
      <c r="K20213" s="25" t="n">
        <f aca="false">K20209*K20212</f>
        <v>22.5</v>
      </c>
    </row>
    <row r="20214" customFormat="false" ht="15" hidden="false" customHeight="false" outlineLevel="0" collapsed="false">
      <c r="A20214" s="5" t="s">
        <v>268</v>
      </c>
      <c r="G20214" s="25" t="n">
        <f aca="false">G20209*Assumptions!$H$56</f>
        <v>0</v>
      </c>
      <c r="H20214" s="25" t="n">
        <f aca="false">H20209*Assumptions!$H$56</f>
        <v>0</v>
      </c>
      <c r="I20214" s="25" t="n">
        <f aca="false">I20209*Assumptions!$H$56</f>
        <v>0</v>
      </c>
      <c r="J20214" s="25" t="n">
        <f aca="false">J20209*Assumptions!$H$56</f>
        <v>0</v>
      </c>
      <c r="K20214" s="25" t="n">
        <f aca="false">K20209*Assumptions!$H$56</f>
        <v>0</v>
      </c>
    </row>
    <row r="20215" customFormat="false" ht="15" hidden="false" customHeight="false" outlineLevel="0" collapsed="false">
      <c r="A20215" s="5" t="s">
        <v>269</v>
      </c>
      <c r="G20215" s="25" t="n">
        <f aca="false">MIN(G20209,Assumptions!$L$56*Assumptions!$C$56)</f>
        <v>0</v>
      </c>
      <c r="H20215" s="25" t="n">
        <f aca="false">MIN(H20209,Assumptions!$L$56*Assumptions!$C$56)</f>
        <v>0</v>
      </c>
      <c r="I20215" s="25" t="n">
        <f aca="false">MIN(I20209,Assumptions!$L$56*Assumptions!$C$56)</f>
        <v>0</v>
      </c>
      <c r="J20215" s="25" t="n">
        <f aca="false">MIN(J20209,Assumptions!$L$56*Assumptions!$C$56)</f>
        <v>0</v>
      </c>
      <c r="K20215" s="25" t="n">
        <f aca="false">MIN(K20209,Assumptions!$L$56*Assumptions!$C$56)</f>
        <v>0</v>
      </c>
    </row>
    <row r="20216" customFormat="false" ht="15" hidden="false" customHeight="false" outlineLevel="0" collapsed="false">
      <c r="A20216" s="5" t="s">
        <v>270</v>
      </c>
      <c r="G20216" s="25" t="n">
        <f aca="false">IF(AND(Assumptions!$P$56=1,G20134&lt;Assumptions!$K$56),MIN(MAX(0,-G20248),MAX(0,Assumptions!$D$56-G20209)),0)</f>
        <v>0</v>
      </c>
      <c r="H20216" s="25" t="n">
        <f aca="false">IF(AND(Assumptions!$P$56=1,OR(H20134&lt;Assumptions!$K$56,G20325=1)),MIN(MAX(0,-H20248),MAX(0,Assumptions!$D$56-H20209)),0)</f>
        <v>0</v>
      </c>
      <c r="I20216" s="25" t="n">
        <f aca="false">IF(AND(Assumptions!$P$56=1,OR(I20134&lt;Assumptions!$K$56,H20325=1)),MIN(MAX(0,-I20248),MAX(0,Assumptions!$D$56-I20209)),0)</f>
        <v>0</v>
      </c>
      <c r="J20216" s="25" t="n">
        <f aca="false">IF(AND(Assumptions!$P$56=1,OR(J20134&lt;Assumptions!$K$56,I20325=1)),MIN(MAX(0,-J20248),MAX(0,Assumptions!$D$56-J20209)),0)</f>
        <v>0</v>
      </c>
      <c r="K20216" s="25" t="n">
        <f aca="false">IF(AND(Assumptions!$P$56=1,OR(K20134&lt;Assumptions!$K$56,J20325=1)),MIN(MAX(0,-K20248),MAX(0,Assumptions!$D$56-K20209)),0)</f>
        <v>0</v>
      </c>
    </row>
    <row r="20217" customFormat="false" ht="15" hidden="false" customHeight="false" outlineLevel="0" collapsed="false">
      <c r="A20217" s="5" t="s">
        <v>271</v>
      </c>
      <c r="G20217" s="25" t="n">
        <f aca="false">G20210*MIN(G20209-G20215+G20214,MAX(0,G20250-Assumptions!$C$12*G20168-G20178-G20191-G20204))</f>
        <v>0</v>
      </c>
      <c r="H20217" s="25" t="n">
        <f aca="false">H20210*MIN(H20209-H20215+H20214,MAX(0,H20250-Assumptions!$C$12*H20168-H20178-H20191-H20204))</f>
        <v>0</v>
      </c>
      <c r="I20217" s="25" t="n">
        <f aca="false">I20210*MIN(I20209-I20215+I20214,MAX(0,I20250-Assumptions!$C$12*I20168-I20178-I20191-I20204))</f>
        <v>0</v>
      </c>
      <c r="J20217" s="25" t="n">
        <f aca="false">J20210*MIN(J20209-J20215+J20214,MAX(0,J20250-Assumptions!$C$12*J20168-J20178-J20191-J20204))</f>
        <v>0</v>
      </c>
      <c r="K20217" s="25" t="n">
        <f aca="false">K20210*MIN(K20209-K20215+K20214,MAX(0,K20250-Assumptions!$C$12*K20168-K20178-K20191-K20204))</f>
        <v>0</v>
      </c>
    </row>
    <row r="20218" customFormat="false" ht="15" hidden="false" customHeight="false" outlineLevel="0" collapsed="false">
      <c r="A20218" s="5" t="s">
        <v>272</v>
      </c>
      <c r="G20218" s="25" t="n">
        <f aca="false">Assumptions!$N$56*MIN(G20209+G20216+G20214-G20215-G20217,MAX(0,G20254-G20179-G20192-G20205))</f>
        <v>0</v>
      </c>
      <c r="H20218" s="25" t="n">
        <f aca="false">Assumptions!$N$56*MIN(H20209+H20216+H20214-H20215-H20217,MAX(0,H20254-H20179-H20192-H20205))</f>
        <v>0</v>
      </c>
      <c r="I20218" s="25" t="n">
        <f aca="false">Assumptions!$N$56*MIN(I20209+I20216+I20214-I20215-I20217,MAX(0,I20254-I20179-I20192-I20205))</f>
        <v>0</v>
      </c>
      <c r="J20218" s="25" t="n">
        <f aca="false">Assumptions!$N$56*MIN(J20209+J20216+J20214-J20215-J20217,MAX(0,J20254-J20179-J20192-J20205))</f>
        <v>0</v>
      </c>
      <c r="K20218" s="25" t="n">
        <f aca="false">Assumptions!$N$56*MIN(K20209+K20216+K20214-K20215-K20217,MAX(0,K20254-K20179-K20192-K20205))</f>
        <v>0</v>
      </c>
    </row>
    <row r="20219" customFormat="false" ht="15" hidden="false" customHeight="false" outlineLevel="0" collapsed="false">
      <c r="A20219" s="5" t="s">
        <v>273</v>
      </c>
      <c r="G20219" s="25" t="n">
        <f aca="false">G20210*(1-G20168)*(G20209-G20215+G20214-G20217)</f>
        <v>0</v>
      </c>
      <c r="H20219" s="25" t="n">
        <f aca="false">H20210*(1-H20168)*(H20209-H20215+H20214-H20217)</f>
        <v>300</v>
      </c>
      <c r="I20219" s="25" t="n">
        <f aca="false">I20210*(1-I20168)*(I20209-I20215+I20214-I20217)</f>
        <v>0</v>
      </c>
      <c r="J20219" s="25" t="n">
        <f aca="false">J20210*(1-J20168)*(J20209-J20215+J20214-J20217)</f>
        <v>0</v>
      </c>
      <c r="K20219" s="25" t="n">
        <f aca="false">K20210*(1-K20168)*(K20209-K20215+K20214-K20217)</f>
        <v>0</v>
      </c>
    </row>
    <row r="20220" customFormat="false" ht="15" hidden="false" customHeight="false" outlineLevel="0" collapsed="false">
      <c r="A20220" s="2" t="s">
        <v>274</v>
      </c>
      <c r="F20220" s="27" t="n">
        <f aca="false">Assumptions!$C$56</f>
        <v>300</v>
      </c>
      <c r="G20220" s="16" t="n">
        <f aca="false">G20209+G20216+G20214-G20215-G20217-G20218</f>
        <v>300</v>
      </c>
      <c r="H20220" s="16" t="n">
        <f aca="false">H20209+H20216+H20214-H20215-H20217-H20218</f>
        <v>300</v>
      </c>
      <c r="I20220" s="16" t="n">
        <f aca="false">I20209+I20216+I20214-I20215-I20217-I20218</f>
        <v>300</v>
      </c>
      <c r="J20220" s="16" t="n">
        <f aca="false">J20209+J20216+J20214-J20215-J20217-J20218</f>
        <v>300</v>
      </c>
      <c r="K20220" s="16" t="n">
        <f aca="false">K20209+K20216+K20214-K20215-K20217-K20218</f>
        <v>300</v>
      </c>
    </row>
    <row r="20221" customFormat="false" ht="15" hidden="false" customHeight="false" outlineLevel="0" collapsed="false">
      <c r="A20221" s="23" t="s">
        <v>278</v>
      </c>
      <c r="B20221" s="24"/>
      <c r="C20221" s="24"/>
      <c r="D20221" s="24"/>
      <c r="E20221" s="24"/>
      <c r="F20221" s="24"/>
      <c r="G20221" s="24"/>
      <c r="H20221" s="24"/>
      <c r="I20221" s="24"/>
      <c r="J20221" s="24"/>
      <c r="K20221" s="24"/>
    </row>
    <row r="20222" customFormat="false" ht="15" hidden="false" customHeight="false" outlineLevel="0" collapsed="false">
      <c r="A20222" s="2" t="s">
        <v>279</v>
      </c>
      <c r="F20222" s="16" t="n">
        <f aca="false">F20181+F20194+F20207+F20220</f>
        <v>1250</v>
      </c>
      <c r="G20222" s="16" t="n">
        <f aca="false">G20181+G20194+G20207+G20220</f>
        <v>1281.0968</v>
      </c>
      <c r="H20222" s="16" t="n">
        <f aca="false">H20181+H20194+H20207+H20220</f>
        <v>1275.8968</v>
      </c>
      <c r="I20222" s="16" t="n">
        <f aca="false">I20181+I20194+I20207+I20220</f>
        <v>1270.6968</v>
      </c>
      <c r="J20222" s="16" t="n">
        <f aca="false">J20181+J20194+J20207+J20220</f>
        <v>1265.4968</v>
      </c>
      <c r="K20222" s="16" t="n">
        <f aca="false">K20181+K20194+K20207+K20220</f>
        <v>1260.2968</v>
      </c>
    </row>
    <row r="20223" customFormat="false" ht="15" hidden="false" customHeight="false" outlineLevel="0" collapsed="false">
      <c r="A20223" s="5" t="s">
        <v>280</v>
      </c>
      <c r="G20223" s="25" t="n">
        <f aca="false">G20171*Assumptions!$C$53+G20184*Assumptions!$C$54+G20197*Assumptions!$C$55+G20210*Assumptions!$C$56</f>
        <v>0</v>
      </c>
      <c r="H20223" s="25" t="n">
        <f aca="false">H20171*Assumptions!$C$53+H20184*Assumptions!$C$54+H20197*Assumptions!$C$55+H20210*Assumptions!$C$56</f>
        <v>480</v>
      </c>
      <c r="I20223" s="25" t="n">
        <f aca="false">I20171*Assumptions!$C$53+I20184*Assumptions!$C$54+I20197*Assumptions!$C$55+I20210*Assumptions!$C$56</f>
        <v>520</v>
      </c>
      <c r="J20223" s="25" t="n">
        <f aca="false">J20171*Assumptions!$C$53+J20184*Assumptions!$C$54+J20197*Assumptions!$C$55+J20210*Assumptions!$C$56</f>
        <v>250</v>
      </c>
      <c r="K20223" s="25" t="n">
        <f aca="false">K20171*Assumptions!$C$53+K20184*Assumptions!$C$54+K20197*Assumptions!$C$55+K20210*Assumptions!$C$56</f>
        <v>0</v>
      </c>
    </row>
    <row r="20224" customFormat="false" ht="15" hidden="false" customHeight="false" outlineLevel="0" collapsed="false">
      <c r="A20224" s="23" t="s">
        <v>281</v>
      </c>
      <c r="B20224" s="24"/>
      <c r="C20224" s="24"/>
      <c r="D20224" s="24"/>
      <c r="E20224" s="24"/>
      <c r="F20224" s="24"/>
      <c r="G20224" s="24"/>
      <c r="H20224" s="24"/>
      <c r="I20224" s="24"/>
      <c r="J20224" s="24"/>
      <c r="K20224" s="24"/>
    </row>
    <row r="20225" customFormat="false" ht="15" hidden="false" customHeight="false" outlineLevel="0" collapsed="false">
      <c r="A20225" s="5" t="s">
        <v>282</v>
      </c>
      <c r="C20225" s="25" t="n">
        <f aca="false">SUMPRODUCT($G$20171:$K$20171,$G$20170:$K$20170-$G$20176:$K$20176+$G$20175:$K$20175)</f>
        <v>216.2968</v>
      </c>
    </row>
    <row r="20226" customFormat="false" ht="15" hidden="false" customHeight="false" outlineLevel="0" collapsed="false">
      <c r="A20226" s="5" t="s">
        <v>283</v>
      </c>
      <c r="C20226" s="25" t="n">
        <f aca="false">SUMPRODUCT($G$20171:$K$20171,$G$20178:$K$20178)</f>
        <v>0</v>
      </c>
    </row>
    <row r="20227" customFormat="false" ht="15" hidden="false" customHeight="false" outlineLevel="0" collapsed="false">
      <c r="A20227" s="5" t="s">
        <v>284</v>
      </c>
      <c r="C20227" s="5" t="str">
        <f aca="false">IF(SUM($G$20171:$K$20171)=0,"n/a (beyond horizon)",IF(SUMPRODUCT($G$20171:$K$20171,$G$20168:$K$20168)&gt;0,"REFINANCING PASS","REFINANCING FAILURE"))</f>
        <v>REFINANCING FAILURE</v>
      </c>
    </row>
    <row r="20228" customFormat="false" ht="15" hidden="false" customHeight="false" outlineLevel="0" collapsed="false">
      <c r="A20228" s="5" t="s">
        <v>285</v>
      </c>
      <c r="C20228" s="5" t="str">
        <f aca="false">IF(SUM($G$20171:$K$20171)=0,"n/a",IF(C20226&gt;=C20225-0.001,"Repaid from cash",IF(SUMPRODUCT($G$20171:$K$20171,$G$20168:$K$20168)&gt;0,IF(C20226&gt;0,"Partly repaid; remainder refinanced","Refinanced"),IF(SUM($G$20180:$K$20180)&gt;0.001,IF(C20226&gt;0,"Partial repayment; PAYMENT DEFAULT","PAYMENT DEFAULT"),"Repaid from cash"))))</f>
        <v>PAYMENT DEFAULT</v>
      </c>
    </row>
    <row r="20229" customFormat="false" ht="15" hidden="false" customHeight="false" outlineLevel="0" collapsed="false">
      <c r="A20229" s="5" t="s">
        <v>286</v>
      </c>
      <c r="C20229" s="25" t="n">
        <f aca="false">SUMPRODUCT($G$20184:$K$20184,$G$20183:$K$20183-$G$20189:$K$20189+$G$20188:$K$20188)</f>
        <v>504.4</v>
      </c>
    </row>
    <row r="20230" customFormat="false" ht="15" hidden="false" customHeight="false" outlineLevel="0" collapsed="false">
      <c r="A20230" s="5" t="s">
        <v>287</v>
      </c>
      <c r="C20230" s="25" t="n">
        <f aca="false">SUMPRODUCT($G$20184:$K$20184,$G$20191:$K$20191)</f>
        <v>0</v>
      </c>
    </row>
    <row r="20231" customFormat="false" ht="15" hidden="false" customHeight="false" outlineLevel="0" collapsed="false">
      <c r="A20231" s="5" t="s">
        <v>288</v>
      </c>
      <c r="C20231" s="5" t="str">
        <f aca="false">IF(SUM($G$20184:$K$20184)=0,"n/a (beyond horizon)",IF(SUMPRODUCT($G$20184:$K$20184,$G$20168:$K$20168)&gt;0,"REFINANCING PASS","REFINANCING FAILURE"))</f>
        <v>REFINANCING FAILURE</v>
      </c>
    </row>
    <row r="20232" customFormat="false" ht="15" hidden="false" customHeight="false" outlineLevel="0" collapsed="false">
      <c r="A20232" s="5" t="s">
        <v>289</v>
      </c>
      <c r="C20232" s="5" t="str">
        <f aca="false">IF(SUM($G$20184:$K$20184)=0,"n/a",IF(C20230&gt;=C20229-0.001,"Repaid from cash",IF(SUMPRODUCT($G$20184:$K$20184,$G$20168:$K$20168)&gt;0,IF(C20230&gt;0,"Partly repaid; remainder refinanced","Refinanced"),IF(SUM($G$20193:$K$20193)&gt;0.001,IF(C20230&gt;0,"Partial repayment; PAYMENT DEFAULT","PAYMENT DEFAULT"),"Repaid from cash"))))</f>
        <v>PAYMENT DEFAULT</v>
      </c>
    </row>
    <row r="20233" customFormat="false" ht="15" hidden="false" customHeight="false" outlineLevel="0" collapsed="false">
      <c r="A20233" s="5" t="s">
        <v>290</v>
      </c>
      <c r="C20233" s="25" t="n">
        <f aca="false">SUMPRODUCT($G$20197:$K$20197,$G$20196:$K$20196-$G$20202:$K$20202+$G$20201:$K$20201)</f>
        <v>250</v>
      </c>
    </row>
    <row r="20234" customFormat="false" ht="15" hidden="false" customHeight="false" outlineLevel="0" collapsed="false">
      <c r="A20234" s="5" t="s">
        <v>291</v>
      </c>
      <c r="C20234" s="25" t="n">
        <f aca="false">SUMPRODUCT($G$20197:$K$20197,$G$20204:$K$20204)</f>
        <v>0</v>
      </c>
    </row>
    <row r="20235" customFormat="false" ht="15" hidden="false" customHeight="false" outlineLevel="0" collapsed="false">
      <c r="A20235" s="5" t="s">
        <v>292</v>
      </c>
      <c r="C20235" s="5" t="str">
        <f aca="false">IF(SUM($G$20197:$K$20197)=0,"n/a (beyond horizon)",IF(SUMPRODUCT($G$20197:$K$20197,$G$20168:$K$20168)&gt;0,"REFINANCING PASS","REFINANCING FAILURE"))</f>
        <v>REFINANCING FAILURE</v>
      </c>
    </row>
    <row r="20236" customFormat="false" ht="15" hidden="false" customHeight="false" outlineLevel="0" collapsed="false">
      <c r="A20236" s="5" t="s">
        <v>293</v>
      </c>
      <c r="C20236" s="5" t="str">
        <f aca="false">IF(SUM($G$20197:$K$20197)=0,"n/a",IF(C20234&gt;=C20233-0.001,"Repaid from cash",IF(SUMPRODUCT($G$20197:$K$20197,$G$20168:$K$20168)&gt;0,IF(C20234&gt;0,"Partly repaid; remainder refinanced","Refinanced"),IF(SUM($G$20206:$K$20206)&gt;0.001,IF(C20234&gt;0,"Partial repayment; PAYMENT DEFAULT","PAYMENT DEFAULT"),"Repaid from cash"))))</f>
        <v>PAYMENT DEFAULT</v>
      </c>
    </row>
    <row r="20237" customFormat="false" ht="15" hidden="false" customHeight="false" outlineLevel="0" collapsed="false">
      <c r="A20237" s="5" t="s">
        <v>294</v>
      </c>
      <c r="C20237" s="25" t="n">
        <f aca="false">SUMPRODUCT($G$20210:$K$20210,$G$20209:$K$20209-$G$20215:$K$20215+$G$20214:$K$20214)</f>
        <v>300</v>
      </c>
    </row>
    <row r="20238" customFormat="false" ht="15" hidden="false" customHeight="false" outlineLevel="0" collapsed="false">
      <c r="A20238" s="5" t="s">
        <v>295</v>
      </c>
      <c r="C20238" s="25" t="n">
        <f aca="false">SUMPRODUCT($G$20210:$K$20210,$G$20217:$K$20217)</f>
        <v>0</v>
      </c>
    </row>
    <row r="20239" customFormat="false" ht="15" hidden="false" customHeight="false" outlineLevel="0" collapsed="false">
      <c r="A20239" s="5" t="s">
        <v>296</v>
      </c>
      <c r="C20239" s="5" t="str">
        <f aca="false">IF(SUM($G$20210:$K$20210)=0,"n/a (beyond horizon)",IF(SUMPRODUCT($G$20210:$K$20210,$G$20168:$K$20168)&gt;0,"REFINANCING PASS","REFINANCING FAILURE"))</f>
        <v>REFINANCING FAILURE</v>
      </c>
    </row>
    <row r="20240" customFormat="false" ht="15" hidden="false" customHeight="false" outlineLevel="0" collapsed="false">
      <c r="A20240" s="5" t="s">
        <v>297</v>
      </c>
      <c r="C20240" s="5" t="str">
        <f aca="false">IF(SUM($G$20210:$K$20210)=0,"n/a",IF(C20238&gt;=C20237-0.001,"Repaid from cash",IF(SUMPRODUCT($G$20210:$K$20210,$G$20168:$K$20168)&gt;0,IF(C20238&gt;0,"Partly repaid; remainder refinanced","Refinanced"),IF(SUM($G$20219:$K$20219)&gt;0.001,IF(C20238&gt;0,"Partial repayment; PAYMENT DEFAULT","PAYMENT DEFAULT"),"Repaid from cash"))))</f>
        <v>PAYMENT DEFAULT</v>
      </c>
    </row>
    <row r="20241" customFormat="false" ht="15" hidden="false" customHeight="false" outlineLevel="0" collapsed="false">
      <c r="A20241" s="5" t="s">
        <v>298</v>
      </c>
      <c r="C20241" s="20" t="n">
        <f aca="false">IF(C20227="REFINANCING FAILURE",1,0)+IF(C20231="REFINANCING FAILURE",1,0)+IF(C20235="REFINANCING FAILURE",1,0)+IF(C20239="REFINANCING FAILURE",1,0)</f>
        <v>4</v>
      </c>
    </row>
    <row r="20243" customFormat="false" ht="15" hidden="false" customHeight="false" outlineLevel="0" collapsed="false">
      <c r="A20243" s="23" t="s">
        <v>300</v>
      </c>
      <c r="B20243" s="24"/>
      <c r="C20243" s="24"/>
      <c r="D20243" s="24"/>
      <c r="E20243" s="24"/>
      <c r="F20243" s="24"/>
      <c r="G20243" s="24"/>
      <c r="H20243" s="24"/>
      <c r="I20243" s="24"/>
      <c r="J20243" s="24"/>
      <c r="K20243" s="24"/>
    </row>
    <row r="20244" customFormat="false" ht="15" hidden="false" customHeight="false" outlineLevel="0" collapsed="false">
      <c r="A20244" s="5" t="s">
        <v>260</v>
      </c>
      <c r="G20244" s="25" t="n">
        <f aca="false">F20256</f>
        <v>45</v>
      </c>
      <c r="H20244" s="25" t="n">
        <f aca="false">G20256</f>
        <v>0</v>
      </c>
      <c r="I20244" s="25" t="n">
        <f aca="false">H20256</f>
        <v>-121.3557292</v>
      </c>
      <c r="J20244" s="25" t="n">
        <f aca="false">I20256</f>
        <v>-236.702175152</v>
      </c>
      <c r="K20244" s="25" t="n">
        <f aca="false">J20256</f>
        <v>-337.79889141424</v>
      </c>
    </row>
    <row r="20245" customFormat="false" ht="15" hidden="false" customHeight="false" outlineLevel="0" collapsed="false">
      <c r="A20245" s="5" t="s">
        <v>301</v>
      </c>
      <c r="G20245" s="25" t="n">
        <f aca="false">G20157</f>
        <v>-76.0968</v>
      </c>
      <c r="H20245" s="25" t="n">
        <f aca="false">H20157</f>
        <v>-116.1557292</v>
      </c>
      <c r="I20245" s="25" t="n">
        <f aca="false">I20157</f>
        <v>-110.146445952</v>
      </c>
      <c r="J20245" s="25" t="n">
        <f aca="false">J20157</f>
        <v>-95.89671626224</v>
      </c>
      <c r="K20245" s="25" t="n">
        <f aca="false">K20157</f>
        <v>-83.18519092616</v>
      </c>
    </row>
    <row r="20246" customFormat="false" ht="15" hidden="false" customHeight="false" outlineLevel="0" collapsed="false">
      <c r="A20246" s="5" t="s">
        <v>302</v>
      </c>
      <c r="G20246" s="25" t="n">
        <f aca="false">CHOOSE($C$20127,Assumptions!$G$68,Assumptions!$G$87,Assumptions!$G$106)</f>
        <v>0</v>
      </c>
      <c r="H20246" s="25" t="n">
        <f aca="false">CHOOSE($C$20127,Assumptions!$H$68,Assumptions!$H$87,Assumptions!$H$106)</f>
        <v>0</v>
      </c>
      <c r="I20246" s="25" t="n">
        <f aca="false">CHOOSE($C$20127,Assumptions!$I$68,Assumptions!$I$87,Assumptions!$I$106)</f>
        <v>0</v>
      </c>
      <c r="J20246" s="25" t="n">
        <f aca="false">CHOOSE($C$20127,Assumptions!$J$68,Assumptions!$J$87,Assumptions!$J$106)</f>
        <v>0</v>
      </c>
      <c r="K20246" s="25" t="n">
        <f aca="false">CHOOSE($C$20127,Assumptions!$K$68,Assumptions!$K$87,Assumptions!$K$106)</f>
        <v>0</v>
      </c>
    </row>
    <row r="20247" customFormat="false" ht="15" hidden="false" customHeight="false" outlineLevel="0" collapsed="false">
      <c r="A20247" s="5" t="s">
        <v>303</v>
      </c>
      <c r="G20247" s="25" t="n">
        <f aca="false">G20176+G20189+G20202+G20215</f>
        <v>5.2</v>
      </c>
      <c r="H20247" s="25" t="n">
        <f aca="false">H20176+H20189+H20202+H20215</f>
        <v>5.2</v>
      </c>
      <c r="I20247" s="25" t="n">
        <f aca="false">I20176+I20189+I20202+I20215</f>
        <v>5.2</v>
      </c>
      <c r="J20247" s="25" t="n">
        <f aca="false">J20176+J20189+J20202+J20215</f>
        <v>5.2</v>
      </c>
      <c r="K20247" s="25" t="n">
        <f aca="false">K20176+K20189+K20202+K20215</f>
        <v>5.2</v>
      </c>
    </row>
    <row r="20248" customFormat="false" ht="15" hidden="false" customHeight="false" outlineLevel="0" collapsed="false">
      <c r="A20248" s="2" t="s">
        <v>304</v>
      </c>
      <c r="G20248" s="16" t="n">
        <f aca="false">G20244+G20245+G20246-G20247</f>
        <v>-36.2968000000001</v>
      </c>
      <c r="H20248" s="16" t="n">
        <f aca="false">H20244+H20245+H20246-H20247</f>
        <v>-121.3557292</v>
      </c>
      <c r="I20248" s="16" t="n">
        <f aca="false">I20244+I20245+I20246-I20247</f>
        <v>-236.702175152</v>
      </c>
      <c r="J20248" s="16" t="n">
        <f aca="false">J20244+J20245+J20246-J20247</f>
        <v>-337.79889141424</v>
      </c>
      <c r="K20248" s="16" t="n">
        <f aca="false">K20244+K20245+K20246-K20247</f>
        <v>-426.1840823404</v>
      </c>
    </row>
    <row r="20249" customFormat="false" ht="15" hidden="false" customHeight="false" outlineLevel="0" collapsed="false">
      <c r="A20249" s="5" t="s">
        <v>305</v>
      </c>
      <c r="G20249" s="25" t="n">
        <f aca="false">G20177+G20190+G20203+G20216</f>
        <v>36.2968000000001</v>
      </c>
      <c r="H20249" s="25" t="n">
        <f aca="false">H20177+H20190+H20203+H20216</f>
        <v>0</v>
      </c>
      <c r="I20249" s="25" t="n">
        <f aca="false">I20177+I20190+I20203+I20216</f>
        <v>0</v>
      </c>
      <c r="J20249" s="25" t="n">
        <f aca="false">J20177+J20190+J20203+J20216</f>
        <v>0</v>
      </c>
      <c r="K20249" s="25" t="n">
        <f aca="false">K20177+K20190+K20203+K20216</f>
        <v>0</v>
      </c>
    </row>
    <row r="20250" customFormat="false" ht="15" hidden="false" customHeight="false" outlineLevel="0" collapsed="false">
      <c r="A20250" s="2" t="s">
        <v>306</v>
      </c>
      <c r="G20250" s="16" t="n">
        <f aca="false">G20248+G20249</f>
        <v>0</v>
      </c>
      <c r="H20250" s="16" t="n">
        <f aca="false">H20248+H20249</f>
        <v>-121.3557292</v>
      </c>
      <c r="I20250" s="16" t="n">
        <f aca="false">I20248+I20249</f>
        <v>-236.702175152</v>
      </c>
      <c r="J20250" s="16" t="n">
        <f aca="false">J20248+J20249</f>
        <v>-337.79889141424</v>
      </c>
      <c r="K20250" s="16" t="n">
        <f aca="false">K20248+K20249</f>
        <v>-426.1840823404</v>
      </c>
    </row>
    <row r="20251" customFormat="false" ht="15" hidden="false" customHeight="false" outlineLevel="0" collapsed="false">
      <c r="A20251" s="5" t="s">
        <v>307</v>
      </c>
      <c r="G20251" s="25" t="n">
        <f aca="false">G20178+G20191+G20204+G20217</f>
        <v>0</v>
      </c>
      <c r="H20251" s="25" t="n">
        <f aca="false">H20178+H20191+H20204+H20217</f>
        <v>0</v>
      </c>
      <c r="I20251" s="25" t="n">
        <f aca="false">I20178+I20191+I20204+I20217</f>
        <v>0</v>
      </c>
      <c r="J20251" s="25" t="n">
        <f aca="false">J20178+J20191+J20204+J20217</f>
        <v>0</v>
      </c>
      <c r="K20251" s="25" t="n">
        <f aca="false">K20178+K20191+K20204+K20217</f>
        <v>0</v>
      </c>
    </row>
    <row r="20252" customFormat="false" ht="15" hidden="false" customHeight="false" outlineLevel="0" collapsed="false">
      <c r="A20252" s="2" t="s">
        <v>308</v>
      </c>
      <c r="G20252" s="16" t="n">
        <f aca="false">G20250-G20251</f>
        <v>0</v>
      </c>
      <c r="H20252" s="16" t="n">
        <f aca="false">H20250-H20251</f>
        <v>-121.3557292</v>
      </c>
      <c r="I20252" s="16" t="n">
        <f aca="false">I20250-I20251</f>
        <v>-236.702175152</v>
      </c>
      <c r="J20252" s="16" t="n">
        <f aca="false">J20250-J20251</f>
        <v>-337.79889141424</v>
      </c>
      <c r="K20252" s="16" t="n">
        <f aca="false">K20250-K20251</f>
        <v>-426.1840823404</v>
      </c>
    </row>
    <row r="20253" customFormat="false" ht="15" hidden="false" customHeight="false" outlineLevel="0" collapsed="false">
      <c r="A20253" s="5" t="s">
        <v>309</v>
      </c>
      <c r="G20253" s="25" t="n">
        <f aca="false">MAX(0,-G20252)</f>
        <v>-0</v>
      </c>
      <c r="H20253" s="25" t="n">
        <f aca="false">MAX(0,-H20252)</f>
        <v>121.3557292</v>
      </c>
      <c r="I20253" s="25" t="n">
        <f aca="false">MAX(0,-I20252)</f>
        <v>236.702175152</v>
      </c>
      <c r="J20253" s="25" t="n">
        <f aca="false">MAX(0,-J20252)</f>
        <v>337.79889141424</v>
      </c>
      <c r="K20253" s="25" t="n">
        <f aca="false">MAX(0,-K20252)</f>
        <v>426.1840823404</v>
      </c>
    </row>
    <row r="20254" customFormat="false" ht="15" hidden="false" customHeight="false" outlineLevel="0" collapsed="false">
      <c r="A20254" s="5" t="s">
        <v>310</v>
      </c>
      <c r="G20254" s="25" t="n">
        <f aca="false">MAX(0,G20252-Assumptions!$C$12)*Assumptions!$C$13</f>
        <v>0</v>
      </c>
      <c r="H20254" s="25" t="n">
        <f aca="false">MAX(0,H20252-Assumptions!$C$12)*Assumptions!$C$13</f>
        <v>0</v>
      </c>
      <c r="I20254" s="25" t="n">
        <f aca="false">MAX(0,I20252-Assumptions!$C$12)*Assumptions!$C$13</f>
        <v>0</v>
      </c>
      <c r="J20254" s="25" t="n">
        <f aca="false">MAX(0,J20252-Assumptions!$C$12)*Assumptions!$C$13</f>
        <v>0</v>
      </c>
      <c r="K20254" s="25" t="n">
        <f aca="false">MAX(0,K20252-Assumptions!$C$12)*Assumptions!$C$13</f>
        <v>0</v>
      </c>
    </row>
    <row r="20255" customFormat="false" ht="15" hidden="false" customHeight="false" outlineLevel="0" collapsed="false">
      <c r="A20255" s="5" t="s">
        <v>311</v>
      </c>
      <c r="G20255" s="25" t="n">
        <f aca="false">G20179+G20192+G20205+G20218</f>
        <v>0</v>
      </c>
      <c r="H20255" s="25" t="n">
        <f aca="false">H20179+H20192+H20205+H20218</f>
        <v>0</v>
      </c>
      <c r="I20255" s="25" t="n">
        <f aca="false">I20179+I20192+I20205+I20218</f>
        <v>0</v>
      </c>
      <c r="J20255" s="25" t="n">
        <f aca="false">J20179+J20192+J20205+J20218</f>
        <v>0</v>
      </c>
      <c r="K20255" s="25" t="n">
        <f aca="false">K20179+K20192+K20205+K20218</f>
        <v>0</v>
      </c>
    </row>
    <row r="20256" customFormat="false" ht="15" hidden="false" customHeight="false" outlineLevel="0" collapsed="false">
      <c r="A20256" s="2" t="s">
        <v>312</v>
      </c>
      <c r="F20256" s="27" t="n">
        <f aca="false">Assumptions!$C$11</f>
        <v>45</v>
      </c>
      <c r="G20256" s="16" t="n">
        <f aca="false">G20252-G20255</f>
        <v>0</v>
      </c>
      <c r="H20256" s="16" t="n">
        <f aca="false">H20252-H20255</f>
        <v>-121.3557292</v>
      </c>
      <c r="I20256" s="16" t="n">
        <f aca="false">I20252-I20255</f>
        <v>-236.702175152</v>
      </c>
      <c r="J20256" s="16" t="n">
        <f aca="false">J20252-J20255</f>
        <v>-337.79889141424</v>
      </c>
      <c r="K20256" s="16" t="n">
        <f aca="false">K20252-K20255</f>
        <v>-426.1840823404</v>
      </c>
    </row>
    <row r="20257" customFormat="false" ht="15" hidden="false" customHeight="false" outlineLevel="0" collapsed="false">
      <c r="A20257" s="5" t="s">
        <v>313</v>
      </c>
      <c r="G20257" s="25" t="n">
        <f aca="false">G20180+G20193+G20206+G20219</f>
        <v>0</v>
      </c>
      <c r="H20257" s="25" t="n">
        <f aca="false">H20180+H20193+H20206+H20219</f>
        <v>516.2968</v>
      </c>
      <c r="I20257" s="25" t="n">
        <f aca="false">I20180+I20193+I20206+I20219</f>
        <v>504.4</v>
      </c>
      <c r="J20257" s="25" t="n">
        <f aca="false">J20180+J20193+J20206+J20219</f>
        <v>250</v>
      </c>
      <c r="K20257" s="25" t="n">
        <f aca="false">K20180+K20193+K20206+K20219</f>
        <v>0</v>
      </c>
    </row>
    <row r="20258" customFormat="false" ht="15" hidden="false" customHeight="false" outlineLevel="0" collapsed="false">
      <c r="A20258" s="5" t="s">
        <v>314</v>
      </c>
      <c r="G20258" s="20" t="n">
        <f aca="false">IF(OR(G20253&gt;0.001,G20257&gt;0.001),1,0)</f>
        <v>0</v>
      </c>
      <c r="H20258" s="20" t="n">
        <f aca="false">IF(OR(H20253&gt;0.001,H20257&gt;0.001),1,0)</f>
        <v>1</v>
      </c>
      <c r="I20258" s="20" t="n">
        <f aca="false">IF(OR(I20253&gt;0.001,I20257&gt;0.001),1,0)</f>
        <v>1</v>
      </c>
      <c r="J20258" s="20" t="n">
        <f aca="false">IF(OR(J20253&gt;0.001,J20257&gt;0.001),1,0)</f>
        <v>1</v>
      </c>
      <c r="K20258" s="20" t="n">
        <f aca="false">IF(OR(K20253&gt;0.001,K20257&gt;0.001),1,0)</f>
        <v>1</v>
      </c>
    </row>
    <row r="20259" customFormat="false" ht="15" hidden="false" customHeight="false" outlineLevel="0" collapsed="false">
      <c r="A20259" s="5" t="s">
        <v>315</v>
      </c>
      <c r="G20259" s="20" t="n">
        <f aca="false">IF(G20258=1,1,0)</f>
        <v>0</v>
      </c>
      <c r="H20259" s="20" t="n">
        <f aca="false">IF(AND(H20258=1,SUM($G$20258:G20258)=0),1,0)</f>
        <v>1</v>
      </c>
      <c r="I20259" s="20" t="n">
        <f aca="false">IF(AND(I20258=1,SUM($G$20258:H20258)=0),1,0)</f>
        <v>0</v>
      </c>
      <c r="J20259" s="20" t="n">
        <f aca="false">IF(AND(J20258=1,SUM($G$20258:I20258)=0),1,0)</f>
        <v>0</v>
      </c>
      <c r="K20259" s="20" t="n">
        <f aca="false">IF(AND(K20258=1,SUM($G$20258:J20258)=0),1,0)</f>
        <v>0</v>
      </c>
    </row>
    <row r="20260" customFormat="false" ht="15" hidden="false" customHeight="false" outlineLevel="0" collapsed="false">
      <c r="A20260" s="5" t="s">
        <v>316</v>
      </c>
      <c r="G20260" s="25" t="n">
        <f aca="false">(G20222-F20222)-(G20249+G20149-G20247-G20251-G20255)</f>
        <v>0</v>
      </c>
      <c r="H20260" s="25" t="n">
        <f aca="false">(H20222-G20222)-(H20249+H20149-H20247-H20251-H20255)</f>
        <v>-4.52970994047064E-014</v>
      </c>
      <c r="I20260" s="25" t="n">
        <f aca="false">(I20222-H20222)-(I20249+I20149-I20247-I20251-I20255)</f>
        <v>1.82076576038526E-013</v>
      </c>
      <c r="J20260" s="25" t="n">
        <f aca="false">(J20222-I20222)-(J20249+J20149-J20247-J20251-J20255)</f>
        <v>-2.72670774847938E-013</v>
      </c>
      <c r="K20260" s="25" t="n">
        <f aca="false">(K20222-J20222)-(K20249+K20149-K20247-K20251-K20255)</f>
        <v>1.82076576038526E-013</v>
      </c>
    </row>
    <row r="20262" customFormat="false" ht="15" hidden="false" customHeight="false" outlineLevel="0" collapsed="false">
      <c r="A20262" s="23" t="s">
        <v>318</v>
      </c>
      <c r="B20262" s="24"/>
      <c r="C20262" s="24"/>
      <c r="D20262" s="24"/>
      <c r="E20262" s="24"/>
      <c r="F20262" s="24"/>
      <c r="G20262" s="24"/>
      <c r="H20262" s="24"/>
      <c r="I20262" s="24"/>
      <c r="J20262" s="24"/>
      <c r="K20262" s="24"/>
    </row>
    <row r="20263" customFormat="false" ht="15" hidden="false" customHeight="false" outlineLevel="0" collapsed="false">
      <c r="A20263" s="5" t="s">
        <v>319</v>
      </c>
      <c r="G20263" s="25" t="n">
        <f aca="false">G20222</f>
        <v>1281.0968</v>
      </c>
      <c r="H20263" s="25" t="n">
        <f aca="false">H20222</f>
        <v>1275.8968</v>
      </c>
      <c r="I20263" s="25" t="n">
        <f aca="false">I20222</f>
        <v>1270.6968</v>
      </c>
      <c r="J20263" s="25" t="n">
        <f aca="false">J20222</f>
        <v>1265.4968</v>
      </c>
      <c r="K20263" s="25" t="n">
        <f aca="false">K20222</f>
        <v>1260.2968</v>
      </c>
    </row>
    <row r="20264" customFormat="false" ht="15" hidden="false" customHeight="false" outlineLevel="0" collapsed="false">
      <c r="A20264" s="5" t="s">
        <v>320</v>
      </c>
      <c r="G20264" s="25" t="n">
        <f aca="false">Assumptions!$O$53*G20181+Assumptions!$O$54*G20194+Assumptions!$O$55*G20207+Assumptions!$O$56*G20220</f>
        <v>981.0968</v>
      </c>
      <c r="H20264" s="25" t="n">
        <f aca="false">Assumptions!$O$53*H20181+Assumptions!$O$54*H20194+Assumptions!$O$55*H20207+Assumptions!$O$56*H20220</f>
        <v>975.8968</v>
      </c>
      <c r="I20264" s="25" t="n">
        <f aca="false">Assumptions!$O$53*I20181+Assumptions!$O$54*I20194+Assumptions!$O$55*I20207+Assumptions!$O$56*I20220</f>
        <v>970.6968</v>
      </c>
      <c r="J20264" s="25" t="n">
        <f aca="false">Assumptions!$O$53*J20181+Assumptions!$O$54*J20194+Assumptions!$O$55*J20207+Assumptions!$O$56*J20220</f>
        <v>965.4968</v>
      </c>
      <c r="K20264" s="25" t="n">
        <f aca="false">Assumptions!$O$53*K20181+Assumptions!$O$54*K20194+Assumptions!$O$55*K20207+Assumptions!$O$56*K20220</f>
        <v>960.2968</v>
      </c>
    </row>
    <row r="20265" customFormat="false" ht="15" hidden="false" customHeight="false" outlineLevel="0" collapsed="false">
      <c r="A20265" s="5" t="s">
        <v>321</v>
      </c>
      <c r="G20265" s="25" t="n">
        <f aca="false">G20263-G20256</f>
        <v>1281.0968</v>
      </c>
      <c r="H20265" s="25" t="n">
        <f aca="false">H20263-H20256</f>
        <v>1397.2525292</v>
      </c>
      <c r="I20265" s="25" t="n">
        <f aca="false">I20263-I20256</f>
        <v>1507.398975152</v>
      </c>
      <c r="J20265" s="25" t="n">
        <f aca="false">J20263-J20256</f>
        <v>1603.29569141424</v>
      </c>
      <c r="K20265" s="25" t="n">
        <f aca="false">K20263-K20256</f>
        <v>1686.4808823404</v>
      </c>
    </row>
    <row r="20266" customFormat="false" ht="15" hidden="false" customHeight="false" outlineLevel="0" collapsed="false">
      <c r="A20266" s="5" t="s">
        <v>322</v>
      </c>
      <c r="G20266" s="31" t="n">
        <f aca="false">IF(G20144&gt;0,G20263/G20144,0)</f>
        <v>16.5413800227249</v>
      </c>
      <c r="H20266" s="31" t="n">
        <f aca="false">IF(H20144&gt;0,H20263/H20144,0)</f>
        <v>26.0868812807611</v>
      </c>
      <c r="I20266" s="31" t="n">
        <f aca="false">IF(I20144&gt;0,I20263/I20144,0)</f>
        <v>20.7088178018065</v>
      </c>
      <c r="J20266" s="31" t="n">
        <f aca="false">IF(J20144&gt;0,J20263/J20144,0)</f>
        <v>17.2611283222678</v>
      </c>
      <c r="K20266" s="31" t="n">
        <f aca="false">IF(K20144&gt;0,K20263/K20144,0)</f>
        <v>14.8227900209479</v>
      </c>
    </row>
    <row r="20267" customFormat="false" ht="15" hidden="false" customHeight="false" outlineLevel="0" collapsed="false">
      <c r="A20267" s="5" t="s">
        <v>323</v>
      </c>
      <c r="G20267" s="31" t="n">
        <f aca="false">IF(G20144&gt;0,G20265/G20144,0)</f>
        <v>16.5413800227249</v>
      </c>
      <c r="H20267" s="31" t="n">
        <f aca="false">IF(H20144&gt;0,H20265/H20144,0)</f>
        <v>28.5681105622991</v>
      </c>
      <c r="I20267" s="31" t="n">
        <f aca="false">IF(I20144&gt;0,I20265/I20144,0)</f>
        <v>24.5664038274533</v>
      </c>
      <c r="J20267" s="31" t="n">
        <f aca="false">IF(J20144&gt;0,J20265/J20144,0)</f>
        <v>21.8686389946149</v>
      </c>
      <c r="K20267" s="31" t="n">
        <f aca="false">IF(K20144&gt;0,K20265/K20144,0)</f>
        <v>19.8352895867661</v>
      </c>
    </row>
    <row r="20268" customFormat="false" ht="15" hidden="false" customHeight="false" outlineLevel="0" collapsed="false">
      <c r="A20268" s="5" t="s">
        <v>324</v>
      </c>
      <c r="G20268" s="31" t="n">
        <f aca="false">IF(G20148&gt;0,G20144/G20148,0)</f>
        <v>0.597869383974062</v>
      </c>
      <c r="H20268" s="31" t="n">
        <f aca="false">IF(H20148&gt;0,H20144/H20148,0)</f>
        <v>0.374027109660081</v>
      </c>
      <c r="I20268" s="31" t="n">
        <f aca="false">IF(I20148&gt;0,I20144/I20148,0)</f>
        <v>0.478071824514175</v>
      </c>
      <c r="J20268" s="31" t="n">
        <f aca="false">IF(J20148&gt;0,J20144/J20148,0)</f>
        <v>0.573840521753012</v>
      </c>
      <c r="K20268" s="31" t="n">
        <f aca="false">IF(K20148&gt;0,K20144/K20148,0)</f>
        <v>0.668565910880975</v>
      </c>
    </row>
    <row r="20269" customFormat="false" ht="15" hidden="false" customHeight="false" outlineLevel="0" collapsed="false">
      <c r="A20269" s="5" t="s">
        <v>325</v>
      </c>
      <c r="G20269" s="31" t="n">
        <f aca="false">IF(G20148&gt;0,G20147/G20148,0)</f>
        <v>0.222065771190366</v>
      </c>
      <c r="H20269" s="31" t="n">
        <f aca="false">IF(H20148&gt;0,H20147/H20148,0)</f>
        <v>0.0162620482460903</v>
      </c>
      <c r="I20269" s="31" t="n">
        <f aca="false">IF(I20148&gt;0,I20147/I20148,0)</f>
        <v>0.115396647296525</v>
      </c>
      <c r="J20269" s="31" t="n">
        <f aca="false">IF(J20148&gt;0,J20147/J20148,0)</f>
        <v>0.213140765222547</v>
      </c>
      <c r="K20269" s="31" t="n">
        <f aca="false">IF(K20148&gt;0,K20147/K20148,0)</f>
        <v>0.309823226993622</v>
      </c>
    </row>
    <row r="20270" customFormat="false" ht="15" hidden="false" customHeight="false" outlineLevel="0" collapsed="false">
      <c r="A20270" s="5" t="s">
        <v>182</v>
      </c>
      <c r="G20270" s="21" t="n">
        <f aca="false">IF(G20263&gt;0,G20157/G20263,0)</f>
        <v>-0.0593997268590477</v>
      </c>
      <c r="H20270" s="21" t="n">
        <f aca="false">IF(H20263&gt;0,H20157/H20263,0)</f>
        <v>-0.0910384987249753</v>
      </c>
      <c r="I20270" s="21" t="n">
        <f aca="false">IF(I20263&gt;0,I20157/I20263,0)</f>
        <v>-0.086681925973214</v>
      </c>
      <c r="J20270" s="21" t="n">
        <f aca="false">IF(J20263&gt;0,J20157/J20263,0)</f>
        <v>-0.0757779207835532</v>
      </c>
      <c r="K20270" s="21" t="n">
        <f aca="false">IF(K20263&gt;0,K20157/K20263,0)</f>
        <v>-0.0660044450848086</v>
      </c>
    </row>
    <row r="20271" customFormat="false" ht="15" hidden="false" customHeight="false" outlineLevel="0" collapsed="false">
      <c r="A20271" s="5" t="s">
        <v>326</v>
      </c>
      <c r="G20271" s="31" t="n">
        <f aca="false">IF(G20148+G20247&gt;0,(G20144-G20155-G20152)/(G20148+G20247),0)</f>
        <v>0.262763841472466</v>
      </c>
      <c r="H20271" s="31" t="n">
        <f aca="false">IF(H20148+H20247&gt;0,(H20144-H20155-H20152)/(H20148+H20247),0)</f>
        <v>0.0625604092748976</v>
      </c>
      <c r="I20271" s="31" t="n">
        <f aca="false">IF(I20148+I20247&gt;0,(I20144-I20155-I20152)/(I20148+I20247),0)</f>
        <v>0.158433508080696</v>
      </c>
      <c r="J20271" s="31" t="n">
        <f aca="false">IF(J20148+J20247&gt;0,(J20144-J20155-J20152)/(J20148+J20247),0)</f>
        <v>0.252067742993116</v>
      </c>
      <c r="K20271" s="31" t="n">
        <f aca="false">IF(K20148+K20247&gt;0,(K20144-K20155-K20152)/(K20148+K20247),0)</f>
        <v>0.344650334570687</v>
      </c>
    </row>
    <row r="20272" customFormat="false" ht="15" hidden="false" customHeight="false" outlineLevel="0" collapsed="false">
      <c r="A20272" s="5" t="s">
        <v>327</v>
      </c>
      <c r="G20272" s="25" t="n">
        <f aca="false">MAX(0,G20256)+Assumptions!$P$53*MAX(0,Assumptions!$D$53-G20181)+Assumptions!$P$54*MAX(0,Assumptions!$D$54-G20194)+Assumptions!$P$55*MAX(0,Assumptions!$D$55-G20207)+Assumptions!$P$56*MAX(0,Assumptions!$D$56-G20220)</f>
        <v>83.7032</v>
      </c>
      <c r="H20272" s="25" t="n">
        <f aca="false">MAX(0,H20256)+Assumptions!$P$53*MAX(0,Assumptions!$D$53-H20181)+Assumptions!$P$54*MAX(0,Assumptions!$D$54-H20194)+Assumptions!$P$55*MAX(0,Assumptions!$D$55-H20207)+Assumptions!$P$56*MAX(0,Assumptions!$D$56-H20220)</f>
        <v>83.7032</v>
      </c>
      <c r="I20272" s="25" t="n">
        <f aca="false">MAX(0,I20256)+Assumptions!$P$53*MAX(0,Assumptions!$D$53-I20181)+Assumptions!$P$54*MAX(0,Assumptions!$D$54-I20194)+Assumptions!$P$55*MAX(0,Assumptions!$D$55-I20207)+Assumptions!$P$56*MAX(0,Assumptions!$D$56-I20220)</f>
        <v>83.7032</v>
      </c>
      <c r="J20272" s="25" t="n">
        <f aca="false">MAX(0,J20256)+Assumptions!$P$53*MAX(0,Assumptions!$D$53-J20181)+Assumptions!$P$54*MAX(0,Assumptions!$D$54-J20194)+Assumptions!$P$55*MAX(0,Assumptions!$D$55-J20207)+Assumptions!$P$56*MAX(0,Assumptions!$D$56-J20220)</f>
        <v>83.7032</v>
      </c>
      <c r="K20272" s="25" t="n">
        <f aca="false">MAX(0,K20256)+Assumptions!$P$53*MAX(0,Assumptions!$D$53-K20181)+Assumptions!$P$54*MAX(0,Assumptions!$D$54-K20194)+Assumptions!$P$55*MAX(0,Assumptions!$D$55-K20207)+Assumptions!$P$56*MAX(0,Assumptions!$D$56-K20220)</f>
        <v>83.7032</v>
      </c>
    </row>
    <row r="20273" customFormat="false" ht="15" hidden="false" customHeight="false" outlineLevel="0" collapsed="false">
      <c r="A20273" s="5" t="s">
        <v>328</v>
      </c>
      <c r="G20273" s="21" t="n">
        <f aca="false">IF(G20263&gt;0,G20263/(G20263+MAX(0,G20144*CHOOSE($C$20127,Assumptions!$C$76,Assumptions!$C$95,Assumptions!$C$114)-G20265)),0)</f>
        <v>1</v>
      </c>
      <c r="H20273" s="21" t="n">
        <f aca="false">IF(H20263&gt;0,H20263/(H20263+MAX(0,H20144*CHOOSE($C$20127,Assumptions!$C$76,Assumptions!$C$95,Assumptions!$C$114)-H20265)),0)</f>
        <v>1</v>
      </c>
      <c r="I20273" s="21" t="n">
        <f aca="false">IF(I20263&gt;0,I20263/(I20263+MAX(0,I20144*CHOOSE($C$20127,Assumptions!$C$76,Assumptions!$C$95,Assumptions!$C$114)-I20265)),0)</f>
        <v>1</v>
      </c>
      <c r="J20273" s="21" t="n">
        <f aca="false">IF(J20263&gt;0,J20263/(J20263+MAX(0,J20144*CHOOSE($C$20127,Assumptions!$C$76,Assumptions!$C$95,Assumptions!$C$114)-J20265)),0)</f>
        <v>1</v>
      </c>
      <c r="K20273" s="21" t="n">
        <f aca="false">IF(K20263&gt;0,K20263/(K20263+MAX(0,K20144*CHOOSE($C$20127,Assumptions!$C$76,Assumptions!$C$95,Assumptions!$C$114)-K20265)),0)</f>
        <v>1</v>
      </c>
    </row>
    <row r="20274" customFormat="false" ht="15" hidden="false" customHeight="false" outlineLevel="0" collapsed="false">
      <c r="A20274" s="5" t="s">
        <v>329</v>
      </c>
      <c r="G20274" s="21" t="n">
        <f aca="false">IF(G20263&gt;0,MAX(0,G20256)/G20263,0)</f>
        <v>0</v>
      </c>
      <c r="H20274" s="21" t="n">
        <f aca="false">IF(H20263&gt;0,MAX(0,H20256)/H20263,0)</f>
        <v>0</v>
      </c>
      <c r="I20274" s="21" t="n">
        <f aca="false">IF(I20263&gt;0,MAX(0,I20256)/I20263,0)</f>
        <v>0</v>
      </c>
      <c r="J20274" s="21" t="n">
        <f aca="false">IF(J20263&gt;0,MAX(0,J20256)/J20263,0)</f>
        <v>0</v>
      </c>
      <c r="K20274" s="21" t="n">
        <f aca="false">IF(K20263&gt;0,MAX(0,K20256)/K20263,0)</f>
        <v>0</v>
      </c>
    </row>
    <row r="20275" customFormat="false" ht="15" hidden="false" customHeight="false" outlineLevel="0" collapsed="false">
      <c r="A20275" s="5" t="s">
        <v>330</v>
      </c>
      <c r="G20275" s="25" t="n">
        <f aca="false">Assumptions!$C$27*(1-CHOOSE($C$20127,Assumptions!$C$79,Assumptions!$C$98,Assumptions!$C$117))</f>
        <v>884</v>
      </c>
      <c r="H20275" s="25" t="n">
        <f aca="false">Assumptions!$C$27*(1-CHOOSE($C$20127,Assumptions!$C$79,Assumptions!$C$98,Assumptions!$C$117))</f>
        <v>884</v>
      </c>
      <c r="I20275" s="25" t="n">
        <f aca="false">Assumptions!$C$27*(1-CHOOSE($C$20127,Assumptions!$C$79,Assumptions!$C$98,Assumptions!$C$117))</f>
        <v>884</v>
      </c>
      <c r="J20275" s="25" t="n">
        <f aca="false">Assumptions!$C$27*(1-CHOOSE($C$20127,Assumptions!$C$79,Assumptions!$C$98,Assumptions!$C$117))</f>
        <v>884</v>
      </c>
      <c r="K20275" s="25" t="n">
        <f aca="false">Assumptions!$C$27*(1-CHOOSE($C$20127,Assumptions!$C$79,Assumptions!$C$98,Assumptions!$C$117))</f>
        <v>884</v>
      </c>
    </row>
    <row r="20276" customFormat="false" ht="15" hidden="false" customHeight="false" outlineLevel="0" collapsed="false">
      <c r="A20276" s="23" t="s">
        <v>331</v>
      </c>
      <c r="B20276" s="24"/>
      <c r="C20276" s="24"/>
      <c r="D20276" s="24"/>
      <c r="E20276" s="24"/>
      <c r="F20276" s="24"/>
      <c r="G20276" s="24"/>
      <c r="H20276" s="24"/>
      <c r="I20276" s="24"/>
      <c r="J20276" s="24"/>
      <c r="K20276" s="24"/>
    </row>
    <row r="20277" customFormat="false" ht="15" hidden="false" customHeight="false" outlineLevel="0" collapsed="false">
      <c r="A20277" s="23" t="s">
        <v>332</v>
      </c>
      <c r="B20277" s="24"/>
      <c r="C20277" s="24"/>
      <c r="D20277" s="24"/>
      <c r="E20277" s="24"/>
      <c r="F20277" s="24"/>
      <c r="G20277" s="24"/>
      <c r="H20277" s="24"/>
      <c r="I20277" s="24"/>
      <c r="J20277" s="24"/>
      <c r="K20277" s="24"/>
    </row>
    <row r="20278" customFormat="false" ht="15" hidden="false" customHeight="false" outlineLevel="0" collapsed="false">
      <c r="A20278" s="5" t="s">
        <v>333</v>
      </c>
      <c r="G20278" s="31" t="n">
        <f aca="false">IF(G20144&gt;0,G20265/G20144,99)</f>
        <v>16.5413800227249</v>
      </c>
      <c r="H20278" s="31" t="n">
        <f aca="false">IF(H20144&gt;0,H20265/H20144,99)</f>
        <v>28.5681105622991</v>
      </c>
      <c r="I20278" s="31" t="n">
        <f aca="false">IF(I20144&gt;0,I20265/I20144,99)</f>
        <v>24.5664038274533</v>
      </c>
      <c r="J20278" s="31" t="n">
        <f aca="false">IF(J20144&gt;0,J20265/J20144,99)</f>
        <v>21.8686389946149</v>
      </c>
      <c r="K20278" s="31" t="n">
        <f aca="false">IF(K20144&gt;0,K20265/K20144,99)</f>
        <v>19.8352895867661</v>
      </c>
    </row>
    <row r="20279" customFormat="false" ht="15" hidden="false" customHeight="false" outlineLevel="0" collapsed="false">
      <c r="A20279" s="5" t="s">
        <v>334</v>
      </c>
      <c r="G20279" s="32" t="n">
        <f aca="false">Assumptions!$G$61</f>
        <v>8.5</v>
      </c>
      <c r="H20279" s="32" t="n">
        <f aca="false">Assumptions!$H$61</f>
        <v>8.5</v>
      </c>
      <c r="I20279" s="32" t="n">
        <f aca="false">Assumptions!$I$61</f>
        <v>8.5</v>
      </c>
      <c r="J20279" s="32" t="n">
        <f aca="false">Assumptions!$J$61</f>
        <v>8.5</v>
      </c>
      <c r="K20279" s="32" t="n">
        <f aca="false">Assumptions!$K$61</f>
        <v>8.5</v>
      </c>
    </row>
    <row r="20280" customFormat="false" ht="15" hidden="false" customHeight="false" outlineLevel="0" collapsed="false">
      <c r="A20280" s="5" t="s">
        <v>335</v>
      </c>
      <c r="G20280" s="31" t="n">
        <f aca="false">G20279-G20278</f>
        <v>-8.04138002272492</v>
      </c>
      <c r="H20280" s="31" t="n">
        <f aca="false">H20279-H20278</f>
        <v>-20.0681105622991</v>
      </c>
      <c r="I20280" s="31" t="n">
        <f aca="false">I20279-I20278</f>
        <v>-16.0664038274533</v>
      </c>
      <c r="J20280" s="31" t="n">
        <f aca="false">J20279-J20278</f>
        <v>-13.3686389946149</v>
      </c>
      <c r="K20280" s="31" t="n">
        <f aca="false">K20279-K20278</f>
        <v>-11.3352895867661</v>
      </c>
    </row>
    <row r="20281" customFormat="false" ht="15" hidden="false" customHeight="false" outlineLevel="0" collapsed="false">
      <c r="A20281" s="5" t="s">
        <v>336</v>
      </c>
      <c r="G20281" s="21" t="n">
        <f aca="false">IF(G20279=0,0,G20280/ABS(G20279))</f>
        <v>-0.946044708555873</v>
      </c>
      <c r="H20281" s="21" t="n">
        <f aca="false">IF(H20279=0,0,H20280/ABS(H20279))</f>
        <v>-2.36095418379989</v>
      </c>
      <c r="I20281" s="21" t="n">
        <f aca="false">IF(I20279=0,0,I20280/ABS(I20279))</f>
        <v>-1.89016515617097</v>
      </c>
      <c r="J20281" s="21" t="n">
        <f aca="false">IF(J20279=0,0,J20280/ABS(J20279))</f>
        <v>-1.57278105818998</v>
      </c>
      <c r="K20281" s="21" t="n">
        <f aca="false">IF(K20279=0,0,K20280/ABS(K20279))</f>
        <v>-1.33356348079602</v>
      </c>
    </row>
    <row r="20282" customFormat="false" ht="15" hidden="false" customHeight="false" outlineLevel="0" collapsed="false">
      <c r="A20282" s="5" t="s">
        <v>337</v>
      </c>
      <c r="G20282" s="20" t="n">
        <f aca="false">IF(G20280&lt;0,1,0)</f>
        <v>1</v>
      </c>
      <c r="H20282" s="20" t="n">
        <f aca="false">IF(H20280&lt;0,1,0)</f>
        <v>1</v>
      </c>
      <c r="I20282" s="20" t="n">
        <f aca="false">IF(I20280&lt;0,1,0)</f>
        <v>1</v>
      </c>
      <c r="J20282" s="20" t="n">
        <f aca="false">IF(J20280&lt;0,1,0)</f>
        <v>1</v>
      </c>
      <c r="K20282" s="20" t="n">
        <f aca="false">IF(K20280&lt;0,1,0)</f>
        <v>1</v>
      </c>
    </row>
    <row r="20283" customFormat="false" ht="15" hidden="false" customHeight="false" outlineLevel="0" collapsed="false">
      <c r="A20283" s="5" t="s">
        <v>338</v>
      </c>
      <c r="C20283" s="20" t="n">
        <f aca="false">IFERROR(INDEX($G$20134:$K$20134,MATCH(1,$G$20282:$K$20282,0)),0)</f>
        <v>2026</v>
      </c>
    </row>
    <row r="20284" customFormat="false" ht="15" hidden="false" customHeight="false" outlineLevel="0" collapsed="false">
      <c r="A20284" s="5" t="s">
        <v>339</v>
      </c>
      <c r="C20284" s="21" t="n">
        <f aca="false">MIN($G$20281:$K$20281)</f>
        <v>-2.36095418379989</v>
      </c>
    </row>
    <row r="20285" customFormat="false" ht="15" hidden="false" customHeight="false" outlineLevel="0" collapsed="false">
      <c r="A20285" s="5" t="s">
        <v>340</v>
      </c>
      <c r="G20285" s="20" t="n">
        <f aca="false">G20282</f>
        <v>1</v>
      </c>
      <c r="H20285" s="20" t="n">
        <f aca="false">H20282</f>
        <v>1</v>
      </c>
      <c r="I20285" s="20" t="n">
        <f aca="false">I20282</f>
        <v>1</v>
      </c>
      <c r="J20285" s="20" t="n">
        <f aca="false">J20282</f>
        <v>1</v>
      </c>
      <c r="K20285" s="20" t="n">
        <f aca="false">K20282</f>
        <v>1</v>
      </c>
    </row>
    <row r="20286" customFormat="false" ht="15" hidden="false" customHeight="false" outlineLevel="0" collapsed="false">
      <c r="A20286" s="5" t="s">
        <v>341</v>
      </c>
      <c r="C20286" s="20" t="n">
        <f aca="false">SUM($G$20285:$K$20285)</f>
        <v>5</v>
      </c>
    </row>
    <row r="20287" customFormat="false" ht="15" hidden="false" customHeight="false" outlineLevel="0" collapsed="false">
      <c r="A20287" s="5" t="s">
        <v>342</v>
      </c>
      <c r="C20287" s="21" t="n">
        <f aca="false">MIN(C20284)</f>
        <v>-2.36095418379989</v>
      </c>
    </row>
    <row r="20289" customFormat="false" ht="15" hidden="false" customHeight="false" outlineLevel="0" collapsed="false">
      <c r="A20289" s="23" t="s">
        <v>444</v>
      </c>
      <c r="B20289" s="24"/>
      <c r="C20289" s="24"/>
      <c r="D20289" s="24"/>
      <c r="E20289" s="24"/>
      <c r="F20289" s="24"/>
      <c r="G20289" s="24"/>
      <c r="H20289" s="24"/>
      <c r="I20289" s="24"/>
      <c r="J20289" s="24"/>
      <c r="K20289" s="24"/>
    </row>
    <row r="20290" customFormat="false" ht="15" hidden="false" customHeight="false" outlineLevel="0" collapsed="false">
      <c r="A20290" s="5" t="s">
        <v>445</v>
      </c>
      <c r="G20290" s="20" t="n">
        <f aca="false">IF($C$20291=1,G20259,IF(G20144=MIN($G$20144:$K$20144),1,0))</f>
        <v>0</v>
      </c>
      <c r="H20290" s="20" t="n">
        <f aca="false">IF($C$20291=1,H20259,IF(AND(H20144=MIN($G$20144:$K$20144),SUM($G$20290:G20290)=0),1,0))</f>
        <v>1</v>
      </c>
      <c r="I20290" s="20" t="n">
        <f aca="false">IF($C$20291=1,I20259,IF(AND(I20144=MIN($G$20144:$K$20144),SUM($G$20290:H20290)=0),1,0))</f>
        <v>0</v>
      </c>
      <c r="J20290" s="20" t="n">
        <f aca="false">IF($C$20291=1,J20259,IF(AND(J20144=MIN($G$20144:$K$20144),SUM($G$20290:I20290)=0),1,0))</f>
        <v>0</v>
      </c>
      <c r="K20290" s="20" t="n">
        <f aca="false">IF($C$20291=1,K20259,IF(AND(K20144=MIN($G$20144:$K$20144),SUM($G$20290:J20290)=0),1,0))</f>
        <v>0</v>
      </c>
    </row>
    <row r="20291" customFormat="false" ht="15" hidden="false" customHeight="false" outlineLevel="0" collapsed="false">
      <c r="A20291" s="5" t="s">
        <v>446</v>
      </c>
      <c r="C20291" s="20" t="n">
        <f aca="false">IF(SUM($G$20259:$K$20259)&gt;0,1,0)</f>
        <v>1</v>
      </c>
    </row>
    <row r="20292" customFormat="false" ht="15" hidden="false" customHeight="false" outlineLevel="0" collapsed="false">
      <c r="A20292" s="5" t="s">
        <v>447</v>
      </c>
      <c r="C20292" s="20" t="n">
        <f aca="false">SUMPRODUCT($G$20290:$K$20290,$G$20134:$K$20134)</f>
        <v>2027</v>
      </c>
    </row>
    <row r="20293" customFormat="false" ht="15" hidden="false" customHeight="false" outlineLevel="0" collapsed="false">
      <c r="A20293" s="5" t="s">
        <v>448</v>
      </c>
      <c r="C20293" s="25" t="n">
        <f aca="false">SUMPRODUCT($G$20290:$K$20290,$G$20144:$K$20144)</f>
        <v>48.9095184</v>
      </c>
    </row>
    <row r="20294" customFormat="false" ht="15" hidden="false" customHeight="false" outlineLevel="0" collapsed="false">
      <c r="A20294" s="5" t="s">
        <v>449</v>
      </c>
      <c r="C20294" s="25" t="n">
        <f aca="false">MAX(0,SUMPRODUCT($G$20290:$K$20290,$G$20256:$K$20256))</f>
        <v>0</v>
      </c>
    </row>
    <row r="20295" customFormat="false" ht="15" hidden="false" customHeight="false" outlineLevel="0" collapsed="false">
      <c r="A20295" s="5" t="s">
        <v>450</v>
      </c>
      <c r="C20295" s="25" t="n">
        <f aca="false">(CHOOSE($C$20127,Assumptions!$C$78,Assumptions!$C$97,Assumptions!$C$116)+$C$20131)*C20293</f>
        <v>293.4571104</v>
      </c>
    </row>
    <row r="20296" customFormat="false" ht="15" hidden="false" customHeight="false" outlineLevel="0" collapsed="false">
      <c r="A20296" s="5" t="s">
        <v>451</v>
      </c>
      <c r="C20296" s="25" t="n">
        <f aca="false">Assumptions!$C$27*(1-CHOOSE($C$20127,Assumptions!$C$79,Assumptions!$C$98,Assumptions!$C$117))*CHOOSE($C$20127,Assumptions!$C$80,Assumptions!$C$99,Assumptions!$C$118)</f>
        <v>530.4</v>
      </c>
    </row>
    <row r="20297" customFormat="false" ht="15" hidden="false" customHeight="false" outlineLevel="0" collapsed="false">
      <c r="A20297" s="5" t="s">
        <v>452</v>
      </c>
      <c r="C20297" s="25" t="n">
        <f aca="false">MAX(C20295,C20296)+C20294</f>
        <v>530.4</v>
      </c>
    </row>
    <row r="20298" customFormat="false" ht="15" hidden="false" customHeight="false" outlineLevel="0" collapsed="false">
      <c r="A20298" s="2" t="s">
        <v>453</v>
      </c>
      <c r="C20298" s="16" t="n">
        <f aca="false">IF(ISNUMBER(Assumptions!$C$14),Assumptions!$C$14,C20297)</f>
        <v>530.4</v>
      </c>
    </row>
    <row r="20299" customFormat="false" ht="15" hidden="false" customHeight="false" outlineLevel="0" collapsed="false">
      <c r="A20299" s="5" t="s">
        <v>454</v>
      </c>
      <c r="C20299" s="25" t="n">
        <f aca="false">C20298*Assumptions!$C$15</f>
        <v>21.216</v>
      </c>
    </row>
    <row r="20300" customFormat="false" ht="15" hidden="false" customHeight="false" outlineLevel="0" collapsed="false">
      <c r="A20300" s="2" t="s">
        <v>455</v>
      </c>
      <c r="C20300" s="16" t="n">
        <f aca="false">C20298-C20299</f>
        <v>509.184</v>
      </c>
    </row>
    <row r="20301" customFormat="false" ht="15" hidden="false" customHeight="false" outlineLevel="0" collapsed="false">
      <c r="A20301" s="23" t="s">
        <v>456</v>
      </c>
      <c r="B20301" s="24"/>
      <c r="C20301" s="24"/>
      <c r="D20301" s="24"/>
      <c r="E20301" s="24"/>
      <c r="F20301" s="24"/>
      <c r="G20301" s="24"/>
      <c r="H20301" s="24"/>
      <c r="I20301" s="24"/>
      <c r="J20301" s="24"/>
      <c r="K20301" s="24"/>
    </row>
    <row r="20302" customFormat="false" ht="15" hidden="false" customHeight="false" outlineLevel="0" collapsed="false">
      <c r="A20302" s="5" t="s">
        <v>457</v>
      </c>
      <c r="C20302" s="25" t="n">
        <f aca="false">SUMPRODUCT($G$20290:$K$20290,$G$20181:$K$20181)*(1+SUMPRODUCT($G$20290:$K$20290,$G$20173:$K$20173)*Assumptions!$C$16/12)</f>
        <v>221.6231087</v>
      </c>
    </row>
    <row r="20303" customFormat="false" ht="15" hidden="false" customHeight="false" outlineLevel="0" collapsed="false">
      <c r="A20303" s="5" t="s">
        <v>458</v>
      </c>
      <c r="C20303" s="25" t="n">
        <f aca="false">SUMPRODUCT($G$20290:$K$20290,$G$20194:$K$20194)*(1+SUMPRODUCT($G$20290:$K$20290,$G$20186:$K$20186)*Assumptions!$C$16/12)</f>
        <v>524.3147</v>
      </c>
    </row>
    <row r="20304" customFormat="false" ht="15" hidden="false" customHeight="false" outlineLevel="0" collapsed="false">
      <c r="A20304" s="5" t="s">
        <v>459</v>
      </c>
      <c r="C20304" s="25" t="n">
        <f aca="false">SUMPRODUCT($G$20290:$K$20290,$G$20207:$K$20207)*(1+SUMPRODUCT($G$20290:$K$20290,$G$20199:$K$20199)*Assumptions!$C$16/12)</f>
        <v>256.875</v>
      </c>
    </row>
    <row r="20305" customFormat="false" ht="15" hidden="false" customHeight="false" outlineLevel="0" collapsed="false">
      <c r="A20305" s="5" t="s">
        <v>460</v>
      </c>
      <c r="C20305" s="25" t="n">
        <f aca="false">SUMPRODUCT($G$20290:$K$20290,$G$20220:$K$20220)*(1+SUMPRODUCT($G$20290:$K$20290,$G$20212:$K$20212)*Assumptions!$C$16/12)</f>
        <v>305.625</v>
      </c>
    </row>
    <row r="20306" customFormat="false" ht="15" hidden="false" customHeight="false" outlineLevel="0" collapsed="false">
      <c r="A20306" s="23" t="s">
        <v>461</v>
      </c>
      <c r="B20306" s="24"/>
      <c r="C20306" s="24"/>
      <c r="D20306" s="24"/>
      <c r="E20306" s="24"/>
      <c r="F20306" s="24"/>
      <c r="G20306" s="24"/>
      <c r="H20306" s="24"/>
      <c r="I20306" s="24"/>
      <c r="J20306" s="24"/>
      <c r="K20306" s="24"/>
    </row>
    <row r="20307" customFormat="false" ht="15" hidden="false" customHeight="false" outlineLevel="0" collapsed="false">
      <c r="A20307" s="5" t="s">
        <v>457</v>
      </c>
      <c r="C20307" s="26" t="n">
        <f aca="false">Assumptions!$M$53</f>
        <v>1</v>
      </c>
    </row>
    <row r="20308" customFormat="false" ht="15" hidden="false" customHeight="false" outlineLevel="0" collapsed="false">
      <c r="A20308" s="5" t="s">
        <v>458</v>
      </c>
      <c r="C20308" s="26" t="n">
        <f aca="false">Assumptions!$M$54</f>
        <v>2</v>
      </c>
    </row>
    <row r="20309" customFormat="false" ht="15" hidden="false" customHeight="false" outlineLevel="0" collapsed="false">
      <c r="A20309" s="5" t="s">
        <v>459</v>
      </c>
      <c r="C20309" s="26" t="n">
        <f aca="false">Assumptions!$M$55</f>
        <v>3</v>
      </c>
    </row>
    <row r="20310" customFormat="false" ht="15" hidden="false" customHeight="false" outlineLevel="0" collapsed="false">
      <c r="A20310" s="5" t="s">
        <v>460</v>
      </c>
      <c r="C20310" s="26" t="n">
        <f aca="false">Assumptions!$M$56</f>
        <v>4</v>
      </c>
    </row>
    <row r="20311" customFormat="false" ht="15" hidden="false" customHeight="false" outlineLevel="0" collapsed="false">
      <c r="A20311" s="23" t="s">
        <v>462</v>
      </c>
      <c r="B20311" s="24"/>
      <c r="C20311" s="24"/>
      <c r="D20311" s="24"/>
      <c r="E20311" s="24"/>
      <c r="F20311" s="24"/>
      <c r="G20311" s="24"/>
      <c r="H20311" s="24"/>
      <c r="I20311" s="24"/>
      <c r="J20311" s="24"/>
      <c r="K20311" s="24"/>
    </row>
    <row r="20312" customFormat="false" ht="15" hidden="false" customHeight="false" outlineLevel="0" collapsed="false">
      <c r="A20312" s="5" t="s">
        <v>457</v>
      </c>
      <c r="C20312" s="34" t="n">
        <f aca="false">Assumptions!$Q$53</f>
        <v>0</v>
      </c>
    </row>
    <row r="20313" customFormat="false" ht="15" hidden="false" customHeight="false" outlineLevel="0" collapsed="false">
      <c r="A20313" s="5" t="s">
        <v>458</v>
      </c>
      <c r="C20313" s="34" t="n">
        <f aca="false">Assumptions!$Q$54</f>
        <v>0</v>
      </c>
    </row>
    <row r="20314" customFormat="false" ht="15" hidden="false" customHeight="false" outlineLevel="0" collapsed="false">
      <c r="A20314" s="5" t="s">
        <v>459</v>
      </c>
      <c r="C20314" s="34" t="n">
        <f aca="false">Assumptions!$Q$55</f>
        <v>0</v>
      </c>
    </row>
    <row r="20315" customFormat="false" ht="15" hidden="false" customHeight="false" outlineLevel="0" collapsed="false">
      <c r="A20315" s="5" t="s">
        <v>460</v>
      </c>
      <c r="C20315" s="34" t="n">
        <f aca="false">Assumptions!$Q$56</f>
        <v>0</v>
      </c>
    </row>
    <row r="20316" customFormat="false" ht="15" hidden="false" customHeight="false" outlineLevel="0" collapsed="false">
      <c r="A20316" s="23" t="s">
        <v>463</v>
      </c>
      <c r="B20316" s="24"/>
      <c r="C20316" s="24"/>
      <c r="D20316" s="24"/>
      <c r="E20316" s="24"/>
      <c r="F20316" s="24"/>
      <c r="G20316" s="24"/>
      <c r="H20316" s="24"/>
      <c r="I20316" s="24"/>
      <c r="J20316" s="24"/>
      <c r="K20316" s="24"/>
    </row>
    <row r="20317" customFormat="false" ht="15" hidden="false" customHeight="false" outlineLevel="0" collapsed="false">
      <c r="A20317" s="5" t="s">
        <v>457</v>
      </c>
      <c r="C20317" s="25" t="n">
        <f aca="false">IF(C20312&gt;0,MIN(C20302,C20312*$C$20300),0)</f>
        <v>0</v>
      </c>
    </row>
    <row r="20318" customFormat="false" ht="15" hidden="false" customHeight="false" outlineLevel="0" collapsed="false">
      <c r="A20318" s="5" t="s">
        <v>458</v>
      </c>
      <c r="C20318" s="25" t="n">
        <f aca="false">IF(C20313&gt;0,MIN(C20303,C20313*$C$20300),0)</f>
        <v>0</v>
      </c>
    </row>
    <row r="20319" customFormat="false" ht="15" hidden="false" customHeight="false" outlineLevel="0" collapsed="false">
      <c r="A20319" s="5" t="s">
        <v>459</v>
      </c>
      <c r="C20319" s="25" t="n">
        <f aca="false">IF(C20314&gt;0,MIN(C20304,C20314*$C$20300),0)</f>
        <v>0</v>
      </c>
    </row>
    <row r="20320" customFormat="false" ht="15" hidden="false" customHeight="false" outlineLevel="0" collapsed="false">
      <c r="A20320" s="5" t="s">
        <v>460</v>
      </c>
      <c r="C20320" s="25" t="n">
        <f aca="false">IF(C20315&gt;0,MIN(C20305,C20315*$C$20300),0)</f>
        <v>0</v>
      </c>
    </row>
    <row r="20321" customFormat="false" ht="15" hidden="false" customHeight="false" outlineLevel="0" collapsed="false">
      <c r="A20321" s="23" t="s">
        <v>464</v>
      </c>
      <c r="B20321" s="24"/>
      <c r="C20321" s="24"/>
      <c r="D20321" s="24"/>
      <c r="E20321" s="24"/>
      <c r="F20321" s="24"/>
      <c r="G20321" s="24"/>
      <c r="H20321" s="24"/>
      <c r="I20321" s="24"/>
      <c r="J20321" s="24"/>
      <c r="K20321" s="24"/>
    </row>
    <row r="20322" customFormat="false" ht="15" hidden="false" customHeight="false" outlineLevel="0" collapsed="false">
      <c r="A20322" s="5" t="s">
        <v>457</v>
      </c>
      <c r="C20322" s="25" t="n">
        <f aca="false">IF(C20312&gt;0,C20302-C20317,0)</f>
        <v>0</v>
      </c>
      <c r="G20322" s="20" t="n">
        <f aca="false">IF(AND(G20171=1,G20168=1),1,0)</f>
        <v>0</v>
      </c>
      <c r="H20322" s="20" t="n">
        <f aca="false">IF(G20322=1,1,IF(AND(H20171=1,H20168=1),1,0))</f>
        <v>0</v>
      </c>
      <c r="I20322" s="20" t="n">
        <f aca="false">IF(H20322=1,1,IF(AND(I20171=1,I20168=1),1,0))</f>
        <v>0</v>
      </c>
      <c r="J20322" s="20" t="n">
        <f aca="false">IF(I20322=1,1,IF(AND(J20171=1,J20168=1),1,0))</f>
        <v>0</v>
      </c>
      <c r="K20322" s="20" t="n">
        <f aca="false">IF(J20322=1,1,IF(AND(K20171=1,K20168=1),1,0))</f>
        <v>0</v>
      </c>
    </row>
    <row r="20323" customFormat="false" ht="15" hidden="false" customHeight="false" outlineLevel="0" collapsed="false">
      <c r="A20323" s="5" t="s">
        <v>458</v>
      </c>
      <c r="C20323" s="25" t="n">
        <f aca="false">IF(C20313&gt;0,C20303-C20318,0)</f>
        <v>0</v>
      </c>
      <c r="G20323" s="20" t="n">
        <f aca="false">IF(AND(G20184=1,G20168=1),1,0)</f>
        <v>0</v>
      </c>
      <c r="H20323" s="20" t="n">
        <f aca="false">IF(G20323=1,1,IF(AND(H20184=1,H20168=1),1,0))</f>
        <v>0</v>
      </c>
      <c r="I20323" s="20" t="n">
        <f aca="false">IF(H20323=1,1,IF(AND(I20184=1,I20168=1),1,0))</f>
        <v>0</v>
      </c>
      <c r="J20323" s="20" t="n">
        <f aca="false">IF(I20323=1,1,IF(AND(J20184=1,J20168=1),1,0))</f>
        <v>0</v>
      </c>
      <c r="K20323" s="20" t="n">
        <f aca="false">IF(J20323=1,1,IF(AND(K20184=1,K20168=1),1,0))</f>
        <v>0</v>
      </c>
    </row>
    <row r="20324" customFormat="false" ht="15" hidden="false" customHeight="false" outlineLevel="0" collapsed="false">
      <c r="A20324" s="5" t="s">
        <v>459</v>
      </c>
      <c r="C20324" s="25" t="n">
        <f aca="false">IF(C20314&gt;0,C20304-C20319,0)</f>
        <v>0</v>
      </c>
      <c r="G20324" s="20" t="n">
        <f aca="false">IF(AND(G20197=1,G20168=1),1,0)</f>
        <v>0</v>
      </c>
      <c r="H20324" s="20" t="n">
        <f aca="false">IF(G20324=1,1,IF(AND(H20197=1,H20168=1),1,0))</f>
        <v>0</v>
      </c>
      <c r="I20324" s="20" t="n">
        <f aca="false">IF(H20324=1,1,IF(AND(I20197=1,I20168=1),1,0))</f>
        <v>0</v>
      </c>
      <c r="J20324" s="20" t="n">
        <f aca="false">IF(I20324=1,1,IF(AND(J20197=1,J20168=1),1,0))</f>
        <v>0</v>
      </c>
      <c r="K20324" s="20" t="n">
        <f aca="false">IF(J20324=1,1,IF(AND(K20197=1,K20168=1),1,0))</f>
        <v>0</v>
      </c>
    </row>
    <row r="20325" customFormat="false" ht="15" hidden="false" customHeight="false" outlineLevel="0" collapsed="false">
      <c r="A20325" s="5" t="s">
        <v>460</v>
      </c>
      <c r="C20325" s="25" t="n">
        <f aca="false">IF(C20315&gt;0,C20305-C20320,0)</f>
        <v>0</v>
      </c>
      <c r="G20325" s="20" t="n">
        <f aca="false">IF(AND(G20210=1,G20168=1),1,0)</f>
        <v>0</v>
      </c>
      <c r="H20325" s="20" t="n">
        <f aca="false">IF(G20325=1,1,IF(AND(H20210=1,H20168=1),1,0))</f>
        <v>0</v>
      </c>
      <c r="I20325" s="20" t="n">
        <f aca="false">IF(H20325=1,1,IF(AND(I20210=1,I20168=1),1,0))</f>
        <v>0</v>
      </c>
      <c r="J20325" s="20" t="n">
        <f aca="false">IF(I20325=1,1,IF(AND(J20210=1,J20168=1),1,0))</f>
        <v>0</v>
      </c>
      <c r="K20325" s="20" t="n">
        <f aca="false">IF(J20325=1,1,IF(AND(K20210=1,K20168=1),1,0))</f>
        <v>0</v>
      </c>
    </row>
    <row r="20326" customFormat="false" ht="15" hidden="false" customHeight="false" outlineLevel="0" collapsed="false">
      <c r="A20326" s="23" t="s">
        <v>465</v>
      </c>
      <c r="B20326" s="24"/>
      <c r="C20326" s="24"/>
      <c r="D20326" s="24"/>
      <c r="E20326" s="24"/>
      <c r="F20326" s="24"/>
      <c r="G20326" s="24"/>
      <c r="H20326" s="24"/>
      <c r="I20326" s="24"/>
      <c r="J20326" s="24"/>
      <c r="K20326" s="24"/>
    </row>
    <row r="20327" customFormat="false" ht="15" hidden="false" customHeight="false" outlineLevel="0" collapsed="false">
      <c r="A20327" s="5" t="s">
        <v>457</v>
      </c>
      <c r="C20327" s="25" t="n">
        <f aca="false">IF(C20312&gt;0,C20322,C20302)</f>
        <v>221.6231087</v>
      </c>
    </row>
    <row r="20328" customFormat="false" ht="15" hidden="false" customHeight="false" outlineLevel="0" collapsed="false">
      <c r="A20328" s="5" t="s">
        <v>458</v>
      </c>
      <c r="C20328" s="25" t="n">
        <f aca="false">IF(C20313&gt;0,C20323,C20303)</f>
        <v>524.3147</v>
      </c>
    </row>
    <row r="20329" customFormat="false" ht="15" hidden="false" customHeight="false" outlineLevel="0" collapsed="false">
      <c r="A20329" s="5" t="s">
        <v>459</v>
      </c>
      <c r="C20329" s="25" t="n">
        <f aca="false">IF(C20314&gt;0,C20324,C20304)</f>
        <v>256.875</v>
      </c>
    </row>
    <row r="20330" customFormat="false" ht="15" hidden="false" customHeight="false" outlineLevel="0" collapsed="false">
      <c r="A20330" s="5" t="s">
        <v>460</v>
      </c>
      <c r="C20330" s="25" t="n">
        <f aca="false">IF(C20315&gt;0,C20325,C20305)</f>
        <v>305.625</v>
      </c>
    </row>
    <row r="20331" customFormat="false" ht="15" hidden="false" customHeight="false" outlineLevel="0" collapsed="false">
      <c r="A20331" s="23" t="s">
        <v>466</v>
      </c>
      <c r="B20331" s="24"/>
      <c r="C20331" s="24"/>
      <c r="D20331" s="24"/>
      <c r="E20331" s="24"/>
      <c r="F20331" s="24"/>
      <c r="G20331" s="24"/>
      <c r="H20331" s="24"/>
      <c r="I20331" s="24"/>
      <c r="J20331" s="24"/>
      <c r="K20331" s="24"/>
    </row>
    <row r="20332" customFormat="false" ht="15" hidden="false" customHeight="false" outlineLevel="0" collapsed="false">
      <c r="A20332" s="5" t="s">
        <v>457</v>
      </c>
      <c r="C20332" s="20" t="n">
        <f aca="false">IF(C20312&gt;0,Assumptions!$C$17,C20307)</f>
        <v>1</v>
      </c>
    </row>
    <row r="20333" customFormat="false" ht="15" hidden="false" customHeight="false" outlineLevel="0" collapsed="false">
      <c r="A20333" s="5" t="s">
        <v>458</v>
      </c>
      <c r="C20333" s="20" t="n">
        <f aca="false">IF(C20313&gt;0,Assumptions!$C$17,C20308)</f>
        <v>2</v>
      </c>
    </row>
    <row r="20334" customFormat="false" ht="15" hidden="false" customHeight="false" outlineLevel="0" collapsed="false">
      <c r="A20334" s="5" t="s">
        <v>459</v>
      </c>
      <c r="C20334" s="20" t="n">
        <f aca="false">IF(C20314&gt;0,Assumptions!$C$17,C20309)</f>
        <v>3</v>
      </c>
    </row>
    <row r="20335" customFormat="false" ht="15" hidden="false" customHeight="false" outlineLevel="0" collapsed="false">
      <c r="A20335" s="5" t="s">
        <v>460</v>
      </c>
      <c r="C20335" s="20" t="n">
        <f aca="false">IF(C20315&gt;0,Assumptions!$C$17,C20310)</f>
        <v>4</v>
      </c>
    </row>
    <row r="20336" customFormat="false" ht="15" hidden="false" customHeight="false" outlineLevel="0" collapsed="false">
      <c r="A20336" s="23" t="s">
        <v>467</v>
      </c>
      <c r="B20336" s="24"/>
      <c r="C20336" s="24"/>
      <c r="D20336" s="24"/>
      <c r="E20336" s="24"/>
      <c r="F20336" s="24"/>
      <c r="G20336" s="24"/>
      <c r="H20336" s="24"/>
      <c r="I20336" s="24"/>
      <c r="J20336" s="24"/>
      <c r="K20336" s="24"/>
    </row>
    <row r="20337" customFormat="false" ht="15" hidden="false" customHeight="false" outlineLevel="0" collapsed="false">
      <c r="A20337" s="5" t="s">
        <v>457</v>
      </c>
      <c r="C20337" s="25" t="n">
        <f aca="false">SUMPRODUCT(($C$20332:$C$20335&lt;C20332)*$C$20327:$C$20330)</f>
        <v>0</v>
      </c>
    </row>
    <row r="20338" customFormat="false" ht="15" hidden="false" customHeight="false" outlineLevel="0" collapsed="false">
      <c r="A20338" s="5" t="s">
        <v>458</v>
      </c>
      <c r="C20338" s="25" t="n">
        <f aca="false">SUMPRODUCT(($C$20332:$C$20335&lt;C20333)*$C$20327:$C$20330)</f>
        <v>221.6231087</v>
      </c>
    </row>
    <row r="20339" customFormat="false" ht="15" hidden="false" customHeight="false" outlineLevel="0" collapsed="false">
      <c r="A20339" s="5" t="s">
        <v>459</v>
      </c>
      <c r="C20339" s="25" t="n">
        <f aca="false">SUMPRODUCT(($C$20332:$C$20335&lt;C20334)*$C$20327:$C$20330)</f>
        <v>745.9378087</v>
      </c>
    </row>
    <row r="20340" customFormat="false" ht="15" hidden="false" customHeight="false" outlineLevel="0" collapsed="false">
      <c r="A20340" s="5" t="s">
        <v>460</v>
      </c>
      <c r="C20340" s="25" t="n">
        <f aca="false">SUMPRODUCT(($C$20332:$C$20335&lt;C20335)*$C$20327:$C$20330)</f>
        <v>1002.8128087</v>
      </c>
    </row>
    <row r="20341" customFormat="false" ht="15" hidden="false" customHeight="false" outlineLevel="0" collapsed="false">
      <c r="A20341" s="23" t="s">
        <v>468</v>
      </c>
      <c r="B20341" s="24"/>
      <c r="C20341" s="24"/>
      <c r="D20341" s="24"/>
      <c r="E20341" s="24"/>
      <c r="F20341" s="24"/>
      <c r="G20341" s="24"/>
      <c r="H20341" s="24"/>
      <c r="I20341" s="24"/>
      <c r="J20341" s="24"/>
      <c r="K20341" s="24"/>
    </row>
    <row r="20342" customFormat="false" ht="15" hidden="false" customHeight="false" outlineLevel="0" collapsed="false">
      <c r="A20342" s="5" t="s">
        <v>457</v>
      </c>
      <c r="C20342" s="25" t="n">
        <f aca="false">SUMPRODUCT(($C$20332:$C$20335=C20332)*$C$20327:$C$20330)</f>
        <v>221.6231087</v>
      </c>
    </row>
    <row r="20343" customFormat="false" ht="15" hidden="false" customHeight="false" outlineLevel="0" collapsed="false">
      <c r="A20343" s="5" t="s">
        <v>458</v>
      </c>
      <c r="C20343" s="25" t="n">
        <f aca="false">SUMPRODUCT(($C$20332:$C$20335=C20333)*$C$20327:$C$20330)</f>
        <v>524.3147</v>
      </c>
    </row>
    <row r="20344" customFormat="false" ht="15" hidden="false" customHeight="false" outlineLevel="0" collapsed="false">
      <c r="A20344" s="5" t="s">
        <v>459</v>
      </c>
      <c r="C20344" s="25" t="n">
        <f aca="false">SUMPRODUCT(($C$20332:$C$20335=C20334)*$C$20327:$C$20330)</f>
        <v>256.875</v>
      </c>
    </row>
    <row r="20345" customFormat="false" ht="15" hidden="false" customHeight="false" outlineLevel="0" collapsed="false">
      <c r="A20345" s="5" t="s">
        <v>460</v>
      </c>
      <c r="C20345" s="25" t="n">
        <f aca="false">SUMPRODUCT(($C$20332:$C$20335=C20335)*$C$20327:$C$20330)</f>
        <v>305.625</v>
      </c>
    </row>
    <row r="20346" customFormat="false" ht="15" hidden="false" customHeight="false" outlineLevel="0" collapsed="false">
      <c r="A20346" s="23" t="s">
        <v>469</v>
      </c>
      <c r="B20346" s="24"/>
      <c r="C20346" s="24"/>
      <c r="D20346" s="24"/>
      <c r="E20346" s="24"/>
      <c r="F20346" s="24"/>
      <c r="G20346" s="24"/>
      <c r="H20346" s="24"/>
      <c r="I20346" s="24"/>
      <c r="J20346" s="24"/>
      <c r="K20346" s="24"/>
    </row>
    <row r="20347" customFormat="false" ht="15" hidden="false" customHeight="false" outlineLevel="0" collapsed="false">
      <c r="A20347" s="5" t="s">
        <v>457</v>
      </c>
      <c r="C20347" s="25" t="n">
        <f aca="false">IF(C20342=0,0,C20327/C20342*MAX(0,MIN(C20342,$C$20300-SUM($C$20317:$C$20320)-C20337)))</f>
        <v>221.6231087</v>
      </c>
    </row>
    <row r="20348" customFormat="false" ht="15" hidden="false" customHeight="false" outlineLevel="0" collapsed="false">
      <c r="A20348" s="5" t="s">
        <v>458</v>
      </c>
      <c r="C20348" s="25" t="n">
        <f aca="false">IF(C20343=0,0,C20328/C20343*MAX(0,MIN(C20343,$C$20300-SUM($C$20317:$C$20320)-C20338)))</f>
        <v>287.5608913</v>
      </c>
    </row>
    <row r="20349" customFormat="false" ht="15" hidden="false" customHeight="false" outlineLevel="0" collapsed="false">
      <c r="A20349" s="5" t="s">
        <v>459</v>
      </c>
      <c r="C20349" s="25" t="n">
        <f aca="false">IF(C20344=0,0,C20329/C20344*MAX(0,MIN(C20344,$C$20300-SUM($C$20317:$C$20320)-C20339)))</f>
        <v>0</v>
      </c>
    </row>
    <row r="20350" customFormat="false" ht="15" hidden="false" customHeight="false" outlineLevel="0" collapsed="false">
      <c r="A20350" s="5" t="s">
        <v>460</v>
      </c>
      <c r="C20350" s="25" t="n">
        <f aca="false">IF(C20345=0,0,C20330/C20345*MAX(0,MIN(C20345,$C$20300-SUM($C$20317:$C$20320)-C20340)))</f>
        <v>0</v>
      </c>
    </row>
    <row r="20351" customFormat="false" ht="15" hidden="false" customHeight="false" outlineLevel="0" collapsed="false">
      <c r="A20351" s="23" t="s">
        <v>470</v>
      </c>
      <c r="B20351" s="24"/>
      <c r="C20351" s="24"/>
      <c r="D20351" s="24"/>
      <c r="E20351" s="24"/>
      <c r="F20351" s="24"/>
      <c r="G20351" s="24"/>
      <c r="H20351" s="24"/>
      <c r="I20351" s="24"/>
      <c r="J20351" s="24"/>
      <c r="K20351" s="24"/>
    </row>
    <row r="20352" customFormat="false" ht="15" hidden="false" customHeight="false" outlineLevel="0" collapsed="false">
      <c r="A20352" s="2" t="s">
        <v>457</v>
      </c>
      <c r="C20352" s="16" t="n">
        <f aca="false">C20317+C20347</f>
        <v>221.6231087</v>
      </c>
    </row>
    <row r="20353" customFormat="false" ht="15" hidden="false" customHeight="false" outlineLevel="0" collapsed="false">
      <c r="A20353" s="2" t="s">
        <v>458</v>
      </c>
      <c r="C20353" s="16" t="n">
        <f aca="false">C20318+C20348</f>
        <v>287.5608913</v>
      </c>
    </row>
    <row r="20354" customFormat="false" ht="15" hidden="false" customHeight="false" outlineLevel="0" collapsed="false">
      <c r="A20354" s="2" t="s">
        <v>459</v>
      </c>
      <c r="C20354" s="16" t="n">
        <f aca="false">C20319+C20349</f>
        <v>0</v>
      </c>
    </row>
    <row r="20355" customFormat="false" ht="15" hidden="false" customHeight="false" outlineLevel="0" collapsed="false">
      <c r="A20355" s="2" t="s">
        <v>460</v>
      </c>
      <c r="C20355" s="16" t="n">
        <f aca="false">C20320+C20350</f>
        <v>0</v>
      </c>
    </row>
    <row r="20356" customFormat="false" ht="15" hidden="false" customHeight="false" outlineLevel="0" collapsed="false">
      <c r="A20356" s="23" t="s">
        <v>471</v>
      </c>
      <c r="B20356" s="24"/>
      <c r="C20356" s="24"/>
      <c r="D20356" s="24"/>
      <c r="E20356" s="24"/>
      <c r="F20356" s="24"/>
      <c r="G20356" s="24"/>
      <c r="H20356" s="24"/>
      <c r="I20356" s="24"/>
      <c r="J20356" s="24"/>
      <c r="K20356" s="24"/>
    </row>
    <row r="20357" customFormat="false" ht="15" hidden="false" customHeight="false" outlineLevel="0" collapsed="false">
      <c r="A20357" s="5" t="s">
        <v>457</v>
      </c>
      <c r="C20357" s="21" t="n">
        <f aca="false">IF(C20302=0,1,C20352/C20302)</f>
        <v>1</v>
      </c>
    </row>
    <row r="20358" customFormat="false" ht="15" hidden="false" customHeight="false" outlineLevel="0" collapsed="false">
      <c r="A20358" s="5" t="s">
        <v>458</v>
      </c>
      <c r="C20358" s="21" t="n">
        <f aca="false">IF(C20303=0,1,C20353/C20303)</f>
        <v>0.548450942344359</v>
      </c>
    </row>
    <row r="20359" customFormat="false" ht="15" hidden="false" customHeight="false" outlineLevel="0" collapsed="false">
      <c r="A20359" s="5" t="s">
        <v>459</v>
      </c>
      <c r="C20359" s="21" t="n">
        <f aca="false">IF(C20304=0,1,C20354/C20304)</f>
        <v>0</v>
      </c>
    </row>
    <row r="20360" customFormat="false" ht="15" hidden="false" customHeight="false" outlineLevel="0" collapsed="false">
      <c r="A20360" s="5" t="s">
        <v>460</v>
      </c>
      <c r="C20360" s="21" t="n">
        <f aca="false">IF(C20305=0,1,C20355/C20305)</f>
        <v>0</v>
      </c>
    </row>
    <row r="20361" customFormat="false" ht="15" hidden="false" customHeight="false" outlineLevel="0" collapsed="false">
      <c r="A20361" s="23" t="s">
        <v>472</v>
      </c>
      <c r="B20361" s="24"/>
      <c r="C20361" s="24"/>
      <c r="D20361" s="24"/>
      <c r="E20361" s="24"/>
      <c r="F20361" s="24"/>
      <c r="G20361" s="24"/>
      <c r="H20361" s="24"/>
      <c r="I20361" s="24"/>
      <c r="J20361" s="24"/>
      <c r="K20361" s="24"/>
    </row>
    <row r="20362" customFormat="false" ht="15" hidden="false" customHeight="false" outlineLevel="0" collapsed="false">
      <c r="A20362" s="5" t="s">
        <v>457</v>
      </c>
      <c r="C20362" s="25" t="n">
        <f aca="false">C20302-C20352</f>
        <v>0</v>
      </c>
    </row>
    <row r="20363" customFormat="false" ht="15" hidden="false" customHeight="false" outlineLevel="0" collapsed="false">
      <c r="A20363" s="5" t="s">
        <v>458</v>
      </c>
      <c r="C20363" s="25" t="n">
        <f aca="false">C20303-C20353</f>
        <v>236.7538087</v>
      </c>
    </row>
    <row r="20364" customFormat="false" ht="15" hidden="false" customHeight="false" outlineLevel="0" collapsed="false">
      <c r="A20364" s="5" t="s">
        <v>459</v>
      </c>
      <c r="C20364" s="25" t="n">
        <f aca="false">C20304-C20354</f>
        <v>256.875</v>
      </c>
    </row>
    <row r="20365" customFormat="false" ht="15" hidden="false" customHeight="false" outlineLevel="0" collapsed="false">
      <c r="A20365" s="5" t="s">
        <v>460</v>
      </c>
      <c r="C20365" s="25" t="n">
        <f aca="false">C20305-C20355</f>
        <v>305.625</v>
      </c>
    </row>
    <row r="20366" customFormat="false" ht="15" hidden="false" customHeight="false" outlineLevel="0" collapsed="false">
      <c r="A20366" s="23" t="s">
        <v>473</v>
      </c>
      <c r="B20366" s="24"/>
      <c r="C20366" s="24"/>
      <c r="D20366" s="24"/>
      <c r="E20366" s="24"/>
      <c r="F20366" s="24"/>
      <c r="G20366" s="24"/>
      <c r="H20366" s="24"/>
      <c r="I20366" s="24"/>
      <c r="J20366" s="24"/>
      <c r="K20366" s="24"/>
    </row>
    <row r="20367" customFormat="false" ht="15" hidden="false" customHeight="false" outlineLevel="0" collapsed="false">
      <c r="A20367" s="5" t="s">
        <v>457</v>
      </c>
      <c r="C20367" s="21" t="n">
        <f aca="false">IF(C20302=0,0,C20362/C20302)</f>
        <v>0</v>
      </c>
    </row>
    <row r="20368" customFormat="false" ht="15" hidden="false" customHeight="false" outlineLevel="0" collapsed="false">
      <c r="A20368" s="5" t="s">
        <v>458</v>
      </c>
      <c r="C20368" s="21" t="n">
        <f aca="false">IF(C20303=0,0,C20363/C20303)</f>
        <v>0.451549057655641</v>
      </c>
    </row>
    <row r="20369" customFormat="false" ht="15" hidden="false" customHeight="false" outlineLevel="0" collapsed="false">
      <c r="A20369" s="5" t="s">
        <v>459</v>
      </c>
      <c r="C20369" s="21" t="n">
        <f aca="false">IF(C20304=0,0,C20364/C20304)</f>
        <v>1</v>
      </c>
    </row>
    <row r="20370" customFormat="false" ht="15" hidden="false" customHeight="false" outlineLevel="0" collapsed="false">
      <c r="A20370" s="5" t="s">
        <v>460</v>
      </c>
      <c r="C20370" s="21" t="n">
        <f aca="false">IF(C20305=0,0,C20365/C20305)</f>
        <v>1</v>
      </c>
    </row>
    <row r="20371" customFormat="false" ht="15" hidden="false" customHeight="false" outlineLevel="0" collapsed="false">
      <c r="A20371" s="2" t="s">
        <v>474</v>
      </c>
      <c r="C20371" s="16" t="n">
        <f aca="false">MAX(0,$C$20300-SUM($C$20317:$C$20320)-SUM($C$20327:$C$20330))</f>
        <v>0</v>
      </c>
    </row>
    <row r="20372" customFormat="false" ht="15" hidden="false" customHeight="false" outlineLevel="0" collapsed="false">
      <c r="A20372" s="5" t="s">
        <v>475</v>
      </c>
      <c r="C20372" s="25" t="n">
        <f aca="false">SUM($C$20352:$C$20355)+C20371+C20299-C20298</f>
        <v>0</v>
      </c>
    </row>
    <row r="20374" customFormat="false" ht="15" hidden="false" customHeight="false" outlineLevel="0" collapsed="false">
      <c r="A20374" s="23" t="s">
        <v>478</v>
      </c>
      <c r="B20374" s="24"/>
      <c r="C20374" s="24"/>
      <c r="D20374" s="24"/>
      <c r="E20374" s="24"/>
      <c r="F20374" s="24"/>
      <c r="G20374" s="24"/>
      <c r="H20374" s="24"/>
      <c r="I20374" s="24"/>
      <c r="J20374" s="24"/>
      <c r="K20374" s="24"/>
    </row>
    <row r="20375" customFormat="false" ht="15" hidden="false" customHeight="false" outlineLevel="0" collapsed="false">
      <c r="A20375" s="5" t="s">
        <v>479</v>
      </c>
      <c r="C20375" s="26" t="n">
        <f aca="false">Assumptions!$C$30</f>
        <v>2</v>
      </c>
    </row>
    <row r="20376" customFormat="false" ht="15" hidden="false" customHeight="false" outlineLevel="0" collapsed="false">
      <c r="A20376" s="5" t="s">
        <v>480</v>
      </c>
      <c r="C20376" s="28" t="n">
        <f aca="false">Assumptions!$C$31</f>
        <v>100</v>
      </c>
    </row>
    <row r="20377" customFormat="false" ht="15" hidden="false" customHeight="false" outlineLevel="0" collapsed="false">
      <c r="A20377" s="5" t="s">
        <v>481</v>
      </c>
      <c r="C20377" s="39" t="n">
        <f aca="false">Assumptions!$C$32</f>
        <v>78</v>
      </c>
    </row>
    <row r="20378" customFormat="false" ht="15" hidden="false" customHeight="false" outlineLevel="0" collapsed="false">
      <c r="A20378" s="5" t="s">
        <v>482</v>
      </c>
      <c r="C20378" s="25" t="n">
        <f aca="false">C20376*C20377/100*(1+Assumptions!$C$33)</f>
        <v>78.39</v>
      </c>
    </row>
    <row r="20379" customFormat="false" ht="15" hidden="false" customHeight="false" outlineLevel="0" collapsed="false">
      <c r="A20379" s="5" t="s">
        <v>483</v>
      </c>
      <c r="C20379" s="26" t="n">
        <f aca="false">Assumptions!$C$34</f>
        <v>2</v>
      </c>
    </row>
    <row r="20380" customFormat="false" ht="15" hidden="false" customHeight="false" outlineLevel="0" collapsed="false">
      <c r="A20380" s="5" t="s">
        <v>484</v>
      </c>
      <c r="C20380" s="20" t="n">
        <f aca="false">IF(C20291=1,SUMPRODUCT($G$20259:$K$20259,$G$20135:$K$20135),0)</f>
        <v>2</v>
      </c>
    </row>
    <row r="20381" customFormat="false" ht="15" hidden="false" customHeight="false" outlineLevel="0" collapsed="false">
      <c r="A20381" s="5" t="s">
        <v>485</v>
      </c>
      <c r="C20381" s="21" t="n">
        <f aca="false">IFERROR(C20376/CHOOSE(C20375,SUMPRODUCT($G$20290:$K$20290,$G$20181:$K$20181),SUMPRODUCT($G$20290:$K$20290,$G$20194:$K$20194),SUMPRODUCT($G$20290:$K$20290,$G$20207:$K$20207),SUMPRODUCT($G$20290:$K$20290,$G$20220:$K$20220)),0)</f>
        <v>0.196232339089482</v>
      </c>
    </row>
    <row r="20382" customFormat="false" ht="15" hidden="false" customHeight="false" outlineLevel="0" collapsed="false">
      <c r="A20382" s="5" t="s">
        <v>486</v>
      </c>
      <c r="C20382" s="25" t="n">
        <f aca="false">CHOOSE(C20375,C20352,C20353,C20354,C20355)*C20381</f>
        <v>56.4287463304553</v>
      </c>
    </row>
    <row r="20383" customFormat="false" ht="15" hidden="false" customHeight="false" outlineLevel="0" collapsed="false">
      <c r="A20383" s="5" t="s">
        <v>487</v>
      </c>
      <c r="C20383" s="21" t="n">
        <f aca="false">CHOOSE(C20375,C20357,C20358,C20359,C20360)</f>
        <v>0.548450942344359</v>
      </c>
    </row>
    <row r="20384" customFormat="false" ht="15" hidden="false" customHeight="false" outlineLevel="0" collapsed="false">
      <c r="A20384" s="5" t="s">
        <v>488</v>
      </c>
      <c r="C20384" s="20" t="n">
        <f aca="false">IF(C20291=1,C20380,C20379)</f>
        <v>2</v>
      </c>
    </row>
    <row r="20385" customFormat="false" ht="15" hidden="false" customHeight="false" outlineLevel="0" collapsed="false">
      <c r="A20385" s="5" t="s">
        <v>489</v>
      </c>
      <c r="C20385" s="33" t="n">
        <f aca="false">CHOOSE($C$20127,Assumptions!$C$77,Assumptions!$C$96,Assumptions!$C$115)</f>
        <v>90</v>
      </c>
    </row>
    <row r="20386" customFormat="false" ht="15" hidden="false" customHeight="false" outlineLevel="0" collapsed="false">
      <c r="A20386" s="5" t="s">
        <v>490</v>
      </c>
      <c r="C20386" s="25" t="n">
        <f aca="false">INDEX($G$20144:$K$20144,C20379)*CHOOSE($C$20127,Assumptions!$C$76,Assumptions!$C$95,Assumptions!$C$114)+MAX(0,INDEX($G$20256:$K$20256,C20379))</f>
        <v>244.547592</v>
      </c>
    </row>
    <row r="20387" customFormat="false" ht="15" hidden="false" customHeight="false" outlineLevel="0" collapsed="false">
      <c r="A20387" s="23" t="s">
        <v>491</v>
      </c>
      <c r="B20387" s="24"/>
      <c r="C20387" s="24"/>
      <c r="D20387" s="24"/>
      <c r="E20387" s="24"/>
      <c r="F20387" s="24"/>
      <c r="G20387" s="24"/>
      <c r="H20387" s="24"/>
      <c r="I20387" s="24"/>
      <c r="J20387" s="24"/>
      <c r="K20387" s="24"/>
    </row>
    <row r="20388" customFormat="false" ht="15" hidden="false" customHeight="false" outlineLevel="0" collapsed="false">
      <c r="A20388" s="5" t="s">
        <v>457</v>
      </c>
      <c r="C20388" s="25" t="n">
        <f aca="false">INDEX($G$20181:$K$20181,C20379)</f>
        <v>216.2968</v>
      </c>
    </row>
    <row r="20389" customFormat="false" ht="15" hidden="false" customHeight="false" outlineLevel="0" collapsed="false">
      <c r="A20389" s="5" t="s">
        <v>458</v>
      </c>
      <c r="C20389" s="25" t="n">
        <f aca="false">INDEX($G$20194:$K$20194,C20379)</f>
        <v>509.6</v>
      </c>
    </row>
    <row r="20390" customFormat="false" ht="15" hidden="false" customHeight="false" outlineLevel="0" collapsed="false">
      <c r="A20390" s="5" t="s">
        <v>459</v>
      </c>
      <c r="C20390" s="25" t="n">
        <f aca="false">INDEX($G$20207:$K$20207,C20379)</f>
        <v>250</v>
      </c>
    </row>
    <row r="20391" customFormat="false" ht="15" hidden="false" customHeight="false" outlineLevel="0" collapsed="false">
      <c r="A20391" s="5" t="s">
        <v>460</v>
      </c>
      <c r="C20391" s="25" t="n">
        <f aca="false">INDEX($G$20220:$K$20220,C20379)</f>
        <v>300</v>
      </c>
    </row>
    <row r="20392" customFormat="false" ht="15" hidden="false" customHeight="false" outlineLevel="0" collapsed="false">
      <c r="A20392" s="23" t="s">
        <v>461</v>
      </c>
      <c r="B20392" s="24"/>
      <c r="C20392" s="24"/>
      <c r="D20392" s="24"/>
      <c r="E20392" s="24"/>
      <c r="F20392" s="24"/>
      <c r="G20392" s="24"/>
      <c r="H20392" s="24"/>
      <c r="I20392" s="24"/>
      <c r="J20392" s="24"/>
      <c r="K20392" s="24"/>
    </row>
    <row r="20393" customFormat="false" ht="15" hidden="false" customHeight="false" outlineLevel="0" collapsed="false">
      <c r="A20393" s="5" t="s">
        <v>457</v>
      </c>
      <c r="C20393" s="26" t="n">
        <f aca="false">Assumptions!$M$53</f>
        <v>1</v>
      </c>
    </row>
    <row r="20394" customFormat="false" ht="15" hidden="false" customHeight="false" outlineLevel="0" collapsed="false">
      <c r="A20394" s="5" t="s">
        <v>458</v>
      </c>
      <c r="C20394" s="26" t="n">
        <f aca="false">Assumptions!$M$54</f>
        <v>2</v>
      </c>
    </row>
    <row r="20395" customFormat="false" ht="15" hidden="false" customHeight="false" outlineLevel="0" collapsed="false">
      <c r="A20395" s="5" t="s">
        <v>459</v>
      </c>
      <c r="C20395" s="26" t="n">
        <f aca="false">Assumptions!$M$55</f>
        <v>3</v>
      </c>
    </row>
    <row r="20396" customFormat="false" ht="15" hidden="false" customHeight="false" outlineLevel="0" collapsed="false">
      <c r="A20396" s="5" t="s">
        <v>460</v>
      </c>
      <c r="C20396" s="26" t="n">
        <f aca="false">Assumptions!$M$56</f>
        <v>4</v>
      </c>
    </row>
    <row r="20397" customFormat="false" ht="15" hidden="false" customHeight="false" outlineLevel="0" collapsed="false">
      <c r="A20397" s="23" t="s">
        <v>462</v>
      </c>
      <c r="B20397" s="24"/>
      <c r="C20397" s="24"/>
      <c r="D20397" s="24"/>
      <c r="E20397" s="24"/>
      <c r="F20397" s="24"/>
      <c r="G20397" s="24"/>
      <c r="H20397" s="24"/>
      <c r="I20397" s="24"/>
      <c r="J20397" s="24"/>
      <c r="K20397" s="24"/>
    </row>
    <row r="20398" customFormat="false" ht="15" hidden="false" customHeight="false" outlineLevel="0" collapsed="false">
      <c r="A20398" s="5" t="s">
        <v>457</v>
      </c>
      <c r="C20398" s="34" t="n">
        <f aca="false">Assumptions!$Q$53</f>
        <v>0</v>
      </c>
    </row>
    <row r="20399" customFormat="false" ht="15" hidden="false" customHeight="false" outlineLevel="0" collapsed="false">
      <c r="A20399" s="5" t="s">
        <v>458</v>
      </c>
      <c r="C20399" s="34" t="n">
        <f aca="false">Assumptions!$Q$54</f>
        <v>0</v>
      </c>
    </row>
    <row r="20400" customFormat="false" ht="15" hidden="false" customHeight="false" outlineLevel="0" collapsed="false">
      <c r="A20400" s="5" t="s">
        <v>459</v>
      </c>
      <c r="C20400" s="34" t="n">
        <f aca="false">Assumptions!$Q$55</f>
        <v>0</v>
      </c>
    </row>
    <row r="20401" customFormat="false" ht="15" hidden="false" customHeight="false" outlineLevel="0" collapsed="false">
      <c r="A20401" s="5" t="s">
        <v>460</v>
      </c>
      <c r="C20401" s="34" t="n">
        <f aca="false">Assumptions!$Q$56</f>
        <v>0</v>
      </c>
    </row>
    <row r="20402" customFormat="false" ht="15" hidden="false" customHeight="false" outlineLevel="0" collapsed="false">
      <c r="A20402" s="23" t="s">
        <v>463</v>
      </c>
      <c r="B20402" s="24"/>
      <c r="C20402" s="24"/>
      <c r="D20402" s="24"/>
      <c r="E20402" s="24"/>
      <c r="F20402" s="24"/>
      <c r="G20402" s="24"/>
      <c r="H20402" s="24"/>
      <c r="I20402" s="24"/>
      <c r="J20402" s="24"/>
      <c r="K20402" s="24"/>
    </row>
    <row r="20403" customFormat="false" ht="15" hidden="false" customHeight="false" outlineLevel="0" collapsed="false">
      <c r="A20403" s="5" t="s">
        <v>457</v>
      </c>
      <c r="C20403" s="25" t="n">
        <f aca="false">IF(C20398&gt;0,MIN(C20388,C20398*$C$20386),0)</f>
        <v>0</v>
      </c>
    </row>
    <row r="20404" customFormat="false" ht="15" hidden="false" customHeight="false" outlineLevel="0" collapsed="false">
      <c r="A20404" s="5" t="s">
        <v>458</v>
      </c>
      <c r="C20404" s="25" t="n">
        <f aca="false">IF(C20399&gt;0,MIN(C20389,C20399*$C$20386),0)</f>
        <v>0</v>
      </c>
    </row>
    <row r="20405" customFormat="false" ht="15" hidden="false" customHeight="false" outlineLevel="0" collapsed="false">
      <c r="A20405" s="5" t="s">
        <v>459</v>
      </c>
      <c r="C20405" s="25" t="n">
        <f aca="false">IF(C20400&gt;0,MIN(C20390,C20400*$C$20386),0)</f>
        <v>0</v>
      </c>
    </row>
    <row r="20406" customFormat="false" ht="15" hidden="false" customHeight="false" outlineLevel="0" collapsed="false">
      <c r="A20406" s="5" t="s">
        <v>460</v>
      </c>
      <c r="C20406" s="25" t="n">
        <f aca="false">IF(C20401&gt;0,MIN(C20391,C20401*$C$20386),0)</f>
        <v>0</v>
      </c>
    </row>
    <row r="20407" customFormat="false" ht="15" hidden="false" customHeight="false" outlineLevel="0" collapsed="false">
      <c r="A20407" s="23" t="s">
        <v>464</v>
      </c>
      <c r="B20407" s="24"/>
      <c r="C20407" s="24"/>
      <c r="D20407" s="24"/>
      <c r="E20407" s="24"/>
      <c r="F20407" s="24"/>
      <c r="G20407" s="24"/>
      <c r="H20407" s="24"/>
      <c r="I20407" s="24"/>
      <c r="J20407" s="24"/>
      <c r="K20407" s="24"/>
    </row>
    <row r="20408" customFormat="false" ht="15" hidden="false" customHeight="false" outlineLevel="0" collapsed="false">
      <c r="A20408" s="5" t="s">
        <v>457</v>
      </c>
      <c r="C20408" s="25" t="n">
        <f aca="false">IF(C20398&gt;0,C20388-C20403,0)</f>
        <v>0</v>
      </c>
    </row>
    <row r="20409" customFormat="false" ht="15" hidden="false" customHeight="false" outlineLevel="0" collapsed="false">
      <c r="A20409" s="5" t="s">
        <v>458</v>
      </c>
      <c r="C20409" s="25" t="n">
        <f aca="false">IF(C20399&gt;0,C20389-C20404,0)</f>
        <v>0</v>
      </c>
    </row>
    <row r="20410" customFormat="false" ht="15" hidden="false" customHeight="false" outlineLevel="0" collapsed="false">
      <c r="A20410" s="5" t="s">
        <v>459</v>
      </c>
      <c r="C20410" s="25" t="n">
        <f aca="false">IF(C20400&gt;0,C20390-C20405,0)</f>
        <v>0</v>
      </c>
    </row>
    <row r="20411" customFormat="false" ht="15" hidden="false" customHeight="false" outlineLevel="0" collapsed="false">
      <c r="A20411" s="5" t="s">
        <v>460</v>
      </c>
      <c r="C20411" s="25" t="n">
        <f aca="false">IF(C20401&gt;0,C20391-C20406,0)</f>
        <v>0</v>
      </c>
    </row>
    <row r="20412" customFormat="false" ht="15" hidden="false" customHeight="false" outlineLevel="0" collapsed="false">
      <c r="A20412" s="23" t="s">
        <v>465</v>
      </c>
      <c r="B20412" s="24"/>
      <c r="C20412" s="24"/>
      <c r="D20412" s="24"/>
      <c r="E20412" s="24"/>
      <c r="F20412" s="24"/>
      <c r="G20412" s="24"/>
      <c r="H20412" s="24"/>
      <c r="I20412" s="24"/>
      <c r="J20412" s="24"/>
      <c r="K20412" s="24"/>
    </row>
    <row r="20413" customFormat="false" ht="15" hidden="false" customHeight="false" outlineLevel="0" collapsed="false">
      <c r="A20413" s="5" t="s">
        <v>457</v>
      </c>
      <c r="C20413" s="25" t="n">
        <f aca="false">IF(C20398&gt;0,C20408,C20388)</f>
        <v>216.2968</v>
      </c>
    </row>
    <row r="20414" customFormat="false" ht="15" hidden="false" customHeight="false" outlineLevel="0" collapsed="false">
      <c r="A20414" s="5" t="s">
        <v>458</v>
      </c>
      <c r="C20414" s="25" t="n">
        <f aca="false">IF(C20399&gt;0,C20409,C20389)</f>
        <v>509.6</v>
      </c>
    </row>
    <row r="20415" customFormat="false" ht="15" hidden="false" customHeight="false" outlineLevel="0" collapsed="false">
      <c r="A20415" s="5" t="s">
        <v>459</v>
      </c>
      <c r="C20415" s="25" t="n">
        <f aca="false">IF(C20400&gt;0,C20410,C20390)</f>
        <v>250</v>
      </c>
    </row>
    <row r="20416" customFormat="false" ht="15" hidden="false" customHeight="false" outlineLevel="0" collapsed="false">
      <c r="A20416" s="5" t="s">
        <v>460</v>
      </c>
      <c r="C20416" s="25" t="n">
        <f aca="false">IF(C20401&gt;0,C20411,C20391)</f>
        <v>300</v>
      </c>
    </row>
    <row r="20417" customFormat="false" ht="15" hidden="false" customHeight="false" outlineLevel="0" collapsed="false">
      <c r="A20417" s="23" t="s">
        <v>466</v>
      </c>
      <c r="B20417" s="24"/>
      <c r="C20417" s="24"/>
      <c r="D20417" s="24"/>
      <c r="E20417" s="24"/>
      <c r="F20417" s="24"/>
      <c r="G20417" s="24"/>
      <c r="H20417" s="24"/>
      <c r="I20417" s="24"/>
      <c r="J20417" s="24"/>
      <c r="K20417" s="24"/>
    </row>
    <row r="20418" customFormat="false" ht="15" hidden="false" customHeight="false" outlineLevel="0" collapsed="false">
      <c r="A20418" s="5" t="s">
        <v>457</v>
      </c>
      <c r="C20418" s="20" t="n">
        <f aca="false">IF(C20398&gt;0,Assumptions!$C$17,C20393)</f>
        <v>1</v>
      </c>
    </row>
    <row r="20419" customFormat="false" ht="15" hidden="false" customHeight="false" outlineLevel="0" collapsed="false">
      <c r="A20419" s="5" t="s">
        <v>458</v>
      </c>
      <c r="C20419" s="20" t="n">
        <f aca="false">IF(C20399&gt;0,Assumptions!$C$17,C20394)</f>
        <v>2</v>
      </c>
    </row>
    <row r="20420" customFormat="false" ht="15" hidden="false" customHeight="false" outlineLevel="0" collapsed="false">
      <c r="A20420" s="5" t="s">
        <v>459</v>
      </c>
      <c r="C20420" s="20" t="n">
        <f aca="false">IF(C20400&gt;0,Assumptions!$C$17,C20395)</f>
        <v>3</v>
      </c>
    </row>
    <row r="20421" customFormat="false" ht="15" hidden="false" customHeight="false" outlineLevel="0" collapsed="false">
      <c r="A20421" s="5" t="s">
        <v>460</v>
      </c>
      <c r="C20421" s="20" t="n">
        <f aca="false">IF(C20401&gt;0,Assumptions!$C$17,C20396)</f>
        <v>4</v>
      </c>
    </row>
    <row r="20422" customFormat="false" ht="15" hidden="false" customHeight="false" outlineLevel="0" collapsed="false">
      <c r="A20422" s="23" t="s">
        <v>467</v>
      </c>
      <c r="B20422" s="24"/>
      <c r="C20422" s="24"/>
      <c r="D20422" s="24"/>
      <c r="E20422" s="24"/>
      <c r="F20422" s="24"/>
      <c r="G20422" s="24"/>
      <c r="H20422" s="24"/>
      <c r="I20422" s="24"/>
      <c r="J20422" s="24"/>
      <c r="K20422" s="24"/>
    </row>
    <row r="20423" customFormat="false" ht="15" hidden="false" customHeight="false" outlineLevel="0" collapsed="false">
      <c r="A20423" s="5" t="s">
        <v>457</v>
      </c>
      <c r="C20423" s="25" t="n">
        <f aca="false">SUMPRODUCT(($C$20418:$C$20421&lt;C20418)*$C$20413:$C$20416)</f>
        <v>0</v>
      </c>
    </row>
    <row r="20424" customFormat="false" ht="15" hidden="false" customHeight="false" outlineLevel="0" collapsed="false">
      <c r="A20424" s="5" t="s">
        <v>458</v>
      </c>
      <c r="C20424" s="25" t="n">
        <f aca="false">SUMPRODUCT(($C$20418:$C$20421&lt;C20419)*$C$20413:$C$20416)</f>
        <v>216.2968</v>
      </c>
    </row>
    <row r="20425" customFormat="false" ht="15" hidden="false" customHeight="false" outlineLevel="0" collapsed="false">
      <c r="A20425" s="5" t="s">
        <v>459</v>
      </c>
      <c r="C20425" s="25" t="n">
        <f aca="false">SUMPRODUCT(($C$20418:$C$20421&lt;C20420)*$C$20413:$C$20416)</f>
        <v>725.8968</v>
      </c>
    </row>
    <row r="20426" customFormat="false" ht="15" hidden="false" customHeight="false" outlineLevel="0" collapsed="false">
      <c r="A20426" s="5" t="s">
        <v>460</v>
      </c>
      <c r="C20426" s="25" t="n">
        <f aca="false">SUMPRODUCT(($C$20418:$C$20421&lt;C20421)*$C$20413:$C$20416)</f>
        <v>975.8968</v>
      </c>
    </row>
    <row r="20427" customFormat="false" ht="15" hidden="false" customHeight="false" outlineLevel="0" collapsed="false">
      <c r="A20427" s="23" t="s">
        <v>468</v>
      </c>
      <c r="B20427" s="24"/>
      <c r="C20427" s="24"/>
      <c r="D20427" s="24"/>
      <c r="E20427" s="24"/>
      <c r="F20427" s="24"/>
      <c r="G20427" s="24"/>
      <c r="H20427" s="24"/>
      <c r="I20427" s="24"/>
      <c r="J20427" s="24"/>
      <c r="K20427" s="24"/>
    </row>
    <row r="20428" customFormat="false" ht="15" hidden="false" customHeight="false" outlineLevel="0" collapsed="false">
      <c r="A20428" s="5" t="s">
        <v>457</v>
      </c>
      <c r="C20428" s="25" t="n">
        <f aca="false">SUMPRODUCT(($C$20418:$C$20421=C20418)*$C$20413:$C$20416)</f>
        <v>216.2968</v>
      </c>
    </row>
    <row r="20429" customFormat="false" ht="15" hidden="false" customHeight="false" outlineLevel="0" collapsed="false">
      <c r="A20429" s="5" t="s">
        <v>458</v>
      </c>
      <c r="C20429" s="25" t="n">
        <f aca="false">SUMPRODUCT(($C$20418:$C$20421=C20419)*$C$20413:$C$20416)</f>
        <v>509.6</v>
      </c>
    </row>
    <row r="20430" customFormat="false" ht="15" hidden="false" customHeight="false" outlineLevel="0" collapsed="false">
      <c r="A20430" s="5" t="s">
        <v>459</v>
      </c>
      <c r="C20430" s="25" t="n">
        <f aca="false">SUMPRODUCT(($C$20418:$C$20421=C20420)*$C$20413:$C$20416)</f>
        <v>250</v>
      </c>
    </row>
    <row r="20431" customFormat="false" ht="15" hidden="false" customHeight="false" outlineLevel="0" collapsed="false">
      <c r="A20431" s="5" t="s">
        <v>460</v>
      </c>
      <c r="C20431" s="25" t="n">
        <f aca="false">SUMPRODUCT(($C$20418:$C$20421=C20421)*$C$20413:$C$20416)</f>
        <v>300</v>
      </c>
    </row>
    <row r="20432" customFormat="false" ht="15" hidden="false" customHeight="false" outlineLevel="0" collapsed="false">
      <c r="A20432" s="23" t="s">
        <v>469</v>
      </c>
      <c r="B20432" s="24"/>
      <c r="C20432" s="24"/>
      <c r="D20432" s="24"/>
      <c r="E20432" s="24"/>
      <c r="F20432" s="24"/>
      <c r="G20432" s="24"/>
      <c r="H20432" s="24"/>
      <c r="I20432" s="24"/>
      <c r="J20432" s="24"/>
      <c r="K20432" s="24"/>
    </row>
    <row r="20433" customFormat="false" ht="15" hidden="false" customHeight="false" outlineLevel="0" collapsed="false">
      <c r="A20433" s="5" t="s">
        <v>457</v>
      </c>
      <c r="C20433" s="25" t="n">
        <f aca="false">IF(C20428=0,0,C20413/C20428*MAX(0,MIN(C20428,$C$20386-SUM($C$20403:$C$20406)-C20423)))</f>
        <v>216.2968</v>
      </c>
    </row>
    <row r="20434" customFormat="false" ht="15" hidden="false" customHeight="false" outlineLevel="0" collapsed="false">
      <c r="A20434" s="5" t="s">
        <v>458</v>
      </c>
      <c r="C20434" s="25" t="n">
        <f aca="false">IF(C20429=0,0,C20414/C20429*MAX(0,MIN(C20429,$C$20386-SUM($C$20403:$C$20406)-C20424)))</f>
        <v>28.2507919999998</v>
      </c>
    </row>
    <row r="20435" customFormat="false" ht="15" hidden="false" customHeight="false" outlineLevel="0" collapsed="false">
      <c r="A20435" s="5" t="s">
        <v>459</v>
      </c>
      <c r="C20435" s="25" t="n">
        <f aca="false">IF(C20430=0,0,C20415/C20430*MAX(0,MIN(C20430,$C$20386-SUM($C$20403:$C$20406)-C20425)))</f>
        <v>0</v>
      </c>
    </row>
    <row r="20436" customFormat="false" ht="15" hidden="false" customHeight="false" outlineLevel="0" collapsed="false">
      <c r="A20436" s="5" t="s">
        <v>460</v>
      </c>
      <c r="C20436" s="25" t="n">
        <f aca="false">IF(C20431=0,0,C20416/C20431*MAX(0,MIN(C20431,$C$20386-SUM($C$20403:$C$20406)-C20426)))</f>
        <v>0</v>
      </c>
    </row>
    <row r="20437" customFormat="false" ht="15" hidden="false" customHeight="false" outlineLevel="0" collapsed="false">
      <c r="A20437" s="23" t="s">
        <v>470</v>
      </c>
      <c r="B20437" s="24"/>
      <c r="C20437" s="24"/>
      <c r="D20437" s="24"/>
      <c r="E20437" s="24"/>
      <c r="F20437" s="24"/>
      <c r="G20437" s="24"/>
      <c r="H20437" s="24"/>
      <c r="I20437" s="24"/>
      <c r="J20437" s="24"/>
      <c r="K20437" s="24"/>
    </row>
    <row r="20438" customFormat="false" ht="15" hidden="false" customHeight="false" outlineLevel="0" collapsed="false">
      <c r="A20438" s="2" t="s">
        <v>457</v>
      </c>
      <c r="C20438" s="16" t="n">
        <f aca="false">C20403+C20433</f>
        <v>216.2968</v>
      </c>
    </row>
    <row r="20439" customFormat="false" ht="15" hidden="false" customHeight="false" outlineLevel="0" collapsed="false">
      <c r="A20439" s="2" t="s">
        <v>458</v>
      </c>
      <c r="C20439" s="16" t="n">
        <f aca="false">C20404+C20434</f>
        <v>28.2507919999998</v>
      </c>
    </row>
    <row r="20440" customFormat="false" ht="15" hidden="false" customHeight="false" outlineLevel="0" collapsed="false">
      <c r="A20440" s="2" t="s">
        <v>459</v>
      </c>
      <c r="C20440" s="16" t="n">
        <f aca="false">C20405+C20435</f>
        <v>0</v>
      </c>
    </row>
    <row r="20441" customFormat="false" ht="15" hidden="false" customHeight="false" outlineLevel="0" collapsed="false">
      <c r="A20441" s="2" t="s">
        <v>460</v>
      </c>
      <c r="C20441" s="16" t="n">
        <f aca="false">C20406+C20436</f>
        <v>0</v>
      </c>
    </row>
    <row r="20442" customFormat="false" ht="15" hidden="false" customHeight="false" outlineLevel="0" collapsed="false">
      <c r="A20442" s="23" t="s">
        <v>471</v>
      </c>
      <c r="B20442" s="24"/>
      <c r="C20442" s="24"/>
      <c r="D20442" s="24"/>
      <c r="E20442" s="24"/>
      <c r="F20442" s="24"/>
      <c r="G20442" s="24"/>
      <c r="H20442" s="24"/>
      <c r="I20442" s="24"/>
      <c r="J20442" s="24"/>
      <c r="K20442" s="24"/>
    </row>
    <row r="20443" customFormat="false" ht="15" hidden="false" customHeight="false" outlineLevel="0" collapsed="false">
      <c r="A20443" s="5" t="s">
        <v>457</v>
      </c>
      <c r="C20443" s="21" t="n">
        <f aca="false">IF(C20388=0,1,C20438/C20388)</f>
        <v>1</v>
      </c>
    </row>
    <row r="20444" customFormat="false" ht="15" hidden="false" customHeight="false" outlineLevel="0" collapsed="false">
      <c r="A20444" s="5" t="s">
        <v>458</v>
      </c>
      <c r="C20444" s="21" t="n">
        <f aca="false">IF(C20389=0,1,C20439/C20389)</f>
        <v>0.0554371899529039</v>
      </c>
    </row>
    <row r="20445" customFormat="false" ht="15" hidden="false" customHeight="false" outlineLevel="0" collapsed="false">
      <c r="A20445" s="5" t="s">
        <v>459</v>
      </c>
      <c r="C20445" s="21" t="n">
        <f aca="false">IF(C20390=0,1,C20440/C20390)</f>
        <v>0</v>
      </c>
    </row>
    <row r="20446" customFormat="false" ht="15" hidden="false" customHeight="false" outlineLevel="0" collapsed="false">
      <c r="A20446" s="5" t="s">
        <v>460</v>
      </c>
      <c r="C20446" s="21" t="n">
        <f aca="false">IF(C20391=0,1,C20441/C20391)</f>
        <v>0</v>
      </c>
    </row>
    <row r="20447" customFormat="false" ht="15" hidden="false" customHeight="false" outlineLevel="0" collapsed="false">
      <c r="A20447" s="23" t="s">
        <v>472</v>
      </c>
      <c r="B20447" s="24"/>
      <c r="C20447" s="24"/>
      <c r="D20447" s="24"/>
      <c r="E20447" s="24"/>
      <c r="F20447" s="24"/>
      <c r="G20447" s="24"/>
      <c r="H20447" s="24"/>
      <c r="I20447" s="24"/>
      <c r="J20447" s="24"/>
      <c r="K20447" s="24"/>
    </row>
    <row r="20448" customFormat="false" ht="15" hidden="false" customHeight="false" outlineLevel="0" collapsed="false">
      <c r="A20448" s="5" t="s">
        <v>457</v>
      </c>
      <c r="C20448" s="25" t="n">
        <f aca="false">C20388-C20438</f>
        <v>0</v>
      </c>
    </row>
    <row r="20449" customFormat="false" ht="15" hidden="false" customHeight="false" outlineLevel="0" collapsed="false">
      <c r="A20449" s="5" t="s">
        <v>458</v>
      </c>
      <c r="C20449" s="25" t="n">
        <f aca="false">C20389-C20439</f>
        <v>481.349208</v>
      </c>
    </row>
    <row r="20450" customFormat="false" ht="15" hidden="false" customHeight="false" outlineLevel="0" collapsed="false">
      <c r="A20450" s="5" t="s">
        <v>459</v>
      </c>
      <c r="C20450" s="25" t="n">
        <f aca="false">C20390-C20440</f>
        <v>250</v>
      </c>
    </row>
    <row r="20451" customFormat="false" ht="15" hidden="false" customHeight="false" outlineLevel="0" collapsed="false">
      <c r="A20451" s="5" t="s">
        <v>460</v>
      </c>
      <c r="C20451" s="25" t="n">
        <f aca="false">C20391-C20441</f>
        <v>300</v>
      </c>
    </row>
    <row r="20452" customFormat="false" ht="15" hidden="false" customHeight="false" outlineLevel="0" collapsed="false">
      <c r="A20452" s="23" t="s">
        <v>473</v>
      </c>
      <c r="B20452" s="24"/>
      <c r="C20452" s="24"/>
      <c r="D20452" s="24"/>
      <c r="E20452" s="24"/>
      <c r="F20452" s="24"/>
      <c r="G20452" s="24"/>
      <c r="H20452" s="24"/>
      <c r="I20452" s="24"/>
      <c r="J20452" s="24"/>
      <c r="K20452" s="24"/>
    </row>
    <row r="20453" customFormat="false" ht="15" hidden="false" customHeight="false" outlineLevel="0" collapsed="false">
      <c r="A20453" s="5" t="s">
        <v>457</v>
      </c>
      <c r="C20453" s="21" t="n">
        <f aca="false">IF(C20388=0,0,C20448/C20388)</f>
        <v>0</v>
      </c>
    </row>
    <row r="20454" customFormat="false" ht="15" hidden="false" customHeight="false" outlineLevel="0" collapsed="false">
      <c r="A20454" s="5" t="s">
        <v>458</v>
      </c>
      <c r="C20454" s="21" t="n">
        <f aca="false">IF(C20389=0,0,C20449/C20389)</f>
        <v>0.944562810047096</v>
      </c>
    </row>
    <row r="20455" customFormat="false" ht="15" hidden="false" customHeight="false" outlineLevel="0" collapsed="false">
      <c r="A20455" s="5" t="s">
        <v>459</v>
      </c>
      <c r="C20455" s="21" t="n">
        <f aca="false">IF(C20390=0,0,C20450/C20390)</f>
        <v>1</v>
      </c>
    </row>
    <row r="20456" customFormat="false" ht="15" hidden="false" customHeight="false" outlineLevel="0" collapsed="false">
      <c r="A20456" s="5" t="s">
        <v>460</v>
      </c>
      <c r="C20456" s="21" t="n">
        <f aca="false">IF(C20391=0,0,C20451/C20391)</f>
        <v>1</v>
      </c>
    </row>
    <row r="20457" customFormat="false" ht="15" hidden="false" customHeight="false" outlineLevel="0" collapsed="false">
      <c r="A20457" s="2" t="s">
        <v>474</v>
      </c>
      <c r="C20457" s="16" t="n">
        <f aca="false">MAX(0,$C$20386-SUM($C$20403:$C$20406)-SUM($C$20413:$C$20416))</f>
        <v>0</v>
      </c>
    </row>
    <row r="20458" customFormat="false" ht="15" hidden="false" customHeight="false" outlineLevel="0" collapsed="false">
      <c r="A20458" s="5" t="s">
        <v>492</v>
      </c>
      <c r="C20458" s="33" t="n">
        <f aca="false">MIN(C20385,100*CHOOSE(C20375,C20443,C20444,C20445,C20446))</f>
        <v>5.54371899529039</v>
      </c>
    </row>
    <row r="20459" customFormat="false" ht="15" hidden="false" customHeight="false" outlineLevel="0" collapsed="false">
      <c r="A20459" s="5" t="s">
        <v>493</v>
      </c>
      <c r="C20459" s="20" t="n">
        <f aca="false">IF(C20291=1,C20380+Assumptions!$C$36,C20379)</f>
        <v>3</v>
      </c>
    </row>
    <row r="20460" customFormat="false" ht="15" hidden="false" customHeight="false" outlineLevel="0" collapsed="false">
      <c r="A20460" s="23" t="s">
        <v>494</v>
      </c>
      <c r="B20460" s="24"/>
      <c r="C20460" s="24"/>
      <c r="D20460" s="24"/>
      <c r="E20460" s="24"/>
      <c r="F20460" s="24"/>
      <c r="G20460" s="24"/>
      <c r="H20460" s="24"/>
      <c r="I20460" s="24"/>
      <c r="J20460" s="24"/>
      <c r="K20460" s="24"/>
    </row>
    <row r="20461" customFormat="false" ht="15" hidden="false" customHeight="false" outlineLevel="0" collapsed="false">
      <c r="A20461" s="5" t="s">
        <v>495</v>
      </c>
      <c r="C20461" s="20" t="n">
        <f aca="false">COLUMN()-COLUMN($C$1)</f>
        <v>0</v>
      </c>
      <c r="D20461" s="20" t="n">
        <f aca="false">COLUMN()-COLUMN($C$1)</f>
        <v>1</v>
      </c>
      <c r="E20461" s="20" t="n">
        <f aca="false">COLUMN()-COLUMN($C$1)</f>
        <v>2</v>
      </c>
      <c r="F20461" s="20" t="n">
        <f aca="false">COLUMN()-COLUMN($C$1)</f>
        <v>3</v>
      </c>
      <c r="G20461" s="20" t="n">
        <f aca="false">COLUMN()-COLUMN($C$1)</f>
        <v>4</v>
      </c>
      <c r="H20461" s="20" t="n">
        <f aca="false">COLUMN()-COLUMN($C$1)</f>
        <v>5</v>
      </c>
      <c r="I20461" s="20" t="n">
        <f aca="false">COLUMN()-COLUMN($C$1)</f>
        <v>6</v>
      </c>
    </row>
    <row r="20462" customFormat="false" ht="15" hidden="false" customHeight="false" outlineLevel="0" collapsed="false">
      <c r="A20462" s="5" t="s">
        <v>496</v>
      </c>
      <c r="D20462" s="30" t="n">
        <f aca="false">CHOOSE($C$20375,G20173,G20186,G20199,G20212)</f>
        <v>0.118</v>
      </c>
      <c r="E20462" s="30" t="n">
        <f aca="false">CHOOSE($C$20375,H20173,H20186,H20199,H20212)</f>
        <v>0.1155</v>
      </c>
      <c r="F20462" s="30" t="n">
        <f aca="false">CHOOSE($C$20375,I20173,I20186,I20199,I20212)</f>
        <v>0.113</v>
      </c>
      <c r="G20462" s="30" t="n">
        <f aca="false">CHOOSE($C$20375,J20173,J20186,J20199,J20212)</f>
        <v>0.113</v>
      </c>
      <c r="H20462" s="30" t="n">
        <f aca="false">CHOOSE($C$20375,K20173,K20186,K20199,K20212)</f>
        <v>0.113</v>
      </c>
    </row>
    <row r="20463" customFormat="false" ht="15" hidden="false" customHeight="false" outlineLevel="0" collapsed="false">
      <c r="A20463" s="5" t="s">
        <v>497</v>
      </c>
      <c r="D20463" s="25" t="n">
        <f aca="false">IF(D20461&lt;=$C$20384,$C$20376*D20462,0)</f>
        <v>11.8</v>
      </c>
      <c r="E20463" s="25" t="n">
        <f aca="false">IF(E20461&lt;=$C$20384,$C$20376*E20462,0)</f>
        <v>11.55</v>
      </c>
      <c r="F20463" s="25" t="n">
        <f aca="false">IF(F20461&lt;=$C$20384,$C$20376*F20462,0)</f>
        <v>0</v>
      </c>
      <c r="G20463" s="25" t="n">
        <f aca="false">IF(G20461&lt;=$C$20384,$C$20376*G20462,0)</f>
        <v>0</v>
      </c>
      <c r="H20463" s="25" t="n">
        <f aca="false">IF(H20461&lt;=$C$20384,$C$20376*H20462,0)</f>
        <v>0</v>
      </c>
    </row>
    <row r="20464" customFormat="false" ht="15" hidden="false" customHeight="false" outlineLevel="0" collapsed="false">
      <c r="A20464" s="5" t="s">
        <v>498</v>
      </c>
      <c r="D20464" s="25" t="n">
        <f aca="false">IF(AND($C$20291=0,D20461=$C$20379),$C$20376*$C$20458/100,0)+IF(AND($C$20291=1,D20461=$C$20459),$C$20382,0)</f>
        <v>0</v>
      </c>
      <c r="E20464" s="25" t="n">
        <f aca="false">IF(AND($C$20291=0,E20461=$C$20379),$C$20376*$C$20458/100,0)+IF(AND($C$20291=1,E20461=$C$20459),$C$20382,0)</f>
        <v>0</v>
      </c>
      <c r="F20464" s="25" t="n">
        <f aca="false">IF(AND($C$20291=0,F20461=$C$20379),$C$20376*$C$20458/100,0)+IF(AND($C$20291=1,F20461=$C$20459),$C$20382,0)</f>
        <v>56.4287463304553</v>
      </c>
      <c r="G20464" s="25" t="n">
        <f aca="false">IF(AND($C$20291=0,G20461=$C$20379),$C$20376*$C$20458/100,0)+IF(AND($C$20291=1,G20461=$C$20459),$C$20382,0)</f>
        <v>0</v>
      </c>
      <c r="H20464" s="25" t="n">
        <f aca="false">IF(AND($C$20291=0,H20461=$C$20379),$C$20376*$C$20458/100,0)+IF(AND($C$20291=1,H20461=$C$20459),$C$20382,0)</f>
        <v>0</v>
      </c>
      <c r="I20464" s="25" t="n">
        <f aca="false">IF(AND($C$20291=0,I20461=$C$20379),$C$20376*$C$20458/100,0)+IF(AND($C$20291=1,I20461=$C$20459),$C$20382,0)</f>
        <v>0</v>
      </c>
    </row>
    <row r="20465" customFormat="false" ht="15" hidden="false" customHeight="false" outlineLevel="0" collapsed="false">
      <c r="A20465" s="2" t="s">
        <v>499</v>
      </c>
      <c r="C20465" s="16" t="n">
        <f aca="false">-$C$20378</f>
        <v>-78.39</v>
      </c>
      <c r="D20465" s="16" t="n">
        <f aca="false">D20463+D20464</f>
        <v>11.8</v>
      </c>
      <c r="E20465" s="16" t="n">
        <f aca="false">E20463+E20464</f>
        <v>11.55</v>
      </c>
      <c r="F20465" s="16" t="n">
        <f aca="false">F20463+F20464</f>
        <v>56.4287463304553</v>
      </c>
      <c r="G20465" s="16" t="n">
        <f aca="false">G20463+G20464</f>
        <v>0</v>
      </c>
      <c r="H20465" s="16" t="n">
        <f aca="false">H20463+H20464</f>
        <v>0</v>
      </c>
      <c r="I20465" s="16" t="n">
        <f aca="false">I20463+I20464</f>
        <v>0</v>
      </c>
    </row>
    <row r="20466" customFormat="false" ht="15" hidden="false" customHeight="false" outlineLevel="0" collapsed="false">
      <c r="A20466" s="5" t="s">
        <v>500</v>
      </c>
      <c r="C20466" s="25" t="n">
        <f aca="false">SUM($C$20463:$I$20463)</f>
        <v>23.35</v>
      </c>
    </row>
    <row r="20467" customFormat="false" ht="15" hidden="false" customHeight="false" outlineLevel="0" collapsed="false">
      <c r="A20467" s="5" t="s">
        <v>501</v>
      </c>
      <c r="C20467" s="25" t="n">
        <f aca="false">SUM($C$20464:$I$20464)</f>
        <v>56.4287463304553</v>
      </c>
    </row>
    <row r="20468" customFormat="false" ht="15" hidden="false" customHeight="false" outlineLevel="0" collapsed="false">
      <c r="A20468" s="5" t="s">
        <v>502</v>
      </c>
      <c r="C20468" s="25" t="n">
        <f aca="false">C20466+C20467</f>
        <v>79.7787463304553</v>
      </c>
    </row>
    <row r="20469" customFormat="false" ht="15" hidden="false" customHeight="false" outlineLevel="0" collapsed="false">
      <c r="A20469" s="5" t="s">
        <v>503</v>
      </c>
      <c r="C20469" s="25" t="n">
        <f aca="false">C20467-C20376*C20377/100</f>
        <v>-21.5712536695447</v>
      </c>
    </row>
    <row r="20470" customFormat="false" ht="15" hidden="false" customHeight="false" outlineLevel="0" collapsed="false">
      <c r="A20470" s="5" t="s">
        <v>504</v>
      </c>
      <c r="C20470" s="25" t="n">
        <f aca="false">C20468-C20378</f>
        <v>1.38874633045526</v>
      </c>
    </row>
    <row r="20471" customFormat="false" ht="15" hidden="false" customHeight="false" outlineLevel="0" collapsed="false">
      <c r="A20471" s="2" t="s">
        <v>385</v>
      </c>
      <c r="C20471" s="43" t="n">
        <f aca="false">C20468/C20378</f>
        <v>1.01771586082989</v>
      </c>
    </row>
    <row r="20472" customFormat="false" ht="15" hidden="false" customHeight="false" outlineLevel="0" collapsed="false">
      <c r="A20472" s="2" t="s">
        <v>384</v>
      </c>
      <c r="C20472" s="41" t="n">
        <f aca="false">IF(C20468&lt;=0,-1,IFERROR(IRR($C$20465:$I$20465,MAX(-0.9,C20471^(1/C20459)-1)),IRR($C$20465:$I$20465,0.1)))</f>
        <v>0.00688989684099931</v>
      </c>
    </row>
    <row r="20473" customFormat="false" ht="15" hidden="false" customHeight="false" outlineLevel="0" collapsed="false">
      <c r="A20473" s="5" t="s">
        <v>505</v>
      </c>
      <c r="C20473" s="31" t="n">
        <f aca="false">MAX($G$20267:$K$20267)</f>
        <v>28.5681105622991</v>
      </c>
    </row>
    <row r="20474" customFormat="false" ht="15" hidden="false" customHeight="false" outlineLevel="0" collapsed="false">
      <c r="A20474" s="5" t="s">
        <v>506</v>
      </c>
      <c r="C20474" s="31" t="n">
        <f aca="false">MIN($G$20268:$K$20268)</f>
        <v>0.374027109660081</v>
      </c>
    </row>
    <row r="20475" customFormat="false" ht="15" hidden="false" customHeight="false" outlineLevel="0" collapsed="false">
      <c r="A20475" s="5" t="s">
        <v>507</v>
      </c>
      <c r="C20475" s="25" t="n">
        <f aca="false">SUM($G$20157:$K$20157)</f>
        <v>-481.4808823404</v>
      </c>
    </row>
    <row r="20479" customFormat="false" ht="15" hidden="false" customHeight="false" outlineLevel="0" collapsed="false">
      <c r="A20479" s="9" t="s">
        <v>684</v>
      </c>
      <c r="B20479" s="10"/>
      <c r="C20479" s="10"/>
      <c r="D20479" s="10"/>
      <c r="E20479" s="10"/>
      <c r="F20479" s="10"/>
      <c r="G20479" s="10"/>
      <c r="H20479" s="10"/>
      <c r="I20479" s="10"/>
      <c r="J20479" s="10"/>
      <c r="K20479" s="10"/>
    </row>
    <row r="20480" customFormat="false" ht="15" hidden="false" customHeight="false" outlineLevel="0" collapsed="false">
      <c r="A20480" s="5" t="s">
        <v>622</v>
      </c>
      <c r="C20480" s="11" t="n">
        <v>3</v>
      </c>
    </row>
    <row r="20481" customFormat="false" ht="15" hidden="false" customHeight="false" outlineLevel="0" collapsed="false">
      <c r="A20481" s="5" t="s">
        <v>623</v>
      </c>
      <c r="C20481" s="18" t="n">
        <v>0</v>
      </c>
    </row>
    <row r="20482" customFormat="false" ht="15" hidden="false" customHeight="false" outlineLevel="0" collapsed="false">
      <c r="A20482" s="5" t="s">
        <v>624</v>
      </c>
      <c r="C20482" s="18" t="n">
        <v>0</v>
      </c>
    </row>
    <row r="20483" customFormat="false" ht="15" hidden="false" customHeight="false" outlineLevel="0" collapsed="false">
      <c r="A20483" s="5" t="s">
        <v>625</v>
      </c>
      <c r="C20483" s="18" t="n">
        <v>0</v>
      </c>
    </row>
    <row r="20484" customFormat="false" ht="15" hidden="false" customHeight="false" outlineLevel="0" collapsed="false">
      <c r="A20484" s="5" t="s">
        <v>626</v>
      </c>
      <c r="C20484" s="32" t="n">
        <f aca="false">Sensitivities!$A$60</f>
        <v>-2</v>
      </c>
    </row>
    <row r="20486" customFormat="false" ht="15" hidden="false" customHeight="false" outlineLevel="0" collapsed="false">
      <c r="A20486" s="23" t="s">
        <v>237</v>
      </c>
      <c r="B20486" s="24"/>
      <c r="C20486" s="24"/>
      <c r="D20486" s="24"/>
      <c r="E20486" s="24"/>
      <c r="F20486" s="24"/>
      <c r="G20486" s="24"/>
      <c r="H20486" s="24"/>
      <c r="I20486" s="24"/>
      <c r="J20486" s="24"/>
      <c r="K20486" s="24"/>
    </row>
    <row r="20487" customFormat="false" ht="15" hidden="false" customHeight="false" outlineLevel="0" collapsed="false">
      <c r="A20487" s="5" t="s">
        <v>238</v>
      </c>
      <c r="F20487" s="26" t="n">
        <f aca="false">Assumptions!$C$6</f>
        <v>2025</v>
      </c>
      <c r="G20487" s="20" t="n">
        <f aca="false">F20487+1</f>
        <v>2026</v>
      </c>
      <c r="H20487" s="20" t="n">
        <f aca="false">G20487+1</f>
        <v>2027</v>
      </c>
      <c r="I20487" s="20" t="n">
        <f aca="false">H20487+1</f>
        <v>2028</v>
      </c>
      <c r="J20487" s="20" t="n">
        <f aca="false">I20487+1</f>
        <v>2029</v>
      </c>
      <c r="K20487" s="20" t="n">
        <f aca="false">J20487+1</f>
        <v>2030</v>
      </c>
    </row>
    <row r="20488" customFormat="false" ht="15" hidden="false" customHeight="false" outlineLevel="0" collapsed="false">
      <c r="A20488" s="5" t="s">
        <v>239</v>
      </c>
      <c r="G20488" s="20" t="n">
        <f aca="false">G20487-Assumptions!$C$6</f>
        <v>1</v>
      </c>
      <c r="H20488" s="20" t="n">
        <f aca="false">H20487-Assumptions!$C$6</f>
        <v>2</v>
      </c>
      <c r="I20488" s="20" t="n">
        <f aca="false">I20487-Assumptions!$C$6</f>
        <v>3</v>
      </c>
      <c r="J20488" s="20" t="n">
        <f aca="false">J20487-Assumptions!$C$6</f>
        <v>4</v>
      </c>
      <c r="K20488" s="20" t="n">
        <f aca="false">K20487-Assumptions!$C$6</f>
        <v>5</v>
      </c>
    </row>
    <row r="20489" customFormat="false" ht="15" hidden="false" customHeight="false" outlineLevel="0" collapsed="false">
      <c r="A20489" s="5" t="s">
        <v>149</v>
      </c>
      <c r="G20489" s="21" t="n">
        <f aca="false">CHOOSE($C$20480,Assumptions!$G$65,Assumptions!$G$84,Assumptions!$G$103)+$C$20481</f>
        <v>-0.234</v>
      </c>
      <c r="H20489" s="21" t="n">
        <f aca="false">CHOOSE($C$20480,Assumptions!$H$65,Assumptions!$H$84,Assumptions!$H$103)+$C$20481</f>
        <v>-0.13</v>
      </c>
      <c r="I20489" s="21" t="n">
        <f aca="false">CHOOSE($C$20480,Assumptions!$I$65,Assumptions!$I$84,Assumptions!$I$103)+$C$20481</f>
        <v>-0.026</v>
      </c>
      <c r="J20489" s="21" t="n">
        <f aca="false">CHOOSE($C$20480,Assumptions!$J$65,Assumptions!$J$84,Assumptions!$J$103)+$C$20481</f>
        <v>-0.01</v>
      </c>
      <c r="K20489" s="21" t="n">
        <f aca="false">CHOOSE($C$20480,Assumptions!$K$65,Assumptions!$K$84,Assumptions!$K$103)+$C$20481</f>
        <v>-0.01</v>
      </c>
    </row>
    <row r="20490" customFormat="false" ht="15" hidden="false" customHeight="false" outlineLevel="0" collapsed="false">
      <c r="A20490" s="5" t="s">
        <v>150</v>
      </c>
      <c r="G20490" s="21" t="n">
        <f aca="false">CHOOSE($C$20480,Assumptions!$G$66,Assumptions!$G$85,Assumptions!$G$104)</f>
        <v>0.305</v>
      </c>
      <c r="H20490" s="21" t="n">
        <f aca="false">CHOOSE($C$20480,Assumptions!$H$66,Assumptions!$H$85,Assumptions!$H$104)</f>
        <v>0.305</v>
      </c>
      <c r="I20490" s="21" t="n">
        <f aca="false">CHOOSE($C$20480,Assumptions!$I$66,Assumptions!$I$85,Assumptions!$I$104)</f>
        <v>0.305</v>
      </c>
      <c r="J20490" s="21" t="n">
        <f aca="false">CHOOSE($C$20480,Assumptions!$J$66,Assumptions!$J$85,Assumptions!$J$104)</f>
        <v>0.305</v>
      </c>
      <c r="K20490" s="21" t="n">
        <f aca="false">CHOOSE($C$20480,Assumptions!$K$66,Assumptions!$K$85,Assumptions!$K$104)</f>
        <v>0.305</v>
      </c>
    </row>
    <row r="20491" customFormat="false" ht="15" hidden="false" customHeight="false" outlineLevel="0" collapsed="false">
      <c r="A20491" s="5" t="s">
        <v>151</v>
      </c>
      <c r="G20491" s="21" t="n">
        <f aca="false">CHOOSE($C$20480,Assumptions!$G$67,Assumptions!$G$86,Assumptions!$G$105)+$C$20482</f>
        <v>0.01</v>
      </c>
      <c r="H20491" s="21" t="n">
        <f aca="false">CHOOSE($C$20480,Assumptions!$H$67,Assumptions!$H$86,Assumptions!$H$105)+$C$20482</f>
        <v>0.01</v>
      </c>
      <c r="I20491" s="21" t="n">
        <f aca="false">CHOOSE($C$20480,Assumptions!$I$67,Assumptions!$I$86,Assumptions!$I$105)+$C$20482</f>
        <v>0.01</v>
      </c>
      <c r="J20491" s="21" t="n">
        <f aca="false">CHOOSE($C$20480,Assumptions!$J$67,Assumptions!$J$86,Assumptions!$J$105)+$C$20482</f>
        <v>0.01</v>
      </c>
      <c r="K20491" s="21" t="n">
        <f aca="false">CHOOSE($C$20480,Assumptions!$K$67,Assumptions!$K$86,Assumptions!$K$105)+$C$20482</f>
        <v>0.01</v>
      </c>
    </row>
    <row r="20492" customFormat="false" ht="15" hidden="false" customHeight="false" outlineLevel="0" collapsed="false">
      <c r="A20492" s="23" t="s">
        <v>240</v>
      </c>
      <c r="B20492" s="24"/>
      <c r="C20492" s="24"/>
      <c r="D20492" s="24"/>
      <c r="E20492" s="24"/>
      <c r="F20492" s="24"/>
      <c r="G20492" s="24"/>
      <c r="H20492" s="24"/>
      <c r="I20492" s="24"/>
      <c r="J20492" s="24"/>
      <c r="K20492" s="24"/>
    </row>
    <row r="20493" customFormat="false" ht="15" hidden="false" customHeight="false" outlineLevel="0" collapsed="false">
      <c r="A20493" s="2" t="s">
        <v>207</v>
      </c>
      <c r="F20493" s="27" t="n">
        <f aca="false">'Historical Financials'!E17</f>
        <v>2400</v>
      </c>
      <c r="G20493" s="16" t="n">
        <f aca="false">F20493*(1+G20489)</f>
        <v>1838.4</v>
      </c>
      <c r="H20493" s="16" t="n">
        <f aca="false">G20493*(1+H20489)</f>
        <v>1599.408</v>
      </c>
      <c r="I20493" s="16" t="n">
        <f aca="false">H20493*(1+I20489)</f>
        <v>1557.823392</v>
      </c>
      <c r="J20493" s="16" t="n">
        <f aca="false">I20493*(1+J20489)</f>
        <v>1542.24515808</v>
      </c>
      <c r="K20493" s="16" t="n">
        <f aca="false">J20493*(1+K20489)</f>
        <v>1526.8227064992</v>
      </c>
    </row>
    <row r="20494" customFormat="false" ht="15" hidden="false" customHeight="false" outlineLevel="0" collapsed="false">
      <c r="A20494" s="5" t="s">
        <v>217</v>
      </c>
      <c r="G20494" s="25" t="n">
        <f aca="false">G20493*(1-G20490)</f>
        <v>1277.688</v>
      </c>
      <c r="H20494" s="25" t="n">
        <f aca="false">H20493*(1-H20490)</f>
        <v>1111.58856</v>
      </c>
      <c r="I20494" s="25" t="n">
        <f aca="false">I20493*(1-I20490)</f>
        <v>1082.68725744</v>
      </c>
      <c r="J20494" s="25" t="n">
        <f aca="false">J20493*(1-J20490)</f>
        <v>1071.8603848656</v>
      </c>
      <c r="K20494" s="25" t="n">
        <f aca="false">K20493*(1-K20490)</f>
        <v>1061.14178101694</v>
      </c>
    </row>
    <row r="20495" customFormat="false" ht="15" hidden="false" customHeight="false" outlineLevel="0" collapsed="false">
      <c r="A20495" s="2" t="s">
        <v>218</v>
      </c>
      <c r="G20495" s="16" t="n">
        <f aca="false">G20493-G20494</f>
        <v>560.712</v>
      </c>
      <c r="H20495" s="16" t="n">
        <f aca="false">H20493-H20494</f>
        <v>487.81944</v>
      </c>
      <c r="I20495" s="16" t="n">
        <f aca="false">I20493-I20494</f>
        <v>475.13613456</v>
      </c>
      <c r="J20495" s="16" t="n">
        <f aca="false">J20493-J20494</f>
        <v>470.3847732144</v>
      </c>
      <c r="K20495" s="16" t="n">
        <f aca="false">K20493-K20494</f>
        <v>465.680925482256</v>
      </c>
    </row>
    <row r="20496" customFormat="false" ht="15" hidden="false" customHeight="false" outlineLevel="0" collapsed="false">
      <c r="A20496" s="5" t="s">
        <v>241</v>
      </c>
      <c r="G20496" s="25" t="n">
        <f aca="false">G20495-G20497</f>
        <v>542.328</v>
      </c>
      <c r="H20496" s="25" t="n">
        <f aca="false">H20495-H20497</f>
        <v>471.82536</v>
      </c>
      <c r="I20496" s="25" t="n">
        <f aca="false">I20495-I20497</f>
        <v>459.55790064</v>
      </c>
      <c r="J20496" s="25" t="n">
        <f aca="false">J20495-J20497</f>
        <v>454.9623216336</v>
      </c>
      <c r="K20496" s="25" t="n">
        <f aca="false">K20495-K20497</f>
        <v>450.412698417264</v>
      </c>
    </row>
    <row r="20497" customFormat="false" ht="15" hidden="false" customHeight="false" outlineLevel="0" collapsed="false">
      <c r="A20497" s="2" t="s">
        <v>242</v>
      </c>
      <c r="G20497" s="16" t="n">
        <f aca="false">G20493*G20491</f>
        <v>18.384</v>
      </c>
      <c r="H20497" s="16" t="n">
        <f aca="false">H20493*H20491</f>
        <v>15.99408</v>
      </c>
      <c r="I20497" s="16" t="n">
        <f aca="false">I20493*I20491</f>
        <v>15.57823392</v>
      </c>
      <c r="J20497" s="16" t="n">
        <f aca="false">J20493*J20491</f>
        <v>15.4224515808</v>
      </c>
      <c r="K20497" s="16" t="n">
        <f aca="false">K20493*K20491</f>
        <v>15.268227064992</v>
      </c>
    </row>
    <row r="20498" customFormat="false" ht="15" hidden="false" customHeight="false" outlineLevel="0" collapsed="false">
      <c r="A20498" s="5" t="s">
        <v>243</v>
      </c>
      <c r="G20498" s="25" t="n">
        <f aca="false">G20493*'Historical Financials'!E22/'Historical Financials'!E17</f>
        <v>40.4448</v>
      </c>
      <c r="H20498" s="25" t="n">
        <f aca="false">H20493*'Historical Financials'!E22/'Historical Financials'!E17</f>
        <v>35.186976</v>
      </c>
      <c r="I20498" s="25" t="n">
        <f aca="false">I20493*'Historical Financials'!E22/'Historical Financials'!E17</f>
        <v>34.272114624</v>
      </c>
      <c r="J20498" s="25" t="n">
        <f aca="false">J20493*'Historical Financials'!E22/'Historical Financials'!E17</f>
        <v>33.92939347776</v>
      </c>
      <c r="K20498" s="25" t="n">
        <f aca="false">K20493*'Historical Financials'!E22/'Historical Financials'!E17</f>
        <v>33.5900995429824</v>
      </c>
    </row>
    <row r="20499" customFormat="false" ht="15" hidden="false" customHeight="false" outlineLevel="0" collapsed="false">
      <c r="A20499" s="5" t="s">
        <v>244</v>
      </c>
      <c r="G20499" s="25" t="n">
        <f aca="false">G20493*'Historical Financials'!E23/'Historical Financials'!E17</f>
        <v>0</v>
      </c>
      <c r="H20499" s="25" t="n">
        <f aca="false">H20493*'Historical Financials'!E23/'Historical Financials'!E17</f>
        <v>0</v>
      </c>
      <c r="I20499" s="25" t="n">
        <f aca="false">I20493*'Historical Financials'!E23/'Historical Financials'!E17</f>
        <v>0</v>
      </c>
      <c r="J20499" s="25" t="n">
        <f aca="false">J20493*'Historical Financials'!E23/'Historical Financials'!E17</f>
        <v>0</v>
      </c>
      <c r="K20499" s="25" t="n">
        <f aca="false">K20493*'Historical Financials'!E23/'Historical Financials'!E17</f>
        <v>0</v>
      </c>
    </row>
    <row r="20500" customFormat="false" ht="15" hidden="false" customHeight="false" outlineLevel="0" collapsed="false">
      <c r="A20500" s="2" t="s">
        <v>245</v>
      </c>
      <c r="G20500" s="16" t="n">
        <f aca="false">G20497-G20498-G20499</f>
        <v>-22.0608</v>
      </c>
      <c r="H20500" s="16" t="n">
        <f aca="false">H20497-H20498-H20499</f>
        <v>-19.192896</v>
      </c>
      <c r="I20500" s="16" t="n">
        <f aca="false">I20497-I20498-I20499</f>
        <v>-18.693880704</v>
      </c>
      <c r="J20500" s="16" t="n">
        <f aca="false">J20497-J20498-J20499</f>
        <v>-18.50694189696</v>
      </c>
      <c r="K20500" s="16" t="n">
        <f aca="false">K20497-K20498-K20499</f>
        <v>-18.3218724779904</v>
      </c>
    </row>
    <row r="20501" customFormat="false" ht="15" hidden="false" customHeight="false" outlineLevel="0" collapsed="false">
      <c r="A20501" s="5" t="s">
        <v>246</v>
      </c>
      <c r="G20501" s="25" t="n">
        <f aca="false">G20527+G20540+G20553+G20566</f>
        <v>140.04</v>
      </c>
      <c r="H20501" s="25" t="n">
        <f aca="false">H20527+H20540+H20553+H20566</f>
        <v>143.8435488</v>
      </c>
      <c r="I20501" s="25" t="n">
        <f aca="false">I20527+I20540+I20553+I20566</f>
        <v>141.3036768</v>
      </c>
      <c r="J20501" s="25" t="n">
        <f aca="false">J20527+J20540+J20553+J20566</f>
        <v>140.6380768</v>
      </c>
      <c r="K20501" s="25" t="n">
        <f aca="false">K20527+K20540+K20553+K20566</f>
        <v>139.9724768</v>
      </c>
    </row>
    <row r="20502" customFormat="false" ht="15" hidden="false" customHeight="false" outlineLevel="0" collapsed="false">
      <c r="A20502" s="5" t="s">
        <v>247</v>
      </c>
      <c r="G20502" s="25" t="n">
        <f aca="false">G20528+G20541+G20554+G20567</f>
        <v>0</v>
      </c>
      <c r="H20502" s="25" t="n">
        <f aca="false">H20528+H20541+H20554+H20567</f>
        <v>0</v>
      </c>
      <c r="I20502" s="25" t="n">
        <f aca="false">I20528+I20541+I20554+I20567</f>
        <v>0</v>
      </c>
      <c r="J20502" s="25" t="n">
        <f aca="false">J20528+J20541+J20554+J20567</f>
        <v>0</v>
      </c>
      <c r="K20502" s="25" t="n">
        <f aca="false">K20528+K20541+K20554+K20567</f>
        <v>0</v>
      </c>
    </row>
    <row r="20503" customFormat="false" ht="15" hidden="false" customHeight="false" outlineLevel="0" collapsed="false">
      <c r="A20503" s="5" t="s">
        <v>212</v>
      </c>
      <c r="G20503" s="25" t="n">
        <f aca="false">G20501+G20502</f>
        <v>140.04</v>
      </c>
      <c r="H20503" s="25" t="n">
        <f aca="false">H20501+H20502</f>
        <v>143.8435488</v>
      </c>
      <c r="I20503" s="25" t="n">
        <f aca="false">I20501+I20502</f>
        <v>141.3036768</v>
      </c>
      <c r="J20503" s="25" t="n">
        <f aca="false">J20501+J20502</f>
        <v>140.6380768</v>
      </c>
      <c r="K20503" s="25" t="n">
        <f aca="false">K20501+K20502</f>
        <v>139.9724768</v>
      </c>
    </row>
    <row r="20504" customFormat="false" ht="15" hidden="false" customHeight="false" outlineLevel="0" collapsed="false">
      <c r="A20504" s="2" t="s">
        <v>223</v>
      </c>
      <c r="G20504" s="16" t="n">
        <f aca="false">G20500-G20503</f>
        <v>-162.1008</v>
      </c>
      <c r="H20504" s="16" t="n">
        <f aca="false">H20500-H20503</f>
        <v>-163.0364448</v>
      </c>
      <c r="I20504" s="16" t="n">
        <f aca="false">I20500-I20503</f>
        <v>-159.997557504</v>
      </c>
      <c r="J20504" s="16" t="n">
        <f aca="false">J20500-J20503</f>
        <v>-159.14501869696</v>
      </c>
      <c r="K20504" s="16" t="n">
        <f aca="false">K20500-K20503</f>
        <v>-158.29434927799</v>
      </c>
    </row>
    <row r="20505" customFormat="false" ht="15" hidden="false" customHeight="false" outlineLevel="0" collapsed="false">
      <c r="A20505" s="5" t="s">
        <v>213</v>
      </c>
      <c r="G20505" s="25" t="n">
        <f aca="false">MAX(0,G20504)*Assumptions!$C$9</f>
        <v>0</v>
      </c>
      <c r="H20505" s="25" t="n">
        <f aca="false">MAX(0,H20504)*Assumptions!$C$9</f>
        <v>0</v>
      </c>
      <c r="I20505" s="25" t="n">
        <f aca="false">MAX(0,I20504)*Assumptions!$C$9</f>
        <v>0</v>
      </c>
      <c r="J20505" s="25" t="n">
        <f aca="false">MAX(0,J20504)*Assumptions!$C$9</f>
        <v>0</v>
      </c>
      <c r="K20505" s="25" t="n">
        <f aca="false">MAX(0,K20504)*Assumptions!$C$9</f>
        <v>0</v>
      </c>
    </row>
    <row r="20506" customFormat="false" ht="15" hidden="false" customHeight="false" outlineLevel="0" collapsed="false">
      <c r="A20506" s="2" t="s">
        <v>248</v>
      </c>
      <c r="G20506" s="16" t="n">
        <f aca="false">G20504-G20505</f>
        <v>-162.1008</v>
      </c>
      <c r="H20506" s="16" t="n">
        <f aca="false">H20504-H20505</f>
        <v>-163.0364448</v>
      </c>
      <c r="I20506" s="16" t="n">
        <f aca="false">I20504-I20505</f>
        <v>-159.997557504</v>
      </c>
      <c r="J20506" s="16" t="n">
        <f aca="false">J20504-J20505</f>
        <v>-159.14501869696</v>
      </c>
      <c r="K20506" s="16" t="n">
        <f aca="false">K20504-K20505</f>
        <v>-158.29434927799</v>
      </c>
    </row>
    <row r="20507" customFormat="false" ht="15" hidden="false" customHeight="false" outlineLevel="0" collapsed="false">
      <c r="A20507" s="23" t="s">
        <v>249</v>
      </c>
      <c r="B20507" s="24"/>
      <c r="C20507" s="24"/>
      <c r="D20507" s="24"/>
      <c r="E20507" s="24"/>
      <c r="F20507" s="24"/>
      <c r="G20507" s="24"/>
      <c r="H20507" s="24"/>
      <c r="I20507" s="24"/>
      <c r="J20507" s="24"/>
      <c r="K20507" s="24"/>
    </row>
    <row r="20508" customFormat="false" ht="15" hidden="false" customHeight="false" outlineLevel="0" collapsed="false">
      <c r="A20508" s="5" t="s">
        <v>153</v>
      </c>
      <c r="G20508" s="25" t="n">
        <f aca="false">G20493*CHOOSE($C$20480,Assumptions!$C$69,Assumptions!$C$88,Assumptions!$C$107)</f>
        <v>29.4144</v>
      </c>
      <c r="H20508" s="25" t="n">
        <f aca="false">H20493*CHOOSE($C$20480,Assumptions!$C$69,Assumptions!$C$88,Assumptions!$C$107)</f>
        <v>25.590528</v>
      </c>
      <c r="I20508" s="25" t="n">
        <f aca="false">I20493*CHOOSE($C$20480,Assumptions!$C$69,Assumptions!$C$88,Assumptions!$C$107)</f>
        <v>24.925174272</v>
      </c>
      <c r="J20508" s="25" t="n">
        <f aca="false">J20493*CHOOSE($C$20480,Assumptions!$C$69,Assumptions!$C$88,Assumptions!$C$107)</f>
        <v>24.67592252928</v>
      </c>
      <c r="K20508" s="25" t="n">
        <f aca="false">K20493*CHOOSE($C$20480,Assumptions!$C$69,Assumptions!$C$88,Assumptions!$C$107)</f>
        <v>24.4291633039872</v>
      </c>
    </row>
    <row r="20509" customFormat="false" ht="15" hidden="false" customHeight="false" outlineLevel="0" collapsed="false">
      <c r="A20509" s="5" t="s">
        <v>250</v>
      </c>
      <c r="G20509" s="25" t="n">
        <f aca="false">CHOOSE($C$20480,Assumptions!$C$70,Assumptions!$C$89,Assumptions!$C$108)*(G20493-F20493)+CHOOSE($C$20480,Assumptions!$C$71,Assumptions!$C$90,Assumptions!$C$109)*G20493</f>
        <v>-56.3616</v>
      </c>
      <c r="H20509" s="25" t="n">
        <f aca="false">CHOOSE($C$20480,Assumptions!$C$70,Assumptions!$C$89,Assumptions!$C$108)*(H20493-G20493)+CHOOSE($C$20480,Assumptions!$C$71,Assumptions!$C$90,Assumptions!$C$109)*H20493</f>
        <v>-19.082592</v>
      </c>
      <c r="I20509" s="25" t="n">
        <f aca="false">CHOOSE($C$20480,Assumptions!$C$70,Assumptions!$C$89,Assumptions!$C$108)*(I20493-H20493)+CHOOSE($C$20480,Assumptions!$C$71,Assumptions!$C$90,Assumptions!$C$109)*I20493</f>
        <v>4.35678739199999</v>
      </c>
      <c r="J20509" s="25" t="n">
        <f aca="false">CHOOSE($C$20480,Assumptions!$C$70,Assumptions!$C$89,Assumptions!$C$108)*(J20493-I20493)+CHOOSE($C$20480,Assumptions!$C$71,Assumptions!$C$90,Assumptions!$C$109)*J20493</f>
        <v>7.38408287808</v>
      </c>
      <c r="K20509" s="25" t="n">
        <f aca="false">CHOOSE($C$20480,Assumptions!$C$70,Assumptions!$C$89,Assumptions!$C$108)*(K20493-J20493)+CHOOSE($C$20480,Assumptions!$C$71,Assumptions!$C$90,Assumptions!$C$109)*K20493</f>
        <v>7.3102420492992</v>
      </c>
    </row>
    <row r="20510" customFormat="false" ht="15" hidden="false" customHeight="false" outlineLevel="0" collapsed="false">
      <c r="A20510" s="2" t="s">
        <v>251</v>
      </c>
      <c r="G20510" s="16" t="n">
        <f aca="false">G20506+G20498+G20499+G20502-G20508-G20509</f>
        <v>-94.7088</v>
      </c>
      <c r="H20510" s="16" t="n">
        <f aca="false">H20506+H20498+H20499+H20502-H20508-H20509</f>
        <v>-134.3574048</v>
      </c>
      <c r="I20510" s="16" t="n">
        <f aca="false">I20506+I20498+I20499+I20502-I20508-I20509</f>
        <v>-155.007404544</v>
      </c>
      <c r="J20510" s="16" t="n">
        <f aca="false">J20506+J20498+J20499+J20502-J20508-J20509</f>
        <v>-157.27563062656</v>
      </c>
      <c r="K20510" s="16" t="n">
        <f aca="false">K20506+K20498+K20499+K20502-K20508-K20509</f>
        <v>-156.443655088294</v>
      </c>
    </row>
    <row r="20512" customFormat="false" ht="15" hidden="false" customHeight="false" outlineLevel="0" collapsed="false">
      <c r="A20512" s="23" t="s">
        <v>253</v>
      </c>
      <c r="B20512" s="24"/>
      <c r="C20512" s="24"/>
      <c r="D20512" s="24"/>
      <c r="E20512" s="24"/>
      <c r="F20512" s="24"/>
      <c r="G20512" s="24"/>
      <c r="H20512" s="24"/>
      <c r="I20512" s="24"/>
      <c r="J20512" s="24"/>
      <c r="K20512" s="24"/>
    </row>
    <row r="20513" customFormat="false" ht="15" hidden="false" customHeight="false" outlineLevel="0" collapsed="false">
      <c r="A20513" s="5" t="s">
        <v>254</v>
      </c>
      <c r="G20513" s="29" t="n">
        <f aca="false">Assumptions!$G$49</f>
        <v>0.0425</v>
      </c>
      <c r="H20513" s="29" t="n">
        <f aca="false">Assumptions!$H$49</f>
        <v>0.04</v>
      </c>
      <c r="I20513" s="29" t="n">
        <f aca="false">Assumptions!$I$49</f>
        <v>0.0375</v>
      </c>
      <c r="J20513" s="29" t="n">
        <f aca="false">Assumptions!$J$49</f>
        <v>0.0375</v>
      </c>
      <c r="K20513" s="29" t="n">
        <f aca="false">Assumptions!$K$49</f>
        <v>0.0375</v>
      </c>
    </row>
    <row r="20514" customFormat="false" ht="15" hidden="false" customHeight="false" outlineLevel="0" collapsed="false">
      <c r="A20514" s="5" t="s">
        <v>255</v>
      </c>
      <c r="C20514" s="30" t="n">
        <f aca="false">CHOOSE($C$20480,Assumptions!$C$72,Assumptions!$C$91,Assumptions!$C$110)+$C$20483</f>
        <v>0.03</v>
      </c>
    </row>
    <row r="20515" customFormat="false" ht="15" hidden="false" customHeight="false" outlineLevel="0" collapsed="false">
      <c r="A20515" s="5" t="s">
        <v>256</v>
      </c>
      <c r="C20515" s="30" t="n">
        <f aca="false">CHOOSE($C$20480,Assumptions!$C$73,Assumptions!$C$92,Assumptions!$C$111)</f>
        <v>0.16</v>
      </c>
    </row>
    <row r="20516" customFormat="false" ht="15" hidden="false" customHeight="false" outlineLevel="0" collapsed="false">
      <c r="A20516" s="5" t="s">
        <v>257</v>
      </c>
      <c r="C20516" s="31" t="n">
        <f aca="false">CHOOSE($C$20480,Assumptions!$C$74,Assumptions!$C$93,Assumptions!$C$112)</f>
        <v>5</v>
      </c>
    </row>
    <row r="20517" customFormat="false" ht="15" hidden="false" customHeight="false" outlineLevel="0" collapsed="false">
      <c r="A20517" s="5" t="s">
        <v>258</v>
      </c>
      <c r="C20517" s="31" t="n">
        <f aca="false">CHOOSE($C$20480,Assumptions!$C$75,Assumptions!$C$94,Assumptions!$C$113)</f>
        <v>2</v>
      </c>
    </row>
    <row r="20518" customFormat="false" ht="15" hidden="false" customHeight="false" outlineLevel="0" collapsed="false">
      <c r="A20518" s="5" t="s">
        <v>259</v>
      </c>
      <c r="G20518" s="25" t="n">
        <f aca="false">G20523+G20536+G20549+G20562</f>
        <v>1250</v>
      </c>
      <c r="H20518" s="25" t="n">
        <f aca="false">H20523+H20536+H20549+H20562</f>
        <v>1299.7088</v>
      </c>
      <c r="I20518" s="25" t="n">
        <f aca="false">I20523+I20536+I20549+I20562</f>
        <v>1294.5088</v>
      </c>
      <c r="J20518" s="25" t="n">
        <f aca="false">J20523+J20536+J20549+J20562</f>
        <v>1289.3088</v>
      </c>
      <c r="K20518" s="25" t="n">
        <f aca="false">K20523+K20536+K20549+K20562</f>
        <v>1284.1088</v>
      </c>
    </row>
    <row r="20519" customFormat="false" ht="15" hidden="false" customHeight="false" outlineLevel="0" collapsed="false">
      <c r="A20519" s="5" t="s">
        <v>260</v>
      </c>
      <c r="G20519" s="25" t="n">
        <f aca="false">F20609</f>
        <v>45</v>
      </c>
      <c r="H20519" s="25" t="n">
        <f aca="false">G20609</f>
        <v>0</v>
      </c>
      <c r="I20519" s="25" t="n">
        <f aca="false">H20609</f>
        <v>-139.5574048</v>
      </c>
      <c r="J20519" s="25" t="n">
        <f aca="false">I20609</f>
        <v>-299.764809344</v>
      </c>
      <c r="K20519" s="25" t="n">
        <f aca="false">J20609</f>
        <v>-462.24043997056</v>
      </c>
    </row>
    <row r="20520" customFormat="false" ht="15" hidden="false" customHeight="false" outlineLevel="0" collapsed="false">
      <c r="A20520" s="5" t="s">
        <v>261</v>
      </c>
      <c r="G20520" s="25" t="n">
        <f aca="false">G20523*IF(G20524=1,$C$20515,IF(Assumptions!$I$53=1,MAX(G20513,Assumptions!$G$53)+Assumptions!$F$53+$C$20514,Assumptions!$E$53))+G20536*IF(G20537=1,$C$20515,IF(Assumptions!$I$54=1,MAX(G20513,Assumptions!$G$54)+Assumptions!$F$54+$C$20514,Assumptions!$E$54))+G20549*IF(G20550=1,$C$20515,IF(Assumptions!$I$55=1,MAX(G20513,Assumptions!$G$55)+Assumptions!$F$55+$C$20514,Assumptions!$E$55))+G20562*IF(G20563=1,$C$20515,IF(Assumptions!$I$56=1,MAX(G20513,Assumptions!$G$56)+Assumptions!$F$56+$C$20514,Assumptions!$E$56))</f>
        <v>140.04</v>
      </c>
      <c r="H20520" s="25" t="n">
        <f aca="false">H20523*IF(OR(H20524=1,G20675=1),$C$20515,IF(Assumptions!$I$53=1,MAX(H20513,Assumptions!$G$53)+Assumptions!$F$53+$C$20514,Assumptions!$E$53))+H20536*IF(OR(H20537=1,G20676=1),$C$20515,IF(Assumptions!$I$54=1,MAX(H20513,Assumptions!$G$54)+Assumptions!$F$54+$C$20514,Assumptions!$E$54))+H20549*IF(OR(H20550=1,G20677=1),$C$20515,IF(Assumptions!$I$55=1,MAX(H20513,Assumptions!$G$55)+Assumptions!$F$55+$C$20514,Assumptions!$E$55))+H20562*IF(OR(H20563=1,G20678=1),$C$20515,IF(Assumptions!$I$56=1,MAX(H20513,Assumptions!$G$56)+Assumptions!$F$56+$C$20514,Assumptions!$E$56))</f>
        <v>180.266808</v>
      </c>
      <c r="I20520" s="25" t="n">
        <f aca="false">I20523*IF(OR(I20524=1,H20675=1),$C$20515,IF(Assumptions!$I$53=1,MAX(I20513,Assumptions!$G$53)+Assumptions!$F$53+$C$20514,Assumptions!$E$53))+I20536*IF(OR(I20537=1,H20676=1),$C$20515,IF(Assumptions!$I$54=1,MAX(I20513,Assumptions!$G$54)+Assumptions!$F$54+$C$20514,Assumptions!$E$54))+I20549*IF(OR(I20550=1,H20677=1),$C$20515,IF(Assumptions!$I$55=1,MAX(I20513,Assumptions!$G$55)+Assumptions!$F$55+$C$20514,Assumptions!$E$55))+I20562*IF(OR(I20563=1,H20678=1),$C$20515,IF(Assumptions!$I$56=1,MAX(I20513,Assumptions!$G$56)+Assumptions!$F$56+$C$20514,Assumptions!$E$56))</f>
        <v>157.6108768</v>
      </c>
      <c r="J20520" s="25" t="n">
        <f aca="false">J20523*IF(OR(J20524=1,I20675=1),$C$20515,IF(Assumptions!$I$53=1,MAX(J20513,Assumptions!$G$53)+Assumptions!$F$53+$C$20514,Assumptions!$E$53))+J20536*IF(OR(J20537=1,I20676=1),$C$20515,IF(Assumptions!$I$54=1,MAX(J20513,Assumptions!$G$54)+Assumptions!$F$54+$C$20514,Assumptions!$E$54))+J20549*IF(OR(J20550=1,I20677=1),$C$20515,IF(Assumptions!$I$55=1,MAX(J20513,Assumptions!$G$55)+Assumptions!$F$55+$C$20514,Assumptions!$E$55))+J20562*IF(OR(J20563=1,I20678=1),$C$20515,IF(Assumptions!$I$56=1,MAX(J20513,Assumptions!$G$56)+Assumptions!$F$56+$C$20514,Assumptions!$E$56))</f>
        <v>153.1380768</v>
      </c>
      <c r="K20520" s="25" t="n">
        <f aca="false">K20523*IF(OR(K20524=1,J20675=1),$C$20515,IF(Assumptions!$I$53=1,MAX(K20513,Assumptions!$G$53)+Assumptions!$F$53+$C$20514,Assumptions!$E$53))+K20536*IF(OR(K20537=1,J20676=1),$C$20515,IF(Assumptions!$I$54=1,MAX(K20513,Assumptions!$G$54)+Assumptions!$F$54+$C$20514,Assumptions!$E$54))+K20549*IF(OR(K20550=1,J20677=1),$C$20515,IF(Assumptions!$I$55=1,MAX(K20513,Assumptions!$G$55)+Assumptions!$F$55+$C$20514,Assumptions!$E$55))+K20562*IF(OR(K20563=1,J20678=1),$C$20515,IF(Assumptions!$I$56=1,MAX(K20513,Assumptions!$G$56)+Assumptions!$F$56+$C$20514,Assumptions!$E$56))</f>
        <v>139.9724768</v>
      </c>
    </row>
    <row r="20521" customFormat="false" ht="15" hidden="false" customHeight="false" outlineLevel="0" collapsed="false">
      <c r="A20521" s="5" t="s">
        <v>262</v>
      </c>
      <c r="G20521" s="20" t="n">
        <f aca="false">IF(G20497&lt;=0,0,IF(AND((G20518-G20519)/G20497&lt;=$C$20516,G20497/G20520&gt;=$C$20517),1,0))</f>
        <v>0</v>
      </c>
      <c r="H20521" s="20" t="n">
        <f aca="false">IF(H20497&lt;=0,0,IF(AND((H20518-H20519)/H20497&lt;=$C$20516,H20497/H20520&gt;=$C$20517),1,0))</f>
        <v>0</v>
      </c>
      <c r="I20521" s="20" t="n">
        <f aca="false">IF(I20497&lt;=0,0,IF(AND((I20518-I20519)/I20497&lt;=$C$20516,I20497/I20520&gt;=$C$20517),1,0))</f>
        <v>0</v>
      </c>
      <c r="J20521" s="20" t="n">
        <f aca="false">IF(J20497&lt;=0,0,IF(AND((J20518-J20519)/J20497&lt;=$C$20516,J20497/J20520&gt;=$C$20517),1,0))</f>
        <v>0</v>
      </c>
      <c r="K20521" s="20" t="n">
        <f aca="false">IF(K20497&lt;=0,0,IF(AND((K20518-K20519)/K20497&lt;=$C$20516,K20497/K20520&gt;=$C$20517),1,0))</f>
        <v>0</v>
      </c>
    </row>
    <row r="20522" customFormat="false" ht="15" hidden="false" customHeight="false" outlineLevel="0" collapsed="false">
      <c r="A20522" s="23" t="s">
        <v>263</v>
      </c>
      <c r="B20522" s="24"/>
      <c r="C20522" s="24"/>
      <c r="D20522" s="24"/>
      <c r="E20522" s="24"/>
      <c r="F20522" s="24"/>
      <c r="G20522" s="24"/>
      <c r="H20522" s="24"/>
      <c r="I20522" s="24"/>
      <c r="J20522" s="24"/>
      <c r="K20522" s="24"/>
    </row>
    <row r="20523" customFormat="false" ht="15" hidden="false" customHeight="false" outlineLevel="0" collapsed="false">
      <c r="A20523" s="5" t="s">
        <v>264</v>
      </c>
      <c r="G20523" s="25" t="n">
        <f aca="false">F20534</f>
        <v>180</v>
      </c>
      <c r="H20523" s="25" t="n">
        <f aca="false">G20534</f>
        <v>234.9088</v>
      </c>
      <c r="I20523" s="25" t="n">
        <f aca="false">H20534</f>
        <v>234.9088</v>
      </c>
      <c r="J20523" s="25" t="n">
        <f aca="false">I20534</f>
        <v>234.9088</v>
      </c>
      <c r="K20523" s="25" t="n">
        <f aca="false">J20534</f>
        <v>234.9088</v>
      </c>
    </row>
    <row r="20524" customFormat="false" ht="15" hidden="false" customHeight="false" outlineLevel="0" collapsed="false">
      <c r="A20524" s="5" t="s">
        <v>265</v>
      </c>
      <c r="G20524" s="20" t="n">
        <f aca="false">IF(G20487=Assumptions!$K$53,1,0)</f>
        <v>0</v>
      </c>
      <c r="H20524" s="20" t="n">
        <f aca="false">IF(H20487=Assumptions!$K$53,1,0)</f>
        <v>1</v>
      </c>
      <c r="I20524" s="20" t="n">
        <f aca="false">IF(I20487=Assumptions!$K$53,1,0)</f>
        <v>0</v>
      </c>
      <c r="J20524" s="20" t="n">
        <f aca="false">IF(J20487=Assumptions!$K$53,1,0)</f>
        <v>0</v>
      </c>
      <c r="K20524" s="20" t="n">
        <f aca="false">IF(K20487=Assumptions!$K$53,1,0)</f>
        <v>0</v>
      </c>
    </row>
    <row r="20526" customFormat="false" ht="15" hidden="false" customHeight="false" outlineLevel="0" collapsed="false">
      <c r="A20526" s="5" t="s">
        <v>266</v>
      </c>
      <c r="G20526" s="30" t="n">
        <f aca="false">IF(Assumptions!$I$53=1,MAX(G20513,Assumptions!$G$53)+Assumptions!$F$53+$C$20514,Assumptions!$E$53)</f>
        <v>0.116</v>
      </c>
      <c r="H20526" s="30" t="n">
        <f aca="false">IF(G20675=1,$C$20515,IF(Assumptions!$I$53=1,MAX(H20513,Assumptions!$G$53)+Assumptions!$F$53+$C$20514,Assumptions!$E$53))</f>
        <v>0.1135</v>
      </c>
      <c r="I20526" s="30" t="n">
        <f aca="false">IF(H20675=1,$C$20515,IF(Assumptions!$I$53=1,MAX(I20513,Assumptions!$G$53)+Assumptions!$F$53+$C$20514,Assumptions!$E$53))</f>
        <v>0.111</v>
      </c>
      <c r="J20526" s="30" t="n">
        <f aca="false">IF(I20675=1,$C$20515,IF(Assumptions!$I$53=1,MAX(J20513,Assumptions!$G$53)+Assumptions!$F$53+$C$20514,Assumptions!$E$53))</f>
        <v>0.111</v>
      </c>
      <c r="K20526" s="30" t="n">
        <f aca="false">IF(J20675=1,$C$20515,IF(Assumptions!$I$53=1,MAX(K20513,Assumptions!$G$53)+Assumptions!$F$53+$C$20514,Assumptions!$E$53))</f>
        <v>0.111</v>
      </c>
    </row>
    <row r="20527" customFormat="false" ht="15" hidden="false" customHeight="false" outlineLevel="0" collapsed="false">
      <c r="A20527" s="5" t="s">
        <v>267</v>
      </c>
      <c r="G20527" s="25" t="n">
        <f aca="false">G20523*G20526</f>
        <v>20.88</v>
      </c>
      <c r="H20527" s="25" t="n">
        <f aca="false">H20523*H20526</f>
        <v>26.6621488</v>
      </c>
      <c r="I20527" s="25" t="n">
        <f aca="false">I20523*I20526</f>
        <v>26.0748768</v>
      </c>
      <c r="J20527" s="25" t="n">
        <f aca="false">J20523*J20526</f>
        <v>26.0748768</v>
      </c>
      <c r="K20527" s="25" t="n">
        <f aca="false">K20523*K20526</f>
        <v>26.0748768</v>
      </c>
    </row>
    <row r="20528" customFormat="false" ht="15" hidden="false" customHeight="false" outlineLevel="0" collapsed="false">
      <c r="A20528" s="5" t="s">
        <v>268</v>
      </c>
      <c r="G20528" s="25" t="n">
        <f aca="false">G20523*Assumptions!$H$53</f>
        <v>0</v>
      </c>
      <c r="H20528" s="25" t="n">
        <f aca="false">H20523*Assumptions!$H$53</f>
        <v>0</v>
      </c>
      <c r="I20528" s="25" t="n">
        <f aca="false">I20523*Assumptions!$H$53</f>
        <v>0</v>
      </c>
      <c r="J20528" s="25" t="n">
        <f aca="false">J20523*Assumptions!$H$53</f>
        <v>0</v>
      </c>
      <c r="K20528" s="25" t="n">
        <f aca="false">K20523*Assumptions!$H$53</f>
        <v>0</v>
      </c>
    </row>
    <row r="20529" customFormat="false" ht="15" hidden="false" customHeight="false" outlineLevel="0" collapsed="false">
      <c r="A20529" s="5" t="s">
        <v>269</v>
      </c>
      <c r="G20529" s="25" t="n">
        <f aca="false">MIN(G20523,Assumptions!$L$53*Assumptions!$C$53)</f>
        <v>0</v>
      </c>
      <c r="H20529" s="25" t="n">
        <f aca="false">MIN(H20523,Assumptions!$L$53*Assumptions!$C$53)</f>
        <v>0</v>
      </c>
      <c r="I20529" s="25" t="n">
        <f aca="false">MIN(I20523,Assumptions!$L$53*Assumptions!$C$53)</f>
        <v>0</v>
      </c>
      <c r="J20529" s="25" t="n">
        <f aca="false">MIN(J20523,Assumptions!$L$53*Assumptions!$C$53)</f>
        <v>0</v>
      </c>
      <c r="K20529" s="25" t="n">
        <f aca="false">MIN(K20523,Assumptions!$L$53*Assumptions!$C$53)</f>
        <v>0</v>
      </c>
    </row>
    <row r="20530" customFormat="false" ht="15" hidden="false" customHeight="false" outlineLevel="0" collapsed="false">
      <c r="A20530" s="5" t="s">
        <v>270</v>
      </c>
      <c r="G20530" s="25" t="n">
        <f aca="false">IF(AND(Assumptions!$P$53=1,G20487&lt;Assumptions!$K$53),MIN(MAX(0,-G20601),MAX(0,Assumptions!$D$53-G20523)),0)</f>
        <v>54.9088</v>
      </c>
      <c r="H20530" s="25" t="n">
        <f aca="false">IF(AND(Assumptions!$P$53=1,OR(H20487&lt;Assumptions!$K$53,G20675=1)),MIN(MAX(0,-H20601),MAX(0,Assumptions!$D$53-H20523)),0)</f>
        <v>0</v>
      </c>
      <c r="I20530" s="25" t="n">
        <f aca="false">IF(AND(Assumptions!$P$53=1,OR(I20487&lt;Assumptions!$K$53,H20675=1)),MIN(MAX(0,-I20601),MAX(0,Assumptions!$D$53-I20523)),0)</f>
        <v>0</v>
      </c>
      <c r="J20530" s="25" t="n">
        <f aca="false">IF(AND(Assumptions!$P$53=1,OR(J20487&lt;Assumptions!$K$53,I20675=1)),MIN(MAX(0,-J20601),MAX(0,Assumptions!$D$53-J20523)),0)</f>
        <v>0</v>
      </c>
      <c r="K20530" s="25" t="n">
        <f aca="false">IF(AND(Assumptions!$P$53=1,OR(K20487&lt;Assumptions!$K$53,J20675=1)),MIN(MAX(0,-K20601),MAX(0,Assumptions!$D$53-K20523)),0)</f>
        <v>0</v>
      </c>
    </row>
    <row r="20531" customFormat="false" ht="15" hidden="false" customHeight="false" outlineLevel="0" collapsed="false">
      <c r="A20531" s="5" t="s">
        <v>271</v>
      </c>
      <c r="G20531" s="25" t="n">
        <f aca="false">G20524*MIN(G20523-G20529+G20528,MAX(0,G20603-Assumptions!$C$12*G20521))</f>
        <v>0</v>
      </c>
      <c r="H20531" s="25" t="n">
        <f aca="false">H20524*MIN(H20523-H20529+H20528,MAX(0,H20603-Assumptions!$C$12*H20521))</f>
        <v>0</v>
      </c>
      <c r="I20531" s="25" t="n">
        <f aca="false">I20524*MIN(I20523-I20529+I20528,MAX(0,I20603-Assumptions!$C$12*I20521))</f>
        <v>0</v>
      </c>
      <c r="J20531" s="25" t="n">
        <f aca="false">J20524*MIN(J20523-J20529+J20528,MAX(0,J20603-Assumptions!$C$12*J20521))</f>
        <v>0</v>
      </c>
      <c r="K20531" s="25" t="n">
        <f aca="false">K20524*MIN(K20523-K20529+K20528,MAX(0,K20603-Assumptions!$C$12*K20521))</f>
        <v>0</v>
      </c>
    </row>
    <row r="20532" customFormat="false" ht="15" hidden="false" customHeight="false" outlineLevel="0" collapsed="false">
      <c r="A20532" s="5" t="s">
        <v>272</v>
      </c>
      <c r="G20532" s="25" t="n">
        <f aca="false">Assumptions!$N$53*MIN(G20523+G20530+G20528-G20529-G20531,MAX(0,G20607))</f>
        <v>0</v>
      </c>
      <c r="H20532" s="25" t="n">
        <f aca="false">Assumptions!$N$53*MIN(H20523+H20530+H20528-H20529-H20531,MAX(0,H20607))</f>
        <v>0</v>
      </c>
      <c r="I20532" s="25" t="n">
        <f aca="false">Assumptions!$N$53*MIN(I20523+I20530+I20528-I20529-I20531,MAX(0,I20607))</f>
        <v>0</v>
      </c>
      <c r="J20532" s="25" t="n">
        <f aca="false">Assumptions!$N$53*MIN(J20523+J20530+J20528-J20529-J20531,MAX(0,J20607))</f>
        <v>0</v>
      </c>
      <c r="K20532" s="25" t="n">
        <f aca="false">Assumptions!$N$53*MIN(K20523+K20530+K20528-K20529-K20531,MAX(0,K20607))</f>
        <v>0</v>
      </c>
    </row>
    <row r="20533" customFormat="false" ht="15" hidden="false" customHeight="false" outlineLevel="0" collapsed="false">
      <c r="A20533" s="5" t="s">
        <v>273</v>
      </c>
      <c r="G20533" s="25" t="n">
        <f aca="false">G20524*(1-G20521)*(G20523-G20529+G20528-G20531)</f>
        <v>0</v>
      </c>
      <c r="H20533" s="25" t="n">
        <f aca="false">H20524*(1-H20521)*(H20523-H20529+H20528-H20531)</f>
        <v>234.9088</v>
      </c>
      <c r="I20533" s="25" t="n">
        <f aca="false">I20524*(1-I20521)*(I20523-I20529+I20528-I20531)</f>
        <v>0</v>
      </c>
      <c r="J20533" s="25" t="n">
        <f aca="false">J20524*(1-J20521)*(J20523-J20529+J20528-J20531)</f>
        <v>0</v>
      </c>
      <c r="K20533" s="25" t="n">
        <f aca="false">K20524*(1-K20521)*(K20523-K20529+K20528-K20531)</f>
        <v>0</v>
      </c>
    </row>
    <row r="20534" customFormat="false" ht="15" hidden="false" customHeight="false" outlineLevel="0" collapsed="false">
      <c r="A20534" s="2" t="s">
        <v>274</v>
      </c>
      <c r="F20534" s="27" t="n">
        <f aca="false">Assumptions!$C$53</f>
        <v>180</v>
      </c>
      <c r="G20534" s="16" t="n">
        <f aca="false">G20523+G20530+G20528-G20529-G20531-G20532</f>
        <v>234.9088</v>
      </c>
      <c r="H20534" s="16" t="n">
        <f aca="false">H20523+H20530+H20528-H20529-H20531-H20532</f>
        <v>234.9088</v>
      </c>
      <c r="I20534" s="16" t="n">
        <f aca="false">I20523+I20530+I20528-I20529-I20531-I20532</f>
        <v>234.9088</v>
      </c>
      <c r="J20534" s="16" t="n">
        <f aca="false">J20523+J20530+J20528-J20529-J20531-J20532</f>
        <v>234.9088</v>
      </c>
      <c r="K20534" s="16" t="n">
        <f aca="false">K20523+K20530+K20528-K20529-K20531-K20532</f>
        <v>234.9088</v>
      </c>
    </row>
    <row r="20535" customFormat="false" ht="15" hidden="false" customHeight="false" outlineLevel="0" collapsed="false">
      <c r="A20535" s="23" t="s">
        <v>275</v>
      </c>
      <c r="B20535" s="24"/>
      <c r="C20535" s="24"/>
      <c r="D20535" s="24"/>
      <c r="E20535" s="24"/>
      <c r="F20535" s="24"/>
      <c r="G20535" s="24"/>
      <c r="H20535" s="24"/>
      <c r="I20535" s="24"/>
      <c r="J20535" s="24"/>
      <c r="K20535" s="24"/>
    </row>
    <row r="20536" customFormat="false" ht="15" hidden="false" customHeight="false" outlineLevel="0" collapsed="false">
      <c r="A20536" s="5" t="s">
        <v>264</v>
      </c>
      <c r="G20536" s="25" t="n">
        <f aca="false">F20547</f>
        <v>520</v>
      </c>
      <c r="H20536" s="25" t="n">
        <f aca="false">G20547</f>
        <v>514.8</v>
      </c>
      <c r="I20536" s="25" t="n">
        <f aca="false">H20547</f>
        <v>509.6</v>
      </c>
      <c r="J20536" s="25" t="n">
        <f aca="false">I20547</f>
        <v>504.4</v>
      </c>
      <c r="K20536" s="25" t="n">
        <f aca="false">J20547</f>
        <v>499.2</v>
      </c>
    </row>
    <row r="20537" customFormat="false" ht="15" hidden="false" customHeight="false" outlineLevel="0" collapsed="false">
      <c r="A20537" s="5" t="s">
        <v>265</v>
      </c>
      <c r="G20537" s="20" t="n">
        <f aca="false">IF(G20487=Assumptions!$K$54,1,0)</f>
        <v>0</v>
      </c>
      <c r="H20537" s="20" t="n">
        <f aca="false">IF(H20487=Assumptions!$K$54,1,0)</f>
        <v>0</v>
      </c>
      <c r="I20537" s="20" t="n">
        <f aca="false">IF(I20487=Assumptions!$K$54,1,0)</f>
        <v>1</v>
      </c>
      <c r="J20537" s="20" t="n">
        <f aca="false">IF(J20487=Assumptions!$K$54,1,0)</f>
        <v>0</v>
      </c>
      <c r="K20537" s="20" t="n">
        <f aca="false">IF(K20487=Assumptions!$K$54,1,0)</f>
        <v>0</v>
      </c>
    </row>
    <row r="20539" customFormat="false" ht="15" hidden="false" customHeight="false" outlineLevel="0" collapsed="false">
      <c r="A20539" s="5" t="s">
        <v>266</v>
      </c>
      <c r="G20539" s="30" t="n">
        <f aca="false">IF(Assumptions!$I$54=1,MAX(G20513,Assumptions!$G$54)+Assumptions!$F$54+$C$20514,Assumptions!$E$54)</f>
        <v>0.133</v>
      </c>
      <c r="H20539" s="30" t="n">
        <f aca="false">IF(G20676=1,$C$20515,IF(Assumptions!$I$54=1,MAX(H20513,Assumptions!$G$54)+Assumptions!$F$54+$C$20514,Assumptions!$E$54))</f>
        <v>0.1305</v>
      </c>
      <c r="I20539" s="30" t="n">
        <f aca="false">IF(H20676=1,$C$20515,IF(Assumptions!$I$54=1,MAX(I20513,Assumptions!$G$54)+Assumptions!$F$54+$C$20514,Assumptions!$E$54))</f>
        <v>0.128</v>
      </c>
      <c r="J20539" s="30" t="n">
        <f aca="false">IF(I20676=1,$C$20515,IF(Assumptions!$I$54=1,MAX(J20513,Assumptions!$G$54)+Assumptions!$F$54+$C$20514,Assumptions!$E$54))</f>
        <v>0.128</v>
      </c>
      <c r="K20539" s="30" t="n">
        <f aca="false">IF(J20676=1,$C$20515,IF(Assumptions!$I$54=1,MAX(K20513,Assumptions!$G$54)+Assumptions!$F$54+$C$20514,Assumptions!$E$54))</f>
        <v>0.128</v>
      </c>
    </row>
    <row r="20540" customFormat="false" ht="15" hidden="false" customHeight="false" outlineLevel="0" collapsed="false">
      <c r="A20540" s="5" t="s">
        <v>267</v>
      </c>
      <c r="G20540" s="25" t="n">
        <f aca="false">G20536*G20539</f>
        <v>69.16</v>
      </c>
      <c r="H20540" s="25" t="n">
        <f aca="false">H20536*H20539</f>
        <v>67.1814</v>
      </c>
      <c r="I20540" s="25" t="n">
        <f aca="false">I20536*I20539</f>
        <v>65.2288</v>
      </c>
      <c r="J20540" s="25" t="n">
        <f aca="false">J20536*J20539</f>
        <v>64.5632</v>
      </c>
      <c r="K20540" s="25" t="n">
        <f aca="false">K20536*K20539</f>
        <v>63.8976</v>
      </c>
    </row>
    <row r="20541" customFormat="false" ht="15" hidden="false" customHeight="false" outlineLevel="0" collapsed="false">
      <c r="A20541" s="5" t="s">
        <v>268</v>
      </c>
      <c r="G20541" s="25" t="n">
        <f aca="false">G20536*Assumptions!$H$54</f>
        <v>0</v>
      </c>
      <c r="H20541" s="25" t="n">
        <f aca="false">H20536*Assumptions!$H$54</f>
        <v>0</v>
      </c>
      <c r="I20541" s="25" t="n">
        <f aca="false">I20536*Assumptions!$H$54</f>
        <v>0</v>
      </c>
      <c r="J20541" s="25" t="n">
        <f aca="false">J20536*Assumptions!$H$54</f>
        <v>0</v>
      </c>
      <c r="K20541" s="25" t="n">
        <f aca="false">K20536*Assumptions!$H$54</f>
        <v>0</v>
      </c>
    </row>
    <row r="20542" customFormat="false" ht="15" hidden="false" customHeight="false" outlineLevel="0" collapsed="false">
      <c r="A20542" s="5" t="s">
        <v>269</v>
      </c>
      <c r="G20542" s="25" t="n">
        <f aca="false">MIN(G20536,Assumptions!$L$54*Assumptions!$C$54)</f>
        <v>5.2</v>
      </c>
      <c r="H20542" s="25" t="n">
        <f aca="false">MIN(H20536,Assumptions!$L$54*Assumptions!$C$54)</f>
        <v>5.2</v>
      </c>
      <c r="I20542" s="25" t="n">
        <f aca="false">MIN(I20536,Assumptions!$L$54*Assumptions!$C$54)</f>
        <v>5.2</v>
      </c>
      <c r="J20542" s="25" t="n">
        <f aca="false">MIN(J20536,Assumptions!$L$54*Assumptions!$C$54)</f>
        <v>5.2</v>
      </c>
      <c r="K20542" s="25" t="n">
        <f aca="false">MIN(K20536,Assumptions!$L$54*Assumptions!$C$54)</f>
        <v>5.2</v>
      </c>
    </row>
    <row r="20543" customFormat="false" ht="15" hidden="false" customHeight="false" outlineLevel="0" collapsed="false">
      <c r="A20543" s="5" t="s">
        <v>270</v>
      </c>
      <c r="G20543" s="25" t="n">
        <f aca="false">IF(AND(Assumptions!$P$54=1,G20487&lt;Assumptions!$K$54),MIN(MAX(0,-G20601),MAX(0,Assumptions!$D$54-G20536)),0)</f>
        <v>0</v>
      </c>
      <c r="H20543" s="25" t="n">
        <f aca="false">IF(AND(Assumptions!$P$54=1,OR(H20487&lt;Assumptions!$K$54,G20676=1)),MIN(MAX(0,-H20601),MAX(0,Assumptions!$D$54-H20536)),0)</f>
        <v>0</v>
      </c>
      <c r="I20543" s="25" t="n">
        <f aca="false">IF(AND(Assumptions!$P$54=1,OR(I20487&lt;Assumptions!$K$54,H20676=1)),MIN(MAX(0,-I20601),MAX(0,Assumptions!$D$54-I20536)),0)</f>
        <v>0</v>
      </c>
      <c r="J20543" s="25" t="n">
        <f aca="false">IF(AND(Assumptions!$P$54=1,OR(J20487&lt;Assumptions!$K$54,I20676=1)),MIN(MAX(0,-J20601),MAX(0,Assumptions!$D$54-J20536)),0)</f>
        <v>0</v>
      </c>
      <c r="K20543" s="25" t="n">
        <f aca="false">IF(AND(Assumptions!$P$54=1,OR(K20487&lt;Assumptions!$K$54,J20676=1)),MIN(MAX(0,-K20601),MAX(0,Assumptions!$D$54-K20536)),0)</f>
        <v>0</v>
      </c>
    </row>
    <row r="20544" customFormat="false" ht="15" hidden="false" customHeight="false" outlineLevel="0" collapsed="false">
      <c r="A20544" s="5" t="s">
        <v>271</v>
      </c>
      <c r="G20544" s="25" t="n">
        <f aca="false">G20537*MIN(G20536-G20542+G20541,MAX(0,G20603-Assumptions!$C$12*G20521-G20531))</f>
        <v>0</v>
      </c>
      <c r="H20544" s="25" t="n">
        <f aca="false">H20537*MIN(H20536-H20542+H20541,MAX(0,H20603-Assumptions!$C$12*H20521-H20531))</f>
        <v>0</v>
      </c>
      <c r="I20544" s="25" t="n">
        <f aca="false">I20537*MIN(I20536-I20542+I20541,MAX(0,I20603-Assumptions!$C$12*I20521-I20531))</f>
        <v>0</v>
      </c>
      <c r="J20544" s="25" t="n">
        <f aca="false">J20537*MIN(J20536-J20542+J20541,MAX(0,J20603-Assumptions!$C$12*J20521-J20531))</f>
        <v>0</v>
      </c>
      <c r="K20544" s="25" t="n">
        <f aca="false">K20537*MIN(K20536-K20542+K20541,MAX(0,K20603-Assumptions!$C$12*K20521-K20531))</f>
        <v>0</v>
      </c>
    </row>
    <row r="20545" customFormat="false" ht="15" hidden="false" customHeight="false" outlineLevel="0" collapsed="false">
      <c r="A20545" s="5" t="s">
        <v>272</v>
      </c>
      <c r="G20545" s="25" t="n">
        <f aca="false">Assumptions!$N$54*MIN(G20536+G20543+G20541-G20542-G20544,MAX(0,G20607-G20532))</f>
        <v>0</v>
      </c>
      <c r="H20545" s="25" t="n">
        <f aca="false">Assumptions!$N$54*MIN(H20536+H20543+H20541-H20542-H20544,MAX(0,H20607-H20532))</f>
        <v>0</v>
      </c>
      <c r="I20545" s="25" t="n">
        <f aca="false">Assumptions!$N$54*MIN(I20536+I20543+I20541-I20542-I20544,MAX(0,I20607-I20532))</f>
        <v>0</v>
      </c>
      <c r="J20545" s="25" t="n">
        <f aca="false">Assumptions!$N$54*MIN(J20536+J20543+J20541-J20542-J20544,MAX(0,J20607-J20532))</f>
        <v>0</v>
      </c>
      <c r="K20545" s="25" t="n">
        <f aca="false">Assumptions!$N$54*MIN(K20536+K20543+K20541-K20542-K20544,MAX(0,K20607-K20532))</f>
        <v>0</v>
      </c>
    </row>
    <row r="20546" customFormat="false" ht="15" hidden="false" customHeight="false" outlineLevel="0" collapsed="false">
      <c r="A20546" s="5" t="s">
        <v>273</v>
      </c>
      <c r="G20546" s="25" t="n">
        <f aca="false">G20537*(1-G20521)*(G20536-G20542+G20541-G20544)</f>
        <v>0</v>
      </c>
      <c r="H20546" s="25" t="n">
        <f aca="false">H20537*(1-H20521)*(H20536-H20542+H20541-H20544)</f>
        <v>0</v>
      </c>
      <c r="I20546" s="25" t="n">
        <f aca="false">I20537*(1-I20521)*(I20536-I20542+I20541-I20544)</f>
        <v>504.4</v>
      </c>
      <c r="J20546" s="25" t="n">
        <f aca="false">J20537*(1-J20521)*(J20536-J20542+J20541-J20544)</f>
        <v>0</v>
      </c>
      <c r="K20546" s="25" t="n">
        <f aca="false">K20537*(1-K20521)*(K20536-K20542+K20541-K20544)</f>
        <v>0</v>
      </c>
    </row>
    <row r="20547" customFormat="false" ht="15" hidden="false" customHeight="false" outlineLevel="0" collapsed="false">
      <c r="A20547" s="2" t="s">
        <v>274</v>
      </c>
      <c r="F20547" s="27" t="n">
        <f aca="false">Assumptions!$C$54</f>
        <v>520</v>
      </c>
      <c r="G20547" s="16" t="n">
        <f aca="false">G20536+G20543+G20541-G20542-G20544-G20545</f>
        <v>514.8</v>
      </c>
      <c r="H20547" s="16" t="n">
        <f aca="false">H20536+H20543+H20541-H20542-H20544-H20545</f>
        <v>509.6</v>
      </c>
      <c r="I20547" s="16" t="n">
        <f aca="false">I20536+I20543+I20541-I20542-I20544-I20545</f>
        <v>504.4</v>
      </c>
      <c r="J20547" s="16" t="n">
        <f aca="false">J20536+J20543+J20541-J20542-J20544-J20545</f>
        <v>499.2</v>
      </c>
      <c r="K20547" s="16" t="n">
        <f aca="false">K20536+K20543+K20541-K20542-K20544-K20545</f>
        <v>494</v>
      </c>
    </row>
    <row r="20548" customFormat="false" ht="15" hidden="false" customHeight="false" outlineLevel="0" collapsed="false">
      <c r="A20548" s="23" t="s">
        <v>276</v>
      </c>
      <c r="B20548" s="24"/>
      <c r="C20548" s="24"/>
      <c r="D20548" s="24"/>
      <c r="E20548" s="24"/>
      <c r="F20548" s="24"/>
      <c r="G20548" s="24"/>
      <c r="H20548" s="24"/>
      <c r="I20548" s="24"/>
      <c r="J20548" s="24"/>
      <c r="K20548" s="24"/>
    </row>
    <row r="20549" customFormat="false" ht="15" hidden="false" customHeight="false" outlineLevel="0" collapsed="false">
      <c r="A20549" s="5" t="s">
        <v>264</v>
      </c>
      <c r="G20549" s="25" t="n">
        <f aca="false">F20560</f>
        <v>250</v>
      </c>
      <c r="H20549" s="25" t="n">
        <f aca="false">G20560</f>
        <v>250</v>
      </c>
      <c r="I20549" s="25" t="n">
        <f aca="false">H20560</f>
        <v>250</v>
      </c>
      <c r="J20549" s="25" t="n">
        <f aca="false">I20560</f>
        <v>250</v>
      </c>
      <c r="K20549" s="25" t="n">
        <f aca="false">J20560</f>
        <v>250</v>
      </c>
    </row>
    <row r="20550" customFormat="false" ht="15" hidden="false" customHeight="false" outlineLevel="0" collapsed="false">
      <c r="A20550" s="5" t="s">
        <v>265</v>
      </c>
      <c r="G20550" s="20" t="n">
        <f aca="false">IF(G20487=Assumptions!$K$55,1,0)</f>
        <v>0</v>
      </c>
      <c r="H20550" s="20" t="n">
        <f aca="false">IF(H20487=Assumptions!$K$55,1,0)</f>
        <v>0</v>
      </c>
      <c r="I20550" s="20" t="n">
        <f aca="false">IF(I20487=Assumptions!$K$55,1,0)</f>
        <v>0</v>
      </c>
      <c r="J20550" s="20" t="n">
        <f aca="false">IF(J20487=Assumptions!$K$55,1,0)</f>
        <v>1</v>
      </c>
      <c r="K20550" s="20" t="n">
        <f aca="false">IF(K20487=Assumptions!$K$55,1,0)</f>
        <v>0</v>
      </c>
    </row>
    <row r="20552" customFormat="false" ht="15" hidden="false" customHeight="false" outlineLevel="0" collapsed="false">
      <c r="A20552" s="5" t="s">
        <v>266</v>
      </c>
      <c r="G20552" s="30" t="n">
        <f aca="false">IF(Assumptions!$I$55=1,MAX(G20513,Assumptions!$G$55)+Assumptions!$F$55+$C$20514,Assumptions!$E$55)</f>
        <v>0.11</v>
      </c>
      <c r="H20552" s="30" t="n">
        <f aca="false">IF(G20677=1,$C$20515,IF(Assumptions!$I$55=1,MAX(H20513,Assumptions!$G$55)+Assumptions!$F$55+$C$20514,Assumptions!$E$55))</f>
        <v>0.11</v>
      </c>
      <c r="I20552" s="30" t="n">
        <f aca="false">IF(H20677=1,$C$20515,IF(Assumptions!$I$55=1,MAX(I20513,Assumptions!$G$55)+Assumptions!$F$55+$C$20514,Assumptions!$E$55))</f>
        <v>0.11</v>
      </c>
      <c r="J20552" s="30" t="n">
        <f aca="false">IF(I20677=1,$C$20515,IF(Assumptions!$I$55=1,MAX(J20513,Assumptions!$G$55)+Assumptions!$F$55+$C$20514,Assumptions!$E$55))</f>
        <v>0.11</v>
      </c>
      <c r="K20552" s="30" t="n">
        <f aca="false">IF(J20677=1,$C$20515,IF(Assumptions!$I$55=1,MAX(K20513,Assumptions!$G$55)+Assumptions!$F$55+$C$20514,Assumptions!$E$55))</f>
        <v>0.11</v>
      </c>
    </row>
    <row r="20553" customFormat="false" ht="15" hidden="false" customHeight="false" outlineLevel="0" collapsed="false">
      <c r="A20553" s="5" t="s">
        <v>267</v>
      </c>
      <c r="G20553" s="25" t="n">
        <f aca="false">G20549*G20552</f>
        <v>27.5</v>
      </c>
      <c r="H20553" s="25" t="n">
        <f aca="false">H20549*H20552</f>
        <v>27.5</v>
      </c>
      <c r="I20553" s="25" t="n">
        <f aca="false">I20549*I20552</f>
        <v>27.5</v>
      </c>
      <c r="J20553" s="25" t="n">
        <f aca="false">J20549*J20552</f>
        <v>27.5</v>
      </c>
      <c r="K20553" s="25" t="n">
        <f aca="false">K20549*K20552</f>
        <v>27.5</v>
      </c>
    </row>
    <row r="20554" customFormat="false" ht="15" hidden="false" customHeight="false" outlineLevel="0" collapsed="false">
      <c r="A20554" s="5" t="s">
        <v>268</v>
      </c>
      <c r="G20554" s="25" t="n">
        <f aca="false">G20549*Assumptions!$H$55</f>
        <v>0</v>
      </c>
      <c r="H20554" s="25" t="n">
        <f aca="false">H20549*Assumptions!$H$55</f>
        <v>0</v>
      </c>
      <c r="I20554" s="25" t="n">
        <f aca="false">I20549*Assumptions!$H$55</f>
        <v>0</v>
      </c>
      <c r="J20554" s="25" t="n">
        <f aca="false">J20549*Assumptions!$H$55</f>
        <v>0</v>
      </c>
      <c r="K20554" s="25" t="n">
        <f aca="false">K20549*Assumptions!$H$55</f>
        <v>0</v>
      </c>
    </row>
    <row r="20555" customFormat="false" ht="15" hidden="false" customHeight="false" outlineLevel="0" collapsed="false">
      <c r="A20555" s="5" t="s">
        <v>269</v>
      </c>
      <c r="G20555" s="25" t="n">
        <f aca="false">MIN(G20549,Assumptions!$L$55*Assumptions!$C$55)</f>
        <v>0</v>
      </c>
      <c r="H20555" s="25" t="n">
        <f aca="false">MIN(H20549,Assumptions!$L$55*Assumptions!$C$55)</f>
        <v>0</v>
      </c>
      <c r="I20555" s="25" t="n">
        <f aca="false">MIN(I20549,Assumptions!$L$55*Assumptions!$C$55)</f>
        <v>0</v>
      </c>
      <c r="J20555" s="25" t="n">
        <f aca="false">MIN(J20549,Assumptions!$L$55*Assumptions!$C$55)</f>
        <v>0</v>
      </c>
      <c r="K20555" s="25" t="n">
        <f aca="false">MIN(K20549,Assumptions!$L$55*Assumptions!$C$55)</f>
        <v>0</v>
      </c>
    </row>
    <row r="20556" customFormat="false" ht="15" hidden="false" customHeight="false" outlineLevel="0" collapsed="false">
      <c r="A20556" s="5" t="s">
        <v>270</v>
      </c>
      <c r="G20556" s="25" t="n">
        <f aca="false">IF(AND(Assumptions!$P$55=1,G20487&lt;Assumptions!$K$55),MIN(MAX(0,-G20601),MAX(0,Assumptions!$D$55-G20549)),0)</f>
        <v>0</v>
      </c>
      <c r="H20556" s="25" t="n">
        <f aca="false">IF(AND(Assumptions!$P$55=1,OR(H20487&lt;Assumptions!$K$55,G20677=1)),MIN(MAX(0,-H20601),MAX(0,Assumptions!$D$55-H20549)),0)</f>
        <v>0</v>
      </c>
      <c r="I20556" s="25" t="n">
        <f aca="false">IF(AND(Assumptions!$P$55=1,OR(I20487&lt;Assumptions!$K$55,H20677=1)),MIN(MAX(0,-I20601),MAX(0,Assumptions!$D$55-I20549)),0)</f>
        <v>0</v>
      </c>
      <c r="J20556" s="25" t="n">
        <f aca="false">IF(AND(Assumptions!$P$55=1,OR(J20487&lt;Assumptions!$K$55,I20677=1)),MIN(MAX(0,-J20601),MAX(0,Assumptions!$D$55-J20549)),0)</f>
        <v>0</v>
      </c>
      <c r="K20556" s="25" t="n">
        <f aca="false">IF(AND(Assumptions!$P$55=1,OR(K20487&lt;Assumptions!$K$55,J20677=1)),MIN(MAX(0,-K20601),MAX(0,Assumptions!$D$55-K20549)),0)</f>
        <v>0</v>
      </c>
    </row>
    <row r="20557" customFormat="false" ht="15" hidden="false" customHeight="false" outlineLevel="0" collapsed="false">
      <c r="A20557" s="5" t="s">
        <v>271</v>
      </c>
      <c r="G20557" s="25" t="n">
        <f aca="false">G20550*MIN(G20549-G20555+G20554,MAX(0,G20603-Assumptions!$C$12*G20521-G20531-G20544))</f>
        <v>0</v>
      </c>
      <c r="H20557" s="25" t="n">
        <f aca="false">H20550*MIN(H20549-H20555+H20554,MAX(0,H20603-Assumptions!$C$12*H20521-H20531-H20544))</f>
        <v>0</v>
      </c>
      <c r="I20557" s="25" t="n">
        <f aca="false">I20550*MIN(I20549-I20555+I20554,MAX(0,I20603-Assumptions!$C$12*I20521-I20531-I20544))</f>
        <v>0</v>
      </c>
      <c r="J20557" s="25" t="n">
        <f aca="false">J20550*MIN(J20549-J20555+J20554,MAX(0,J20603-Assumptions!$C$12*J20521-J20531-J20544))</f>
        <v>0</v>
      </c>
      <c r="K20557" s="25" t="n">
        <f aca="false">K20550*MIN(K20549-K20555+K20554,MAX(0,K20603-Assumptions!$C$12*K20521-K20531-K20544))</f>
        <v>0</v>
      </c>
    </row>
    <row r="20558" customFormat="false" ht="15" hidden="false" customHeight="false" outlineLevel="0" collapsed="false">
      <c r="A20558" s="5" t="s">
        <v>272</v>
      </c>
      <c r="G20558" s="25" t="n">
        <f aca="false">Assumptions!$N$55*MIN(G20549+G20556+G20554-G20555-G20557,MAX(0,G20607-G20532-G20545))</f>
        <v>0</v>
      </c>
      <c r="H20558" s="25" t="n">
        <f aca="false">Assumptions!$N$55*MIN(H20549+H20556+H20554-H20555-H20557,MAX(0,H20607-H20532-H20545))</f>
        <v>0</v>
      </c>
      <c r="I20558" s="25" t="n">
        <f aca="false">Assumptions!$N$55*MIN(I20549+I20556+I20554-I20555-I20557,MAX(0,I20607-I20532-I20545))</f>
        <v>0</v>
      </c>
      <c r="J20558" s="25" t="n">
        <f aca="false">Assumptions!$N$55*MIN(J20549+J20556+J20554-J20555-J20557,MAX(0,J20607-J20532-J20545))</f>
        <v>0</v>
      </c>
      <c r="K20558" s="25" t="n">
        <f aca="false">Assumptions!$N$55*MIN(K20549+K20556+K20554-K20555-K20557,MAX(0,K20607-K20532-K20545))</f>
        <v>0</v>
      </c>
    </row>
    <row r="20559" customFormat="false" ht="15" hidden="false" customHeight="false" outlineLevel="0" collapsed="false">
      <c r="A20559" s="5" t="s">
        <v>273</v>
      </c>
      <c r="G20559" s="25" t="n">
        <f aca="false">G20550*(1-G20521)*(G20549-G20555+G20554-G20557)</f>
        <v>0</v>
      </c>
      <c r="H20559" s="25" t="n">
        <f aca="false">H20550*(1-H20521)*(H20549-H20555+H20554-H20557)</f>
        <v>0</v>
      </c>
      <c r="I20559" s="25" t="n">
        <f aca="false">I20550*(1-I20521)*(I20549-I20555+I20554-I20557)</f>
        <v>0</v>
      </c>
      <c r="J20559" s="25" t="n">
        <f aca="false">J20550*(1-J20521)*(J20549-J20555+J20554-J20557)</f>
        <v>250</v>
      </c>
      <c r="K20559" s="25" t="n">
        <f aca="false">K20550*(1-K20521)*(K20549-K20555+K20554-K20557)</f>
        <v>0</v>
      </c>
    </row>
    <row r="20560" customFormat="false" ht="15" hidden="false" customHeight="false" outlineLevel="0" collapsed="false">
      <c r="A20560" s="2" t="s">
        <v>274</v>
      </c>
      <c r="F20560" s="27" t="n">
        <f aca="false">Assumptions!$C$55</f>
        <v>250</v>
      </c>
      <c r="G20560" s="16" t="n">
        <f aca="false">G20549+G20556+G20554-G20555-G20557-G20558</f>
        <v>250</v>
      </c>
      <c r="H20560" s="16" t="n">
        <f aca="false">H20549+H20556+H20554-H20555-H20557-H20558</f>
        <v>250</v>
      </c>
      <c r="I20560" s="16" t="n">
        <f aca="false">I20549+I20556+I20554-I20555-I20557-I20558</f>
        <v>250</v>
      </c>
      <c r="J20560" s="16" t="n">
        <f aca="false">J20549+J20556+J20554-J20555-J20557-J20558</f>
        <v>250</v>
      </c>
      <c r="K20560" s="16" t="n">
        <f aca="false">K20549+K20556+K20554-K20555-K20557-K20558</f>
        <v>250</v>
      </c>
    </row>
    <row r="20561" customFormat="false" ht="15" hidden="false" customHeight="false" outlineLevel="0" collapsed="false">
      <c r="A20561" s="23" t="s">
        <v>277</v>
      </c>
      <c r="B20561" s="24"/>
      <c r="C20561" s="24"/>
      <c r="D20561" s="24"/>
      <c r="E20561" s="24"/>
      <c r="F20561" s="24"/>
      <c r="G20561" s="24"/>
      <c r="H20561" s="24"/>
      <c r="I20561" s="24"/>
      <c r="J20561" s="24"/>
      <c r="K20561" s="24"/>
    </row>
    <row r="20562" customFormat="false" ht="15" hidden="false" customHeight="false" outlineLevel="0" collapsed="false">
      <c r="A20562" s="5" t="s">
        <v>264</v>
      </c>
      <c r="G20562" s="25" t="n">
        <f aca="false">F20573</f>
        <v>300</v>
      </c>
      <c r="H20562" s="25" t="n">
        <f aca="false">G20573</f>
        <v>300</v>
      </c>
      <c r="I20562" s="25" t="n">
        <f aca="false">H20573</f>
        <v>300</v>
      </c>
      <c r="J20562" s="25" t="n">
        <f aca="false">I20573</f>
        <v>300</v>
      </c>
      <c r="K20562" s="25" t="n">
        <f aca="false">J20573</f>
        <v>300</v>
      </c>
    </row>
    <row r="20563" customFormat="false" ht="15" hidden="false" customHeight="false" outlineLevel="0" collapsed="false">
      <c r="A20563" s="5" t="s">
        <v>265</v>
      </c>
      <c r="G20563" s="20" t="n">
        <f aca="false">IF(G20487=Assumptions!$K$56,1,0)</f>
        <v>0</v>
      </c>
      <c r="H20563" s="20" t="n">
        <f aca="false">IF(H20487=Assumptions!$K$56,1,0)</f>
        <v>1</v>
      </c>
      <c r="I20563" s="20" t="n">
        <f aca="false">IF(I20487=Assumptions!$K$56,1,0)</f>
        <v>0</v>
      </c>
      <c r="J20563" s="20" t="n">
        <f aca="false">IF(J20487=Assumptions!$K$56,1,0)</f>
        <v>0</v>
      </c>
      <c r="K20563" s="20" t="n">
        <f aca="false">IF(K20487=Assumptions!$K$56,1,0)</f>
        <v>0</v>
      </c>
    </row>
    <row r="20565" customFormat="false" ht="15" hidden="false" customHeight="false" outlineLevel="0" collapsed="false">
      <c r="A20565" s="5" t="s">
        <v>266</v>
      </c>
      <c r="G20565" s="30" t="n">
        <f aca="false">IF(Assumptions!$I$56=1,MAX(G20513,Assumptions!$G$56)+Assumptions!$F$56+$C$20514,Assumptions!$E$56)</f>
        <v>0.075</v>
      </c>
      <c r="H20565" s="30" t="n">
        <f aca="false">IF(G20678=1,$C$20515,IF(Assumptions!$I$56=1,MAX(H20513,Assumptions!$G$56)+Assumptions!$F$56+$C$20514,Assumptions!$E$56))</f>
        <v>0.075</v>
      </c>
      <c r="I20565" s="30" t="n">
        <f aca="false">IF(H20678=1,$C$20515,IF(Assumptions!$I$56=1,MAX(I20513,Assumptions!$G$56)+Assumptions!$F$56+$C$20514,Assumptions!$E$56))</f>
        <v>0.075</v>
      </c>
      <c r="J20565" s="30" t="n">
        <f aca="false">IF(I20678=1,$C$20515,IF(Assumptions!$I$56=1,MAX(J20513,Assumptions!$G$56)+Assumptions!$F$56+$C$20514,Assumptions!$E$56))</f>
        <v>0.075</v>
      </c>
      <c r="K20565" s="30" t="n">
        <f aca="false">IF(J20678=1,$C$20515,IF(Assumptions!$I$56=1,MAX(K20513,Assumptions!$G$56)+Assumptions!$F$56+$C$20514,Assumptions!$E$56))</f>
        <v>0.075</v>
      </c>
    </row>
    <row r="20566" customFormat="false" ht="15" hidden="false" customHeight="false" outlineLevel="0" collapsed="false">
      <c r="A20566" s="5" t="s">
        <v>267</v>
      </c>
      <c r="G20566" s="25" t="n">
        <f aca="false">G20562*G20565</f>
        <v>22.5</v>
      </c>
      <c r="H20566" s="25" t="n">
        <f aca="false">H20562*H20565</f>
        <v>22.5</v>
      </c>
      <c r="I20566" s="25" t="n">
        <f aca="false">I20562*I20565</f>
        <v>22.5</v>
      </c>
      <c r="J20566" s="25" t="n">
        <f aca="false">J20562*J20565</f>
        <v>22.5</v>
      </c>
      <c r="K20566" s="25" t="n">
        <f aca="false">K20562*K20565</f>
        <v>22.5</v>
      </c>
    </row>
    <row r="20567" customFormat="false" ht="15" hidden="false" customHeight="false" outlineLevel="0" collapsed="false">
      <c r="A20567" s="5" t="s">
        <v>268</v>
      </c>
      <c r="G20567" s="25" t="n">
        <f aca="false">G20562*Assumptions!$H$56</f>
        <v>0</v>
      </c>
      <c r="H20567" s="25" t="n">
        <f aca="false">H20562*Assumptions!$H$56</f>
        <v>0</v>
      </c>
      <c r="I20567" s="25" t="n">
        <f aca="false">I20562*Assumptions!$H$56</f>
        <v>0</v>
      </c>
      <c r="J20567" s="25" t="n">
        <f aca="false">J20562*Assumptions!$H$56</f>
        <v>0</v>
      </c>
      <c r="K20567" s="25" t="n">
        <f aca="false">K20562*Assumptions!$H$56</f>
        <v>0</v>
      </c>
    </row>
    <row r="20568" customFormat="false" ht="15" hidden="false" customHeight="false" outlineLevel="0" collapsed="false">
      <c r="A20568" s="5" t="s">
        <v>269</v>
      </c>
      <c r="G20568" s="25" t="n">
        <f aca="false">MIN(G20562,Assumptions!$L$56*Assumptions!$C$56)</f>
        <v>0</v>
      </c>
      <c r="H20568" s="25" t="n">
        <f aca="false">MIN(H20562,Assumptions!$L$56*Assumptions!$C$56)</f>
        <v>0</v>
      </c>
      <c r="I20568" s="25" t="n">
        <f aca="false">MIN(I20562,Assumptions!$L$56*Assumptions!$C$56)</f>
        <v>0</v>
      </c>
      <c r="J20568" s="25" t="n">
        <f aca="false">MIN(J20562,Assumptions!$L$56*Assumptions!$C$56)</f>
        <v>0</v>
      </c>
      <c r="K20568" s="25" t="n">
        <f aca="false">MIN(K20562,Assumptions!$L$56*Assumptions!$C$56)</f>
        <v>0</v>
      </c>
    </row>
    <row r="20569" customFormat="false" ht="15" hidden="false" customHeight="false" outlineLevel="0" collapsed="false">
      <c r="A20569" s="5" t="s">
        <v>270</v>
      </c>
      <c r="G20569" s="25" t="n">
        <f aca="false">IF(AND(Assumptions!$P$56=1,G20487&lt;Assumptions!$K$56),MIN(MAX(0,-G20601),MAX(0,Assumptions!$D$56-G20562)),0)</f>
        <v>0</v>
      </c>
      <c r="H20569" s="25" t="n">
        <f aca="false">IF(AND(Assumptions!$P$56=1,OR(H20487&lt;Assumptions!$K$56,G20678=1)),MIN(MAX(0,-H20601),MAX(0,Assumptions!$D$56-H20562)),0)</f>
        <v>0</v>
      </c>
      <c r="I20569" s="25" t="n">
        <f aca="false">IF(AND(Assumptions!$P$56=1,OR(I20487&lt;Assumptions!$K$56,H20678=1)),MIN(MAX(0,-I20601),MAX(0,Assumptions!$D$56-I20562)),0)</f>
        <v>0</v>
      </c>
      <c r="J20569" s="25" t="n">
        <f aca="false">IF(AND(Assumptions!$P$56=1,OR(J20487&lt;Assumptions!$K$56,I20678=1)),MIN(MAX(0,-J20601),MAX(0,Assumptions!$D$56-J20562)),0)</f>
        <v>0</v>
      </c>
      <c r="K20569" s="25" t="n">
        <f aca="false">IF(AND(Assumptions!$P$56=1,OR(K20487&lt;Assumptions!$K$56,J20678=1)),MIN(MAX(0,-K20601),MAX(0,Assumptions!$D$56-K20562)),0)</f>
        <v>0</v>
      </c>
    </row>
    <row r="20570" customFormat="false" ht="15" hidden="false" customHeight="false" outlineLevel="0" collapsed="false">
      <c r="A20570" s="5" t="s">
        <v>271</v>
      </c>
      <c r="G20570" s="25" t="n">
        <f aca="false">G20563*MIN(G20562-G20568+G20567,MAX(0,G20603-Assumptions!$C$12*G20521-G20531-G20544-G20557))</f>
        <v>0</v>
      </c>
      <c r="H20570" s="25" t="n">
        <f aca="false">H20563*MIN(H20562-H20568+H20567,MAX(0,H20603-Assumptions!$C$12*H20521-H20531-H20544-H20557))</f>
        <v>0</v>
      </c>
      <c r="I20570" s="25" t="n">
        <f aca="false">I20563*MIN(I20562-I20568+I20567,MAX(0,I20603-Assumptions!$C$12*I20521-I20531-I20544-I20557))</f>
        <v>0</v>
      </c>
      <c r="J20570" s="25" t="n">
        <f aca="false">J20563*MIN(J20562-J20568+J20567,MAX(0,J20603-Assumptions!$C$12*J20521-J20531-J20544-J20557))</f>
        <v>0</v>
      </c>
      <c r="K20570" s="25" t="n">
        <f aca="false">K20563*MIN(K20562-K20568+K20567,MAX(0,K20603-Assumptions!$C$12*K20521-K20531-K20544-K20557))</f>
        <v>0</v>
      </c>
    </row>
    <row r="20571" customFormat="false" ht="15" hidden="false" customHeight="false" outlineLevel="0" collapsed="false">
      <c r="A20571" s="5" t="s">
        <v>272</v>
      </c>
      <c r="G20571" s="25" t="n">
        <f aca="false">Assumptions!$N$56*MIN(G20562+G20569+G20567-G20568-G20570,MAX(0,G20607-G20532-G20545-G20558))</f>
        <v>0</v>
      </c>
      <c r="H20571" s="25" t="n">
        <f aca="false">Assumptions!$N$56*MIN(H20562+H20569+H20567-H20568-H20570,MAX(0,H20607-H20532-H20545-H20558))</f>
        <v>0</v>
      </c>
      <c r="I20571" s="25" t="n">
        <f aca="false">Assumptions!$N$56*MIN(I20562+I20569+I20567-I20568-I20570,MAX(0,I20607-I20532-I20545-I20558))</f>
        <v>0</v>
      </c>
      <c r="J20571" s="25" t="n">
        <f aca="false">Assumptions!$N$56*MIN(J20562+J20569+J20567-J20568-J20570,MAX(0,J20607-J20532-J20545-J20558))</f>
        <v>0</v>
      </c>
      <c r="K20571" s="25" t="n">
        <f aca="false">Assumptions!$N$56*MIN(K20562+K20569+K20567-K20568-K20570,MAX(0,K20607-K20532-K20545-K20558))</f>
        <v>0</v>
      </c>
    </row>
    <row r="20572" customFormat="false" ht="15" hidden="false" customHeight="false" outlineLevel="0" collapsed="false">
      <c r="A20572" s="5" t="s">
        <v>273</v>
      </c>
      <c r="G20572" s="25" t="n">
        <f aca="false">G20563*(1-G20521)*(G20562-G20568+G20567-G20570)</f>
        <v>0</v>
      </c>
      <c r="H20572" s="25" t="n">
        <f aca="false">H20563*(1-H20521)*(H20562-H20568+H20567-H20570)</f>
        <v>300</v>
      </c>
      <c r="I20572" s="25" t="n">
        <f aca="false">I20563*(1-I20521)*(I20562-I20568+I20567-I20570)</f>
        <v>0</v>
      </c>
      <c r="J20572" s="25" t="n">
        <f aca="false">J20563*(1-J20521)*(J20562-J20568+J20567-J20570)</f>
        <v>0</v>
      </c>
      <c r="K20572" s="25" t="n">
        <f aca="false">K20563*(1-K20521)*(K20562-K20568+K20567-K20570)</f>
        <v>0</v>
      </c>
    </row>
    <row r="20573" customFormat="false" ht="15" hidden="false" customHeight="false" outlineLevel="0" collapsed="false">
      <c r="A20573" s="2" t="s">
        <v>274</v>
      </c>
      <c r="F20573" s="27" t="n">
        <f aca="false">Assumptions!$C$56</f>
        <v>300</v>
      </c>
      <c r="G20573" s="16" t="n">
        <f aca="false">G20562+G20569+G20567-G20568-G20570-G20571</f>
        <v>300</v>
      </c>
      <c r="H20573" s="16" t="n">
        <f aca="false">H20562+H20569+H20567-H20568-H20570-H20571</f>
        <v>300</v>
      </c>
      <c r="I20573" s="16" t="n">
        <f aca="false">I20562+I20569+I20567-I20568-I20570-I20571</f>
        <v>300</v>
      </c>
      <c r="J20573" s="16" t="n">
        <f aca="false">J20562+J20569+J20567-J20568-J20570-J20571</f>
        <v>300</v>
      </c>
      <c r="K20573" s="16" t="n">
        <f aca="false">K20562+K20569+K20567-K20568-K20570-K20571</f>
        <v>300</v>
      </c>
    </row>
    <row r="20574" customFormat="false" ht="15" hidden="false" customHeight="false" outlineLevel="0" collapsed="false">
      <c r="A20574" s="23" t="s">
        <v>278</v>
      </c>
      <c r="B20574" s="24"/>
      <c r="C20574" s="24"/>
      <c r="D20574" s="24"/>
      <c r="E20574" s="24"/>
      <c r="F20574" s="24"/>
      <c r="G20574" s="24"/>
      <c r="H20574" s="24"/>
      <c r="I20574" s="24"/>
      <c r="J20574" s="24"/>
      <c r="K20574" s="24"/>
    </row>
    <row r="20575" customFormat="false" ht="15" hidden="false" customHeight="false" outlineLevel="0" collapsed="false">
      <c r="A20575" s="2" t="s">
        <v>279</v>
      </c>
      <c r="F20575" s="16" t="n">
        <f aca="false">F20534+F20547+F20560+F20573</f>
        <v>1250</v>
      </c>
      <c r="G20575" s="16" t="n">
        <f aca="false">G20534+G20547+G20560+G20573</f>
        <v>1299.7088</v>
      </c>
      <c r="H20575" s="16" t="n">
        <f aca="false">H20534+H20547+H20560+H20573</f>
        <v>1294.5088</v>
      </c>
      <c r="I20575" s="16" t="n">
        <f aca="false">I20534+I20547+I20560+I20573</f>
        <v>1289.3088</v>
      </c>
      <c r="J20575" s="16" t="n">
        <f aca="false">J20534+J20547+J20560+J20573</f>
        <v>1284.1088</v>
      </c>
      <c r="K20575" s="16" t="n">
        <f aca="false">K20534+K20547+K20560+K20573</f>
        <v>1278.9088</v>
      </c>
    </row>
    <row r="20576" customFormat="false" ht="15" hidden="false" customHeight="false" outlineLevel="0" collapsed="false">
      <c r="A20576" s="5" t="s">
        <v>280</v>
      </c>
      <c r="G20576" s="25" t="n">
        <f aca="false">G20524*Assumptions!$C$53+G20537*Assumptions!$C$54+G20550*Assumptions!$C$55+G20563*Assumptions!$C$56</f>
        <v>0</v>
      </c>
      <c r="H20576" s="25" t="n">
        <f aca="false">H20524*Assumptions!$C$53+H20537*Assumptions!$C$54+H20550*Assumptions!$C$55+H20563*Assumptions!$C$56</f>
        <v>480</v>
      </c>
      <c r="I20576" s="25" t="n">
        <f aca="false">I20524*Assumptions!$C$53+I20537*Assumptions!$C$54+I20550*Assumptions!$C$55+I20563*Assumptions!$C$56</f>
        <v>520</v>
      </c>
      <c r="J20576" s="25" t="n">
        <f aca="false">J20524*Assumptions!$C$53+J20537*Assumptions!$C$54+J20550*Assumptions!$C$55+J20563*Assumptions!$C$56</f>
        <v>250</v>
      </c>
      <c r="K20576" s="25" t="n">
        <f aca="false">K20524*Assumptions!$C$53+K20537*Assumptions!$C$54+K20550*Assumptions!$C$55+K20563*Assumptions!$C$56</f>
        <v>0</v>
      </c>
    </row>
    <row r="20577" customFormat="false" ht="15" hidden="false" customHeight="false" outlineLevel="0" collapsed="false">
      <c r="A20577" s="23" t="s">
        <v>281</v>
      </c>
      <c r="B20577" s="24"/>
      <c r="C20577" s="24"/>
      <c r="D20577" s="24"/>
      <c r="E20577" s="24"/>
      <c r="F20577" s="24"/>
      <c r="G20577" s="24"/>
      <c r="H20577" s="24"/>
      <c r="I20577" s="24"/>
      <c r="J20577" s="24"/>
      <c r="K20577" s="24"/>
    </row>
    <row r="20578" customFormat="false" ht="15" hidden="false" customHeight="false" outlineLevel="0" collapsed="false">
      <c r="A20578" s="5" t="s">
        <v>282</v>
      </c>
      <c r="C20578" s="25" t="n">
        <f aca="false">SUMPRODUCT($G$20524:$K$20524,$G$20523:$K$20523-$G$20529:$K$20529+$G$20528:$K$20528)</f>
        <v>234.9088</v>
      </c>
    </row>
    <row r="20579" customFormat="false" ht="15" hidden="false" customHeight="false" outlineLevel="0" collapsed="false">
      <c r="A20579" s="5" t="s">
        <v>283</v>
      </c>
      <c r="C20579" s="25" t="n">
        <f aca="false">SUMPRODUCT($G$20524:$K$20524,$G$20531:$K$20531)</f>
        <v>0</v>
      </c>
    </row>
    <row r="20580" customFormat="false" ht="15" hidden="false" customHeight="false" outlineLevel="0" collapsed="false">
      <c r="A20580" s="5" t="s">
        <v>284</v>
      </c>
      <c r="C20580" s="5" t="str">
        <f aca="false">IF(SUM($G$20524:$K$20524)=0,"n/a (beyond horizon)",IF(SUMPRODUCT($G$20524:$K$20524,$G$20521:$K$20521)&gt;0,"REFINANCING PASS","REFINANCING FAILURE"))</f>
        <v>REFINANCING FAILURE</v>
      </c>
    </row>
    <row r="20581" customFormat="false" ht="15" hidden="false" customHeight="false" outlineLevel="0" collapsed="false">
      <c r="A20581" s="5" t="s">
        <v>285</v>
      </c>
      <c r="C20581" s="5" t="str">
        <f aca="false">IF(SUM($G$20524:$K$20524)=0,"n/a",IF(C20579&gt;=C20578-0.001,"Repaid from cash",IF(SUMPRODUCT($G$20524:$K$20524,$G$20521:$K$20521)&gt;0,IF(C20579&gt;0,"Partly repaid; remainder refinanced","Refinanced"),IF(SUM($G$20533:$K$20533)&gt;0.001,IF(C20579&gt;0,"Partial repayment; PAYMENT DEFAULT","PAYMENT DEFAULT"),"Repaid from cash"))))</f>
        <v>PAYMENT DEFAULT</v>
      </c>
    </row>
    <row r="20582" customFormat="false" ht="15" hidden="false" customHeight="false" outlineLevel="0" collapsed="false">
      <c r="A20582" s="5" t="s">
        <v>286</v>
      </c>
      <c r="C20582" s="25" t="n">
        <f aca="false">SUMPRODUCT($G$20537:$K$20537,$G$20536:$K$20536-$G$20542:$K$20542+$G$20541:$K$20541)</f>
        <v>504.4</v>
      </c>
    </row>
    <row r="20583" customFormat="false" ht="15" hidden="false" customHeight="false" outlineLevel="0" collapsed="false">
      <c r="A20583" s="5" t="s">
        <v>287</v>
      </c>
      <c r="C20583" s="25" t="n">
        <f aca="false">SUMPRODUCT($G$20537:$K$20537,$G$20544:$K$20544)</f>
        <v>0</v>
      </c>
    </row>
    <row r="20584" customFormat="false" ht="15" hidden="false" customHeight="false" outlineLevel="0" collapsed="false">
      <c r="A20584" s="5" t="s">
        <v>288</v>
      </c>
      <c r="C20584" s="5" t="str">
        <f aca="false">IF(SUM($G$20537:$K$20537)=0,"n/a (beyond horizon)",IF(SUMPRODUCT($G$20537:$K$20537,$G$20521:$K$20521)&gt;0,"REFINANCING PASS","REFINANCING FAILURE"))</f>
        <v>REFINANCING FAILURE</v>
      </c>
    </row>
    <row r="20585" customFormat="false" ht="15" hidden="false" customHeight="false" outlineLevel="0" collapsed="false">
      <c r="A20585" s="5" t="s">
        <v>289</v>
      </c>
      <c r="C20585" s="5" t="str">
        <f aca="false">IF(SUM($G$20537:$K$20537)=0,"n/a",IF(C20583&gt;=C20582-0.001,"Repaid from cash",IF(SUMPRODUCT($G$20537:$K$20537,$G$20521:$K$20521)&gt;0,IF(C20583&gt;0,"Partly repaid; remainder refinanced","Refinanced"),IF(SUM($G$20546:$K$20546)&gt;0.001,IF(C20583&gt;0,"Partial repayment; PAYMENT DEFAULT","PAYMENT DEFAULT"),"Repaid from cash"))))</f>
        <v>PAYMENT DEFAULT</v>
      </c>
    </row>
    <row r="20586" customFormat="false" ht="15" hidden="false" customHeight="false" outlineLevel="0" collapsed="false">
      <c r="A20586" s="5" t="s">
        <v>290</v>
      </c>
      <c r="C20586" s="25" t="n">
        <f aca="false">SUMPRODUCT($G$20550:$K$20550,$G$20549:$K$20549-$G$20555:$K$20555+$G$20554:$K$20554)</f>
        <v>250</v>
      </c>
    </row>
    <row r="20587" customFormat="false" ht="15" hidden="false" customHeight="false" outlineLevel="0" collapsed="false">
      <c r="A20587" s="5" t="s">
        <v>291</v>
      </c>
      <c r="C20587" s="25" t="n">
        <f aca="false">SUMPRODUCT($G$20550:$K$20550,$G$20557:$K$20557)</f>
        <v>0</v>
      </c>
    </row>
    <row r="20588" customFormat="false" ht="15" hidden="false" customHeight="false" outlineLevel="0" collapsed="false">
      <c r="A20588" s="5" t="s">
        <v>292</v>
      </c>
      <c r="C20588" s="5" t="str">
        <f aca="false">IF(SUM($G$20550:$K$20550)=0,"n/a (beyond horizon)",IF(SUMPRODUCT($G$20550:$K$20550,$G$20521:$K$20521)&gt;0,"REFINANCING PASS","REFINANCING FAILURE"))</f>
        <v>REFINANCING FAILURE</v>
      </c>
    </row>
    <row r="20589" customFormat="false" ht="15" hidden="false" customHeight="false" outlineLevel="0" collapsed="false">
      <c r="A20589" s="5" t="s">
        <v>293</v>
      </c>
      <c r="C20589" s="5" t="str">
        <f aca="false">IF(SUM($G$20550:$K$20550)=0,"n/a",IF(C20587&gt;=C20586-0.001,"Repaid from cash",IF(SUMPRODUCT($G$20550:$K$20550,$G$20521:$K$20521)&gt;0,IF(C20587&gt;0,"Partly repaid; remainder refinanced","Refinanced"),IF(SUM($G$20559:$K$20559)&gt;0.001,IF(C20587&gt;0,"Partial repayment; PAYMENT DEFAULT","PAYMENT DEFAULT"),"Repaid from cash"))))</f>
        <v>PAYMENT DEFAULT</v>
      </c>
    </row>
    <row r="20590" customFormat="false" ht="15" hidden="false" customHeight="false" outlineLevel="0" collapsed="false">
      <c r="A20590" s="5" t="s">
        <v>294</v>
      </c>
      <c r="C20590" s="25" t="n">
        <f aca="false">SUMPRODUCT($G$20563:$K$20563,$G$20562:$K$20562-$G$20568:$K$20568+$G$20567:$K$20567)</f>
        <v>300</v>
      </c>
    </row>
    <row r="20591" customFormat="false" ht="15" hidden="false" customHeight="false" outlineLevel="0" collapsed="false">
      <c r="A20591" s="5" t="s">
        <v>295</v>
      </c>
      <c r="C20591" s="25" t="n">
        <f aca="false">SUMPRODUCT($G$20563:$K$20563,$G$20570:$K$20570)</f>
        <v>0</v>
      </c>
    </row>
    <row r="20592" customFormat="false" ht="15" hidden="false" customHeight="false" outlineLevel="0" collapsed="false">
      <c r="A20592" s="5" t="s">
        <v>296</v>
      </c>
      <c r="C20592" s="5" t="str">
        <f aca="false">IF(SUM($G$20563:$K$20563)=0,"n/a (beyond horizon)",IF(SUMPRODUCT($G$20563:$K$20563,$G$20521:$K$20521)&gt;0,"REFINANCING PASS","REFINANCING FAILURE"))</f>
        <v>REFINANCING FAILURE</v>
      </c>
    </row>
    <row r="20593" customFormat="false" ht="15" hidden="false" customHeight="false" outlineLevel="0" collapsed="false">
      <c r="A20593" s="5" t="s">
        <v>297</v>
      </c>
      <c r="C20593" s="5" t="str">
        <f aca="false">IF(SUM($G$20563:$K$20563)=0,"n/a",IF(C20591&gt;=C20590-0.001,"Repaid from cash",IF(SUMPRODUCT($G$20563:$K$20563,$G$20521:$K$20521)&gt;0,IF(C20591&gt;0,"Partly repaid; remainder refinanced","Refinanced"),IF(SUM($G$20572:$K$20572)&gt;0.001,IF(C20591&gt;0,"Partial repayment; PAYMENT DEFAULT","PAYMENT DEFAULT"),"Repaid from cash"))))</f>
        <v>PAYMENT DEFAULT</v>
      </c>
    </row>
    <row r="20594" customFormat="false" ht="15" hidden="false" customHeight="false" outlineLevel="0" collapsed="false">
      <c r="A20594" s="5" t="s">
        <v>298</v>
      </c>
      <c r="C20594" s="20" t="n">
        <f aca="false">IF(C20580="REFINANCING FAILURE",1,0)+IF(C20584="REFINANCING FAILURE",1,0)+IF(C20588="REFINANCING FAILURE",1,0)+IF(C20592="REFINANCING FAILURE",1,0)</f>
        <v>4</v>
      </c>
    </row>
    <row r="20596" customFormat="false" ht="15" hidden="false" customHeight="false" outlineLevel="0" collapsed="false">
      <c r="A20596" s="23" t="s">
        <v>300</v>
      </c>
      <c r="B20596" s="24"/>
      <c r="C20596" s="24"/>
      <c r="D20596" s="24"/>
      <c r="E20596" s="24"/>
      <c r="F20596" s="24"/>
      <c r="G20596" s="24"/>
      <c r="H20596" s="24"/>
      <c r="I20596" s="24"/>
      <c r="J20596" s="24"/>
      <c r="K20596" s="24"/>
    </row>
    <row r="20597" customFormat="false" ht="15" hidden="false" customHeight="false" outlineLevel="0" collapsed="false">
      <c r="A20597" s="5" t="s">
        <v>260</v>
      </c>
      <c r="G20597" s="25" t="n">
        <f aca="false">F20609</f>
        <v>45</v>
      </c>
      <c r="H20597" s="25" t="n">
        <f aca="false">G20609</f>
        <v>0</v>
      </c>
      <c r="I20597" s="25" t="n">
        <f aca="false">H20609</f>
        <v>-139.5574048</v>
      </c>
      <c r="J20597" s="25" t="n">
        <f aca="false">I20609</f>
        <v>-299.764809344</v>
      </c>
      <c r="K20597" s="25" t="n">
        <f aca="false">J20609</f>
        <v>-462.24043997056</v>
      </c>
    </row>
    <row r="20598" customFormat="false" ht="15" hidden="false" customHeight="false" outlineLevel="0" collapsed="false">
      <c r="A20598" s="5" t="s">
        <v>301</v>
      </c>
      <c r="G20598" s="25" t="n">
        <f aca="false">G20510</f>
        <v>-94.7088</v>
      </c>
      <c r="H20598" s="25" t="n">
        <f aca="false">H20510</f>
        <v>-134.3574048</v>
      </c>
      <c r="I20598" s="25" t="n">
        <f aca="false">I20510</f>
        <v>-155.007404544</v>
      </c>
      <c r="J20598" s="25" t="n">
        <f aca="false">J20510</f>
        <v>-157.27563062656</v>
      </c>
      <c r="K20598" s="25" t="n">
        <f aca="false">K20510</f>
        <v>-156.443655088294</v>
      </c>
    </row>
    <row r="20599" customFormat="false" ht="15" hidden="false" customHeight="false" outlineLevel="0" collapsed="false">
      <c r="A20599" s="5" t="s">
        <v>302</v>
      </c>
      <c r="G20599" s="25" t="n">
        <f aca="false">CHOOSE($C$20480,Assumptions!$G$68,Assumptions!$G$87,Assumptions!$G$106)</f>
        <v>0</v>
      </c>
      <c r="H20599" s="25" t="n">
        <f aca="false">CHOOSE($C$20480,Assumptions!$H$68,Assumptions!$H$87,Assumptions!$H$106)</f>
        <v>0</v>
      </c>
      <c r="I20599" s="25" t="n">
        <f aca="false">CHOOSE($C$20480,Assumptions!$I$68,Assumptions!$I$87,Assumptions!$I$106)</f>
        <v>0</v>
      </c>
      <c r="J20599" s="25" t="n">
        <f aca="false">CHOOSE($C$20480,Assumptions!$J$68,Assumptions!$J$87,Assumptions!$J$106)</f>
        <v>0</v>
      </c>
      <c r="K20599" s="25" t="n">
        <f aca="false">CHOOSE($C$20480,Assumptions!$K$68,Assumptions!$K$87,Assumptions!$K$106)</f>
        <v>0</v>
      </c>
    </row>
    <row r="20600" customFormat="false" ht="15" hidden="false" customHeight="false" outlineLevel="0" collapsed="false">
      <c r="A20600" s="5" t="s">
        <v>303</v>
      </c>
      <c r="G20600" s="25" t="n">
        <f aca="false">G20529+G20542+G20555+G20568</f>
        <v>5.2</v>
      </c>
      <c r="H20600" s="25" t="n">
        <f aca="false">H20529+H20542+H20555+H20568</f>
        <v>5.2</v>
      </c>
      <c r="I20600" s="25" t="n">
        <f aca="false">I20529+I20542+I20555+I20568</f>
        <v>5.2</v>
      </c>
      <c r="J20600" s="25" t="n">
        <f aca="false">J20529+J20542+J20555+J20568</f>
        <v>5.2</v>
      </c>
      <c r="K20600" s="25" t="n">
        <f aca="false">K20529+K20542+K20555+K20568</f>
        <v>5.2</v>
      </c>
    </row>
    <row r="20601" customFormat="false" ht="15" hidden="false" customHeight="false" outlineLevel="0" collapsed="false">
      <c r="A20601" s="2" t="s">
        <v>304</v>
      </c>
      <c r="G20601" s="16" t="n">
        <f aca="false">G20597+G20598+G20599-G20600</f>
        <v>-54.9088</v>
      </c>
      <c r="H20601" s="16" t="n">
        <f aca="false">H20597+H20598+H20599-H20600</f>
        <v>-139.5574048</v>
      </c>
      <c r="I20601" s="16" t="n">
        <f aca="false">I20597+I20598+I20599-I20600</f>
        <v>-299.764809344</v>
      </c>
      <c r="J20601" s="16" t="n">
        <f aca="false">J20597+J20598+J20599-J20600</f>
        <v>-462.24043997056</v>
      </c>
      <c r="K20601" s="16" t="n">
        <f aca="false">K20597+K20598+K20599-K20600</f>
        <v>-623.884095058854</v>
      </c>
    </row>
    <row r="20602" customFormat="false" ht="15" hidden="false" customHeight="false" outlineLevel="0" collapsed="false">
      <c r="A20602" s="5" t="s">
        <v>305</v>
      </c>
      <c r="G20602" s="25" t="n">
        <f aca="false">G20530+G20543+G20556+G20569</f>
        <v>54.9088</v>
      </c>
      <c r="H20602" s="25" t="n">
        <f aca="false">H20530+H20543+H20556+H20569</f>
        <v>0</v>
      </c>
      <c r="I20602" s="25" t="n">
        <f aca="false">I20530+I20543+I20556+I20569</f>
        <v>0</v>
      </c>
      <c r="J20602" s="25" t="n">
        <f aca="false">J20530+J20543+J20556+J20569</f>
        <v>0</v>
      </c>
      <c r="K20602" s="25" t="n">
        <f aca="false">K20530+K20543+K20556+K20569</f>
        <v>0</v>
      </c>
    </row>
    <row r="20603" customFormat="false" ht="15" hidden="false" customHeight="false" outlineLevel="0" collapsed="false">
      <c r="A20603" s="2" t="s">
        <v>306</v>
      </c>
      <c r="G20603" s="16" t="n">
        <f aca="false">G20601+G20602</f>
        <v>0</v>
      </c>
      <c r="H20603" s="16" t="n">
        <f aca="false">H20601+H20602</f>
        <v>-139.5574048</v>
      </c>
      <c r="I20603" s="16" t="n">
        <f aca="false">I20601+I20602</f>
        <v>-299.764809344</v>
      </c>
      <c r="J20603" s="16" t="n">
        <f aca="false">J20601+J20602</f>
        <v>-462.24043997056</v>
      </c>
      <c r="K20603" s="16" t="n">
        <f aca="false">K20601+K20602</f>
        <v>-623.884095058854</v>
      </c>
    </row>
    <row r="20604" customFormat="false" ht="15" hidden="false" customHeight="false" outlineLevel="0" collapsed="false">
      <c r="A20604" s="5" t="s">
        <v>307</v>
      </c>
      <c r="G20604" s="25" t="n">
        <f aca="false">G20531+G20544+G20557+G20570</f>
        <v>0</v>
      </c>
      <c r="H20604" s="25" t="n">
        <f aca="false">H20531+H20544+H20557+H20570</f>
        <v>0</v>
      </c>
      <c r="I20604" s="25" t="n">
        <f aca="false">I20531+I20544+I20557+I20570</f>
        <v>0</v>
      </c>
      <c r="J20604" s="25" t="n">
        <f aca="false">J20531+J20544+J20557+J20570</f>
        <v>0</v>
      </c>
      <c r="K20604" s="25" t="n">
        <f aca="false">K20531+K20544+K20557+K20570</f>
        <v>0</v>
      </c>
    </row>
    <row r="20605" customFormat="false" ht="15" hidden="false" customHeight="false" outlineLevel="0" collapsed="false">
      <c r="A20605" s="2" t="s">
        <v>308</v>
      </c>
      <c r="G20605" s="16" t="n">
        <f aca="false">G20603-G20604</f>
        <v>0</v>
      </c>
      <c r="H20605" s="16" t="n">
        <f aca="false">H20603-H20604</f>
        <v>-139.5574048</v>
      </c>
      <c r="I20605" s="16" t="n">
        <f aca="false">I20603-I20604</f>
        <v>-299.764809344</v>
      </c>
      <c r="J20605" s="16" t="n">
        <f aca="false">J20603-J20604</f>
        <v>-462.24043997056</v>
      </c>
      <c r="K20605" s="16" t="n">
        <f aca="false">K20603-K20604</f>
        <v>-623.884095058854</v>
      </c>
    </row>
    <row r="20606" customFormat="false" ht="15" hidden="false" customHeight="false" outlineLevel="0" collapsed="false">
      <c r="A20606" s="5" t="s">
        <v>309</v>
      </c>
      <c r="G20606" s="25" t="n">
        <f aca="false">MAX(0,-G20605)</f>
        <v>-0</v>
      </c>
      <c r="H20606" s="25" t="n">
        <f aca="false">MAX(0,-H20605)</f>
        <v>139.5574048</v>
      </c>
      <c r="I20606" s="25" t="n">
        <f aca="false">MAX(0,-I20605)</f>
        <v>299.764809344</v>
      </c>
      <c r="J20606" s="25" t="n">
        <f aca="false">MAX(0,-J20605)</f>
        <v>462.24043997056</v>
      </c>
      <c r="K20606" s="25" t="n">
        <f aca="false">MAX(0,-K20605)</f>
        <v>623.884095058854</v>
      </c>
    </row>
    <row r="20607" customFormat="false" ht="15" hidden="false" customHeight="false" outlineLevel="0" collapsed="false">
      <c r="A20607" s="5" t="s">
        <v>310</v>
      </c>
      <c r="G20607" s="25" t="n">
        <f aca="false">MAX(0,G20605-Assumptions!$C$12)*Assumptions!$C$13</f>
        <v>0</v>
      </c>
      <c r="H20607" s="25" t="n">
        <f aca="false">MAX(0,H20605-Assumptions!$C$12)*Assumptions!$C$13</f>
        <v>0</v>
      </c>
      <c r="I20607" s="25" t="n">
        <f aca="false">MAX(0,I20605-Assumptions!$C$12)*Assumptions!$C$13</f>
        <v>0</v>
      </c>
      <c r="J20607" s="25" t="n">
        <f aca="false">MAX(0,J20605-Assumptions!$C$12)*Assumptions!$C$13</f>
        <v>0</v>
      </c>
      <c r="K20607" s="25" t="n">
        <f aca="false">MAX(0,K20605-Assumptions!$C$12)*Assumptions!$C$13</f>
        <v>0</v>
      </c>
    </row>
    <row r="20608" customFormat="false" ht="15" hidden="false" customHeight="false" outlineLevel="0" collapsed="false">
      <c r="A20608" s="5" t="s">
        <v>311</v>
      </c>
      <c r="G20608" s="25" t="n">
        <f aca="false">G20532+G20545+G20558+G20571</f>
        <v>0</v>
      </c>
      <c r="H20608" s="25" t="n">
        <f aca="false">H20532+H20545+H20558+H20571</f>
        <v>0</v>
      </c>
      <c r="I20608" s="25" t="n">
        <f aca="false">I20532+I20545+I20558+I20571</f>
        <v>0</v>
      </c>
      <c r="J20608" s="25" t="n">
        <f aca="false">J20532+J20545+J20558+J20571</f>
        <v>0</v>
      </c>
      <c r="K20608" s="25" t="n">
        <f aca="false">K20532+K20545+K20558+K20571</f>
        <v>0</v>
      </c>
    </row>
    <row r="20609" customFormat="false" ht="15" hidden="false" customHeight="false" outlineLevel="0" collapsed="false">
      <c r="A20609" s="2" t="s">
        <v>312</v>
      </c>
      <c r="F20609" s="27" t="n">
        <f aca="false">Assumptions!$C$11</f>
        <v>45</v>
      </c>
      <c r="G20609" s="16" t="n">
        <f aca="false">G20605-G20608</f>
        <v>0</v>
      </c>
      <c r="H20609" s="16" t="n">
        <f aca="false">H20605-H20608</f>
        <v>-139.5574048</v>
      </c>
      <c r="I20609" s="16" t="n">
        <f aca="false">I20605-I20608</f>
        <v>-299.764809344</v>
      </c>
      <c r="J20609" s="16" t="n">
        <f aca="false">J20605-J20608</f>
        <v>-462.24043997056</v>
      </c>
      <c r="K20609" s="16" t="n">
        <f aca="false">K20605-K20608</f>
        <v>-623.884095058854</v>
      </c>
    </row>
    <row r="20610" customFormat="false" ht="15" hidden="false" customHeight="false" outlineLevel="0" collapsed="false">
      <c r="A20610" s="5" t="s">
        <v>313</v>
      </c>
      <c r="G20610" s="25" t="n">
        <f aca="false">G20533+G20546+G20559+G20572</f>
        <v>0</v>
      </c>
      <c r="H20610" s="25" t="n">
        <f aca="false">H20533+H20546+H20559+H20572</f>
        <v>534.9088</v>
      </c>
      <c r="I20610" s="25" t="n">
        <f aca="false">I20533+I20546+I20559+I20572</f>
        <v>504.4</v>
      </c>
      <c r="J20610" s="25" t="n">
        <f aca="false">J20533+J20546+J20559+J20572</f>
        <v>250</v>
      </c>
      <c r="K20610" s="25" t="n">
        <f aca="false">K20533+K20546+K20559+K20572</f>
        <v>0</v>
      </c>
    </row>
    <row r="20611" customFormat="false" ht="15" hidden="false" customHeight="false" outlineLevel="0" collapsed="false">
      <c r="A20611" s="5" t="s">
        <v>314</v>
      </c>
      <c r="G20611" s="20" t="n">
        <f aca="false">IF(OR(G20606&gt;0.001,G20610&gt;0.001),1,0)</f>
        <v>0</v>
      </c>
      <c r="H20611" s="20" t="n">
        <f aca="false">IF(OR(H20606&gt;0.001,H20610&gt;0.001),1,0)</f>
        <v>1</v>
      </c>
      <c r="I20611" s="20" t="n">
        <f aca="false">IF(OR(I20606&gt;0.001,I20610&gt;0.001),1,0)</f>
        <v>1</v>
      </c>
      <c r="J20611" s="20" t="n">
        <f aca="false">IF(OR(J20606&gt;0.001,J20610&gt;0.001),1,0)</f>
        <v>1</v>
      </c>
      <c r="K20611" s="20" t="n">
        <f aca="false">IF(OR(K20606&gt;0.001,K20610&gt;0.001),1,0)</f>
        <v>1</v>
      </c>
    </row>
    <row r="20612" customFormat="false" ht="15" hidden="false" customHeight="false" outlineLevel="0" collapsed="false">
      <c r="A20612" s="5" t="s">
        <v>315</v>
      </c>
      <c r="G20612" s="20" t="n">
        <f aca="false">IF(G20611=1,1,0)</f>
        <v>0</v>
      </c>
      <c r="H20612" s="20" t="n">
        <f aca="false">IF(AND(H20611=1,SUM($G$20611:G20611)=0),1,0)</f>
        <v>1</v>
      </c>
      <c r="I20612" s="20" t="n">
        <f aca="false">IF(AND(I20611=1,SUM($G$20611:H20611)=0),1,0)</f>
        <v>0</v>
      </c>
      <c r="J20612" s="20" t="n">
        <f aca="false">IF(AND(J20611=1,SUM($G$20611:I20611)=0),1,0)</f>
        <v>0</v>
      </c>
      <c r="K20612" s="20" t="n">
        <f aca="false">IF(AND(K20611=1,SUM($G$20611:J20611)=0),1,0)</f>
        <v>0</v>
      </c>
    </row>
    <row r="20613" customFormat="false" ht="15" hidden="false" customHeight="false" outlineLevel="0" collapsed="false">
      <c r="A20613" s="5" t="s">
        <v>316</v>
      </c>
      <c r="G20613" s="25" t="n">
        <f aca="false">(G20575-F20575)-(G20602+G20502-G20600-G20604-G20608)</f>
        <v>0</v>
      </c>
      <c r="H20613" s="25" t="n">
        <f aca="false">(H20575-G20575)-(H20602+H20502-H20600-H20604-H20608)</f>
        <v>1.82076576038526E-013</v>
      </c>
      <c r="I20613" s="25" t="n">
        <f aca="false">(I20575-H20575)-(I20602+I20502-I20600-I20604-I20608)</f>
        <v>-4.52970994047064E-014</v>
      </c>
      <c r="J20613" s="25" t="n">
        <f aca="false">(J20575-I20575)-(J20602+J20502-J20600-J20604-J20608)</f>
        <v>-4.52970994047064E-014</v>
      </c>
      <c r="K20613" s="25" t="n">
        <f aca="false">(K20575-J20575)-(K20602+K20502-K20600-K20604-K20608)</f>
        <v>1.82076576038526E-013</v>
      </c>
    </row>
    <row r="20615" customFormat="false" ht="15" hidden="false" customHeight="false" outlineLevel="0" collapsed="false">
      <c r="A20615" s="23" t="s">
        <v>318</v>
      </c>
      <c r="B20615" s="24"/>
      <c r="C20615" s="24"/>
      <c r="D20615" s="24"/>
      <c r="E20615" s="24"/>
      <c r="F20615" s="24"/>
      <c r="G20615" s="24"/>
      <c r="H20615" s="24"/>
      <c r="I20615" s="24"/>
      <c r="J20615" s="24"/>
      <c r="K20615" s="24"/>
    </row>
    <row r="20616" customFormat="false" ht="15" hidden="false" customHeight="false" outlineLevel="0" collapsed="false">
      <c r="A20616" s="5" t="s">
        <v>319</v>
      </c>
      <c r="G20616" s="25" t="n">
        <f aca="false">G20575</f>
        <v>1299.7088</v>
      </c>
      <c r="H20616" s="25" t="n">
        <f aca="false">H20575</f>
        <v>1294.5088</v>
      </c>
      <c r="I20616" s="25" t="n">
        <f aca="false">I20575</f>
        <v>1289.3088</v>
      </c>
      <c r="J20616" s="25" t="n">
        <f aca="false">J20575</f>
        <v>1284.1088</v>
      </c>
      <c r="K20616" s="25" t="n">
        <f aca="false">K20575</f>
        <v>1278.9088</v>
      </c>
    </row>
    <row r="20617" customFormat="false" ht="15" hidden="false" customHeight="false" outlineLevel="0" collapsed="false">
      <c r="A20617" s="5" t="s">
        <v>320</v>
      </c>
      <c r="G20617" s="25" t="n">
        <f aca="false">Assumptions!$O$53*G20534+Assumptions!$O$54*G20547+Assumptions!$O$55*G20560+Assumptions!$O$56*G20573</f>
        <v>999.7088</v>
      </c>
      <c r="H20617" s="25" t="n">
        <f aca="false">Assumptions!$O$53*H20534+Assumptions!$O$54*H20547+Assumptions!$O$55*H20560+Assumptions!$O$56*H20573</f>
        <v>994.5088</v>
      </c>
      <c r="I20617" s="25" t="n">
        <f aca="false">Assumptions!$O$53*I20534+Assumptions!$O$54*I20547+Assumptions!$O$55*I20560+Assumptions!$O$56*I20573</f>
        <v>989.3088</v>
      </c>
      <c r="J20617" s="25" t="n">
        <f aca="false">Assumptions!$O$53*J20534+Assumptions!$O$54*J20547+Assumptions!$O$55*J20560+Assumptions!$O$56*J20573</f>
        <v>984.1088</v>
      </c>
      <c r="K20617" s="25" t="n">
        <f aca="false">Assumptions!$O$53*K20534+Assumptions!$O$54*K20547+Assumptions!$O$55*K20560+Assumptions!$O$56*K20573</f>
        <v>978.9088</v>
      </c>
    </row>
    <row r="20618" customFormat="false" ht="15" hidden="false" customHeight="false" outlineLevel="0" collapsed="false">
      <c r="A20618" s="5" t="s">
        <v>321</v>
      </c>
      <c r="G20618" s="25" t="n">
        <f aca="false">G20616-G20609</f>
        <v>1299.7088</v>
      </c>
      <c r="H20618" s="25" t="n">
        <f aca="false">H20616-H20609</f>
        <v>1434.0662048</v>
      </c>
      <c r="I20618" s="25" t="n">
        <f aca="false">I20616-I20609</f>
        <v>1589.073609344</v>
      </c>
      <c r="J20618" s="25" t="n">
        <f aca="false">J20616-J20609</f>
        <v>1746.34923997056</v>
      </c>
      <c r="K20618" s="25" t="n">
        <f aca="false">K20616-K20609</f>
        <v>1902.79289505885</v>
      </c>
    </row>
    <row r="20619" customFormat="false" ht="15" hidden="false" customHeight="false" outlineLevel="0" collapsed="false">
      <c r="A20619" s="5" t="s">
        <v>322</v>
      </c>
      <c r="G20619" s="31" t="n">
        <f aca="false">IF(G20497&gt;0,G20616/G20497,0)</f>
        <v>70.6978241949521</v>
      </c>
      <c r="H20619" s="31" t="n">
        <f aca="false">IF(H20497&gt;0,H20616/H20497,0)</f>
        <v>80.9367465962406</v>
      </c>
      <c r="I20619" s="31" t="n">
        <f aca="false">IF(I20497&gt;0,I20616/I20497,0)</f>
        <v>82.763476695823</v>
      </c>
      <c r="J20619" s="31" t="n">
        <f aca="false">IF(J20497&gt;0,J20616/J20497,0)</f>
        <v>83.2623006318033</v>
      </c>
      <c r="K20619" s="31" t="n">
        <f aca="false">IF(K20497&gt;0,K20616/K20497,0)</f>
        <v>83.762757427964</v>
      </c>
    </row>
    <row r="20620" customFormat="false" ht="15" hidden="false" customHeight="false" outlineLevel="0" collapsed="false">
      <c r="A20620" s="5" t="s">
        <v>323</v>
      </c>
      <c r="G20620" s="31" t="n">
        <f aca="false">IF(G20497&gt;0,G20618/G20497,0)</f>
        <v>70.6978241949521</v>
      </c>
      <c r="H20620" s="31" t="n">
        <f aca="false">IF(H20497&gt;0,H20618/H20497,0)</f>
        <v>89.6623128557566</v>
      </c>
      <c r="I20620" s="31" t="n">
        <f aca="false">IF(I20497&gt;0,I20618/I20497,0)</f>
        <v>102.006017980246</v>
      </c>
      <c r="J20620" s="31" t="n">
        <f aca="false">IF(J20497&gt;0,J20618/J20497,0)</f>
        <v>113.234217713133</v>
      </c>
      <c r="K20620" s="31" t="n">
        <f aca="false">IF(K20497&gt;0,K20618/K20497,0)</f>
        <v>124.624351403687</v>
      </c>
    </row>
    <row r="20621" customFormat="false" ht="15" hidden="false" customHeight="false" outlineLevel="0" collapsed="false">
      <c r="A20621" s="5" t="s">
        <v>324</v>
      </c>
      <c r="G20621" s="31" t="n">
        <f aca="false">IF(G20501&gt;0,G20497/G20501,0)</f>
        <v>0.13127677806341</v>
      </c>
      <c r="H20621" s="31" t="n">
        <f aca="false">IF(H20501&gt;0,H20497/H20501,0)</f>
        <v>0.111190805103385</v>
      </c>
      <c r="I20621" s="31" t="n">
        <f aca="false">IF(I20501&gt;0,I20497/I20501,0)</f>
        <v>0.11024648666467</v>
      </c>
      <c r="J20621" s="31" t="n">
        <f aca="false">IF(J20501&gt;0,J20497/J20501,0)</f>
        <v>0.109660569397092</v>
      </c>
      <c r="K20621" s="31" t="n">
        <f aca="false">IF(K20501&gt;0,K20497/K20501,0)</f>
        <v>0.109080209295775</v>
      </c>
    </row>
    <row r="20622" customFormat="false" ht="15" hidden="false" customHeight="false" outlineLevel="0" collapsed="false">
      <c r="A20622" s="5" t="s">
        <v>325</v>
      </c>
      <c r="G20622" s="31" t="n">
        <f aca="false">IF(G20501&gt;0,G20500/G20501,0)</f>
        <v>-0.157532133676093</v>
      </c>
      <c r="H20622" s="31" t="n">
        <f aca="false">IF(H20501&gt;0,H20500/H20501,0)</f>
        <v>-0.133428966124062</v>
      </c>
      <c r="I20622" s="31" t="n">
        <f aca="false">IF(I20501&gt;0,I20500/I20501,0)</f>
        <v>-0.132295783997604</v>
      </c>
      <c r="J20622" s="31" t="n">
        <f aca="false">IF(J20501&gt;0,J20500/J20501,0)</f>
        <v>-0.131592683276511</v>
      </c>
      <c r="K20622" s="31" t="n">
        <f aca="false">IF(K20501&gt;0,K20500/K20501,0)</f>
        <v>-0.13089625115493</v>
      </c>
    </row>
    <row r="20623" customFormat="false" ht="15" hidden="false" customHeight="false" outlineLevel="0" collapsed="false">
      <c r="A20623" s="5" t="s">
        <v>182</v>
      </c>
      <c r="G20623" s="21" t="n">
        <f aca="false">IF(G20616&gt;0,G20510/G20616,0)</f>
        <v>-0.0728692457879796</v>
      </c>
      <c r="H20623" s="21" t="n">
        <f aca="false">IF(H20616&gt;0,H20510/H20616,0)</f>
        <v>-0.103790259903988</v>
      </c>
      <c r="I20623" s="21" t="n">
        <f aca="false">IF(I20616&gt;0,I20510/I20616,0)</f>
        <v>-0.120225197054422</v>
      </c>
      <c r="J20623" s="21" t="n">
        <f aca="false">IF(J20616&gt;0,J20510/J20616,0)</f>
        <v>-0.122478430664567</v>
      </c>
      <c r="K20623" s="21" t="n">
        <f aca="false">IF(K20616&gt;0,K20510/K20616,0)</f>
        <v>-0.122325888357555</v>
      </c>
    </row>
    <row r="20624" customFormat="false" ht="15" hidden="false" customHeight="false" outlineLevel="0" collapsed="false">
      <c r="A20624" s="5" t="s">
        <v>326</v>
      </c>
      <c r="G20624" s="31" t="n">
        <f aca="false">IF(G20501+G20600&gt;0,(G20497-G20508-G20505)/(G20501+G20600),0)</f>
        <v>-0.0759460203800606</v>
      </c>
      <c r="H20624" s="31" t="n">
        <f aca="false">IF(H20501+H20600&gt;0,(H20497-H20508-H20505)/(H20501+H20600),0)</f>
        <v>-0.0643868726775781</v>
      </c>
      <c r="I20624" s="31" t="n">
        <f aca="false">IF(I20501+I20600&gt;0,(I20497-I20508-I20505)/(I20501+I20600),0)</f>
        <v>-0.0638000393994207</v>
      </c>
      <c r="J20624" s="31" t="n">
        <f aca="false">IF(J20501+J20600&gt;0,(J20497-J20508-J20505)/(J20501+J20600),0)</f>
        <v>-0.0634503083935347</v>
      </c>
      <c r="K20624" s="31" t="n">
        <f aca="false">IF(K20501+K20600&gt;0,(K20497-K20508-K20505)/(K20501+K20600),0)</f>
        <v>-0.0631038089376677</v>
      </c>
    </row>
    <row r="20625" customFormat="false" ht="15" hidden="false" customHeight="false" outlineLevel="0" collapsed="false">
      <c r="A20625" s="5" t="s">
        <v>327</v>
      </c>
      <c r="G20625" s="25" t="n">
        <f aca="false">MAX(0,G20609)+Assumptions!$P$53*MAX(0,Assumptions!$D$53-G20534)+Assumptions!$P$54*MAX(0,Assumptions!$D$54-G20547)+Assumptions!$P$55*MAX(0,Assumptions!$D$55-G20560)+Assumptions!$P$56*MAX(0,Assumptions!$D$56-G20573)</f>
        <v>65.0912</v>
      </c>
      <c r="H20625" s="25" t="n">
        <f aca="false">MAX(0,H20609)+Assumptions!$P$53*MAX(0,Assumptions!$D$53-H20534)+Assumptions!$P$54*MAX(0,Assumptions!$D$54-H20547)+Assumptions!$P$55*MAX(0,Assumptions!$D$55-H20560)+Assumptions!$P$56*MAX(0,Assumptions!$D$56-H20573)</f>
        <v>65.0912</v>
      </c>
      <c r="I20625" s="25" t="n">
        <f aca="false">MAX(0,I20609)+Assumptions!$P$53*MAX(0,Assumptions!$D$53-I20534)+Assumptions!$P$54*MAX(0,Assumptions!$D$54-I20547)+Assumptions!$P$55*MAX(0,Assumptions!$D$55-I20560)+Assumptions!$P$56*MAX(0,Assumptions!$D$56-I20573)</f>
        <v>65.0912</v>
      </c>
      <c r="J20625" s="25" t="n">
        <f aca="false">MAX(0,J20609)+Assumptions!$P$53*MAX(0,Assumptions!$D$53-J20534)+Assumptions!$P$54*MAX(0,Assumptions!$D$54-J20547)+Assumptions!$P$55*MAX(0,Assumptions!$D$55-J20560)+Assumptions!$P$56*MAX(0,Assumptions!$D$56-J20573)</f>
        <v>65.0912</v>
      </c>
      <c r="K20625" s="25" t="n">
        <f aca="false">MAX(0,K20609)+Assumptions!$P$53*MAX(0,Assumptions!$D$53-K20534)+Assumptions!$P$54*MAX(0,Assumptions!$D$54-K20547)+Assumptions!$P$55*MAX(0,Assumptions!$D$55-K20560)+Assumptions!$P$56*MAX(0,Assumptions!$D$56-K20573)</f>
        <v>65.0912</v>
      </c>
    </row>
    <row r="20626" customFormat="false" ht="15" hidden="false" customHeight="false" outlineLevel="0" collapsed="false">
      <c r="A20626" s="5" t="s">
        <v>328</v>
      </c>
      <c r="G20626" s="21" t="n">
        <f aca="false">IF(G20616&gt;0,G20616/(G20616+MAX(0,G20497*CHOOSE($C$20480,Assumptions!$C$76,Assumptions!$C$95,Assumptions!$C$114)-G20618)),0)</f>
        <v>1</v>
      </c>
      <c r="H20626" s="21" t="n">
        <f aca="false">IF(H20616&gt;0,H20616/(H20616+MAX(0,H20497*CHOOSE($C$20480,Assumptions!$C$76,Assumptions!$C$95,Assumptions!$C$114)-H20618)),0)</f>
        <v>1</v>
      </c>
      <c r="I20626" s="21" t="n">
        <f aca="false">IF(I20616&gt;0,I20616/(I20616+MAX(0,I20497*CHOOSE($C$20480,Assumptions!$C$76,Assumptions!$C$95,Assumptions!$C$114)-I20618)),0)</f>
        <v>1</v>
      </c>
      <c r="J20626" s="21" t="n">
        <f aca="false">IF(J20616&gt;0,J20616/(J20616+MAX(0,J20497*CHOOSE($C$20480,Assumptions!$C$76,Assumptions!$C$95,Assumptions!$C$114)-J20618)),0)</f>
        <v>1</v>
      </c>
      <c r="K20626" s="21" t="n">
        <f aca="false">IF(K20616&gt;0,K20616/(K20616+MAX(0,K20497*CHOOSE($C$20480,Assumptions!$C$76,Assumptions!$C$95,Assumptions!$C$114)-K20618)),0)</f>
        <v>1</v>
      </c>
    </row>
    <row r="20627" customFormat="false" ht="15" hidden="false" customHeight="false" outlineLevel="0" collapsed="false">
      <c r="A20627" s="5" t="s">
        <v>329</v>
      </c>
      <c r="G20627" s="21" t="n">
        <f aca="false">IF(G20616&gt;0,MAX(0,G20609)/G20616,0)</f>
        <v>0</v>
      </c>
      <c r="H20627" s="21" t="n">
        <f aca="false">IF(H20616&gt;0,MAX(0,H20609)/H20616,0)</f>
        <v>0</v>
      </c>
      <c r="I20627" s="21" t="n">
        <f aca="false">IF(I20616&gt;0,MAX(0,I20609)/I20616,0)</f>
        <v>0</v>
      </c>
      <c r="J20627" s="21" t="n">
        <f aca="false">IF(J20616&gt;0,MAX(0,J20609)/J20616,0)</f>
        <v>0</v>
      </c>
      <c r="K20627" s="21" t="n">
        <f aca="false">IF(K20616&gt;0,MAX(0,K20609)/K20616,0)</f>
        <v>0</v>
      </c>
    </row>
    <row r="20628" customFormat="false" ht="15" hidden="false" customHeight="false" outlineLevel="0" collapsed="false">
      <c r="A20628" s="5" t="s">
        <v>330</v>
      </c>
      <c r="G20628" s="25" t="n">
        <f aca="false">Assumptions!$C$27*(1-CHOOSE($C$20480,Assumptions!$C$79,Assumptions!$C$98,Assumptions!$C$117))</f>
        <v>676</v>
      </c>
      <c r="H20628" s="25" t="n">
        <f aca="false">Assumptions!$C$27*(1-CHOOSE($C$20480,Assumptions!$C$79,Assumptions!$C$98,Assumptions!$C$117))</f>
        <v>676</v>
      </c>
      <c r="I20628" s="25" t="n">
        <f aca="false">Assumptions!$C$27*(1-CHOOSE($C$20480,Assumptions!$C$79,Assumptions!$C$98,Assumptions!$C$117))</f>
        <v>676</v>
      </c>
      <c r="J20628" s="25" t="n">
        <f aca="false">Assumptions!$C$27*(1-CHOOSE($C$20480,Assumptions!$C$79,Assumptions!$C$98,Assumptions!$C$117))</f>
        <v>676</v>
      </c>
      <c r="K20628" s="25" t="n">
        <f aca="false">Assumptions!$C$27*(1-CHOOSE($C$20480,Assumptions!$C$79,Assumptions!$C$98,Assumptions!$C$117))</f>
        <v>676</v>
      </c>
    </row>
    <row r="20629" customFormat="false" ht="15" hidden="false" customHeight="false" outlineLevel="0" collapsed="false">
      <c r="A20629" s="23" t="s">
        <v>331</v>
      </c>
      <c r="B20629" s="24"/>
      <c r="C20629" s="24"/>
      <c r="D20629" s="24"/>
      <c r="E20629" s="24"/>
      <c r="F20629" s="24"/>
      <c r="G20629" s="24"/>
      <c r="H20629" s="24"/>
      <c r="I20629" s="24"/>
      <c r="J20629" s="24"/>
      <c r="K20629" s="24"/>
    </row>
    <row r="20630" customFormat="false" ht="15" hidden="false" customHeight="false" outlineLevel="0" collapsed="false">
      <c r="A20630" s="23" t="s">
        <v>332</v>
      </c>
      <c r="B20630" s="24"/>
      <c r="C20630" s="24"/>
      <c r="D20630" s="24"/>
      <c r="E20630" s="24"/>
      <c r="F20630" s="24"/>
      <c r="G20630" s="24"/>
      <c r="H20630" s="24"/>
      <c r="I20630" s="24"/>
      <c r="J20630" s="24"/>
      <c r="K20630" s="24"/>
    </row>
    <row r="20631" customFormat="false" ht="15" hidden="false" customHeight="false" outlineLevel="0" collapsed="false">
      <c r="A20631" s="5" t="s">
        <v>333</v>
      </c>
      <c r="G20631" s="31" t="n">
        <f aca="false">IF(G20497&gt;0,G20618/G20497,99)</f>
        <v>70.6978241949521</v>
      </c>
      <c r="H20631" s="31" t="n">
        <f aca="false">IF(H20497&gt;0,H20618/H20497,99)</f>
        <v>89.6623128557566</v>
      </c>
      <c r="I20631" s="31" t="n">
        <f aca="false">IF(I20497&gt;0,I20618/I20497,99)</f>
        <v>102.006017980246</v>
      </c>
      <c r="J20631" s="31" t="n">
        <f aca="false">IF(J20497&gt;0,J20618/J20497,99)</f>
        <v>113.234217713133</v>
      </c>
      <c r="K20631" s="31" t="n">
        <f aca="false">IF(K20497&gt;0,K20618/K20497,99)</f>
        <v>124.624351403687</v>
      </c>
    </row>
    <row r="20632" customFormat="false" ht="15" hidden="false" customHeight="false" outlineLevel="0" collapsed="false">
      <c r="A20632" s="5" t="s">
        <v>334</v>
      </c>
      <c r="G20632" s="32" t="n">
        <f aca="false">Assumptions!$G$61</f>
        <v>8.5</v>
      </c>
      <c r="H20632" s="32" t="n">
        <f aca="false">Assumptions!$H$61</f>
        <v>8.5</v>
      </c>
      <c r="I20632" s="32" t="n">
        <f aca="false">Assumptions!$I$61</f>
        <v>8.5</v>
      </c>
      <c r="J20632" s="32" t="n">
        <f aca="false">Assumptions!$J$61</f>
        <v>8.5</v>
      </c>
      <c r="K20632" s="32" t="n">
        <f aca="false">Assumptions!$K$61</f>
        <v>8.5</v>
      </c>
    </row>
    <row r="20633" customFormat="false" ht="15" hidden="false" customHeight="false" outlineLevel="0" collapsed="false">
      <c r="A20633" s="5" t="s">
        <v>335</v>
      </c>
      <c r="G20633" s="31" t="n">
        <f aca="false">G20632-G20631</f>
        <v>-62.1978241949521</v>
      </c>
      <c r="H20633" s="31" t="n">
        <f aca="false">H20632-H20631</f>
        <v>-81.1623128557566</v>
      </c>
      <c r="I20633" s="31" t="n">
        <f aca="false">I20632-I20631</f>
        <v>-93.5060179802461</v>
      </c>
      <c r="J20633" s="31" t="n">
        <f aca="false">J20632-J20631</f>
        <v>-104.734217713133</v>
      </c>
      <c r="K20633" s="31" t="n">
        <f aca="false">K20632-K20631</f>
        <v>-116.124351403687</v>
      </c>
    </row>
    <row r="20634" customFormat="false" ht="15" hidden="false" customHeight="false" outlineLevel="0" collapsed="false">
      <c r="A20634" s="5" t="s">
        <v>336</v>
      </c>
      <c r="G20634" s="21" t="n">
        <f aca="false">IF(G20632=0,0,G20633/ABS(G20632))</f>
        <v>-7.31739108175907</v>
      </c>
      <c r="H20634" s="21" t="n">
        <f aca="false">IF(H20632=0,0,H20633/ABS(H20632))</f>
        <v>-9.5485073947949</v>
      </c>
      <c r="I20634" s="21" t="n">
        <f aca="false">IF(I20632=0,0,I20633/ABS(I20632))</f>
        <v>-11.000707997676</v>
      </c>
      <c r="J20634" s="21" t="n">
        <f aca="false">IF(J20632=0,0,J20633/ABS(J20632))</f>
        <v>-12.3216726721333</v>
      </c>
      <c r="K20634" s="21" t="n">
        <f aca="false">IF(K20632=0,0,K20633/ABS(K20632))</f>
        <v>-13.6616884004338</v>
      </c>
    </row>
    <row r="20635" customFormat="false" ht="15" hidden="false" customHeight="false" outlineLevel="0" collapsed="false">
      <c r="A20635" s="5" t="s">
        <v>337</v>
      </c>
      <c r="G20635" s="20" t="n">
        <f aca="false">IF(G20633&lt;0,1,0)</f>
        <v>1</v>
      </c>
      <c r="H20635" s="20" t="n">
        <f aca="false">IF(H20633&lt;0,1,0)</f>
        <v>1</v>
      </c>
      <c r="I20635" s="20" t="n">
        <f aca="false">IF(I20633&lt;0,1,0)</f>
        <v>1</v>
      </c>
      <c r="J20635" s="20" t="n">
        <f aca="false">IF(J20633&lt;0,1,0)</f>
        <v>1</v>
      </c>
      <c r="K20635" s="20" t="n">
        <f aca="false">IF(K20633&lt;0,1,0)</f>
        <v>1</v>
      </c>
    </row>
    <row r="20636" customFormat="false" ht="15" hidden="false" customHeight="false" outlineLevel="0" collapsed="false">
      <c r="A20636" s="5" t="s">
        <v>338</v>
      </c>
      <c r="C20636" s="20" t="n">
        <f aca="false">IFERROR(INDEX($G$20487:$K$20487,MATCH(1,$G$20635:$K$20635,0)),0)</f>
        <v>2026</v>
      </c>
    </row>
    <row r="20637" customFormat="false" ht="15" hidden="false" customHeight="false" outlineLevel="0" collapsed="false">
      <c r="A20637" s="5" t="s">
        <v>339</v>
      </c>
      <c r="C20637" s="21" t="n">
        <f aca="false">MIN($G$20634:$K$20634)</f>
        <v>-13.6616884004338</v>
      </c>
    </row>
    <row r="20638" customFormat="false" ht="15" hidden="false" customHeight="false" outlineLevel="0" collapsed="false">
      <c r="A20638" s="5" t="s">
        <v>340</v>
      </c>
      <c r="G20638" s="20" t="n">
        <f aca="false">G20635</f>
        <v>1</v>
      </c>
      <c r="H20638" s="20" t="n">
        <f aca="false">H20635</f>
        <v>1</v>
      </c>
      <c r="I20638" s="20" t="n">
        <f aca="false">I20635</f>
        <v>1</v>
      </c>
      <c r="J20638" s="20" t="n">
        <f aca="false">J20635</f>
        <v>1</v>
      </c>
      <c r="K20638" s="20" t="n">
        <f aca="false">K20635</f>
        <v>1</v>
      </c>
    </row>
    <row r="20639" customFormat="false" ht="15" hidden="false" customHeight="false" outlineLevel="0" collapsed="false">
      <c r="A20639" s="5" t="s">
        <v>341</v>
      </c>
      <c r="C20639" s="20" t="n">
        <f aca="false">SUM($G$20638:$K$20638)</f>
        <v>5</v>
      </c>
    </row>
    <row r="20640" customFormat="false" ht="15" hidden="false" customHeight="false" outlineLevel="0" collapsed="false">
      <c r="A20640" s="5" t="s">
        <v>342</v>
      </c>
      <c r="C20640" s="21" t="n">
        <f aca="false">MIN(C20637)</f>
        <v>-13.6616884004338</v>
      </c>
    </row>
    <row r="20642" customFormat="false" ht="15" hidden="false" customHeight="false" outlineLevel="0" collapsed="false">
      <c r="A20642" s="23" t="s">
        <v>444</v>
      </c>
      <c r="B20642" s="24"/>
      <c r="C20642" s="24"/>
      <c r="D20642" s="24"/>
      <c r="E20642" s="24"/>
      <c r="F20642" s="24"/>
      <c r="G20642" s="24"/>
      <c r="H20642" s="24"/>
      <c r="I20642" s="24"/>
      <c r="J20642" s="24"/>
      <c r="K20642" s="24"/>
    </row>
    <row r="20643" customFormat="false" ht="15" hidden="false" customHeight="false" outlineLevel="0" collapsed="false">
      <c r="A20643" s="5" t="s">
        <v>445</v>
      </c>
      <c r="G20643" s="20" t="n">
        <f aca="false">IF($C$20644=1,G20612,IF(G20497=MIN($G$20497:$K$20497),1,0))</f>
        <v>0</v>
      </c>
      <c r="H20643" s="20" t="n">
        <f aca="false">IF($C$20644=1,H20612,IF(AND(H20497=MIN($G$20497:$K$20497),SUM($G$20643:G20643)=0),1,0))</f>
        <v>1</v>
      </c>
      <c r="I20643" s="20" t="n">
        <f aca="false">IF($C$20644=1,I20612,IF(AND(I20497=MIN($G$20497:$K$20497),SUM($G$20643:H20643)=0),1,0))</f>
        <v>0</v>
      </c>
      <c r="J20643" s="20" t="n">
        <f aca="false">IF($C$20644=1,J20612,IF(AND(J20497=MIN($G$20497:$K$20497),SUM($G$20643:I20643)=0),1,0))</f>
        <v>0</v>
      </c>
      <c r="K20643" s="20" t="n">
        <f aca="false">IF($C$20644=1,K20612,IF(AND(K20497=MIN($G$20497:$K$20497),SUM($G$20643:J20643)=0),1,0))</f>
        <v>0</v>
      </c>
    </row>
    <row r="20644" customFormat="false" ht="15" hidden="false" customHeight="false" outlineLevel="0" collapsed="false">
      <c r="A20644" s="5" t="s">
        <v>446</v>
      </c>
      <c r="C20644" s="20" t="n">
        <f aca="false">IF(SUM($G$20612:$K$20612)&gt;0,1,0)</f>
        <v>1</v>
      </c>
    </row>
    <row r="20645" customFormat="false" ht="15" hidden="false" customHeight="false" outlineLevel="0" collapsed="false">
      <c r="A20645" s="5" t="s">
        <v>447</v>
      </c>
      <c r="C20645" s="20" t="n">
        <f aca="false">SUMPRODUCT($G$20643:$K$20643,$G$20487:$K$20487)</f>
        <v>2027</v>
      </c>
    </row>
    <row r="20646" customFormat="false" ht="15" hidden="false" customHeight="false" outlineLevel="0" collapsed="false">
      <c r="A20646" s="5" t="s">
        <v>448</v>
      </c>
      <c r="C20646" s="25" t="n">
        <f aca="false">SUMPRODUCT($G$20643:$K$20643,$G$20497:$K$20497)</f>
        <v>15.99408</v>
      </c>
    </row>
    <row r="20647" customFormat="false" ht="15" hidden="false" customHeight="false" outlineLevel="0" collapsed="false">
      <c r="A20647" s="5" t="s">
        <v>449</v>
      </c>
      <c r="C20647" s="25" t="n">
        <f aca="false">MAX(0,SUMPRODUCT($G$20643:$K$20643,$G$20609:$K$20609))</f>
        <v>0</v>
      </c>
    </row>
    <row r="20648" customFormat="false" ht="15" hidden="false" customHeight="false" outlineLevel="0" collapsed="false">
      <c r="A20648" s="5" t="s">
        <v>450</v>
      </c>
      <c r="C20648" s="25" t="n">
        <f aca="false">(CHOOSE($C$20480,Assumptions!$C$78,Assumptions!$C$97,Assumptions!$C$116)+$C$20484)*C20646</f>
        <v>31.98816</v>
      </c>
    </row>
    <row r="20649" customFormat="false" ht="15" hidden="false" customHeight="false" outlineLevel="0" collapsed="false">
      <c r="A20649" s="5" t="s">
        <v>451</v>
      </c>
      <c r="C20649" s="25" t="n">
        <f aca="false">Assumptions!$C$27*(1-CHOOSE($C$20480,Assumptions!$C$79,Assumptions!$C$98,Assumptions!$C$117))*CHOOSE($C$20480,Assumptions!$C$80,Assumptions!$C$99,Assumptions!$C$118)</f>
        <v>405.6</v>
      </c>
    </row>
    <row r="20650" customFormat="false" ht="15" hidden="false" customHeight="false" outlineLevel="0" collapsed="false">
      <c r="A20650" s="5" t="s">
        <v>452</v>
      </c>
      <c r="C20650" s="25" t="n">
        <f aca="false">MAX(C20648,C20649)+C20647</f>
        <v>405.6</v>
      </c>
    </row>
    <row r="20651" customFormat="false" ht="15" hidden="false" customHeight="false" outlineLevel="0" collapsed="false">
      <c r="A20651" s="2" t="s">
        <v>453</v>
      </c>
      <c r="C20651" s="16" t="n">
        <f aca="false">IF(ISNUMBER(Assumptions!$C$14),Assumptions!$C$14,C20650)</f>
        <v>405.6</v>
      </c>
    </row>
    <row r="20652" customFormat="false" ht="15" hidden="false" customHeight="false" outlineLevel="0" collapsed="false">
      <c r="A20652" s="5" t="s">
        <v>454</v>
      </c>
      <c r="C20652" s="25" t="n">
        <f aca="false">C20651*Assumptions!$C$15</f>
        <v>16.224</v>
      </c>
    </row>
    <row r="20653" customFormat="false" ht="15" hidden="false" customHeight="false" outlineLevel="0" collapsed="false">
      <c r="A20653" s="2" t="s">
        <v>455</v>
      </c>
      <c r="C20653" s="16" t="n">
        <f aca="false">C20651-C20652</f>
        <v>389.376</v>
      </c>
    </row>
    <row r="20654" customFormat="false" ht="15" hidden="false" customHeight="false" outlineLevel="0" collapsed="false">
      <c r="A20654" s="23" t="s">
        <v>456</v>
      </c>
      <c r="B20654" s="24"/>
      <c r="C20654" s="24"/>
      <c r="D20654" s="24"/>
      <c r="E20654" s="24"/>
      <c r="F20654" s="24"/>
      <c r="G20654" s="24"/>
      <c r="H20654" s="24"/>
      <c r="I20654" s="24"/>
      <c r="J20654" s="24"/>
      <c r="K20654" s="24"/>
    </row>
    <row r="20655" customFormat="false" ht="15" hidden="false" customHeight="false" outlineLevel="0" collapsed="false">
      <c r="A20655" s="5" t="s">
        <v>457</v>
      </c>
      <c r="C20655" s="25" t="n">
        <f aca="false">SUMPRODUCT($G$20643:$K$20643,$G$20534:$K$20534)*(1+SUMPRODUCT($G$20643:$K$20643,$G$20526:$K$20526)*Assumptions!$C$16/12)</f>
        <v>241.5743372</v>
      </c>
    </row>
    <row r="20656" customFormat="false" ht="15" hidden="false" customHeight="false" outlineLevel="0" collapsed="false">
      <c r="A20656" s="5" t="s">
        <v>458</v>
      </c>
      <c r="C20656" s="25" t="n">
        <f aca="false">SUMPRODUCT($G$20643:$K$20643,$G$20547:$K$20547)*(1+SUMPRODUCT($G$20643:$K$20643,$G$20539:$K$20539)*Assumptions!$C$16/12)</f>
        <v>526.2257</v>
      </c>
    </row>
    <row r="20657" customFormat="false" ht="15" hidden="false" customHeight="false" outlineLevel="0" collapsed="false">
      <c r="A20657" s="5" t="s">
        <v>459</v>
      </c>
      <c r="C20657" s="25" t="n">
        <f aca="false">SUMPRODUCT($G$20643:$K$20643,$G$20560:$K$20560)*(1+SUMPRODUCT($G$20643:$K$20643,$G$20552:$K$20552)*Assumptions!$C$16/12)</f>
        <v>256.875</v>
      </c>
    </row>
    <row r="20658" customFormat="false" ht="15" hidden="false" customHeight="false" outlineLevel="0" collapsed="false">
      <c r="A20658" s="5" t="s">
        <v>460</v>
      </c>
      <c r="C20658" s="25" t="n">
        <f aca="false">SUMPRODUCT($G$20643:$K$20643,$G$20573:$K$20573)*(1+SUMPRODUCT($G$20643:$K$20643,$G$20565:$K$20565)*Assumptions!$C$16/12)</f>
        <v>305.625</v>
      </c>
    </row>
    <row r="20659" customFormat="false" ht="15" hidden="false" customHeight="false" outlineLevel="0" collapsed="false">
      <c r="A20659" s="23" t="s">
        <v>461</v>
      </c>
      <c r="B20659" s="24"/>
      <c r="C20659" s="24"/>
      <c r="D20659" s="24"/>
      <c r="E20659" s="24"/>
      <c r="F20659" s="24"/>
      <c r="G20659" s="24"/>
      <c r="H20659" s="24"/>
      <c r="I20659" s="24"/>
      <c r="J20659" s="24"/>
      <c r="K20659" s="24"/>
    </row>
    <row r="20660" customFormat="false" ht="15" hidden="false" customHeight="false" outlineLevel="0" collapsed="false">
      <c r="A20660" s="5" t="s">
        <v>457</v>
      </c>
      <c r="C20660" s="26" t="n">
        <f aca="false">Assumptions!$M$53</f>
        <v>1</v>
      </c>
    </row>
    <row r="20661" customFormat="false" ht="15" hidden="false" customHeight="false" outlineLevel="0" collapsed="false">
      <c r="A20661" s="5" t="s">
        <v>458</v>
      </c>
      <c r="C20661" s="26" t="n">
        <f aca="false">Assumptions!$M$54</f>
        <v>2</v>
      </c>
    </row>
    <row r="20662" customFormat="false" ht="15" hidden="false" customHeight="false" outlineLevel="0" collapsed="false">
      <c r="A20662" s="5" t="s">
        <v>459</v>
      </c>
      <c r="C20662" s="26" t="n">
        <f aca="false">Assumptions!$M$55</f>
        <v>3</v>
      </c>
    </row>
    <row r="20663" customFormat="false" ht="15" hidden="false" customHeight="false" outlineLevel="0" collapsed="false">
      <c r="A20663" s="5" t="s">
        <v>460</v>
      </c>
      <c r="C20663" s="26" t="n">
        <f aca="false">Assumptions!$M$56</f>
        <v>4</v>
      </c>
    </row>
    <row r="20664" customFormat="false" ht="15" hidden="false" customHeight="false" outlineLevel="0" collapsed="false">
      <c r="A20664" s="23" t="s">
        <v>462</v>
      </c>
      <c r="B20664" s="24"/>
      <c r="C20664" s="24"/>
      <c r="D20664" s="24"/>
      <c r="E20664" s="24"/>
      <c r="F20664" s="24"/>
      <c r="G20664" s="24"/>
      <c r="H20664" s="24"/>
      <c r="I20664" s="24"/>
      <c r="J20664" s="24"/>
      <c r="K20664" s="24"/>
    </row>
    <row r="20665" customFormat="false" ht="15" hidden="false" customHeight="false" outlineLevel="0" collapsed="false">
      <c r="A20665" s="5" t="s">
        <v>457</v>
      </c>
      <c r="C20665" s="34" t="n">
        <f aca="false">Assumptions!$Q$53</f>
        <v>0</v>
      </c>
    </row>
    <row r="20666" customFormat="false" ht="15" hidden="false" customHeight="false" outlineLevel="0" collapsed="false">
      <c r="A20666" s="5" t="s">
        <v>458</v>
      </c>
      <c r="C20666" s="34" t="n">
        <f aca="false">Assumptions!$Q$54</f>
        <v>0</v>
      </c>
    </row>
    <row r="20667" customFormat="false" ht="15" hidden="false" customHeight="false" outlineLevel="0" collapsed="false">
      <c r="A20667" s="5" t="s">
        <v>459</v>
      </c>
      <c r="C20667" s="34" t="n">
        <f aca="false">Assumptions!$Q$55</f>
        <v>0</v>
      </c>
    </row>
    <row r="20668" customFormat="false" ht="15" hidden="false" customHeight="false" outlineLevel="0" collapsed="false">
      <c r="A20668" s="5" t="s">
        <v>460</v>
      </c>
      <c r="C20668" s="34" t="n">
        <f aca="false">Assumptions!$Q$56</f>
        <v>0</v>
      </c>
    </row>
    <row r="20669" customFormat="false" ht="15" hidden="false" customHeight="false" outlineLevel="0" collapsed="false">
      <c r="A20669" s="23" t="s">
        <v>463</v>
      </c>
      <c r="B20669" s="24"/>
      <c r="C20669" s="24"/>
      <c r="D20669" s="24"/>
      <c r="E20669" s="24"/>
      <c r="F20669" s="24"/>
      <c r="G20669" s="24"/>
      <c r="H20669" s="24"/>
      <c r="I20669" s="24"/>
      <c r="J20669" s="24"/>
      <c r="K20669" s="24"/>
    </row>
    <row r="20670" customFormat="false" ht="15" hidden="false" customHeight="false" outlineLevel="0" collapsed="false">
      <c r="A20670" s="5" t="s">
        <v>457</v>
      </c>
      <c r="C20670" s="25" t="n">
        <f aca="false">IF(C20665&gt;0,MIN(C20655,C20665*$C$20653),0)</f>
        <v>0</v>
      </c>
    </row>
    <row r="20671" customFormat="false" ht="15" hidden="false" customHeight="false" outlineLevel="0" collapsed="false">
      <c r="A20671" s="5" t="s">
        <v>458</v>
      </c>
      <c r="C20671" s="25" t="n">
        <f aca="false">IF(C20666&gt;0,MIN(C20656,C20666*$C$20653),0)</f>
        <v>0</v>
      </c>
    </row>
    <row r="20672" customFormat="false" ht="15" hidden="false" customHeight="false" outlineLevel="0" collapsed="false">
      <c r="A20672" s="5" t="s">
        <v>459</v>
      </c>
      <c r="C20672" s="25" t="n">
        <f aca="false">IF(C20667&gt;0,MIN(C20657,C20667*$C$20653),0)</f>
        <v>0</v>
      </c>
    </row>
    <row r="20673" customFormat="false" ht="15" hidden="false" customHeight="false" outlineLevel="0" collapsed="false">
      <c r="A20673" s="5" t="s">
        <v>460</v>
      </c>
      <c r="C20673" s="25" t="n">
        <f aca="false">IF(C20668&gt;0,MIN(C20658,C20668*$C$20653),0)</f>
        <v>0</v>
      </c>
    </row>
    <row r="20674" customFormat="false" ht="15" hidden="false" customHeight="false" outlineLevel="0" collapsed="false">
      <c r="A20674" s="23" t="s">
        <v>464</v>
      </c>
      <c r="B20674" s="24"/>
      <c r="C20674" s="24"/>
      <c r="D20674" s="24"/>
      <c r="E20674" s="24"/>
      <c r="F20674" s="24"/>
      <c r="G20674" s="24"/>
      <c r="H20674" s="24"/>
      <c r="I20674" s="24"/>
      <c r="J20674" s="24"/>
      <c r="K20674" s="24"/>
    </row>
    <row r="20675" customFormat="false" ht="15" hidden="false" customHeight="false" outlineLevel="0" collapsed="false">
      <c r="A20675" s="5" t="s">
        <v>457</v>
      </c>
      <c r="C20675" s="25" t="n">
        <f aca="false">IF(C20665&gt;0,C20655-C20670,0)</f>
        <v>0</v>
      </c>
      <c r="G20675" s="20" t="n">
        <f aca="false">IF(AND(G20524=1,G20521=1),1,0)</f>
        <v>0</v>
      </c>
      <c r="H20675" s="20" t="n">
        <f aca="false">IF(G20675=1,1,IF(AND(H20524=1,H20521=1),1,0))</f>
        <v>0</v>
      </c>
      <c r="I20675" s="20" t="n">
        <f aca="false">IF(H20675=1,1,IF(AND(I20524=1,I20521=1),1,0))</f>
        <v>0</v>
      </c>
      <c r="J20675" s="20" t="n">
        <f aca="false">IF(I20675=1,1,IF(AND(J20524=1,J20521=1),1,0))</f>
        <v>0</v>
      </c>
      <c r="K20675" s="20" t="n">
        <f aca="false">IF(J20675=1,1,IF(AND(K20524=1,K20521=1),1,0))</f>
        <v>0</v>
      </c>
    </row>
    <row r="20676" customFormat="false" ht="15" hidden="false" customHeight="false" outlineLevel="0" collapsed="false">
      <c r="A20676" s="5" t="s">
        <v>458</v>
      </c>
      <c r="C20676" s="25" t="n">
        <f aca="false">IF(C20666&gt;0,C20656-C20671,0)</f>
        <v>0</v>
      </c>
      <c r="G20676" s="20" t="n">
        <f aca="false">IF(AND(G20537=1,G20521=1),1,0)</f>
        <v>0</v>
      </c>
      <c r="H20676" s="20" t="n">
        <f aca="false">IF(G20676=1,1,IF(AND(H20537=1,H20521=1),1,0))</f>
        <v>0</v>
      </c>
      <c r="I20676" s="20" t="n">
        <f aca="false">IF(H20676=1,1,IF(AND(I20537=1,I20521=1),1,0))</f>
        <v>0</v>
      </c>
      <c r="J20676" s="20" t="n">
        <f aca="false">IF(I20676=1,1,IF(AND(J20537=1,J20521=1),1,0))</f>
        <v>0</v>
      </c>
      <c r="K20676" s="20" t="n">
        <f aca="false">IF(J20676=1,1,IF(AND(K20537=1,K20521=1),1,0))</f>
        <v>0</v>
      </c>
    </row>
    <row r="20677" customFormat="false" ht="15" hidden="false" customHeight="false" outlineLevel="0" collapsed="false">
      <c r="A20677" s="5" t="s">
        <v>459</v>
      </c>
      <c r="C20677" s="25" t="n">
        <f aca="false">IF(C20667&gt;0,C20657-C20672,0)</f>
        <v>0</v>
      </c>
      <c r="G20677" s="20" t="n">
        <f aca="false">IF(AND(G20550=1,G20521=1),1,0)</f>
        <v>0</v>
      </c>
      <c r="H20677" s="20" t="n">
        <f aca="false">IF(G20677=1,1,IF(AND(H20550=1,H20521=1),1,0))</f>
        <v>0</v>
      </c>
      <c r="I20677" s="20" t="n">
        <f aca="false">IF(H20677=1,1,IF(AND(I20550=1,I20521=1),1,0))</f>
        <v>0</v>
      </c>
      <c r="J20677" s="20" t="n">
        <f aca="false">IF(I20677=1,1,IF(AND(J20550=1,J20521=1),1,0))</f>
        <v>0</v>
      </c>
      <c r="K20677" s="20" t="n">
        <f aca="false">IF(J20677=1,1,IF(AND(K20550=1,K20521=1),1,0))</f>
        <v>0</v>
      </c>
    </row>
    <row r="20678" customFormat="false" ht="15" hidden="false" customHeight="false" outlineLevel="0" collapsed="false">
      <c r="A20678" s="5" t="s">
        <v>460</v>
      </c>
      <c r="C20678" s="25" t="n">
        <f aca="false">IF(C20668&gt;0,C20658-C20673,0)</f>
        <v>0</v>
      </c>
      <c r="G20678" s="20" t="n">
        <f aca="false">IF(AND(G20563=1,G20521=1),1,0)</f>
        <v>0</v>
      </c>
      <c r="H20678" s="20" t="n">
        <f aca="false">IF(G20678=1,1,IF(AND(H20563=1,H20521=1),1,0))</f>
        <v>0</v>
      </c>
      <c r="I20678" s="20" t="n">
        <f aca="false">IF(H20678=1,1,IF(AND(I20563=1,I20521=1),1,0))</f>
        <v>0</v>
      </c>
      <c r="J20678" s="20" t="n">
        <f aca="false">IF(I20678=1,1,IF(AND(J20563=1,J20521=1),1,0))</f>
        <v>0</v>
      </c>
      <c r="K20678" s="20" t="n">
        <f aca="false">IF(J20678=1,1,IF(AND(K20563=1,K20521=1),1,0))</f>
        <v>0</v>
      </c>
    </row>
    <row r="20679" customFormat="false" ht="15" hidden="false" customHeight="false" outlineLevel="0" collapsed="false">
      <c r="A20679" s="23" t="s">
        <v>465</v>
      </c>
      <c r="B20679" s="24"/>
      <c r="C20679" s="24"/>
      <c r="D20679" s="24"/>
      <c r="E20679" s="24"/>
      <c r="F20679" s="24"/>
      <c r="G20679" s="24"/>
      <c r="H20679" s="24"/>
      <c r="I20679" s="24"/>
      <c r="J20679" s="24"/>
      <c r="K20679" s="24"/>
    </row>
    <row r="20680" customFormat="false" ht="15" hidden="false" customHeight="false" outlineLevel="0" collapsed="false">
      <c r="A20680" s="5" t="s">
        <v>457</v>
      </c>
      <c r="C20680" s="25" t="n">
        <f aca="false">IF(C20665&gt;0,C20675,C20655)</f>
        <v>241.5743372</v>
      </c>
    </row>
    <row r="20681" customFormat="false" ht="15" hidden="false" customHeight="false" outlineLevel="0" collapsed="false">
      <c r="A20681" s="5" t="s">
        <v>458</v>
      </c>
      <c r="C20681" s="25" t="n">
        <f aca="false">IF(C20666&gt;0,C20676,C20656)</f>
        <v>526.2257</v>
      </c>
    </row>
    <row r="20682" customFormat="false" ht="15" hidden="false" customHeight="false" outlineLevel="0" collapsed="false">
      <c r="A20682" s="5" t="s">
        <v>459</v>
      </c>
      <c r="C20682" s="25" t="n">
        <f aca="false">IF(C20667&gt;0,C20677,C20657)</f>
        <v>256.875</v>
      </c>
    </row>
    <row r="20683" customFormat="false" ht="15" hidden="false" customHeight="false" outlineLevel="0" collapsed="false">
      <c r="A20683" s="5" t="s">
        <v>460</v>
      </c>
      <c r="C20683" s="25" t="n">
        <f aca="false">IF(C20668&gt;0,C20678,C20658)</f>
        <v>305.625</v>
      </c>
    </row>
    <row r="20684" customFormat="false" ht="15" hidden="false" customHeight="false" outlineLevel="0" collapsed="false">
      <c r="A20684" s="23" t="s">
        <v>466</v>
      </c>
      <c r="B20684" s="24"/>
      <c r="C20684" s="24"/>
      <c r="D20684" s="24"/>
      <c r="E20684" s="24"/>
      <c r="F20684" s="24"/>
      <c r="G20684" s="24"/>
      <c r="H20684" s="24"/>
      <c r="I20684" s="24"/>
      <c r="J20684" s="24"/>
      <c r="K20684" s="24"/>
    </row>
    <row r="20685" customFormat="false" ht="15" hidden="false" customHeight="false" outlineLevel="0" collapsed="false">
      <c r="A20685" s="5" t="s">
        <v>457</v>
      </c>
      <c r="C20685" s="20" t="n">
        <f aca="false">IF(C20665&gt;0,Assumptions!$C$17,C20660)</f>
        <v>1</v>
      </c>
    </row>
    <row r="20686" customFormat="false" ht="15" hidden="false" customHeight="false" outlineLevel="0" collapsed="false">
      <c r="A20686" s="5" t="s">
        <v>458</v>
      </c>
      <c r="C20686" s="20" t="n">
        <f aca="false">IF(C20666&gt;0,Assumptions!$C$17,C20661)</f>
        <v>2</v>
      </c>
    </row>
    <row r="20687" customFormat="false" ht="15" hidden="false" customHeight="false" outlineLevel="0" collapsed="false">
      <c r="A20687" s="5" t="s">
        <v>459</v>
      </c>
      <c r="C20687" s="20" t="n">
        <f aca="false">IF(C20667&gt;0,Assumptions!$C$17,C20662)</f>
        <v>3</v>
      </c>
    </row>
    <row r="20688" customFormat="false" ht="15" hidden="false" customHeight="false" outlineLevel="0" collapsed="false">
      <c r="A20688" s="5" t="s">
        <v>460</v>
      </c>
      <c r="C20688" s="20" t="n">
        <f aca="false">IF(C20668&gt;0,Assumptions!$C$17,C20663)</f>
        <v>4</v>
      </c>
    </row>
    <row r="20689" customFormat="false" ht="15" hidden="false" customHeight="false" outlineLevel="0" collapsed="false">
      <c r="A20689" s="23" t="s">
        <v>467</v>
      </c>
      <c r="B20689" s="24"/>
      <c r="C20689" s="24"/>
      <c r="D20689" s="24"/>
      <c r="E20689" s="24"/>
      <c r="F20689" s="24"/>
      <c r="G20689" s="24"/>
      <c r="H20689" s="24"/>
      <c r="I20689" s="24"/>
      <c r="J20689" s="24"/>
      <c r="K20689" s="24"/>
    </row>
    <row r="20690" customFormat="false" ht="15" hidden="false" customHeight="false" outlineLevel="0" collapsed="false">
      <c r="A20690" s="5" t="s">
        <v>457</v>
      </c>
      <c r="C20690" s="25" t="n">
        <f aca="false">SUMPRODUCT(($C$20685:$C$20688&lt;C20685)*$C$20680:$C$20683)</f>
        <v>0</v>
      </c>
    </row>
    <row r="20691" customFormat="false" ht="15" hidden="false" customHeight="false" outlineLevel="0" collapsed="false">
      <c r="A20691" s="5" t="s">
        <v>458</v>
      </c>
      <c r="C20691" s="25" t="n">
        <f aca="false">SUMPRODUCT(($C$20685:$C$20688&lt;C20686)*$C$20680:$C$20683)</f>
        <v>241.5743372</v>
      </c>
    </row>
    <row r="20692" customFormat="false" ht="15" hidden="false" customHeight="false" outlineLevel="0" collapsed="false">
      <c r="A20692" s="5" t="s">
        <v>459</v>
      </c>
      <c r="C20692" s="25" t="n">
        <f aca="false">SUMPRODUCT(($C$20685:$C$20688&lt;C20687)*$C$20680:$C$20683)</f>
        <v>767.8000372</v>
      </c>
    </row>
    <row r="20693" customFormat="false" ht="15" hidden="false" customHeight="false" outlineLevel="0" collapsed="false">
      <c r="A20693" s="5" t="s">
        <v>460</v>
      </c>
      <c r="C20693" s="25" t="n">
        <f aca="false">SUMPRODUCT(($C$20685:$C$20688&lt;C20688)*$C$20680:$C$20683)</f>
        <v>1024.6750372</v>
      </c>
    </row>
    <row r="20694" customFormat="false" ht="15" hidden="false" customHeight="false" outlineLevel="0" collapsed="false">
      <c r="A20694" s="23" t="s">
        <v>468</v>
      </c>
      <c r="B20694" s="24"/>
      <c r="C20694" s="24"/>
      <c r="D20694" s="24"/>
      <c r="E20694" s="24"/>
      <c r="F20694" s="24"/>
      <c r="G20694" s="24"/>
      <c r="H20694" s="24"/>
      <c r="I20694" s="24"/>
      <c r="J20694" s="24"/>
      <c r="K20694" s="24"/>
    </row>
    <row r="20695" customFormat="false" ht="15" hidden="false" customHeight="false" outlineLevel="0" collapsed="false">
      <c r="A20695" s="5" t="s">
        <v>457</v>
      </c>
      <c r="C20695" s="25" t="n">
        <f aca="false">SUMPRODUCT(($C$20685:$C$20688=C20685)*$C$20680:$C$20683)</f>
        <v>241.5743372</v>
      </c>
    </row>
    <row r="20696" customFormat="false" ht="15" hidden="false" customHeight="false" outlineLevel="0" collapsed="false">
      <c r="A20696" s="5" t="s">
        <v>458</v>
      </c>
      <c r="C20696" s="25" t="n">
        <f aca="false">SUMPRODUCT(($C$20685:$C$20688=C20686)*$C$20680:$C$20683)</f>
        <v>526.2257</v>
      </c>
    </row>
    <row r="20697" customFormat="false" ht="15" hidden="false" customHeight="false" outlineLevel="0" collapsed="false">
      <c r="A20697" s="5" t="s">
        <v>459</v>
      </c>
      <c r="C20697" s="25" t="n">
        <f aca="false">SUMPRODUCT(($C$20685:$C$20688=C20687)*$C$20680:$C$20683)</f>
        <v>256.875</v>
      </c>
    </row>
    <row r="20698" customFormat="false" ht="15" hidden="false" customHeight="false" outlineLevel="0" collapsed="false">
      <c r="A20698" s="5" t="s">
        <v>460</v>
      </c>
      <c r="C20698" s="25" t="n">
        <f aca="false">SUMPRODUCT(($C$20685:$C$20688=C20688)*$C$20680:$C$20683)</f>
        <v>305.625</v>
      </c>
    </row>
    <row r="20699" customFormat="false" ht="15" hidden="false" customHeight="false" outlineLevel="0" collapsed="false">
      <c r="A20699" s="23" t="s">
        <v>469</v>
      </c>
      <c r="B20699" s="24"/>
      <c r="C20699" s="24"/>
      <c r="D20699" s="24"/>
      <c r="E20699" s="24"/>
      <c r="F20699" s="24"/>
      <c r="G20699" s="24"/>
      <c r="H20699" s="24"/>
      <c r="I20699" s="24"/>
      <c r="J20699" s="24"/>
      <c r="K20699" s="24"/>
    </row>
    <row r="20700" customFormat="false" ht="15" hidden="false" customHeight="false" outlineLevel="0" collapsed="false">
      <c r="A20700" s="5" t="s">
        <v>457</v>
      </c>
      <c r="C20700" s="25" t="n">
        <f aca="false">IF(C20695=0,0,C20680/C20695*MAX(0,MIN(C20695,$C$20653-SUM($C$20670:$C$20673)-C20690)))</f>
        <v>241.5743372</v>
      </c>
    </row>
    <row r="20701" customFormat="false" ht="15" hidden="false" customHeight="false" outlineLevel="0" collapsed="false">
      <c r="A20701" s="5" t="s">
        <v>458</v>
      </c>
      <c r="C20701" s="25" t="n">
        <f aca="false">IF(C20696=0,0,C20681/C20696*MAX(0,MIN(C20696,$C$20653-SUM($C$20670:$C$20673)-C20691)))</f>
        <v>147.8016628</v>
      </c>
    </row>
    <row r="20702" customFormat="false" ht="15" hidden="false" customHeight="false" outlineLevel="0" collapsed="false">
      <c r="A20702" s="5" t="s">
        <v>459</v>
      </c>
      <c r="C20702" s="25" t="n">
        <f aca="false">IF(C20697=0,0,C20682/C20697*MAX(0,MIN(C20697,$C$20653-SUM($C$20670:$C$20673)-C20692)))</f>
        <v>0</v>
      </c>
    </row>
    <row r="20703" customFormat="false" ht="15" hidden="false" customHeight="false" outlineLevel="0" collapsed="false">
      <c r="A20703" s="5" t="s">
        <v>460</v>
      </c>
      <c r="C20703" s="25" t="n">
        <f aca="false">IF(C20698=0,0,C20683/C20698*MAX(0,MIN(C20698,$C$20653-SUM($C$20670:$C$20673)-C20693)))</f>
        <v>0</v>
      </c>
    </row>
    <row r="20704" customFormat="false" ht="15" hidden="false" customHeight="false" outlineLevel="0" collapsed="false">
      <c r="A20704" s="23" t="s">
        <v>470</v>
      </c>
      <c r="B20704" s="24"/>
      <c r="C20704" s="24"/>
      <c r="D20704" s="24"/>
      <c r="E20704" s="24"/>
      <c r="F20704" s="24"/>
      <c r="G20704" s="24"/>
      <c r="H20704" s="24"/>
      <c r="I20704" s="24"/>
      <c r="J20704" s="24"/>
      <c r="K20704" s="24"/>
    </row>
    <row r="20705" customFormat="false" ht="15" hidden="false" customHeight="false" outlineLevel="0" collapsed="false">
      <c r="A20705" s="2" t="s">
        <v>457</v>
      </c>
      <c r="C20705" s="16" t="n">
        <f aca="false">C20670+C20700</f>
        <v>241.5743372</v>
      </c>
    </row>
    <row r="20706" customFormat="false" ht="15" hidden="false" customHeight="false" outlineLevel="0" collapsed="false">
      <c r="A20706" s="2" t="s">
        <v>458</v>
      </c>
      <c r="C20706" s="16" t="n">
        <f aca="false">C20671+C20701</f>
        <v>147.8016628</v>
      </c>
    </row>
    <row r="20707" customFormat="false" ht="15" hidden="false" customHeight="false" outlineLevel="0" collapsed="false">
      <c r="A20707" s="2" t="s">
        <v>459</v>
      </c>
      <c r="C20707" s="16" t="n">
        <f aca="false">C20672+C20702</f>
        <v>0</v>
      </c>
    </row>
    <row r="20708" customFormat="false" ht="15" hidden="false" customHeight="false" outlineLevel="0" collapsed="false">
      <c r="A20708" s="2" t="s">
        <v>460</v>
      </c>
      <c r="C20708" s="16" t="n">
        <f aca="false">C20673+C20703</f>
        <v>0</v>
      </c>
    </row>
    <row r="20709" customFormat="false" ht="15" hidden="false" customHeight="false" outlineLevel="0" collapsed="false">
      <c r="A20709" s="23" t="s">
        <v>471</v>
      </c>
      <c r="B20709" s="24"/>
      <c r="C20709" s="24"/>
      <c r="D20709" s="24"/>
      <c r="E20709" s="24"/>
      <c r="F20709" s="24"/>
      <c r="G20709" s="24"/>
      <c r="H20709" s="24"/>
      <c r="I20709" s="24"/>
      <c r="J20709" s="24"/>
      <c r="K20709" s="24"/>
    </row>
    <row r="20710" customFormat="false" ht="15" hidden="false" customHeight="false" outlineLevel="0" collapsed="false">
      <c r="A20710" s="5" t="s">
        <v>457</v>
      </c>
      <c r="C20710" s="21" t="n">
        <f aca="false">IF(C20655=0,1,C20705/C20655)</f>
        <v>1</v>
      </c>
    </row>
    <row r="20711" customFormat="false" ht="15" hidden="false" customHeight="false" outlineLevel="0" collapsed="false">
      <c r="A20711" s="5" t="s">
        <v>458</v>
      </c>
      <c r="C20711" s="21" t="n">
        <f aca="false">IF(C20656=0,1,C20706/C20656)</f>
        <v>0.280871236049474</v>
      </c>
    </row>
    <row r="20712" customFormat="false" ht="15" hidden="false" customHeight="false" outlineLevel="0" collapsed="false">
      <c r="A20712" s="5" t="s">
        <v>459</v>
      </c>
      <c r="C20712" s="21" t="n">
        <f aca="false">IF(C20657=0,1,C20707/C20657)</f>
        <v>0</v>
      </c>
    </row>
    <row r="20713" customFormat="false" ht="15" hidden="false" customHeight="false" outlineLevel="0" collapsed="false">
      <c r="A20713" s="5" t="s">
        <v>460</v>
      </c>
      <c r="C20713" s="21" t="n">
        <f aca="false">IF(C20658=0,1,C20708/C20658)</f>
        <v>0</v>
      </c>
    </row>
    <row r="20714" customFormat="false" ht="15" hidden="false" customHeight="false" outlineLevel="0" collapsed="false">
      <c r="A20714" s="23" t="s">
        <v>472</v>
      </c>
      <c r="B20714" s="24"/>
      <c r="C20714" s="24"/>
      <c r="D20714" s="24"/>
      <c r="E20714" s="24"/>
      <c r="F20714" s="24"/>
      <c r="G20714" s="24"/>
      <c r="H20714" s="24"/>
      <c r="I20714" s="24"/>
      <c r="J20714" s="24"/>
      <c r="K20714" s="24"/>
    </row>
    <row r="20715" customFormat="false" ht="15" hidden="false" customHeight="false" outlineLevel="0" collapsed="false">
      <c r="A20715" s="5" t="s">
        <v>457</v>
      </c>
      <c r="C20715" s="25" t="n">
        <f aca="false">C20655-C20705</f>
        <v>0</v>
      </c>
    </row>
    <row r="20716" customFormat="false" ht="15" hidden="false" customHeight="false" outlineLevel="0" collapsed="false">
      <c r="A20716" s="5" t="s">
        <v>458</v>
      </c>
      <c r="C20716" s="25" t="n">
        <f aca="false">C20656-C20706</f>
        <v>378.4240372</v>
      </c>
    </row>
    <row r="20717" customFormat="false" ht="15" hidden="false" customHeight="false" outlineLevel="0" collapsed="false">
      <c r="A20717" s="5" t="s">
        <v>459</v>
      </c>
      <c r="C20717" s="25" t="n">
        <f aca="false">C20657-C20707</f>
        <v>256.875</v>
      </c>
    </row>
    <row r="20718" customFormat="false" ht="15" hidden="false" customHeight="false" outlineLevel="0" collapsed="false">
      <c r="A20718" s="5" t="s">
        <v>460</v>
      </c>
      <c r="C20718" s="25" t="n">
        <f aca="false">C20658-C20708</f>
        <v>305.625</v>
      </c>
    </row>
    <row r="20719" customFormat="false" ht="15" hidden="false" customHeight="false" outlineLevel="0" collapsed="false">
      <c r="A20719" s="23" t="s">
        <v>473</v>
      </c>
      <c r="B20719" s="24"/>
      <c r="C20719" s="24"/>
      <c r="D20719" s="24"/>
      <c r="E20719" s="24"/>
      <c r="F20719" s="24"/>
      <c r="G20719" s="24"/>
      <c r="H20719" s="24"/>
      <c r="I20719" s="24"/>
      <c r="J20719" s="24"/>
      <c r="K20719" s="24"/>
    </row>
    <row r="20720" customFormat="false" ht="15" hidden="false" customHeight="false" outlineLevel="0" collapsed="false">
      <c r="A20720" s="5" t="s">
        <v>457</v>
      </c>
      <c r="C20720" s="21" t="n">
        <f aca="false">IF(C20655=0,0,C20715/C20655)</f>
        <v>0</v>
      </c>
    </row>
    <row r="20721" customFormat="false" ht="15" hidden="false" customHeight="false" outlineLevel="0" collapsed="false">
      <c r="A20721" s="5" t="s">
        <v>458</v>
      </c>
      <c r="C20721" s="21" t="n">
        <f aca="false">IF(C20656=0,0,C20716/C20656)</f>
        <v>0.719128763950526</v>
      </c>
    </row>
    <row r="20722" customFormat="false" ht="15" hidden="false" customHeight="false" outlineLevel="0" collapsed="false">
      <c r="A20722" s="5" t="s">
        <v>459</v>
      </c>
      <c r="C20722" s="21" t="n">
        <f aca="false">IF(C20657=0,0,C20717/C20657)</f>
        <v>1</v>
      </c>
    </row>
    <row r="20723" customFormat="false" ht="15" hidden="false" customHeight="false" outlineLevel="0" collapsed="false">
      <c r="A20723" s="5" t="s">
        <v>460</v>
      </c>
      <c r="C20723" s="21" t="n">
        <f aca="false">IF(C20658=0,0,C20718/C20658)</f>
        <v>1</v>
      </c>
    </row>
    <row r="20724" customFormat="false" ht="15" hidden="false" customHeight="false" outlineLevel="0" collapsed="false">
      <c r="A20724" s="2" t="s">
        <v>474</v>
      </c>
      <c r="C20724" s="16" t="n">
        <f aca="false">MAX(0,$C$20653-SUM($C$20670:$C$20673)-SUM($C$20680:$C$20683))</f>
        <v>0</v>
      </c>
    </row>
    <row r="20725" customFormat="false" ht="15" hidden="false" customHeight="false" outlineLevel="0" collapsed="false">
      <c r="A20725" s="5" t="s">
        <v>475</v>
      </c>
      <c r="C20725" s="25" t="n">
        <f aca="false">SUM($C$20705:$C$20708)+C20724+C20652-C20651</f>
        <v>0</v>
      </c>
    </row>
    <row r="20727" customFormat="false" ht="15" hidden="false" customHeight="false" outlineLevel="0" collapsed="false">
      <c r="A20727" s="23" t="s">
        <v>478</v>
      </c>
      <c r="B20727" s="24"/>
      <c r="C20727" s="24"/>
      <c r="D20727" s="24"/>
      <c r="E20727" s="24"/>
      <c r="F20727" s="24"/>
      <c r="G20727" s="24"/>
      <c r="H20727" s="24"/>
      <c r="I20727" s="24"/>
      <c r="J20727" s="24"/>
      <c r="K20727" s="24"/>
    </row>
    <row r="20728" customFormat="false" ht="15" hidden="false" customHeight="false" outlineLevel="0" collapsed="false">
      <c r="A20728" s="5" t="s">
        <v>479</v>
      </c>
      <c r="C20728" s="26" t="n">
        <f aca="false">Assumptions!$C$30</f>
        <v>2</v>
      </c>
    </row>
    <row r="20729" customFormat="false" ht="15" hidden="false" customHeight="false" outlineLevel="0" collapsed="false">
      <c r="A20729" s="5" t="s">
        <v>480</v>
      </c>
      <c r="C20729" s="28" t="n">
        <f aca="false">Assumptions!$C$31</f>
        <v>100</v>
      </c>
    </row>
    <row r="20730" customFormat="false" ht="15" hidden="false" customHeight="false" outlineLevel="0" collapsed="false">
      <c r="A20730" s="5" t="s">
        <v>481</v>
      </c>
      <c r="C20730" s="39" t="n">
        <f aca="false">Assumptions!$C$32</f>
        <v>78</v>
      </c>
    </row>
    <row r="20731" customFormat="false" ht="15" hidden="false" customHeight="false" outlineLevel="0" collapsed="false">
      <c r="A20731" s="5" t="s">
        <v>482</v>
      </c>
      <c r="C20731" s="25" t="n">
        <f aca="false">C20729*C20730/100*(1+Assumptions!$C$33)</f>
        <v>78.39</v>
      </c>
    </row>
    <row r="20732" customFormat="false" ht="15" hidden="false" customHeight="false" outlineLevel="0" collapsed="false">
      <c r="A20732" s="5" t="s">
        <v>483</v>
      </c>
      <c r="C20732" s="26" t="n">
        <f aca="false">Assumptions!$C$34</f>
        <v>2</v>
      </c>
    </row>
    <row r="20733" customFormat="false" ht="15" hidden="false" customHeight="false" outlineLevel="0" collapsed="false">
      <c r="A20733" s="5" t="s">
        <v>484</v>
      </c>
      <c r="C20733" s="20" t="n">
        <f aca="false">IF(C20644=1,SUMPRODUCT($G$20612:$K$20612,$G$20488:$K$20488),0)</f>
        <v>2</v>
      </c>
    </row>
    <row r="20734" customFormat="false" ht="15" hidden="false" customHeight="false" outlineLevel="0" collapsed="false">
      <c r="A20734" s="5" t="s">
        <v>485</v>
      </c>
      <c r="C20734" s="21" t="n">
        <f aca="false">IFERROR(C20729/CHOOSE(C20728,SUMPRODUCT($G$20643:$K$20643,$G$20534:$K$20534),SUMPRODUCT($G$20643:$K$20643,$G$20547:$K$20547),SUMPRODUCT($G$20643:$K$20643,$G$20560:$K$20560),SUMPRODUCT($G$20643:$K$20643,$G$20573:$K$20573)),0)</f>
        <v>0.196232339089482</v>
      </c>
    </row>
    <row r="20735" customFormat="false" ht="15" hidden="false" customHeight="false" outlineLevel="0" collapsed="false">
      <c r="A20735" s="5" t="s">
        <v>486</v>
      </c>
      <c r="C20735" s="25" t="n">
        <f aca="false">CHOOSE(C20728,C20705,C20706,C20707,C20708)*C20734</f>
        <v>29.0034660125589</v>
      </c>
    </row>
    <row r="20736" customFormat="false" ht="15" hidden="false" customHeight="false" outlineLevel="0" collapsed="false">
      <c r="A20736" s="5" t="s">
        <v>487</v>
      </c>
      <c r="C20736" s="21" t="n">
        <f aca="false">CHOOSE(C20728,C20710,C20711,C20712,C20713)</f>
        <v>0.280871236049474</v>
      </c>
    </row>
    <row r="20737" customFormat="false" ht="15" hidden="false" customHeight="false" outlineLevel="0" collapsed="false">
      <c r="A20737" s="5" t="s">
        <v>488</v>
      </c>
      <c r="C20737" s="20" t="n">
        <f aca="false">IF(C20644=1,C20733,C20732)</f>
        <v>2</v>
      </c>
    </row>
    <row r="20738" customFormat="false" ht="15" hidden="false" customHeight="false" outlineLevel="0" collapsed="false">
      <c r="A20738" s="5" t="s">
        <v>489</v>
      </c>
      <c r="C20738" s="33" t="n">
        <f aca="false">CHOOSE($C$20480,Assumptions!$C$77,Assumptions!$C$96,Assumptions!$C$115)</f>
        <v>70</v>
      </c>
    </row>
    <row r="20739" customFormat="false" ht="15" hidden="false" customHeight="false" outlineLevel="0" collapsed="false">
      <c r="A20739" s="5" t="s">
        <v>490</v>
      </c>
      <c r="C20739" s="25" t="n">
        <f aca="false">INDEX($G$20497:$K$20497,C20732)*CHOOSE($C$20480,Assumptions!$C$76,Assumptions!$C$95,Assumptions!$C$114)+MAX(0,INDEX($G$20609:$K$20609,C20732))</f>
        <v>55.97928</v>
      </c>
    </row>
    <row r="20740" customFormat="false" ht="15" hidden="false" customHeight="false" outlineLevel="0" collapsed="false">
      <c r="A20740" s="23" t="s">
        <v>491</v>
      </c>
      <c r="B20740" s="24"/>
      <c r="C20740" s="24"/>
      <c r="D20740" s="24"/>
      <c r="E20740" s="24"/>
      <c r="F20740" s="24"/>
      <c r="G20740" s="24"/>
      <c r="H20740" s="24"/>
      <c r="I20740" s="24"/>
      <c r="J20740" s="24"/>
      <c r="K20740" s="24"/>
    </row>
    <row r="20741" customFormat="false" ht="15" hidden="false" customHeight="false" outlineLevel="0" collapsed="false">
      <c r="A20741" s="5" t="s">
        <v>457</v>
      </c>
      <c r="C20741" s="25" t="n">
        <f aca="false">INDEX($G$20534:$K$20534,C20732)</f>
        <v>234.9088</v>
      </c>
    </row>
    <row r="20742" customFormat="false" ht="15" hidden="false" customHeight="false" outlineLevel="0" collapsed="false">
      <c r="A20742" s="5" t="s">
        <v>458</v>
      </c>
      <c r="C20742" s="25" t="n">
        <f aca="false">INDEX($G$20547:$K$20547,C20732)</f>
        <v>509.6</v>
      </c>
    </row>
    <row r="20743" customFormat="false" ht="15" hidden="false" customHeight="false" outlineLevel="0" collapsed="false">
      <c r="A20743" s="5" t="s">
        <v>459</v>
      </c>
      <c r="C20743" s="25" t="n">
        <f aca="false">INDEX($G$20560:$K$20560,C20732)</f>
        <v>250</v>
      </c>
    </row>
    <row r="20744" customFormat="false" ht="15" hidden="false" customHeight="false" outlineLevel="0" collapsed="false">
      <c r="A20744" s="5" t="s">
        <v>460</v>
      </c>
      <c r="C20744" s="25" t="n">
        <f aca="false">INDEX($G$20573:$K$20573,C20732)</f>
        <v>300</v>
      </c>
    </row>
    <row r="20745" customFormat="false" ht="15" hidden="false" customHeight="false" outlineLevel="0" collapsed="false">
      <c r="A20745" s="23" t="s">
        <v>461</v>
      </c>
      <c r="B20745" s="24"/>
      <c r="C20745" s="24"/>
      <c r="D20745" s="24"/>
      <c r="E20745" s="24"/>
      <c r="F20745" s="24"/>
      <c r="G20745" s="24"/>
      <c r="H20745" s="24"/>
      <c r="I20745" s="24"/>
      <c r="J20745" s="24"/>
      <c r="K20745" s="24"/>
    </row>
    <row r="20746" customFormat="false" ht="15" hidden="false" customHeight="false" outlineLevel="0" collapsed="false">
      <c r="A20746" s="5" t="s">
        <v>457</v>
      </c>
      <c r="C20746" s="26" t="n">
        <f aca="false">Assumptions!$M$53</f>
        <v>1</v>
      </c>
    </row>
    <row r="20747" customFormat="false" ht="15" hidden="false" customHeight="false" outlineLevel="0" collapsed="false">
      <c r="A20747" s="5" t="s">
        <v>458</v>
      </c>
      <c r="C20747" s="26" t="n">
        <f aca="false">Assumptions!$M$54</f>
        <v>2</v>
      </c>
    </row>
    <row r="20748" customFormat="false" ht="15" hidden="false" customHeight="false" outlineLevel="0" collapsed="false">
      <c r="A20748" s="5" t="s">
        <v>459</v>
      </c>
      <c r="C20748" s="26" t="n">
        <f aca="false">Assumptions!$M$55</f>
        <v>3</v>
      </c>
    </row>
    <row r="20749" customFormat="false" ht="15" hidden="false" customHeight="false" outlineLevel="0" collapsed="false">
      <c r="A20749" s="5" t="s">
        <v>460</v>
      </c>
      <c r="C20749" s="26" t="n">
        <f aca="false">Assumptions!$M$56</f>
        <v>4</v>
      </c>
    </row>
    <row r="20750" customFormat="false" ht="15" hidden="false" customHeight="false" outlineLevel="0" collapsed="false">
      <c r="A20750" s="23" t="s">
        <v>462</v>
      </c>
      <c r="B20750" s="24"/>
      <c r="C20750" s="24"/>
      <c r="D20750" s="24"/>
      <c r="E20750" s="24"/>
      <c r="F20750" s="24"/>
      <c r="G20750" s="24"/>
      <c r="H20750" s="24"/>
      <c r="I20750" s="24"/>
      <c r="J20750" s="24"/>
      <c r="K20750" s="24"/>
    </row>
    <row r="20751" customFormat="false" ht="15" hidden="false" customHeight="false" outlineLevel="0" collapsed="false">
      <c r="A20751" s="5" t="s">
        <v>457</v>
      </c>
      <c r="C20751" s="34" t="n">
        <f aca="false">Assumptions!$Q$53</f>
        <v>0</v>
      </c>
    </row>
    <row r="20752" customFormat="false" ht="15" hidden="false" customHeight="false" outlineLevel="0" collapsed="false">
      <c r="A20752" s="5" t="s">
        <v>458</v>
      </c>
      <c r="C20752" s="34" t="n">
        <f aca="false">Assumptions!$Q$54</f>
        <v>0</v>
      </c>
    </row>
    <row r="20753" customFormat="false" ht="15" hidden="false" customHeight="false" outlineLevel="0" collapsed="false">
      <c r="A20753" s="5" t="s">
        <v>459</v>
      </c>
      <c r="C20753" s="34" t="n">
        <f aca="false">Assumptions!$Q$55</f>
        <v>0</v>
      </c>
    </row>
    <row r="20754" customFormat="false" ht="15" hidden="false" customHeight="false" outlineLevel="0" collapsed="false">
      <c r="A20754" s="5" t="s">
        <v>460</v>
      </c>
      <c r="C20754" s="34" t="n">
        <f aca="false">Assumptions!$Q$56</f>
        <v>0</v>
      </c>
    </row>
    <row r="20755" customFormat="false" ht="15" hidden="false" customHeight="false" outlineLevel="0" collapsed="false">
      <c r="A20755" s="23" t="s">
        <v>463</v>
      </c>
      <c r="B20755" s="24"/>
      <c r="C20755" s="24"/>
      <c r="D20755" s="24"/>
      <c r="E20755" s="24"/>
      <c r="F20755" s="24"/>
      <c r="G20755" s="24"/>
      <c r="H20755" s="24"/>
      <c r="I20755" s="24"/>
      <c r="J20755" s="24"/>
      <c r="K20755" s="24"/>
    </row>
    <row r="20756" customFormat="false" ht="15" hidden="false" customHeight="false" outlineLevel="0" collapsed="false">
      <c r="A20756" s="5" t="s">
        <v>457</v>
      </c>
      <c r="C20756" s="25" t="n">
        <f aca="false">IF(C20751&gt;0,MIN(C20741,C20751*$C$20739),0)</f>
        <v>0</v>
      </c>
    </row>
    <row r="20757" customFormat="false" ht="15" hidden="false" customHeight="false" outlineLevel="0" collapsed="false">
      <c r="A20757" s="5" t="s">
        <v>458</v>
      </c>
      <c r="C20757" s="25" t="n">
        <f aca="false">IF(C20752&gt;0,MIN(C20742,C20752*$C$20739),0)</f>
        <v>0</v>
      </c>
    </row>
    <row r="20758" customFormat="false" ht="15" hidden="false" customHeight="false" outlineLevel="0" collapsed="false">
      <c r="A20758" s="5" t="s">
        <v>459</v>
      </c>
      <c r="C20758" s="25" t="n">
        <f aca="false">IF(C20753&gt;0,MIN(C20743,C20753*$C$20739),0)</f>
        <v>0</v>
      </c>
    </row>
    <row r="20759" customFormat="false" ht="15" hidden="false" customHeight="false" outlineLevel="0" collapsed="false">
      <c r="A20759" s="5" t="s">
        <v>460</v>
      </c>
      <c r="C20759" s="25" t="n">
        <f aca="false">IF(C20754&gt;0,MIN(C20744,C20754*$C$20739),0)</f>
        <v>0</v>
      </c>
    </row>
    <row r="20760" customFormat="false" ht="15" hidden="false" customHeight="false" outlineLevel="0" collapsed="false">
      <c r="A20760" s="23" t="s">
        <v>464</v>
      </c>
      <c r="B20760" s="24"/>
      <c r="C20760" s="24"/>
      <c r="D20760" s="24"/>
      <c r="E20760" s="24"/>
      <c r="F20760" s="24"/>
      <c r="G20760" s="24"/>
      <c r="H20760" s="24"/>
      <c r="I20760" s="24"/>
      <c r="J20760" s="24"/>
      <c r="K20760" s="24"/>
    </row>
    <row r="20761" customFormat="false" ht="15" hidden="false" customHeight="false" outlineLevel="0" collapsed="false">
      <c r="A20761" s="5" t="s">
        <v>457</v>
      </c>
      <c r="C20761" s="25" t="n">
        <f aca="false">IF(C20751&gt;0,C20741-C20756,0)</f>
        <v>0</v>
      </c>
    </row>
    <row r="20762" customFormat="false" ht="15" hidden="false" customHeight="false" outlineLevel="0" collapsed="false">
      <c r="A20762" s="5" t="s">
        <v>458</v>
      </c>
      <c r="C20762" s="25" t="n">
        <f aca="false">IF(C20752&gt;0,C20742-C20757,0)</f>
        <v>0</v>
      </c>
    </row>
    <row r="20763" customFormat="false" ht="15" hidden="false" customHeight="false" outlineLevel="0" collapsed="false">
      <c r="A20763" s="5" t="s">
        <v>459</v>
      </c>
      <c r="C20763" s="25" t="n">
        <f aca="false">IF(C20753&gt;0,C20743-C20758,0)</f>
        <v>0</v>
      </c>
    </row>
    <row r="20764" customFormat="false" ht="15" hidden="false" customHeight="false" outlineLevel="0" collapsed="false">
      <c r="A20764" s="5" t="s">
        <v>460</v>
      </c>
      <c r="C20764" s="25" t="n">
        <f aca="false">IF(C20754&gt;0,C20744-C20759,0)</f>
        <v>0</v>
      </c>
    </row>
    <row r="20765" customFormat="false" ht="15" hidden="false" customHeight="false" outlineLevel="0" collapsed="false">
      <c r="A20765" s="23" t="s">
        <v>465</v>
      </c>
      <c r="B20765" s="24"/>
      <c r="C20765" s="24"/>
      <c r="D20765" s="24"/>
      <c r="E20765" s="24"/>
      <c r="F20765" s="24"/>
      <c r="G20765" s="24"/>
      <c r="H20765" s="24"/>
      <c r="I20765" s="24"/>
      <c r="J20765" s="24"/>
      <c r="K20765" s="24"/>
    </row>
    <row r="20766" customFormat="false" ht="15" hidden="false" customHeight="false" outlineLevel="0" collapsed="false">
      <c r="A20766" s="5" t="s">
        <v>457</v>
      </c>
      <c r="C20766" s="25" t="n">
        <f aca="false">IF(C20751&gt;0,C20761,C20741)</f>
        <v>234.9088</v>
      </c>
    </row>
    <row r="20767" customFormat="false" ht="15" hidden="false" customHeight="false" outlineLevel="0" collapsed="false">
      <c r="A20767" s="5" t="s">
        <v>458</v>
      </c>
      <c r="C20767" s="25" t="n">
        <f aca="false">IF(C20752&gt;0,C20762,C20742)</f>
        <v>509.6</v>
      </c>
    </row>
    <row r="20768" customFormat="false" ht="15" hidden="false" customHeight="false" outlineLevel="0" collapsed="false">
      <c r="A20768" s="5" t="s">
        <v>459</v>
      </c>
      <c r="C20768" s="25" t="n">
        <f aca="false">IF(C20753&gt;0,C20763,C20743)</f>
        <v>250</v>
      </c>
    </row>
    <row r="20769" customFormat="false" ht="15" hidden="false" customHeight="false" outlineLevel="0" collapsed="false">
      <c r="A20769" s="5" t="s">
        <v>460</v>
      </c>
      <c r="C20769" s="25" t="n">
        <f aca="false">IF(C20754&gt;0,C20764,C20744)</f>
        <v>300</v>
      </c>
    </row>
    <row r="20770" customFormat="false" ht="15" hidden="false" customHeight="false" outlineLevel="0" collapsed="false">
      <c r="A20770" s="23" t="s">
        <v>466</v>
      </c>
      <c r="B20770" s="24"/>
      <c r="C20770" s="24"/>
      <c r="D20770" s="24"/>
      <c r="E20770" s="24"/>
      <c r="F20770" s="24"/>
      <c r="G20770" s="24"/>
      <c r="H20770" s="24"/>
      <c r="I20770" s="24"/>
      <c r="J20770" s="24"/>
      <c r="K20770" s="24"/>
    </row>
    <row r="20771" customFormat="false" ht="15" hidden="false" customHeight="false" outlineLevel="0" collapsed="false">
      <c r="A20771" s="5" t="s">
        <v>457</v>
      </c>
      <c r="C20771" s="20" t="n">
        <f aca="false">IF(C20751&gt;0,Assumptions!$C$17,C20746)</f>
        <v>1</v>
      </c>
    </row>
    <row r="20772" customFormat="false" ht="15" hidden="false" customHeight="false" outlineLevel="0" collapsed="false">
      <c r="A20772" s="5" t="s">
        <v>458</v>
      </c>
      <c r="C20772" s="20" t="n">
        <f aca="false">IF(C20752&gt;0,Assumptions!$C$17,C20747)</f>
        <v>2</v>
      </c>
    </row>
    <row r="20773" customFormat="false" ht="15" hidden="false" customHeight="false" outlineLevel="0" collapsed="false">
      <c r="A20773" s="5" t="s">
        <v>459</v>
      </c>
      <c r="C20773" s="20" t="n">
        <f aca="false">IF(C20753&gt;0,Assumptions!$C$17,C20748)</f>
        <v>3</v>
      </c>
    </row>
    <row r="20774" customFormat="false" ht="15" hidden="false" customHeight="false" outlineLevel="0" collapsed="false">
      <c r="A20774" s="5" t="s">
        <v>460</v>
      </c>
      <c r="C20774" s="20" t="n">
        <f aca="false">IF(C20754&gt;0,Assumptions!$C$17,C20749)</f>
        <v>4</v>
      </c>
    </row>
    <row r="20775" customFormat="false" ht="15" hidden="false" customHeight="false" outlineLevel="0" collapsed="false">
      <c r="A20775" s="23" t="s">
        <v>467</v>
      </c>
      <c r="B20775" s="24"/>
      <c r="C20775" s="24"/>
      <c r="D20775" s="24"/>
      <c r="E20775" s="24"/>
      <c r="F20775" s="24"/>
      <c r="G20775" s="24"/>
      <c r="H20775" s="24"/>
      <c r="I20775" s="24"/>
      <c r="J20775" s="24"/>
      <c r="K20775" s="24"/>
    </row>
    <row r="20776" customFormat="false" ht="15" hidden="false" customHeight="false" outlineLevel="0" collapsed="false">
      <c r="A20776" s="5" t="s">
        <v>457</v>
      </c>
      <c r="C20776" s="25" t="n">
        <f aca="false">SUMPRODUCT(($C$20771:$C$20774&lt;C20771)*$C$20766:$C$20769)</f>
        <v>0</v>
      </c>
    </row>
    <row r="20777" customFormat="false" ht="15" hidden="false" customHeight="false" outlineLevel="0" collapsed="false">
      <c r="A20777" s="5" t="s">
        <v>458</v>
      </c>
      <c r="C20777" s="25" t="n">
        <f aca="false">SUMPRODUCT(($C$20771:$C$20774&lt;C20772)*$C$20766:$C$20769)</f>
        <v>234.9088</v>
      </c>
    </row>
    <row r="20778" customFormat="false" ht="15" hidden="false" customHeight="false" outlineLevel="0" collapsed="false">
      <c r="A20778" s="5" t="s">
        <v>459</v>
      </c>
      <c r="C20778" s="25" t="n">
        <f aca="false">SUMPRODUCT(($C$20771:$C$20774&lt;C20773)*$C$20766:$C$20769)</f>
        <v>744.5088</v>
      </c>
    </row>
    <row r="20779" customFormat="false" ht="15" hidden="false" customHeight="false" outlineLevel="0" collapsed="false">
      <c r="A20779" s="5" t="s">
        <v>460</v>
      </c>
      <c r="C20779" s="25" t="n">
        <f aca="false">SUMPRODUCT(($C$20771:$C$20774&lt;C20774)*$C$20766:$C$20769)</f>
        <v>994.5088</v>
      </c>
    </row>
    <row r="20780" customFormat="false" ht="15" hidden="false" customHeight="false" outlineLevel="0" collapsed="false">
      <c r="A20780" s="23" t="s">
        <v>468</v>
      </c>
      <c r="B20780" s="24"/>
      <c r="C20780" s="24"/>
      <c r="D20780" s="24"/>
      <c r="E20780" s="24"/>
      <c r="F20780" s="24"/>
      <c r="G20780" s="24"/>
      <c r="H20780" s="24"/>
      <c r="I20780" s="24"/>
      <c r="J20780" s="24"/>
      <c r="K20780" s="24"/>
    </row>
    <row r="20781" customFormat="false" ht="15" hidden="false" customHeight="false" outlineLevel="0" collapsed="false">
      <c r="A20781" s="5" t="s">
        <v>457</v>
      </c>
      <c r="C20781" s="25" t="n">
        <f aca="false">SUMPRODUCT(($C$20771:$C$20774=C20771)*$C$20766:$C$20769)</f>
        <v>234.9088</v>
      </c>
    </row>
    <row r="20782" customFormat="false" ht="15" hidden="false" customHeight="false" outlineLevel="0" collapsed="false">
      <c r="A20782" s="5" t="s">
        <v>458</v>
      </c>
      <c r="C20782" s="25" t="n">
        <f aca="false">SUMPRODUCT(($C$20771:$C$20774=C20772)*$C$20766:$C$20769)</f>
        <v>509.6</v>
      </c>
    </row>
    <row r="20783" customFormat="false" ht="15" hidden="false" customHeight="false" outlineLevel="0" collapsed="false">
      <c r="A20783" s="5" t="s">
        <v>459</v>
      </c>
      <c r="C20783" s="25" t="n">
        <f aca="false">SUMPRODUCT(($C$20771:$C$20774=C20773)*$C$20766:$C$20769)</f>
        <v>250</v>
      </c>
    </row>
    <row r="20784" customFormat="false" ht="15" hidden="false" customHeight="false" outlineLevel="0" collapsed="false">
      <c r="A20784" s="5" t="s">
        <v>460</v>
      </c>
      <c r="C20784" s="25" t="n">
        <f aca="false">SUMPRODUCT(($C$20771:$C$20774=C20774)*$C$20766:$C$20769)</f>
        <v>300</v>
      </c>
    </row>
    <row r="20785" customFormat="false" ht="15" hidden="false" customHeight="false" outlineLevel="0" collapsed="false">
      <c r="A20785" s="23" t="s">
        <v>469</v>
      </c>
      <c r="B20785" s="24"/>
      <c r="C20785" s="24"/>
      <c r="D20785" s="24"/>
      <c r="E20785" s="24"/>
      <c r="F20785" s="24"/>
      <c r="G20785" s="24"/>
      <c r="H20785" s="24"/>
      <c r="I20785" s="24"/>
      <c r="J20785" s="24"/>
      <c r="K20785" s="24"/>
    </row>
    <row r="20786" customFormat="false" ht="15" hidden="false" customHeight="false" outlineLevel="0" collapsed="false">
      <c r="A20786" s="5" t="s">
        <v>457</v>
      </c>
      <c r="C20786" s="25" t="n">
        <f aca="false">IF(C20781=0,0,C20766/C20781*MAX(0,MIN(C20781,$C$20739-SUM($C$20756:$C$20759)-C20776)))</f>
        <v>55.97928</v>
      </c>
    </row>
    <row r="20787" customFormat="false" ht="15" hidden="false" customHeight="false" outlineLevel="0" collapsed="false">
      <c r="A20787" s="5" t="s">
        <v>458</v>
      </c>
      <c r="C20787" s="25" t="n">
        <f aca="false">IF(C20782=0,0,C20767/C20782*MAX(0,MIN(C20782,$C$20739-SUM($C$20756:$C$20759)-C20777)))</f>
        <v>0</v>
      </c>
    </row>
    <row r="20788" customFormat="false" ht="15" hidden="false" customHeight="false" outlineLevel="0" collapsed="false">
      <c r="A20788" s="5" t="s">
        <v>459</v>
      </c>
      <c r="C20788" s="25" t="n">
        <f aca="false">IF(C20783=0,0,C20768/C20783*MAX(0,MIN(C20783,$C$20739-SUM($C$20756:$C$20759)-C20778)))</f>
        <v>0</v>
      </c>
    </row>
    <row r="20789" customFormat="false" ht="15" hidden="false" customHeight="false" outlineLevel="0" collapsed="false">
      <c r="A20789" s="5" t="s">
        <v>460</v>
      </c>
      <c r="C20789" s="25" t="n">
        <f aca="false">IF(C20784=0,0,C20769/C20784*MAX(0,MIN(C20784,$C$20739-SUM($C$20756:$C$20759)-C20779)))</f>
        <v>0</v>
      </c>
    </row>
    <row r="20790" customFormat="false" ht="15" hidden="false" customHeight="false" outlineLevel="0" collapsed="false">
      <c r="A20790" s="23" t="s">
        <v>470</v>
      </c>
      <c r="B20790" s="24"/>
      <c r="C20790" s="24"/>
      <c r="D20790" s="24"/>
      <c r="E20790" s="24"/>
      <c r="F20790" s="24"/>
      <c r="G20790" s="24"/>
      <c r="H20790" s="24"/>
      <c r="I20790" s="24"/>
      <c r="J20790" s="24"/>
      <c r="K20790" s="24"/>
    </row>
    <row r="20791" customFormat="false" ht="15" hidden="false" customHeight="false" outlineLevel="0" collapsed="false">
      <c r="A20791" s="2" t="s">
        <v>457</v>
      </c>
      <c r="C20791" s="16" t="n">
        <f aca="false">C20756+C20786</f>
        <v>55.97928</v>
      </c>
    </row>
    <row r="20792" customFormat="false" ht="15" hidden="false" customHeight="false" outlineLevel="0" collapsed="false">
      <c r="A20792" s="2" t="s">
        <v>458</v>
      </c>
      <c r="C20792" s="16" t="n">
        <f aca="false">C20757+C20787</f>
        <v>0</v>
      </c>
    </row>
    <row r="20793" customFormat="false" ht="15" hidden="false" customHeight="false" outlineLevel="0" collapsed="false">
      <c r="A20793" s="2" t="s">
        <v>459</v>
      </c>
      <c r="C20793" s="16" t="n">
        <f aca="false">C20758+C20788</f>
        <v>0</v>
      </c>
    </row>
    <row r="20794" customFormat="false" ht="15" hidden="false" customHeight="false" outlineLevel="0" collapsed="false">
      <c r="A20794" s="2" t="s">
        <v>460</v>
      </c>
      <c r="C20794" s="16" t="n">
        <f aca="false">C20759+C20789</f>
        <v>0</v>
      </c>
    </row>
    <row r="20795" customFormat="false" ht="15" hidden="false" customHeight="false" outlineLevel="0" collapsed="false">
      <c r="A20795" s="23" t="s">
        <v>471</v>
      </c>
      <c r="B20795" s="24"/>
      <c r="C20795" s="24"/>
      <c r="D20795" s="24"/>
      <c r="E20795" s="24"/>
      <c r="F20795" s="24"/>
      <c r="G20795" s="24"/>
      <c r="H20795" s="24"/>
      <c r="I20795" s="24"/>
      <c r="J20795" s="24"/>
      <c r="K20795" s="24"/>
    </row>
    <row r="20796" customFormat="false" ht="15" hidden="false" customHeight="false" outlineLevel="0" collapsed="false">
      <c r="A20796" s="5" t="s">
        <v>457</v>
      </c>
      <c r="C20796" s="21" t="n">
        <f aca="false">IF(C20741=0,1,C20791/C20741)</f>
        <v>0.238302183655955</v>
      </c>
    </row>
    <row r="20797" customFormat="false" ht="15" hidden="false" customHeight="false" outlineLevel="0" collapsed="false">
      <c r="A20797" s="5" t="s">
        <v>458</v>
      </c>
      <c r="C20797" s="21" t="n">
        <f aca="false">IF(C20742=0,1,C20792/C20742)</f>
        <v>0</v>
      </c>
    </row>
    <row r="20798" customFormat="false" ht="15" hidden="false" customHeight="false" outlineLevel="0" collapsed="false">
      <c r="A20798" s="5" t="s">
        <v>459</v>
      </c>
      <c r="C20798" s="21" t="n">
        <f aca="false">IF(C20743=0,1,C20793/C20743)</f>
        <v>0</v>
      </c>
    </row>
    <row r="20799" customFormat="false" ht="15" hidden="false" customHeight="false" outlineLevel="0" collapsed="false">
      <c r="A20799" s="5" t="s">
        <v>460</v>
      </c>
      <c r="C20799" s="21" t="n">
        <f aca="false">IF(C20744=0,1,C20794/C20744)</f>
        <v>0</v>
      </c>
    </row>
    <row r="20800" customFormat="false" ht="15" hidden="false" customHeight="false" outlineLevel="0" collapsed="false">
      <c r="A20800" s="23" t="s">
        <v>472</v>
      </c>
      <c r="B20800" s="24"/>
      <c r="C20800" s="24"/>
      <c r="D20800" s="24"/>
      <c r="E20800" s="24"/>
      <c r="F20800" s="24"/>
      <c r="G20800" s="24"/>
      <c r="H20800" s="24"/>
      <c r="I20800" s="24"/>
      <c r="J20800" s="24"/>
      <c r="K20800" s="24"/>
    </row>
    <row r="20801" customFormat="false" ht="15" hidden="false" customHeight="false" outlineLevel="0" collapsed="false">
      <c r="A20801" s="5" t="s">
        <v>457</v>
      </c>
      <c r="C20801" s="25" t="n">
        <f aca="false">C20741-C20791</f>
        <v>178.92952</v>
      </c>
    </row>
    <row r="20802" customFormat="false" ht="15" hidden="false" customHeight="false" outlineLevel="0" collapsed="false">
      <c r="A20802" s="5" t="s">
        <v>458</v>
      </c>
      <c r="C20802" s="25" t="n">
        <f aca="false">C20742-C20792</f>
        <v>509.6</v>
      </c>
    </row>
    <row r="20803" customFormat="false" ht="15" hidden="false" customHeight="false" outlineLevel="0" collapsed="false">
      <c r="A20803" s="5" t="s">
        <v>459</v>
      </c>
      <c r="C20803" s="25" t="n">
        <f aca="false">C20743-C20793</f>
        <v>250</v>
      </c>
    </row>
    <row r="20804" customFormat="false" ht="15" hidden="false" customHeight="false" outlineLevel="0" collapsed="false">
      <c r="A20804" s="5" t="s">
        <v>460</v>
      </c>
      <c r="C20804" s="25" t="n">
        <f aca="false">C20744-C20794</f>
        <v>300</v>
      </c>
    </row>
    <row r="20805" customFormat="false" ht="15" hidden="false" customHeight="false" outlineLevel="0" collapsed="false">
      <c r="A20805" s="23" t="s">
        <v>473</v>
      </c>
      <c r="B20805" s="24"/>
      <c r="C20805" s="24"/>
      <c r="D20805" s="24"/>
      <c r="E20805" s="24"/>
      <c r="F20805" s="24"/>
      <c r="G20805" s="24"/>
      <c r="H20805" s="24"/>
      <c r="I20805" s="24"/>
      <c r="J20805" s="24"/>
      <c r="K20805" s="24"/>
    </row>
    <row r="20806" customFormat="false" ht="15" hidden="false" customHeight="false" outlineLevel="0" collapsed="false">
      <c r="A20806" s="5" t="s">
        <v>457</v>
      </c>
      <c r="C20806" s="21" t="n">
        <f aca="false">IF(C20741=0,0,C20801/C20741)</f>
        <v>0.761697816344045</v>
      </c>
    </row>
    <row r="20807" customFormat="false" ht="15" hidden="false" customHeight="false" outlineLevel="0" collapsed="false">
      <c r="A20807" s="5" t="s">
        <v>458</v>
      </c>
      <c r="C20807" s="21" t="n">
        <f aca="false">IF(C20742=0,0,C20802/C20742)</f>
        <v>1</v>
      </c>
    </row>
    <row r="20808" customFormat="false" ht="15" hidden="false" customHeight="false" outlineLevel="0" collapsed="false">
      <c r="A20808" s="5" t="s">
        <v>459</v>
      </c>
      <c r="C20808" s="21" t="n">
        <f aca="false">IF(C20743=0,0,C20803/C20743)</f>
        <v>1</v>
      </c>
    </row>
    <row r="20809" customFormat="false" ht="15" hidden="false" customHeight="false" outlineLevel="0" collapsed="false">
      <c r="A20809" s="5" t="s">
        <v>460</v>
      </c>
      <c r="C20809" s="21" t="n">
        <f aca="false">IF(C20744=0,0,C20804/C20744)</f>
        <v>1</v>
      </c>
    </row>
    <row r="20810" customFormat="false" ht="15" hidden="false" customHeight="false" outlineLevel="0" collapsed="false">
      <c r="A20810" s="2" t="s">
        <v>474</v>
      </c>
      <c r="C20810" s="16" t="n">
        <f aca="false">MAX(0,$C$20739-SUM($C$20756:$C$20759)-SUM($C$20766:$C$20769))</f>
        <v>0</v>
      </c>
    </row>
    <row r="20811" customFormat="false" ht="15" hidden="false" customHeight="false" outlineLevel="0" collapsed="false">
      <c r="A20811" s="5" t="s">
        <v>492</v>
      </c>
      <c r="C20811" s="33" t="n">
        <f aca="false">MIN(C20738,100*CHOOSE(C20728,C20796,C20797,C20798,C20799))</f>
        <v>0</v>
      </c>
    </row>
    <row r="20812" customFormat="false" ht="15" hidden="false" customHeight="false" outlineLevel="0" collapsed="false">
      <c r="A20812" s="5" t="s">
        <v>493</v>
      </c>
      <c r="C20812" s="20" t="n">
        <f aca="false">IF(C20644=1,C20733+Assumptions!$C$36,C20732)</f>
        <v>3</v>
      </c>
    </row>
    <row r="20813" customFormat="false" ht="15" hidden="false" customHeight="false" outlineLevel="0" collapsed="false">
      <c r="A20813" s="23" t="s">
        <v>494</v>
      </c>
      <c r="B20813" s="24"/>
      <c r="C20813" s="24"/>
      <c r="D20813" s="24"/>
      <c r="E20813" s="24"/>
      <c r="F20813" s="24"/>
      <c r="G20813" s="24"/>
      <c r="H20813" s="24"/>
      <c r="I20813" s="24"/>
      <c r="J20813" s="24"/>
      <c r="K20813" s="24"/>
    </row>
    <row r="20814" customFormat="false" ht="15" hidden="false" customHeight="false" outlineLevel="0" collapsed="false">
      <c r="A20814" s="5" t="s">
        <v>495</v>
      </c>
      <c r="C20814" s="20" t="n">
        <f aca="false">COLUMN()-COLUMN($C$1)</f>
        <v>0</v>
      </c>
      <c r="D20814" s="20" t="n">
        <f aca="false">COLUMN()-COLUMN($C$1)</f>
        <v>1</v>
      </c>
      <c r="E20814" s="20" t="n">
        <f aca="false">COLUMN()-COLUMN($C$1)</f>
        <v>2</v>
      </c>
      <c r="F20814" s="20" t="n">
        <f aca="false">COLUMN()-COLUMN($C$1)</f>
        <v>3</v>
      </c>
      <c r="G20814" s="20" t="n">
        <f aca="false">COLUMN()-COLUMN($C$1)</f>
        <v>4</v>
      </c>
      <c r="H20814" s="20" t="n">
        <f aca="false">COLUMN()-COLUMN($C$1)</f>
        <v>5</v>
      </c>
      <c r="I20814" s="20" t="n">
        <f aca="false">COLUMN()-COLUMN($C$1)</f>
        <v>6</v>
      </c>
    </row>
    <row r="20815" customFormat="false" ht="15" hidden="false" customHeight="false" outlineLevel="0" collapsed="false">
      <c r="A20815" s="5" t="s">
        <v>496</v>
      </c>
      <c r="D20815" s="30" t="n">
        <f aca="false">CHOOSE($C$20728,G20526,G20539,G20552,G20565)</f>
        <v>0.133</v>
      </c>
      <c r="E20815" s="30" t="n">
        <f aca="false">CHOOSE($C$20728,H20526,H20539,H20552,H20565)</f>
        <v>0.1305</v>
      </c>
      <c r="F20815" s="30" t="n">
        <f aca="false">CHOOSE($C$20728,I20526,I20539,I20552,I20565)</f>
        <v>0.128</v>
      </c>
      <c r="G20815" s="30" t="n">
        <f aca="false">CHOOSE($C$20728,J20526,J20539,J20552,J20565)</f>
        <v>0.128</v>
      </c>
      <c r="H20815" s="30" t="n">
        <f aca="false">CHOOSE($C$20728,K20526,K20539,K20552,K20565)</f>
        <v>0.128</v>
      </c>
    </row>
    <row r="20816" customFormat="false" ht="15" hidden="false" customHeight="false" outlineLevel="0" collapsed="false">
      <c r="A20816" s="5" t="s">
        <v>497</v>
      </c>
      <c r="D20816" s="25" t="n">
        <f aca="false">IF(D20814&lt;=$C$20737,$C$20729*D20815,0)</f>
        <v>13.3</v>
      </c>
      <c r="E20816" s="25" t="n">
        <f aca="false">IF(E20814&lt;=$C$20737,$C$20729*E20815,0)</f>
        <v>13.05</v>
      </c>
      <c r="F20816" s="25" t="n">
        <f aca="false">IF(F20814&lt;=$C$20737,$C$20729*F20815,0)</f>
        <v>0</v>
      </c>
      <c r="G20816" s="25" t="n">
        <f aca="false">IF(G20814&lt;=$C$20737,$C$20729*G20815,0)</f>
        <v>0</v>
      </c>
      <c r="H20816" s="25" t="n">
        <f aca="false">IF(H20814&lt;=$C$20737,$C$20729*H20815,0)</f>
        <v>0</v>
      </c>
    </row>
    <row r="20817" customFormat="false" ht="15" hidden="false" customHeight="false" outlineLevel="0" collapsed="false">
      <c r="A20817" s="5" t="s">
        <v>498</v>
      </c>
      <c r="D20817" s="25" t="n">
        <f aca="false">IF(AND($C$20644=0,D20814=$C$20732),$C$20729*$C$20811/100,0)+IF(AND($C$20644=1,D20814=$C$20812),$C$20735,0)</f>
        <v>0</v>
      </c>
      <c r="E20817" s="25" t="n">
        <f aca="false">IF(AND($C$20644=0,E20814=$C$20732),$C$20729*$C$20811/100,0)+IF(AND($C$20644=1,E20814=$C$20812),$C$20735,0)</f>
        <v>0</v>
      </c>
      <c r="F20817" s="25" t="n">
        <f aca="false">IF(AND($C$20644=0,F20814=$C$20732),$C$20729*$C$20811/100,0)+IF(AND($C$20644=1,F20814=$C$20812),$C$20735,0)</f>
        <v>29.0034660125589</v>
      </c>
      <c r="G20817" s="25" t="n">
        <f aca="false">IF(AND($C$20644=0,G20814=$C$20732),$C$20729*$C$20811/100,0)+IF(AND($C$20644=1,G20814=$C$20812),$C$20735,0)</f>
        <v>0</v>
      </c>
      <c r="H20817" s="25" t="n">
        <f aca="false">IF(AND($C$20644=0,H20814=$C$20732),$C$20729*$C$20811/100,0)+IF(AND($C$20644=1,H20814=$C$20812),$C$20735,0)</f>
        <v>0</v>
      </c>
      <c r="I20817" s="25" t="n">
        <f aca="false">IF(AND($C$20644=0,I20814=$C$20732),$C$20729*$C$20811/100,0)+IF(AND($C$20644=1,I20814=$C$20812),$C$20735,0)</f>
        <v>0</v>
      </c>
    </row>
    <row r="20818" customFormat="false" ht="15" hidden="false" customHeight="false" outlineLevel="0" collapsed="false">
      <c r="A20818" s="2" t="s">
        <v>499</v>
      </c>
      <c r="C20818" s="16" t="n">
        <f aca="false">-$C$20731</f>
        <v>-78.39</v>
      </c>
      <c r="D20818" s="16" t="n">
        <f aca="false">D20816+D20817</f>
        <v>13.3</v>
      </c>
      <c r="E20818" s="16" t="n">
        <f aca="false">E20816+E20817</f>
        <v>13.05</v>
      </c>
      <c r="F20818" s="16" t="n">
        <f aca="false">F20816+F20817</f>
        <v>29.0034660125589</v>
      </c>
      <c r="G20818" s="16" t="n">
        <f aca="false">G20816+G20817</f>
        <v>0</v>
      </c>
      <c r="H20818" s="16" t="n">
        <f aca="false">H20816+H20817</f>
        <v>0</v>
      </c>
      <c r="I20818" s="16" t="n">
        <f aca="false">I20816+I20817</f>
        <v>0</v>
      </c>
    </row>
    <row r="20819" customFormat="false" ht="15" hidden="false" customHeight="false" outlineLevel="0" collapsed="false">
      <c r="A20819" s="5" t="s">
        <v>500</v>
      </c>
      <c r="C20819" s="25" t="n">
        <f aca="false">SUM($C$20816:$I$20816)</f>
        <v>26.35</v>
      </c>
    </row>
    <row r="20820" customFormat="false" ht="15" hidden="false" customHeight="false" outlineLevel="0" collapsed="false">
      <c r="A20820" s="5" t="s">
        <v>501</v>
      </c>
      <c r="C20820" s="25" t="n">
        <f aca="false">SUM($C$20817:$I$20817)</f>
        <v>29.0034660125589</v>
      </c>
    </row>
    <row r="20821" customFormat="false" ht="15" hidden="false" customHeight="false" outlineLevel="0" collapsed="false">
      <c r="A20821" s="5" t="s">
        <v>502</v>
      </c>
      <c r="C20821" s="25" t="n">
        <f aca="false">C20819+C20820</f>
        <v>55.3534660125589</v>
      </c>
    </row>
    <row r="20822" customFormat="false" ht="15" hidden="false" customHeight="false" outlineLevel="0" collapsed="false">
      <c r="A20822" s="5" t="s">
        <v>503</v>
      </c>
      <c r="C20822" s="25" t="n">
        <f aca="false">C20820-C20729*C20730/100</f>
        <v>-48.9965339874412</v>
      </c>
    </row>
    <row r="20823" customFormat="false" ht="15" hidden="false" customHeight="false" outlineLevel="0" collapsed="false">
      <c r="A20823" s="5" t="s">
        <v>504</v>
      </c>
      <c r="C20823" s="25" t="n">
        <f aca="false">C20821-C20731</f>
        <v>-23.0365339874411</v>
      </c>
    </row>
    <row r="20824" customFormat="false" ht="15" hidden="false" customHeight="false" outlineLevel="0" collapsed="false">
      <c r="A20824" s="2" t="s">
        <v>385</v>
      </c>
      <c r="C20824" s="43" t="n">
        <f aca="false">C20821/C20731</f>
        <v>0.706129174799832</v>
      </c>
    </row>
    <row r="20825" customFormat="false" ht="15" hidden="false" customHeight="false" outlineLevel="0" collapsed="false">
      <c r="A20825" s="2" t="s">
        <v>384</v>
      </c>
      <c r="C20825" s="41" t="n">
        <f aca="false">IF(C20821&lt;=0,-1,IFERROR(IRR($C$20818:$I$20818,MAX(-0.9,C20824^(1/C20812)-1)),IRR($C$20818:$I$20818,0.1)))</f>
        <v>-0.138534047289136</v>
      </c>
    </row>
    <row r="20826" customFormat="false" ht="15" hidden="false" customHeight="false" outlineLevel="0" collapsed="false">
      <c r="A20826" s="5" t="s">
        <v>505</v>
      </c>
      <c r="C20826" s="31" t="n">
        <f aca="false">MAX($G$20620:$K$20620)</f>
        <v>124.624351403687</v>
      </c>
    </row>
    <row r="20827" customFormat="false" ht="15" hidden="false" customHeight="false" outlineLevel="0" collapsed="false">
      <c r="A20827" s="5" t="s">
        <v>506</v>
      </c>
      <c r="C20827" s="31" t="n">
        <f aca="false">MIN($G$20621:$K$20621)</f>
        <v>0.109080209295775</v>
      </c>
    </row>
    <row r="20828" customFormat="false" ht="15" hidden="false" customHeight="false" outlineLevel="0" collapsed="false">
      <c r="A20828" s="5" t="s">
        <v>507</v>
      </c>
      <c r="C20828" s="25" t="n">
        <f aca="false">SUM($G$20510:$K$20510)</f>
        <v>-697.792895058854</v>
      </c>
    </row>
    <row r="20832" customFormat="false" ht="15" hidden="false" customHeight="false" outlineLevel="0" collapsed="false">
      <c r="A20832" s="9" t="s">
        <v>685</v>
      </c>
      <c r="B20832" s="10"/>
      <c r="C20832" s="10"/>
      <c r="D20832" s="10"/>
      <c r="E20832" s="10"/>
      <c r="F20832" s="10"/>
      <c r="G20832" s="10"/>
      <c r="H20832" s="10"/>
      <c r="I20832" s="10"/>
      <c r="J20832" s="10"/>
      <c r="K20832" s="10"/>
    </row>
    <row r="20833" customFormat="false" ht="15" hidden="false" customHeight="false" outlineLevel="0" collapsed="false">
      <c r="A20833" s="5" t="s">
        <v>622</v>
      </c>
      <c r="C20833" s="11" t="n">
        <v>3</v>
      </c>
    </row>
    <row r="20834" customFormat="false" ht="15" hidden="false" customHeight="false" outlineLevel="0" collapsed="false">
      <c r="A20834" s="5" t="s">
        <v>623</v>
      </c>
      <c r="C20834" s="18" t="n">
        <v>0</v>
      </c>
    </row>
    <row r="20835" customFormat="false" ht="15" hidden="false" customHeight="false" outlineLevel="0" collapsed="false">
      <c r="A20835" s="5" t="s">
        <v>624</v>
      </c>
      <c r="C20835" s="18" t="n">
        <v>0</v>
      </c>
    </row>
    <row r="20836" customFormat="false" ht="15" hidden="false" customHeight="false" outlineLevel="0" collapsed="false">
      <c r="A20836" s="5" t="s">
        <v>625</v>
      </c>
      <c r="C20836" s="18" t="n">
        <v>0</v>
      </c>
    </row>
    <row r="20837" customFormat="false" ht="15" hidden="false" customHeight="false" outlineLevel="0" collapsed="false">
      <c r="A20837" s="5" t="s">
        <v>626</v>
      </c>
      <c r="C20837" s="32" t="n">
        <f aca="false">Sensitivities!$A$61</f>
        <v>-1</v>
      </c>
    </row>
    <row r="20839" customFormat="false" ht="15" hidden="false" customHeight="false" outlineLevel="0" collapsed="false">
      <c r="A20839" s="23" t="s">
        <v>237</v>
      </c>
      <c r="B20839" s="24"/>
      <c r="C20839" s="24"/>
      <c r="D20839" s="24"/>
      <c r="E20839" s="24"/>
      <c r="F20839" s="24"/>
      <c r="G20839" s="24"/>
      <c r="H20839" s="24"/>
      <c r="I20839" s="24"/>
      <c r="J20839" s="24"/>
      <c r="K20839" s="24"/>
    </row>
    <row r="20840" customFormat="false" ht="15" hidden="false" customHeight="false" outlineLevel="0" collapsed="false">
      <c r="A20840" s="5" t="s">
        <v>238</v>
      </c>
      <c r="F20840" s="26" t="n">
        <f aca="false">Assumptions!$C$6</f>
        <v>2025</v>
      </c>
      <c r="G20840" s="20" t="n">
        <f aca="false">F20840+1</f>
        <v>2026</v>
      </c>
      <c r="H20840" s="20" t="n">
        <f aca="false">G20840+1</f>
        <v>2027</v>
      </c>
      <c r="I20840" s="20" t="n">
        <f aca="false">H20840+1</f>
        <v>2028</v>
      </c>
      <c r="J20840" s="20" t="n">
        <f aca="false">I20840+1</f>
        <v>2029</v>
      </c>
      <c r="K20840" s="20" t="n">
        <f aca="false">J20840+1</f>
        <v>2030</v>
      </c>
    </row>
    <row r="20841" customFormat="false" ht="15" hidden="false" customHeight="false" outlineLevel="0" collapsed="false">
      <c r="A20841" s="5" t="s">
        <v>239</v>
      </c>
      <c r="G20841" s="20" t="n">
        <f aca="false">G20840-Assumptions!$C$6</f>
        <v>1</v>
      </c>
      <c r="H20841" s="20" t="n">
        <f aca="false">H20840-Assumptions!$C$6</f>
        <v>2</v>
      </c>
      <c r="I20841" s="20" t="n">
        <f aca="false">I20840-Assumptions!$C$6</f>
        <v>3</v>
      </c>
      <c r="J20841" s="20" t="n">
        <f aca="false">J20840-Assumptions!$C$6</f>
        <v>4</v>
      </c>
      <c r="K20841" s="20" t="n">
        <f aca="false">K20840-Assumptions!$C$6</f>
        <v>5</v>
      </c>
    </row>
    <row r="20842" customFormat="false" ht="15" hidden="false" customHeight="false" outlineLevel="0" collapsed="false">
      <c r="A20842" s="5" t="s">
        <v>149</v>
      </c>
      <c r="G20842" s="21" t="n">
        <f aca="false">CHOOSE($C$20833,Assumptions!$G$65,Assumptions!$G$84,Assumptions!$G$103)+$C$20834</f>
        <v>-0.234</v>
      </c>
      <c r="H20842" s="21" t="n">
        <f aca="false">CHOOSE($C$20833,Assumptions!$H$65,Assumptions!$H$84,Assumptions!$H$103)+$C$20834</f>
        <v>-0.13</v>
      </c>
      <c r="I20842" s="21" t="n">
        <f aca="false">CHOOSE($C$20833,Assumptions!$I$65,Assumptions!$I$84,Assumptions!$I$103)+$C$20834</f>
        <v>-0.026</v>
      </c>
      <c r="J20842" s="21" t="n">
        <f aca="false">CHOOSE($C$20833,Assumptions!$J$65,Assumptions!$J$84,Assumptions!$J$103)+$C$20834</f>
        <v>-0.01</v>
      </c>
      <c r="K20842" s="21" t="n">
        <f aca="false">CHOOSE($C$20833,Assumptions!$K$65,Assumptions!$K$84,Assumptions!$K$103)+$C$20834</f>
        <v>-0.01</v>
      </c>
    </row>
    <row r="20843" customFormat="false" ht="15" hidden="false" customHeight="false" outlineLevel="0" collapsed="false">
      <c r="A20843" s="5" t="s">
        <v>150</v>
      </c>
      <c r="G20843" s="21" t="n">
        <f aca="false">CHOOSE($C$20833,Assumptions!$G$66,Assumptions!$G$85,Assumptions!$G$104)</f>
        <v>0.305</v>
      </c>
      <c r="H20843" s="21" t="n">
        <f aca="false">CHOOSE($C$20833,Assumptions!$H$66,Assumptions!$H$85,Assumptions!$H$104)</f>
        <v>0.305</v>
      </c>
      <c r="I20843" s="21" t="n">
        <f aca="false">CHOOSE($C$20833,Assumptions!$I$66,Assumptions!$I$85,Assumptions!$I$104)</f>
        <v>0.305</v>
      </c>
      <c r="J20843" s="21" t="n">
        <f aca="false">CHOOSE($C$20833,Assumptions!$J$66,Assumptions!$J$85,Assumptions!$J$104)</f>
        <v>0.305</v>
      </c>
      <c r="K20843" s="21" t="n">
        <f aca="false">CHOOSE($C$20833,Assumptions!$K$66,Assumptions!$K$85,Assumptions!$K$104)</f>
        <v>0.305</v>
      </c>
    </row>
    <row r="20844" customFormat="false" ht="15" hidden="false" customHeight="false" outlineLevel="0" collapsed="false">
      <c r="A20844" s="5" t="s">
        <v>151</v>
      </c>
      <c r="G20844" s="21" t="n">
        <f aca="false">CHOOSE($C$20833,Assumptions!$G$67,Assumptions!$G$86,Assumptions!$G$105)+$C$20835</f>
        <v>0.01</v>
      </c>
      <c r="H20844" s="21" t="n">
        <f aca="false">CHOOSE($C$20833,Assumptions!$H$67,Assumptions!$H$86,Assumptions!$H$105)+$C$20835</f>
        <v>0.01</v>
      </c>
      <c r="I20844" s="21" t="n">
        <f aca="false">CHOOSE($C$20833,Assumptions!$I$67,Assumptions!$I$86,Assumptions!$I$105)+$C$20835</f>
        <v>0.01</v>
      </c>
      <c r="J20844" s="21" t="n">
        <f aca="false">CHOOSE($C$20833,Assumptions!$J$67,Assumptions!$J$86,Assumptions!$J$105)+$C$20835</f>
        <v>0.01</v>
      </c>
      <c r="K20844" s="21" t="n">
        <f aca="false">CHOOSE($C$20833,Assumptions!$K$67,Assumptions!$K$86,Assumptions!$K$105)+$C$20835</f>
        <v>0.01</v>
      </c>
    </row>
    <row r="20845" customFormat="false" ht="15" hidden="false" customHeight="false" outlineLevel="0" collapsed="false">
      <c r="A20845" s="23" t="s">
        <v>240</v>
      </c>
      <c r="B20845" s="24"/>
      <c r="C20845" s="24"/>
      <c r="D20845" s="24"/>
      <c r="E20845" s="24"/>
      <c r="F20845" s="24"/>
      <c r="G20845" s="24"/>
      <c r="H20845" s="24"/>
      <c r="I20845" s="24"/>
      <c r="J20845" s="24"/>
      <c r="K20845" s="24"/>
    </row>
    <row r="20846" customFormat="false" ht="15" hidden="false" customHeight="false" outlineLevel="0" collapsed="false">
      <c r="A20846" s="2" t="s">
        <v>207</v>
      </c>
      <c r="F20846" s="27" t="n">
        <f aca="false">'Historical Financials'!E17</f>
        <v>2400</v>
      </c>
      <c r="G20846" s="16" t="n">
        <f aca="false">F20846*(1+G20842)</f>
        <v>1838.4</v>
      </c>
      <c r="H20846" s="16" t="n">
        <f aca="false">G20846*(1+H20842)</f>
        <v>1599.408</v>
      </c>
      <c r="I20846" s="16" t="n">
        <f aca="false">H20846*(1+I20842)</f>
        <v>1557.823392</v>
      </c>
      <c r="J20846" s="16" t="n">
        <f aca="false">I20846*(1+J20842)</f>
        <v>1542.24515808</v>
      </c>
      <c r="K20846" s="16" t="n">
        <f aca="false">J20846*(1+K20842)</f>
        <v>1526.8227064992</v>
      </c>
    </row>
    <row r="20847" customFormat="false" ht="15" hidden="false" customHeight="false" outlineLevel="0" collapsed="false">
      <c r="A20847" s="5" t="s">
        <v>217</v>
      </c>
      <c r="G20847" s="25" t="n">
        <f aca="false">G20846*(1-G20843)</f>
        <v>1277.688</v>
      </c>
      <c r="H20847" s="25" t="n">
        <f aca="false">H20846*(1-H20843)</f>
        <v>1111.58856</v>
      </c>
      <c r="I20847" s="25" t="n">
        <f aca="false">I20846*(1-I20843)</f>
        <v>1082.68725744</v>
      </c>
      <c r="J20847" s="25" t="n">
        <f aca="false">J20846*(1-J20843)</f>
        <v>1071.8603848656</v>
      </c>
      <c r="K20847" s="25" t="n">
        <f aca="false">K20846*(1-K20843)</f>
        <v>1061.14178101694</v>
      </c>
    </row>
    <row r="20848" customFormat="false" ht="15" hidden="false" customHeight="false" outlineLevel="0" collapsed="false">
      <c r="A20848" s="2" t="s">
        <v>218</v>
      </c>
      <c r="G20848" s="16" t="n">
        <f aca="false">G20846-G20847</f>
        <v>560.712</v>
      </c>
      <c r="H20848" s="16" t="n">
        <f aca="false">H20846-H20847</f>
        <v>487.81944</v>
      </c>
      <c r="I20848" s="16" t="n">
        <f aca="false">I20846-I20847</f>
        <v>475.13613456</v>
      </c>
      <c r="J20848" s="16" t="n">
        <f aca="false">J20846-J20847</f>
        <v>470.3847732144</v>
      </c>
      <c r="K20848" s="16" t="n">
        <f aca="false">K20846-K20847</f>
        <v>465.680925482256</v>
      </c>
    </row>
    <row r="20849" customFormat="false" ht="15" hidden="false" customHeight="false" outlineLevel="0" collapsed="false">
      <c r="A20849" s="5" t="s">
        <v>241</v>
      </c>
      <c r="G20849" s="25" t="n">
        <f aca="false">G20848-G20850</f>
        <v>542.328</v>
      </c>
      <c r="H20849" s="25" t="n">
        <f aca="false">H20848-H20850</f>
        <v>471.82536</v>
      </c>
      <c r="I20849" s="25" t="n">
        <f aca="false">I20848-I20850</f>
        <v>459.55790064</v>
      </c>
      <c r="J20849" s="25" t="n">
        <f aca="false">J20848-J20850</f>
        <v>454.9623216336</v>
      </c>
      <c r="K20849" s="25" t="n">
        <f aca="false">K20848-K20850</f>
        <v>450.412698417264</v>
      </c>
    </row>
    <row r="20850" customFormat="false" ht="15" hidden="false" customHeight="false" outlineLevel="0" collapsed="false">
      <c r="A20850" s="2" t="s">
        <v>242</v>
      </c>
      <c r="G20850" s="16" t="n">
        <f aca="false">G20846*G20844</f>
        <v>18.384</v>
      </c>
      <c r="H20850" s="16" t="n">
        <f aca="false">H20846*H20844</f>
        <v>15.99408</v>
      </c>
      <c r="I20850" s="16" t="n">
        <f aca="false">I20846*I20844</f>
        <v>15.57823392</v>
      </c>
      <c r="J20850" s="16" t="n">
        <f aca="false">J20846*J20844</f>
        <v>15.4224515808</v>
      </c>
      <c r="K20850" s="16" t="n">
        <f aca="false">K20846*K20844</f>
        <v>15.268227064992</v>
      </c>
    </row>
    <row r="20851" customFormat="false" ht="15" hidden="false" customHeight="false" outlineLevel="0" collapsed="false">
      <c r="A20851" s="5" t="s">
        <v>243</v>
      </c>
      <c r="G20851" s="25" t="n">
        <f aca="false">G20846*'Historical Financials'!E22/'Historical Financials'!E17</f>
        <v>40.4448</v>
      </c>
      <c r="H20851" s="25" t="n">
        <f aca="false">H20846*'Historical Financials'!E22/'Historical Financials'!E17</f>
        <v>35.186976</v>
      </c>
      <c r="I20851" s="25" t="n">
        <f aca="false">I20846*'Historical Financials'!E22/'Historical Financials'!E17</f>
        <v>34.272114624</v>
      </c>
      <c r="J20851" s="25" t="n">
        <f aca="false">J20846*'Historical Financials'!E22/'Historical Financials'!E17</f>
        <v>33.92939347776</v>
      </c>
      <c r="K20851" s="25" t="n">
        <f aca="false">K20846*'Historical Financials'!E22/'Historical Financials'!E17</f>
        <v>33.5900995429824</v>
      </c>
    </row>
    <row r="20852" customFormat="false" ht="15" hidden="false" customHeight="false" outlineLevel="0" collapsed="false">
      <c r="A20852" s="5" t="s">
        <v>244</v>
      </c>
      <c r="G20852" s="25" t="n">
        <f aca="false">G20846*'Historical Financials'!E23/'Historical Financials'!E17</f>
        <v>0</v>
      </c>
      <c r="H20852" s="25" t="n">
        <f aca="false">H20846*'Historical Financials'!E23/'Historical Financials'!E17</f>
        <v>0</v>
      </c>
      <c r="I20852" s="25" t="n">
        <f aca="false">I20846*'Historical Financials'!E23/'Historical Financials'!E17</f>
        <v>0</v>
      </c>
      <c r="J20852" s="25" t="n">
        <f aca="false">J20846*'Historical Financials'!E23/'Historical Financials'!E17</f>
        <v>0</v>
      </c>
      <c r="K20852" s="25" t="n">
        <f aca="false">K20846*'Historical Financials'!E23/'Historical Financials'!E17</f>
        <v>0</v>
      </c>
    </row>
    <row r="20853" customFormat="false" ht="15" hidden="false" customHeight="false" outlineLevel="0" collapsed="false">
      <c r="A20853" s="2" t="s">
        <v>245</v>
      </c>
      <c r="G20853" s="16" t="n">
        <f aca="false">G20850-G20851-G20852</f>
        <v>-22.0608</v>
      </c>
      <c r="H20853" s="16" t="n">
        <f aca="false">H20850-H20851-H20852</f>
        <v>-19.192896</v>
      </c>
      <c r="I20853" s="16" t="n">
        <f aca="false">I20850-I20851-I20852</f>
        <v>-18.693880704</v>
      </c>
      <c r="J20853" s="16" t="n">
        <f aca="false">J20850-J20851-J20852</f>
        <v>-18.50694189696</v>
      </c>
      <c r="K20853" s="16" t="n">
        <f aca="false">K20850-K20851-K20852</f>
        <v>-18.3218724779904</v>
      </c>
    </row>
    <row r="20854" customFormat="false" ht="15" hidden="false" customHeight="false" outlineLevel="0" collapsed="false">
      <c r="A20854" s="5" t="s">
        <v>246</v>
      </c>
      <c r="G20854" s="25" t="n">
        <f aca="false">G20880+G20893+G20906+G20919</f>
        <v>140.04</v>
      </c>
      <c r="H20854" s="25" t="n">
        <f aca="false">H20880+H20893+H20906+H20919</f>
        <v>143.8435488</v>
      </c>
      <c r="I20854" s="25" t="n">
        <f aca="false">I20880+I20893+I20906+I20919</f>
        <v>141.3036768</v>
      </c>
      <c r="J20854" s="25" t="n">
        <f aca="false">J20880+J20893+J20906+J20919</f>
        <v>140.6380768</v>
      </c>
      <c r="K20854" s="25" t="n">
        <f aca="false">K20880+K20893+K20906+K20919</f>
        <v>139.9724768</v>
      </c>
    </row>
    <row r="20855" customFormat="false" ht="15" hidden="false" customHeight="false" outlineLevel="0" collapsed="false">
      <c r="A20855" s="5" t="s">
        <v>247</v>
      </c>
      <c r="G20855" s="25" t="n">
        <f aca="false">G20881+G20894+G20907+G20920</f>
        <v>0</v>
      </c>
      <c r="H20855" s="25" t="n">
        <f aca="false">H20881+H20894+H20907+H20920</f>
        <v>0</v>
      </c>
      <c r="I20855" s="25" t="n">
        <f aca="false">I20881+I20894+I20907+I20920</f>
        <v>0</v>
      </c>
      <c r="J20855" s="25" t="n">
        <f aca="false">J20881+J20894+J20907+J20920</f>
        <v>0</v>
      </c>
      <c r="K20855" s="25" t="n">
        <f aca="false">K20881+K20894+K20907+K20920</f>
        <v>0</v>
      </c>
    </row>
    <row r="20856" customFormat="false" ht="15" hidden="false" customHeight="false" outlineLevel="0" collapsed="false">
      <c r="A20856" s="5" t="s">
        <v>212</v>
      </c>
      <c r="G20856" s="25" t="n">
        <f aca="false">G20854+G20855</f>
        <v>140.04</v>
      </c>
      <c r="H20856" s="25" t="n">
        <f aca="false">H20854+H20855</f>
        <v>143.8435488</v>
      </c>
      <c r="I20856" s="25" t="n">
        <f aca="false">I20854+I20855</f>
        <v>141.3036768</v>
      </c>
      <c r="J20856" s="25" t="n">
        <f aca="false">J20854+J20855</f>
        <v>140.6380768</v>
      </c>
      <c r="K20856" s="25" t="n">
        <f aca="false">K20854+K20855</f>
        <v>139.9724768</v>
      </c>
    </row>
    <row r="20857" customFormat="false" ht="15" hidden="false" customHeight="false" outlineLevel="0" collapsed="false">
      <c r="A20857" s="2" t="s">
        <v>223</v>
      </c>
      <c r="G20857" s="16" t="n">
        <f aca="false">G20853-G20856</f>
        <v>-162.1008</v>
      </c>
      <c r="H20857" s="16" t="n">
        <f aca="false">H20853-H20856</f>
        <v>-163.0364448</v>
      </c>
      <c r="I20857" s="16" t="n">
        <f aca="false">I20853-I20856</f>
        <v>-159.997557504</v>
      </c>
      <c r="J20857" s="16" t="n">
        <f aca="false">J20853-J20856</f>
        <v>-159.14501869696</v>
      </c>
      <c r="K20857" s="16" t="n">
        <f aca="false">K20853-K20856</f>
        <v>-158.29434927799</v>
      </c>
    </row>
    <row r="20858" customFormat="false" ht="15" hidden="false" customHeight="false" outlineLevel="0" collapsed="false">
      <c r="A20858" s="5" t="s">
        <v>213</v>
      </c>
      <c r="G20858" s="25" t="n">
        <f aca="false">MAX(0,G20857)*Assumptions!$C$9</f>
        <v>0</v>
      </c>
      <c r="H20858" s="25" t="n">
        <f aca="false">MAX(0,H20857)*Assumptions!$C$9</f>
        <v>0</v>
      </c>
      <c r="I20858" s="25" t="n">
        <f aca="false">MAX(0,I20857)*Assumptions!$C$9</f>
        <v>0</v>
      </c>
      <c r="J20858" s="25" t="n">
        <f aca="false">MAX(0,J20857)*Assumptions!$C$9</f>
        <v>0</v>
      </c>
      <c r="K20858" s="25" t="n">
        <f aca="false">MAX(0,K20857)*Assumptions!$C$9</f>
        <v>0</v>
      </c>
    </row>
    <row r="20859" customFormat="false" ht="15" hidden="false" customHeight="false" outlineLevel="0" collapsed="false">
      <c r="A20859" s="2" t="s">
        <v>248</v>
      </c>
      <c r="G20859" s="16" t="n">
        <f aca="false">G20857-G20858</f>
        <v>-162.1008</v>
      </c>
      <c r="H20859" s="16" t="n">
        <f aca="false">H20857-H20858</f>
        <v>-163.0364448</v>
      </c>
      <c r="I20859" s="16" t="n">
        <f aca="false">I20857-I20858</f>
        <v>-159.997557504</v>
      </c>
      <c r="J20859" s="16" t="n">
        <f aca="false">J20857-J20858</f>
        <v>-159.14501869696</v>
      </c>
      <c r="K20859" s="16" t="n">
        <f aca="false">K20857-K20858</f>
        <v>-158.29434927799</v>
      </c>
    </row>
    <row r="20860" customFormat="false" ht="15" hidden="false" customHeight="false" outlineLevel="0" collapsed="false">
      <c r="A20860" s="23" t="s">
        <v>249</v>
      </c>
      <c r="B20860" s="24"/>
      <c r="C20860" s="24"/>
      <c r="D20860" s="24"/>
      <c r="E20860" s="24"/>
      <c r="F20860" s="24"/>
      <c r="G20860" s="24"/>
      <c r="H20860" s="24"/>
      <c r="I20860" s="24"/>
      <c r="J20860" s="24"/>
      <c r="K20860" s="24"/>
    </row>
    <row r="20861" customFormat="false" ht="15" hidden="false" customHeight="false" outlineLevel="0" collapsed="false">
      <c r="A20861" s="5" t="s">
        <v>153</v>
      </c>
      <c r="G20861" s="25" t="n">
        <f aca="false">G20846*CHOOSE($C$20833,Assumptions!$C$69,Assumptions!$C$88,Assumptions!$C$107)</f>
        <v>29.4144</v>
      </c>
      <c r="H20861" s="25" t="n">
        <f aca="false">H20846*CHOOSE($C$20833,Assumptions!$C$69,Assumptions!$C$88,Assumptions!$C$107)</f>
        <v>25.590528</v>
      </c>
      <c r="I20861" s="25" t="n">
        <f aca="false">I20846*CHOOSE($C$20833,Assumptions!$C$69,Assumptions!$C$88,Assumptions!$C$107)</f>
        <v>24.925174272</v>
      </c>
      <c r="J20861" s="25" t="n">
        <f aca="false">J20846*CHOOSE($C$20833,Assumptions!$C$69,Assumptions!$C$88,Assumptions!$C$107)</f>
        <v>24.67592252928</v>
      </c>
      <c r="K20861" s="25" t="n">
        <f aca="false">K20846*CHOOSE($C$20833,Assumptions!$C$69,Assumptions!$C$88,Assumptions!$C$107)</f>
        <v>24.4291633039872</v>
      </c>
    </row>
    <row r="20862" customFormat="false" ht="15" hidden="false" customHeight="false" outlineLevel="0" collapsed="false">
      <c r="A20862" s="5" t="s">
        <v>250</v>
      </c>
      <c r="G20862" s="25" t="n">
        <f aca="false">CHOOSE($C$20833,Assumptions!$C$70,Assumptions!$C$89,Assumptions!$C$108)*(G20846-F20846)+CHOOSE($C$20833,Assumptions!$C$71,Assumptions!$C$90,Assumptions!$C$109)*G20846</f>
        <v>-56.3616</v>
      </c>
      <c r="H20862" s="25" t="n">
        <f aca="false">CHOOSE($C$20833,Assumptions!$C$70,Assumptions!$C$89,Assumptions!$C$108)*(H20846-G20846)+CHOOSE($C$20833,Assumptions!$C$71,Assumptions!$C$90,Assumptions!$C$109)*H20846</f>
        <v>-19.082592</v>
      </c>
      <c r="I20862" s="25" t="n">
        <f aca="false">CHOOSE($C$20833,Assumptions!$C$70,Assumptions!$C$89,Assumptions!$C$108)*(I20846-H20846)+CHOOSE($C$20833,Assumptions!$C$71,Assumptions!$C$90,Assumptions!$C$109)*I20846</f>
        <v>4.35678739199999</v>
      </c>
      <c r="J20862" s="25" t="n">
        <f aca="false">CHOOSE($C$20833,Assumptions!$C$70,Assumptions!$C$89,Assumptions!$C$108)*(J20846-I20846)+CHOOSE($C$20833,Assumptions!$C$71,Assumptions!$C$90,Assumptions!$C$109)*J20846</f>
        <v>7.38408287808</v>
      </c>
      <c r="K20862" s="25" t="n">
        <f aca="false">CHOOSE($C$20833,Assumptions!$C$70,Assumptions!$C$89,Assumptions!$C$108)*(K20846-J20846)+CHOOSE($C$20833,Assumptions!$C$71,Assumptions!$C$90,Assumptions!$C$109)*K20846</f>
        <v>7.3102420492992</v>
      </c>
    </row>
    <row r="20863" customFormat="false" ht="15" hidden="false" customHeight="false" outlineLevel="0" collapsed="false">
      <c r="A20863" s="2" t="s">
        <v>251</v>
      </c>
      <c r="G20863" s="16" t="n">
        <f aca="false">G20859+G20851+G20852+G20855-G20861-G20862</f>
        <v>-94.7088</v>
      </c>
      <c r="H20863" s="16" t="n">
        <f aca="false">H20859+H20851+H20852+H20855-H20861-H20862</f>
        <v>-134.3574048</v>
      </c>
      <c r="I20863" s="16" t="n">
        <f aca="false">I20859+I20851+I20852+I20855-I20861-I20862</f>
        <v>-155.007404544</v>
      </c>
      <c r="J20863" s="16" t="n">
        <f aca="false">J20859+J20851+J20852+J20855-J20861-J20862</f>
        <v>-157.27563062656</v>
      </c>
      <c r="K20863" s="16" t="n">
        <f aca="false">K20859+K20851+K20852+K20855-K20861-K20862</f>
        <v>-156.443655088294</v>
      </c>
    </row>
    <row r="20865" customFormat="false" ht="15" hidden="false" customHeight="false" outlineLevel="0" collapsed="false">
      <c r="A20865" s="23" t="s">
        <v>253</v>
      </c>
      <c r="B20865" s="24"/>
      <c r="C20865" s="24"/>
      <c r="D20865" s="24"/>
      <c r="E20865" s="24"/>
      <c r="F20865" s="24"/>
      <c r="G20865" s="24"/>
      <c r="H20865" s="24"/>
      <c r="I20865" s="24"/>
      <c r="J20865" s="24"/>
      <c r="K20865" s="24"/>
    </row>
    <row r="20866" customFormat="false" ht="15" hidden="false" customHeight="false" outlineLevel="0" collapsed="false">
      <c r="A20866" s="5" t="s">
        <v>254</v>
      </c>
      <c r="G20866" s="29" t="n">
        <f aca="false">Assumptions!$G$49</f>
        <v>0.0425</v>
      </c>
      <c r="H20866" s="29" t="n">
        <f aca="false">Assumptions!$H$49</f>
        <v>0.04</v>
      </c>
      <c r="I20866" s="29" t="n">
        <f aca="false">Assumptions!$I$49</f>
        <v>0.0375</v>
      </c>
      <c r="J20866" s="29" t="n">
        <f aca="false">Assumptions!$J$49</f>
        <v>0.0375</v>
      </c>
      <c r="K20866" s="29" t="n">
        <f aca="false">Assumptions!$K$49</f>
        <v>0.0375</v>
      </c>
    </row>
    <row r="20867" customFormat="false" ht="15" hidden="false" customHeight="false" outlineLevel="0" collapsed="false">
      <c r="A20867" s="5" t="s">
        <v>255</v>
      </c>
      <c r="C20867" s="30" t="n">
        <f aca="false">CHOOSE($C$20833,Assumptions!$C$72,Assumptions!$C$91,Assumptions!$C$110)+$C$20836</f>
        <v>0.03</v>
      </c>
    </row>
    <row r="20868" customFormat="false" ht="15" hidden="false" customHeight="false" outlineLevel="0" collapsed="false">
      <c r="A20868" s="5" t="s">
        <v>256</v>
      </c>
      <c r="C20868" s="30" t="n">
        <f aca="false">CHOOSE($C$20833,Assumptions!$C$73,Assumptions!$C$92,Assumptions!$C$111)</f>
        <v>0.16</v>
      </c>
    </row>
    <row r="20869" customFormat="false" ht="15" hidden="false" customHeight="false" outlineLevel="0" collapsed="false">
      <c r="A20869" s="5" t="s">
        <v>257</v>
      </c>
      <c r="C20869" s="31" t="n">
        <f aca="false">CHOOSE($C$20833,Assumptions!$C$74,Assumptions!$C$93,Assumptions!$C$112)</f>
        <v>5</v>
      </c>
    </row>
    <row r="20870" customFormat="false" ht="15" hidden="false" customHeight="false" outlineLevel="0" collapsed="false">
      <c r="A20870" s="5" t="s">
        <v>258</v>
      </c>
      <c r="C20870" s="31" t="n">
        <f aca="false">CHOOSE($C$20833,Assumptions!$C$75,Assumptions!$C$94,Assumptions!$C$113)</f>
        <v>2</v>
      </c>
    </row>
    <row r="20871" customFormat="false" ht="15" hidden="false" customHeight="false" outlineLevel="0" collapsed="false">
      <c r="A20871" s="5" t="s">
        <v>259</v>
      </c>
      <c r="G20871" s="25" t="n">
        <f aca="false">G20876+G20889+G20902+G20915</f>
        <v>1250</v>
      </c>
      <c r="H20871" s="25" t="n">
        <f aca="false">H20876+H20889+H20902+H20915</f>
        <v>1299.7088</v>
      </c>
      <c r="I20871" s="25" t="n">
        <f aca="false">I20876+I20889+I20902+I20915</f>
        <v>1294.5088</v>
      </c>
      <c r="J20871" s="25" t="n">
        <f aca="false">J20876+J20889+J20902+J20915</f>
        <v>1289.3088</v>
      </c>
      <c r="K20871" s="25" t="n">
        <f aca="false">K20876+K20889+K20902+K20915</f>
        <v>1284.1088</v>
      </c>
    </row>
    <row r="20872" customFormat="false" ht="15" hidden="false" customHeight="false" outlineLevel="0" collapsed="false">
      <c r="A20872" s="5" t="s">
        <v>260</v>
      </c>
      <c r="G20872" s="25" t="n">
        <f aca="false">F20962</f>
        <v>45</v>
      </c>
      <c r="H20872" s="25" t="n">
        <f aca="false">G20962</f>
        <v>0</v>
      </c>
      <c r="I20872" s="25" t="n">
        <f aca="false">H20962</f>
        <v>-139.5574048</v>
      </c>
      <c r="J20872" s="25" t="n">
        <f aca="false">I20962</f>
        <v>-299.764809344</v>
      </c>
      <c r="K20872" s="25" t="n">
        <f aca="false">J20962</f>
        <v>-462.24043997056</v>
      </c>
    </row>
    <row r="20873" customFormat="false" ht="15" hidden="false" customHeight="false" outlineLevel="0" collapsed="false">
      <c r="A20873" s="5" t="s">
        <v>261</v>
      </c>
      <c r="G20873" s="25" t="n">
        <f aca="false">G20876*IF(G20877=1,$C$20868,IF(Assumptions!$I$53=1,MAX(G20866,Assumptions!$G$53)+Assumptions!$F$53+$C$20867,Assumptions!$E$53))+G20889*IF(G20890=1,$C$20868,IF(Assumptions!$I$54=1,MAX(G20866,Assumptions!$G$54)+Assumptions!$F$54+$C$20867,Assumptions!$E$54))+G20902*IF(G20903=1,$C$20868,IF(Assumptions!$I$55=1,MAX(G20866,Assumptions!$G$55)+Assumptions!$F$55+$C$20867,Assumptions!$E$55))+G20915*IF(G20916=1,$C$20868,IF(Assumptions!$I$56=1,MAX(G20866,Assumptions!$G$56)+Assumptions!$F$56+$C$20867,Assumptions!$E$56))</f>
        <v>140.04</v>
      </c>
      <c r="H20873" s="25" t="n">
        <f aca="false">H20876*IF(OR(H20877=1,G21028=1),$C$20868,IF(Assumptions!$I$53=1,MAX(H20866,Assumptions!$G$53)+Assumptions!$F$53+$C$20867,Assumptions!$E$53))+H20889*IF(OR(H20890=1,G21029=1),$C$20868,IF(Assumptions!$I$54=1,MAX(H20866,Assumptions!$G$54)+Assumptions!$F$54+$C$20867,Assumptions!$E$54))+H20902*IF(OR(H20903=1,G21030=1),$C$20868,IF(Assumptions!$I$55=1,MAX(H20866,Assumptions!$G$55)+Assumptions!$F$55+$C$20867,Assumptions!$E$55))+H20915*IF(OR(H20916=1,G21031=1),$C$20868,IF(Assumptions!$I$56=1,MAX(H20866,Assumptions!$G$56)+Assumptions!$F$56+$C$20867,Assumptions!$E$56))</f>
        <v>180.266808</v>
      </c>
      <c r="I20873" s="25" t="n">
        <f aca="false">I20876*IF(OR(I20877=1,H21028=1),$C$20868,IF(Assumptions!$I$53=1,MAX(I20866,Assumptions!$G$53)+Assumptions!$F$53+$C$20867,Assumptions!$E$53))+I20889*IF(OR(I20890=1,H21029=1),$C$20868,IF(Assumptions!$I$54=1,MAX(I20866,Assumptions!$G$54)+Assumptions!$F$54+$C$20867,Assumptions!$E$54))+I20902*IF(OR(I20903=1,H21030=1),$C$20868,IF(Assumptions!$I$55=1,MAX(I20866,Assumptions!$G$55)+Assumptions!$F$55+$C$20867,Assumptions!$E$55))+I20915*IF(OR(I20916=1,H21031=1),$C$20868,IF(Assumptions!$I$56=1,MAX(I20866,Assumptions!$G$56)+Assumptions!$F$56+$C$20867,Assumptions!$E$56))</f>
        <v>157.6108768</v>
      </c>
      <c r="J20873" s="25" t="n">
        <f aca="false">J20876*IF(OR(J20877=1,I21028=1),$C$20868,IF(Assumptions!$I$53=1,MAX(J20866,Assumptions!$G$53)+Assumptions!$F$53+$C$20867,Assumptions!$E$53))+J20889*IF(OR(J20890=1,I21029=1),$C$20868,IF(Assumptions!$I$54=1,MAX(J20866,Assumptions!$G$54)+Assumptions!$F$54+$C$20867,Assumptions!$E$54))+J20902*IF(OR(J20903=1,I21030=1),$C$20868,IF(Assumptions!$I$55=1,MAX(J20866,Assumptions!$G$55)+Assumptions!$F$55+$C$20867,Assumptions!$E$55))+J20915*IF(OR(J20916=1,I21031=1),$C$20868,IF(Assumptions!$I$56=1,MAX(J20866,Assumptions!$G$56)+Assumptions!$F$56+$C$20867,Assumptions!$E$56))</f>
        <v>153.1380768</v>
      </c>
      <c r="K20873" s="25" t="n">
        <f aca="false">K20876*IF(OR(K20877=1,J21028=1),$C$20868,IF(Assumptions!$I$53=1,MAX(K20866,Assumptions!$G$53)+Assumptions!$F$53+$C$20867,Assumptions!$E$53))+K20889*IF(OR(K20890=1,J21029=1),$C$20868,IF(Assumptions!$I$54=1,MAX(K20866,Assumptions!$G$54)+Assumptions!$F$54+$C$20867,Assumptions!$E$54))+K20902*IF(OR(K20903=1,J21030=1),$C$20868,IF(Assumptions!$I$55=1,MAX(K20866,Assumptions!$G$55)+Assumptions!$F$55+$C$20867,Assumptions!$E$55))+K20915*IF(OR(K20916=1,J21031=1),$C$20868,IF(Assumptions!$I$56=1,MAX(K20866,Assumptions!$G$56)+Assumptions!$F$56+$C$20867,Assumptions!$E$56))</f>
        <v>139.9724768</v>
      </c>
    </row>
    <row r="20874" customFormat="false" ht="15" hidden="false" customHeight="false" outlineLevel="0" collapsed="false">
      <c r="A20874" s="5" t="s">
        <v>262</v>
      </c>
      <c r="G20874" s="20" t="n">
        <f aca="false">IF(G20850&lt;=0,0,IF(AND((G20871-G20872)/G20850&lt;=$C$20869,G20850/G20873&gt;=$C$20870),1,0))</f>
        <v>0</v>
      </c>
      <c r="H20874" s="20" t="n">
        <f aca="false">IF(H20850&lt;=0,0,IF(AND((H20871-H20872)/H20850&lt;=$C$20869,H20850/H20873&gt;=$C$20870),1,0))</f>
        <v>0</v>
      </c>
      <c r="I20874" s="20" t="n">
        <f aca="false">IF(I20850&lt;=0,0,IF(AND((I20871-I20872)/I20850&lt;=$C$20869,I20850/I20873&gt;=$C$20870),1,0))</f>
        <v>0</v>
      </c>
      <c r="J20874" s="20" t="n">
        <f aca="false">IF(J20850&lt;=0,0,IF(AND((J20871-J20872)/J20850&lt;=$C$20869,J20850/J20873&gt;=$C$20870),1,0))</f>
        <v>0</v>
      </c>
      <c r="K20874" s="20" t="n">
        <f aca="false">IF(K20850&lt;=0,0,IF(AND((K20871-K20872)/K20850&lt;=$C$20869,K20850/K20873&gt;=$C$20870),1,0))</f>
        <v>0</v>
      </c>
    </row>
    <row r="20875" customFormat="false" ht="15" hidden="false" customHeight="false" outlineLevel="0" collapsed="false">
      <c r="A20875" s="23" t="s">
        <v>263</v>
      </c>
      <c r="B20875" s="24"/>
      <c r="C20875" s="24"/>
      <c r="D20875" s="24"/>
      <c r="E20875" s="24"/>
      <c r="F20875" s="24"/>
      <c r="G20875" s="24"/>
      <c r="H20875" s="24"/>
      <c r="I20875" s="24"/>
      <c r="J20875" s="24"/>
      <c r="K20875" s="24"/>
    </row>
    <row r="20876" customFormat="false" ht="15" hidden="false" customHeight="false" outlineLevel="0" collapsed="false">
      <c r="A20876" s="5" t="s">
        <v>264</v>
      </c>
      <c r="G20876" s="25" t="n">
        <f aca="false">F20887</f>
        <v>180</v>
      </c>
      <c r="H20876" s="25" t="n">
        <f aca="false">G20887</f>
        <v>234.9088</v>
      </c>
      <c r="I20876" s="25" t="n">
        <f aca="false">H20887</f>
        <v>234.9088</v>
      </c>
      <c r="J20876" s="25" t="n">
        <f aca="false">I20887</f>
        <v>234.9088</v>
      </c>
      <c r="K20876" s="25" t="n">
        <f aca="false">J20887</f>
        <v>234.9088</v>
      </c>
    </row>
    <row r="20877" customFormat="false" ht="15" hidden="false" customHeight="false" outlineLevel="0" collapsed="false">
      <c r="A20877" s="5" t="s">
        <v>265</v>
      </c>
      <c r="G20877" s="20" t="n">
        <f aca="false">IF(G20840=Assumptions!$K$53,1,0)</f>
        <v>0</v>
      </c>
      <c r="H20877" s="20" t="n">
        <f aca="false">IF(H20840=Assumptions!$K$53,1,0)</f>
        <v>1</v>
      </c>
      <c r="I20877" s="20" t="n">
        <f aca="false">IF(I20840=Assumptions!$K$53,1,0)</f>
        <v>0</v>
      </c>
      <c r="J20877" s="20" t="n">
        <f aca="false">IF(J20840=Assumptions!$K$53,1,0)</f>
        <v>0</v>
      </c>
      <c r="K20877" s="20" t="n">
        <f aca="false">IF(K20840=Assumptions!$K$53,1,0)</f>
        <v>0</v>
      </c>
    </row>
    <row r="20879" customFormat="false" ht="15" hidden="false" customHeight="false" outlineLevel="0" collapsed="false">
      <c r="A20879" s="5" t="s">
        <v>266</v>
      </c>
      <c r="G20879" s="30" t="n">
        <f aca="false">IF(Assumptions!$I$53=1,MAX(G20866,Assumptions!$G$53)+Assumptions!$F$53+$C$20867,Assumptions!$E$53)</f>
        <v>0.116</v>
      </c>
      <c r="H20879" s="30" t="n">
        <f aca="false">IF(G21028=1,$C$20868,IF(Assumptions!$I$53=1,MAX(H20866,Assumptions!$G$53)+Assumptions!$F$53+$C$20867,Assumptions!$E$53))</f>
        <v>0.1135</v>
      </c>
      <c r="I20879" s="30" t="n">
        <f aca="false">IF(H21028=1,$C$20868,IF(Assumptions!$I$53=1,MAX(I20866,Assumptions!$G$53)+Assumptions!$F$53+$C$20867,Assumptions!$E$53))</f>
        <v>0.111</v>
      </c>
      <c r="J20879" s="30" t="n">
        <f aca="false">IF(I21028=1,$C$20868,IF(Assumptions!$I$53=1,MAX(J20866,Assumptions!$G$53)+Assumptions!$F$53+$C$20867,Assumptions!$E$53))</f>
        <v>0.111</v>
      </c>
      <c r="K20879" s="30" t="n">
        <f aca="false">IF(J21028=1,$C$20868,IF(Assumptions!$I$53=1,MAX(K20866,Assumptions!$G$53)+Assumptions!$F$53+$C$20867,Assumptions!$E$53))</f>
        <v>0.111</v>
      </c>
    </row>
    <row r="20880" customFormat="false" ht="15" hidden="false" customHeight="false" outlineLevel="0" collapsed="false">
      <c r="A20880" s="5" t="s">
        <v>267</v>
      </c>
      <c r="G20880" s="25" t="n">
        <f aca="false">G20876*G20879</f>
        <v>20.88</v>
      </c>
      <c r="H20880" s="25" t="n">
        <f aca="false">H20876*H20879</f>
        <v>26.6621488</v>
      </c>
      <c r="I20880" s="25" t="n">
        <f aca="false">I20876*I20879</f>
        <v>26.0748768</v>
      </c>
      <c r="J20880" s="25" t="n">
        <f aca="false">J20876*J20879</f>
        <v>26.0748768</v>
      </c>
      <c r="K20880" s="25" t="n">
        <f aca="false">K20876*K20879</f>
        <v>26.0748768</v>
      </c>
    </row>
    <row r="20881" customFormat="false" ht="15" hidden="false" customHeight="false" outlineLevel="0" collapsed="false">
      <c r="A20881" s="5" t="s">
        <v>268</v>
      </c>
      <c r="G20881" s="25" t="n">
        <f aca="false">G20876*Assumptions!$H$53</f>
        <v>0</v>
      </c>
      <c r="H20881" s="25" t="n">
        <f aca="false">H20876*Assumptions!$H$53</f>
        <v>0</v>
      </c>
      <c r="I20881" s="25" t="n">
        <f aca="false">I20876*Assumptions!$H$53</f>
        <v>0</v>
      </c>
      <c r="J20881" s="25" t="n">
        <f aca="false">J20876*Assumptions!$H$53</f>
        <v>0</v>
      </c>
      <c r="K20881" s="25" t="n">
        <f aca="false">K20876*Assumptions!$H$53</f>
        <v>0</v>
      </c>
    </row>
    <row r="20882" customFormat="false" ht="15" hidden="false" customHeight="false" outlineLevel="0" collapsed="false">
      <c r="A20882" s="5" t="s">
        <v>269</v>
      </c>
      <c r="G20882" s="25" t="n">
        <f aca="false">MIN(G20876,Assumptions!$L$53*Assumptions!$C$53)</f>
        <v>0</v>
      </c>
      <c r="H20882" s="25" t="n">
        <f aca="false">MIN(H20876,Assumptions!$L$53*Assumptions!$C$53)</f>
        <v>0</v>
      </c>
      <c r="I20882" s="25" t="n">
        <f aca="false">MIN(I20876,Assumptions!$L$53*Assumptions!$C$53)</f>
        <v>0</v>
      </c>
      <c r="J20882" s="25" t="n">
        <f aca="false">MIN(J20876,Assumptions!$L$53*Assumptions!$C$53)</f>
        <v>0</v>
      </c>
      <c r="K20882" s="25" t="n">
        <f aca="false">MIN(K20876,Assumptions!$L$53*Assumptions!$C$53)</f>
        <v>0</v>
      </c>
    </row>
    <row r="20883" customFormat="false" ht="15" hidden="false" customHeight="false" outlineLevel="0" collapsed="false">
      <c r="A20883" s="5" t="s">
        <v>270</v>
      </c>
      <c r="G20883" s="25" t="n">
        <f aca="false">IF(AND(Assumptions!$P$53=1,G20840&lt;Assumptions!$K$53),MIN(MAX(0,-G20954),MAX(0,Assumptions!$D$53-G20876)),0)</f>
        <v>54.9088</v>
      </c>
      <c r="H20883" s="25" t="n">
        <f aca="false">IF(AND(Assumptions!$P$53=1,OR(H20840&lt;Assumptions!$K$53,G21028=1)),MIN(MAX(0,-H20954),MAX(0,Assumptions!$D$53-H20876)),0)</f>
        <v>0</v>
      </c>
      <c r="I20883" s="25" t="n">
        <f aca="false">IF(AND(Assumptions!$P$53=1,OR(I20840&lt;Assumptions!$K$53,H21028=1)),MIN(MAX(0,-I20954),MAX(0,Assumptions!$D$53-I20876)),0)</f>
        <v>0</v>
      </c>
      <c r="J20883" s="25" t="n">
        <f aca="false">IF(AND(Assumptions!$P$53=1,OR(J20840&lt;Assumptions!$K$53,I21028=1)),MIN(MAX(0,-J20954),MAX(0,Assumptions!$D$53-J20876)),0)</f>
        <v>0</v>
      </c>
      <c r="K20883" s="25" t="n">
        <f aca="false">IF(AND(Assumptions!$P$53=1,OR(K20840&lt;Assumptions!$K$53,J21028=1)),MIN(MAX(0,-K20954),MAX(0,Assumptions!$D$53-K20876)),0)</f>
        <v>0</v>
      </c>
    </row>
    <row r="20884" customFormat="false" ht="15" hidden="false" customHeight="false" outlineLevel="0" collapsed="false">
      <c r="A20884" s="5" t="s">
        <v>271</v>
      </c>
      <c r="G20884" s="25" t="n">
        <f aca="false">G20877*MIN(G20876-G20882+G20881,MAX(0,G20956-Assumptions!$C$12*G20874))</f>
        <v>0</v>
      </c>
      <c r="H20884" s="25" t="n">
        <f aca="false">H20877*MIN(H20876-H20882+H20881,MAX(0,H20956-Assumptions!$C$12*H20874))</f>
        <v>0</v>
      </c>
      <c r="I20884" s="25" t="n">
        <f aca="false">I20877*MIN(I20876-I20882+I20881,MAX(0,I20956-Assumptions!$C$12*I20874))</f>
        <v>0</v>
      </c>
      <c r="J20884" s="25" t="n">
        <f aca="false">J20877*MIN(J20876-J20882+J20881,MAX(0,J20956-Assumptions!$C$12*J20874))</f>
        <v>0</v>
      </c>
      <c r="K20884" s="25" t="n">
        <f aca="false">K20877*MIN(K20876-K20882+K20881,MAX(0,K20956-Assumptions!$C$12*K20874))</f>
        <v>0</v>
      </c>
    </row>
    <row r="20885" customFormat="false" ht="15" hidden="false" customHeight="false" outlineLevel="0" collapsed="false">
      <c r="A20885" s="5" t="s">
        <v>272</v>
      </c>
      <c r="G20885" s="25" t="n">
        <f aca="false">Assumptions!$N$53*MIN(G20876+G20883+G20881-G20882-G20884,MAX(0,G20960))</f>
        <v>0</v>
      </c>
      <c r="H20885" s="25" t="n">
        <f aca="false">Assumptions!$N$53*MIN(H20876+H20883+H20881-H20882-H20884,MAX(0,H20960))</f>
        <v>0</v>
      </c>
      <c r="I20885" s="25" t="n">
        <f aca="false">Assumptions!$N$53*MIN(I20876+I20883+I20881-I20882-I20884,MAX(0,I20960))</f>
        <v>0</v>
      </c>
      <c r="J20885" s="25" t="n">
        <f aca="false">Assumptions!$N$53*MIN(J20876+J20883+J20881-J20882-J20884,MAX(0,J20960))</f>
        <v>0</v>
      </c>
      <c r="K20885" s="25" t="n">
        <f aca="false">Assumptions!$N$53*MIN(K20876+K20883+K20881-K20882-K20884,MAX(0,K20960))</f>
        <v>0</v>
      </c>
    </row>
    <row r="20886" customFormat="false" ht="15" hidden="false" customHeight="false" outlineLevel="0" collapsed="false">
      <c r="A20886" s="5" t="s">
        <v>273</v>
      </c>
      <c r="G20886" s="25" t="n">
        <f aca="false">G20877*(1-G20874)*(G20876-G20882+G20881-G20884)</f>
        <v>0</v>
      </c>
      <c r="H20886" s="25" t="n">
        <f aca="false">H20877*(1-H20874)*(H20876-H20882+H20881-H20884)</f>
        <v>234.9088</v>
      </c>
      <c r="I20886" s="25" t="n">
        <f aca="false">I20877*(1-I20874)*(I20876-I20882+I20881-I20884)</f>
        <v>0</v>
      </c>
      <c r="J20886" s="25" t="n">
        <f aca="false">J20877*(1-J20874)*(J20876-J20882+J20881-J20884)</f>
        <v>0</v>
      </c>
      <c r="K20886" s="25" t="n">
        <f aca="false">K20877*(1-K20874)*(K20876-K20882+K20881-K20884)</f>
        <v>0</v>
      </c>
    </row>
    <row r="20887" customFormat="false" ht="15" hidden="false" customHeight="false" outlineLevel="0" collapsed="false">
      <c r="A20887" s="2" t="s">
        <v>274</v>
      </c>
      <c r="F20887" s="27" t="n">
        <f aca="false">Assumptions!$C$53</f>
        <v>180</v>
      </c>
      <c r="G20887" s="16" t="n">
        <f aca="false">G20876+G20883+G20881-G20882-G20884-G20885</f>
        <v>234.9088</v>
      </c>
      <c r="H20887" s="16" t="n">
        <f aca="false">H20876+H20883+H20881-H20882-H20884-H20885</f>
        <v>234.9088</v>
      </c>
      <c r="I20887" s="16" t="n">
        <f aca="false">I20876+I20883+I20881-I20882-I20884-I20885</f>
        <v>234.9088</v>
      </c>
      <c r="J20887" s="16" t="n">
        <f aca="false">J20876+J20883+J20881-J20882-J20884-J20885</f>
        <v>234.9088</v>
      </c>
      <c r="K20887" s="16" t="n">
        <f aca="false">K20876+K20883+K20881-K20882-K20884-K20885</f>
        <v>234.9088</v>
      </c>
    </row>
    <row r="20888" customFormat="false" ht="15" hidden="false" customHeight="false" outlineLevel="0" collapsed="false">
      <c r="A20888" s="23" t="s">
        <v>275</v>
      </c>
      <c r="B20888" s="24"/>
      <c r="C20888" s="24"/>
      <c r="D20888" s="24"/>
      <c r="E20888" s="24"/>
      <c r="F20888" s="24"/>
      <c r="G20888" s="24"/>
      <c r="H20888" s="24"/>
      <c r="I20888" s="24"/>
      <c r="J20888" s="24"/>
      <c r="K20888" s="24"/>
    </row>
    <row r="20889" customFormat="false" ht="15" hidden="false" customHeight="false" outlineLevel="0" collapsed="false">
      <c r="A20889" s="5" t="s">
        <v>264</v>
      </c>
      <c r="G20889" s="25" t="n">
        <f aca="false">F20900</f>
        <v>520</v>
      </c>
      <c r="H20889" s="25" t="n">
        <f aca="false">G20900</f>
        <v>514.8</v>
      </c>
      <c r="I20889" s="25" t="n">
        <f aca="false">H20900</f>
        <v>509.6</v>
      </c>
      <c r="J20889" s="25" t="n">
        <f aca="false">I20900</f>
        <v>504.4</v>
      </c>
      <c r="K20889" s="25" t="n">
        <f aca="false">J20900</f>
        <v>499.2</v>
      </c>
    </row>
    <row r="20890" customFormat="false" ht="15" hidden="false" customHeight="false" outlineLevel="0" collapsed="false">
      <c r="A20890" s="5" t="s">
        <v>265</v>
      </c>
      <c r="G20890" s="20" t="n">
        <f aca="false">IF(G20840=Assumptions!$K$54,1,0)</f>
        <v>0</v>
      </c>
      <c r="H20890" s="20" t="n">
        <f aca="false">IF(H20840=Assumptions!$K$54,1,0)</f>
        <v>0</v>
      </c>
      <c r="I20890" s="20" t="n">
        <f aca="false">IF(I20840=Assumptions!$K$54,1,0)</f>
        <v>1</v>
      </c>
      <c r="J20890" s="20" t="n">
        <f aca="false">IF(J20840=Assumptions!$K$54,1,0)</f>
        <v>0</v>
      </c>
      <c r="K20890" s="20" t="n">
        <f aca="false">IF(K20840=Assumptions!$K$54,1,0)</f>
        <v>0</v>
      </c>
    </row>
    <row r="20892" customFormat="false" ht="15" hidden="false" customHeight="false" outlineLevel="0" collapsed="false">
      <c r="A20892" s="5" t="s">
        <v>266</v>
      </c>
      <c r="G20892" s="30" t="n">
        <f aca="false">IF(Assumptions!$I$54=1,MAX(G20866,Assumptions!$G$54)+Assumptions!$F$54+$C$20867,Assumptions!$E$54)</f>
        <v>0.133</v>
      </c>
      <c r="H20892" s="30" t="n">
        <f aca="false">IF(G21029=1,$C$20868,IF(Assumptions!$I$54=1,MAX(H20866,Assumptions!$G$54)+Assumptions!$F$54+$C$20867,Assumptions!$E$54))</f>
        <v>0.1305</v>
      </c>
      <c r="I20892" s="30" t="n">
        <f aca="false">IF(H21029=1,$C$20868,IF(Assumptions!$I$54=1,MAX(I20866,Assumptions!$G$54)+Assumptions!$F$54+$C$20867,Assumptions!$E$54))</f>
        <v>0.128</v>
      </c>
      <c r="J20892" s="30" t="n">
        <f aca="false">IF(I21029=1,$C$20868,IF(Assumptions!$I$54=1,MAX(J20866,Assumptions!$G$54)+Assumptions!$F$54+$C$20867,Assumptions!$E$54))</f>
        <v>0.128</v>
      </c>
      <c r="K20892" s="30" t="n">
        <f aca="false">IF(J21029=1,$C$20868,IF(Assumptions!$I$54=1,MAX(K20866,Assumptions!$G$54)+Assumptions!$F$54+$C$20867,Assumptions!$E$54))</f>
        <v>0.128</v>
      </c>
    </row>
    <row r="20893" customFormat="false" ht="15" hidden="false" customHeight="false" outlineLevel="0" collapsed="false">
      <c r="A20893" s="5" t="s">
        <v>267</v>
      </c>
      <c r="G20893" s="25" t="n">
        <f aca="false">G20889*G20892</f>
        <v>69.16</v>
      </c>
      <c r="H20893" s="25" t="n">
        <f aca="false">H20889*H20892</f>
        <v>67.1814</v>
      </c>
      <c r="I20893" s="25" t="n">
        <f aca="false">I20889*I20892</f>
        <v>65.2288</v>
      </c>
      <c r="J20893" s="25" t="n">
        <f aca="false">J20889*J20892</f>
        <v>64.5632</v>
      </c>
      <c r="K20893" s="25" t="n">
        <f aca="false">K20889*K20892</f>
        <v>63.8976</v>
      </c>
    </row>
    <row r="20894" customFormat="false" ht="15" hidden="false" customHeight="false" outlineLevel="0" collapsed="false">
      <c r="A20894" s="5" t="s">
        <v>268</v>
      </c>
      <c r="G20894" s="25" t="n">
        <f aca="false">G20889*Assumptions!$H$54</f>
        <v>0</v>
      </c>
      <c r="H20894" s="25" t="n">
        <f aca="false">H20889*Assumptions!$H$54</f>
        <v>0</v>
      </c>
      <c r="I20894" s="25" t="n">
        <f aca="false">I20889*Assumptions!$H$54</f>
        <v>0</v>
      </c>
      <c r="J20894" s="25" t="n">
        <f aca="false">J20889*Assumptions!$H$54</f>
        <v>0</v>
      </c>
      <c r="K20894" s="25" t="n">
        <f aca="false">K20889*Assumptions!$H$54</f>
        <v>0</v>
      </c>
    </row>
    <row r="20895" customFormat="false" ht="15" hidden="false" customHeight="false" outlineLevel="0" collapsed="false">
      <c r="A20895" s="5" t="s">
        <v>269</v>
      </c>
      <c r="G20895" s="25" t="n">
        <f aca="false">MIN(G20889,Assumptions!$L$54*Assumptions!$C$54)</f>
        <v>5.2</v>
      </c>
      <c r="H20895" s="25" t="n">
        <f aca="false">MIN(H20889,Assumptions!$L$54*Assumptions!$C$54)</f>
        <v>5.2</v>
      </c>
      <c r="I20895" s="25" t="n">
        <f aca="false">MIN(I20889,Assumptions!$L$54*Assumptions!$C$54)</f>
        <v>5.2</v>
      </c>
      <c r="J20895" s="25" t="n">
        <f aca="false">MIN(J20889,Assumptions!$L$54*Assumptions!$C$54)</f>
        <v>5.2</v>
      </c>
      <c r="K20895" s="25" t="n">
        <f aca="false">MIN(K20889,Assumptions!$L$54*Assumptions!$C$54)</f>
        <v>5.2</v>
      </c>
    </row>
    <row r="20896" customFormat="false" ht="15" hidden="false" customHeight="false" outlineLevel="0" collapsed="false">
      <c r="A20896" s="5" t="s">
        <v>270</v>
      </c>
      <c r="G20896" s="25" t="n">
        <f aca="false">IF(AND(Assumptions!$P$54=1,G20840&lt;Assumptions!$K$54),MIN(MAX(0,-G20954),MAX(0,Assumptions!$D$54-G20889)),0)</f>
        <v>0</v>
      </c>
      <c r="H20896" s="25" t="n">
        <f aca="false">IF(AND(Assumptions!$P$54=1,OR(H20840&lt;Assumptions!$K$54,G21029=1)),MIN(MAX(0,-H20954),MAX(0,Assumptions!$D$54-H20889)),0)</f>
        <v>0</v>
      </c>
      <c r="I20896" s="25" t="n">
        <f aca="false">IF(AND(Assumptions!$P$54=1,OR(I20840&lt;Assumptions!$K$54,H21029=1)),MIN(MAX(0,-I20954),MAX(0,Assumptions!$D$54-I20889)),0)</f>
        <v>0</v>
      </c>
      <c r="J20896" s="25" t="n">
        <f aca="false">IF(AND(Assumptions!$P$54=1,OR(J20840&lt;Assumptions!$K$54,I21029=1)),MIN(MAX(0,-J20954),MAX(0,Assumptions!$D$54-J20889)),0)</f>
        <v>0</v>
      </c>
      <c r="K20896" s="25" t="n">
        <f aca="false">IF(AND(Assumptions!$P$54=1,OR(K20840&lt;Assumptions!$K$54,J21029=1)),MIN(MAX(0,-K20954),MAX(0,Assumptions!$D$54-K20889)),0)</f>
        <v>0</v>
      </c>
    </row>
    <row r="20897" customFormat="false" ht="15" hidden="false" customHeight="false" outlineLevel="0" collapsed="false">
      <c r="A20897" s="5" t="s">
        <v>271</v>
      </c>
      <c r="G20897" s="25" t="n">
        <f aca="false">G20890*MIN(G20889-G20895+G20894,MAX(0,G20956-Assumptions!$C$12*G20874-G20884))</f>
        <v>0</v>
      </c>
      <c r="H20897" s="25" t="n">
        <f aca="false">H20890*MIN(H20889-H20895+H20894,MAX(0,H20956-Assumptions!$C$12*H20874-H20884))</f>
        <v>0</v>
      </c>
      <c r="I20897" s="25" t="n">
        <f aca="false">I20890*MIN(I20889-I20895+I20894,MAX(0,I20956-Assumptions!$C$12*I20874-I20884))</f>
        <v>0</v>
      </c>
      <c r="J20897" s="25" t="n">
        <f aca="false">J20890*MIN(J20889-J20895+J20894,MAX(0,J20956-Assumptions!$C$12*J20874-J20884))</f>
        <v>0</v>
      </c>
      <c r="K20897" s="25" t="n">
        <f aca="false">K20890*MIN(K20889-K20895+K20894,MAX(0,K20956-Assumptions!$C$12*K20874-K20884))</f>
        <v>0</v>
      </c>
    </row>
    <row r="20898" customFormat="false" ht="15" hidden="false" customHeight="false" outlineLevel="0" collapsed="false">
      <c r="A20898" s="5" t="s">
        <v>272</v>
      </c>
      <c r="G20898" s="25" t="n">
        <f aca="false">Assumptions!$N$54*MIN(G20889+G20896+G20894-G20895-G20897,MAX(0,G20960-G20885))</f>
        <v>0</v>
      </c>
      <c r="H20898" s="25" t="n">
        <f aca="false">Assumptions!$N$54*MIN(H20889+H20896+H20894-H20895-H20897,MAX(0,H20960-H20885))</f>
        <v>0</v>
      </c>
      <c r="I20898" s="25" t="n">
        <f aca="false">Assumptions!$N$54*MIN(I20889+I20896+I20894-I20895-I20897,MAX(0,I20960-I20885))</f>
        <v>0</v>
      </c>
      <c r="J20898" s="25" t="n">
        <f aca="false">Assumptions!$N$54*MIN(J20889+J20896+J20894-J20895-J20897,MAX(0,J20960-J20885))</f>
        <v>0</v>
      </c>
      <c r="K20898" s="25" t="n">
        <f aca="false">Assumptions!$N$54*MIN(K20889+K20896+K20894-K20895-K20897,MAX(0,K20960-K20885))</f>
        <v>0</v>
      </c>
    </row>
    <row r="20899" customFormat="false" ht="15" hidden="false" customHeight="false" outlineLevel="0" collapsed="false">
      <c r="A20899" s="5" t="s">
        <v>273</v>
      </c>
      <c r="G20899" s="25" t="n">
        <f aca="false">G20890*(1-G20874)*(G20889-G20895+G20894-G20897)</f>
        <v>0</v>
      </c>
      <c r="H20899" s="25" t="n">
        <f aca="false">H20890*(1-H20874)*(H20889-H20895+H20894-H20897)</f>
        <v>0</v>
      </c>
      <c r="I20899" s="25" t="n">
        <f aca="false">I20890*(1-I20874)*(I20889-I20895+I20894-I20897)</f>
        <v>504.4</v>
      </c>
      <c r="J20899" s="25" t="n">
        <f aca="false">J20890*(1-J20874)*(J20889-J20895+J20894-J20897)</f>
        <v>0</v>
      </c>
      <c r="K20899" s="25" t="n">
        <f aca="false">K20890*(1-K20874)*(K20889-K20895+K20894-K20897)</f>
        <v>0</v>
      </c>
    </row>
    <row r="20900" customFormat="false" ht="15" hidden="false" customHeight="false" outlineLevel="0" collapsed="false">
      <c r="A20900" s="2" t="s">
        <v>274</v>
      </c>
      <c r="F20900" s="27" t="n">
        <f aca="false">Assumptions!$C$54</f>
        <v>520</v>
      </c>
      <c r="G20900" s="16" t="n">
        <f aca="false">G20889+G20896+G20894-G20895-G20897-G20898</f>
        <v>514.8</v>
      </c>
      <c r="H20900" s="16" t="n">
        <f aca="false">H20889+H20896+H20894-H20895-H20897-H20898</f>
        <v>509.6</v>
      </c>
      <c r="I20900" s="16" t="n">
        <f aca="false">I20889+I20896+I20894-I20895-I20897-I20898</f>
        <v>504.4</v>
      </c>
      <c r="J20900" s="16" t="n">
        <f aca="false">J20889+J20896+J20894-J20895-J20897-J20898</f>
        <v>499.2</v>
      </c>
      <c r="K20900" s="16" t="n">
        <f aca="false">K20889+K20896+K20894-K20895-K20897-K20898</f>
        <v>494</v>
      </c>
    </row>
    <row r="20901" customFormat="false" ht="15" hidden="false" customHeight="false" outlineLevel="0" collapsed="false">
      <c r="A20901" s="23" t="s">
        <v>276</v>
      </c>
      <c r="B20901" s="24"/>
      <c r="C20901" s="24"/>
      <c r="D20901" s="24"/>
      <c r="E20901" s="24"/>
      <c r="F20901" s="24"/>
      <c r="G20901" s="24"/>
      <c r="H20901" s="24"/>
      <c r="I20901" s="24"/>
      <c r="J20901" s="24"/>
      <c r="K20901" s="24"/>
    </row>
    <row r="20902" customFormat="false" ht="15" hidden="false" customHeight="false" outlineLevel="0" collapsed="false">
      <c r="A20902" s="5" t="s">
        <v>264</v>
      </c>
      <c r="G20902" s="25" t="n">
        <f aca="false">F20913</f>
        <v>250</v>
      </c>
      <c r="H20902" s="25" t="n">
        <f aca="false">G20913</f>
        <v>250</v>
      </c>
      <c r="I20902" s="25" t="n">
        <f aca="false">H20913</f>
        <v>250</v>
      </c>
      <c r="J20902" s="25" t="n">
        <f aca="false">I20913</f>
        <v>250</v>
      </c>
      <c r="K20902" s="25" t="n">
        <f aca="false">J20913</f>
        <v>250</v>
      </c>
    </row>
    <row r="20903" customFormat="false" ht="15" hidden="false" customHeight="false" outlineLevel="0" collapsed="false">
      <c r="A20903" s="5" t="s">
        <v>265</v>
      </c>
      <c r="G20903" s="20" t="n">
        <f aca="false">IF(G20840=Assumptions!$K$55,1,0)</f>
        <v>0</v>
      </c>
      <c r="H20903" s="20" t="n">
        <f aca="false">IF(H20840=Assumptions!$K$55,1,0)</f>
        <v>0</v>
      </c>
      <c r="I20903" s="20" t="n">
        <f aca="false">IF(I20840=Assumptions!$K$55,1,0)</f>
        <v>0</v>
      </c>
      <c r="J20903" s="20" t="n">
        <f aca="false">IF(J20840=Assumptions!$K$55,1,0)</f>
        <v>1</v>
      </c>
      <c r="K20903" s="20" t="n">
        <f aca="false">IF(K20840=Assumptions!$K$55,1,0)</f>
        <v>0</v>
      </c>
    </row>
    <row r="20905" customFormat="false" ht="15" hidden="false" customHeight="false" outlineLevel="0" collapsed="false">
      <c r="A20905" s="5" t="s">
        <v>266</v>
      </c>
      <c r="G20905" s="30" t="n">
        <f aca="false">IF(Assumptions!$I$55=1,MAX(G20866,Assumptions!$G$55)+Assumptions!$F$55+$C$20867,Assumptions!$E$55)</f>
        <v>0.11</v>
      </c>
      <c r="H20905" s="30" t="n">
        <f aca="false">IF(G21030=1,$C$20868,IF(Assumptions!$I$55=1,MAX(H20866,Assumptions!$G$55)+Assumptions!$F$55+$C$20867,Assumptions!$E$55))</f>
        <v>0.11</v>
      </c>
      <c r="I20905" s="30" t="n">
        <f aca="false">IF(H21030=1,$C$20868,IF(Assumptions!$I$55=1,MAX(I20866,Assumptions!$G$55)+Assumptions!$F$55+$C$20867,Assumptions!$E$55))</f>
        <v>0.11</v>
      </c>
      <c r="J20905" s="30" t="n">
        <f aca="false">IF(I21030=1,$C$20868,IF(Assumptions!$I$55=1,MAX(J20866,Assumptions!$G$55)+Assumptions!$F$55+$C$20867,Assumptions!$E$55))</f>
        <v>0.11</v>
      </c>
      <c r="K20905" s="30" t="n">
        <f aca="false">IF(J21030=1,$C$20868,IF(Assumptions!$I$55=1,MAX(K20866,Assumptions!$G$55)+Assumptions!$F$55+$C$20867,Assumptions!$E$55))</f>
        <v>0.11</v>
      </c>
    </row>
    <row r="20906" customFormat="false" ht="15" hidden="false" customHeight="false" outlineLevel="0" collapsed="false">
      <c r="A20906" s="5" t="s">
        <v>267</v>
      </c>
      <c r="G20906" s="25" t="n">
        <f aca="false">G20902*G20905</f>
        <v>27.5</v>
      </c>
      <c r="H20906" s="25" t="n">
        <f aca="false">H20902*H20905</f>
        <v>27.5</v>
      </c>
      <c r="I20906" s="25" t="n">
        <f aca="false">I20902*I20905</f>
        <v>27.5</v>
      </c>
      <c r="J20906" s="25" t="n">
        <f aca="false">J20902*J20905</f>
        <v>27.5</v>
      </c>
      <c r="K20906" s="25" t="n">
        <f aca="false">K20902*K20905</f>
        <v>27.5</v>
      </c>
    </row>
    <row r="20907" customFormat="false" ht="15" hidden="false" customHeight="false" outlineLevel="0" collapsed="false">
      <c r="A20907" s="5" t="s">
        <v>268</v>
      </c>
      <c r="G20907" s="25" t="n">
        <f aca="false">G20902*Assumptions!$H$55</f>
        <v>0</v>
      </c>
      <c r="H20907" s="25" t="n">
        <f aca="false">H20902*Assumptions!$H$55</f>
        <v>0</v>
      </c>
      <c r="I20907" s="25" t="n">
        <f aca="false">I20902*Assumptions!$H$55</f>
        <v>0</v>
      </c>
      <c r="J20907" s="25" t="n">
        <f aca="false">J20902*Assumptions!$H$55</f>
        <v>0</v>
      </c>
      <c r="K20907" s="25" t="n">
        <f aca="false">K20902*Assumptions!$H$55</f>
        <v>0</v>
      </c>
    </row>
    <row r="20908" customFormat="false" ht="15" hidden="false" customHeight="false" outlineLevel="0" collapsed="false">
      <c r="A20908" s="5" t="s">
        <v>269</v>
      </c>
      <c r="G20908" s="25" t="n">
        <f aca="false">MIN(G20902,Assumptions!$L$55*Assumptions!$C$55)</f>
        <v>0</v>
      </c>
      <c r="H20908" s="25" t="n">
        <f aca="false">MIN(H20902,Assumptions!$L$55*Assumptions!$C$55)</f>
        <v>0</v>
      </c>
      <c r="I20908" s="25" t="n">
        <f aca="false">MIN(I20902,Assumptions!$L$55*Assumptions!$C$55)</f>
        <v>0</v>
      </c>
      <c r="J20908" s="25" t="n">
        <f aca="false">MIN(J20902,Assumptions!$L$55*Assumptions!$C$55)</f>
        <v>0</v>
      </c>
      <c r="K20908" s="25" t="n">
        <f aca="false">MIN(K20902,Assumptions!$L$55*Assumptions!$C$55)</f>
        <v>0</v>
      </c>
    </row>
    <row r="20909" customFormat="false" ht="15" hidden="false" customHeight="false" outlineLevel="0" collapsed="false">
      <c r="A20909" s="5" t="s">
        <v>270</v>
      </c>
      <c r="G20909" s="25" t="n">
        <f aca="false">IF(AND(Assumptions!$P$55=1,G20840&lt;Assumptions!$K$55),MIN(MAX(0,-G20954),MAX(0,Assumptions!$D$55-G20902)),0)</f>
        <v>0</v>
      </c>
      <c r="H20909" s="25" t="n">
        <f aca="false">IF(AND(Assumptions!$P$55=1,OR(H20840&lt;Assumptions!$K$55,G21030=1)),MIN(MAX(0,-H20954),MAX(0,Assumptions!$D$55-H20902)),0)</f>
        <v>0</v>
      </c>
      <c r="I20909" s="25" t="n">
        <f aca="false">IF(AND(Assumptions!$P$55=1,OR(I20840&lt;Assumptions!$K$55,H21030=1)),MIN(MAX(0,-I20954),MAX(0,Assumptions!$D$55-I20902)),0)</f>
        <v>0</v>
      </c>
      <c r="J20909" s="25" t="n">
        <f aca="false">IF(AND(Assumptions!$P$55=1,OR(J20840&lt;Assumptions!$K$55,I21030=1)),MIN(MAX(0,-J20954),MAX(0,Assumptions!$D$55-J20902)),0)</f>
        <v>0</v>
      </c>
      <c r="K20909" s="25" t="n">
        <f aca="false">IF(AND(Assumptions!$P$55=1,OR(K20840&lt;Assumptions!$K$55,J21030=1)),MIN(MAX(0,-K20954),MAX(0,Assumptions!$D$55-K20902)),0)</f>
        <v>0</v>
      </c>
    </row>
    <row r="20910" customFormat="false" ht="15" hidden="false" customHeight="false" outlineLevel="0" collapsed="false">
      <c r="A20910" s="5" t="s">
        <v>271</v>
      </c>
      <c r="G20910" s="25" t="n">
        <f aca="false">G20903*MIN(G20902-G20908+G20907,MAX(0,G20956-Assumptions!$C$12*G20874-G20884-G20897))</f>
        <v>0</v>
      </c>
      <c r="H20910" s="25" t="n">
        <f aca="false">H20903*MIN(H20902-H20908+H20907,MAX(0,H20956-Assumptions!$C$12*H20874-H20884-H20897))</f>
        <v>0</v>
      </c>
      <c r="I20910" s="25" t="n">
        <f aca="false">I20903*MIN(I20902-I20908+I20907,MAX(0,I20956-Assumptions!$C$12*I20874-I20884-I20897))</f>
        <v>0</v>
      </c>
      <c r="J20910" s="25" t="n">
        <f aca="false">J20903*MIN(J20902-J20908+J20907,MAX(0,J20956-Assumptions!$C$12*J20874-J20884-J20897))</f>
        <v>0</v>
      </c>
      <c r="K20910" s="25" t="n">
        <f aca="false">K20903*MIN(K20902-K20908+K20907,MAX(0,K20956-Assumptions!$C$12*K20874-K20884-K20897))</f>
        <v>0</v>
      </c>
    </row>
    <row r="20911" customFormat="false" ht="15" hidden="false" customHeight="false" outlineLevel="0" collapsed="false">
      <c r="A20911" s="5" t="s">
        <v>272</v>
      </c>
      <c r="G20911" s="25" t="n">
        <f aca="false">Assumptions!$N$55*MIN(G20902+G20909+G20907-G20908-G20910,MAX(0,G20960-G20885-G20898))</f>
        <v>0</v>
      </c>
      <c r="H20911" s="25" t="n">
        <f aca="false">Assumptions!$N$55*MIN(H20902+H20909+H20907-H20908-H20910,MAX(0,H20960-H20885-H20898))</f>
        <v>0</v>
      </c>
      <c r="I20911" s="25" t="n">
        <f aca="false">Assumptions!$N$55*MIN(I20902+I20909+I20907-I20908-I20910,MAX(0,I20960-I20885-I20898))</f>
        <v>0</v>
      </c>
      <c r="J20911" s="25" t="n">
        <f aca="false">Assumptions!$N$55*MIN(J20902+J20909+J20907-J20908-J20910,MAX(0,J20960-J20885-J20898))</f>
        <v>0</v>
      </c>
      <c r="K20911" s="25" t="n">
        <f aca="false">Assumptions!$N$55*MIN(K20902+K20909+K20907-K20908-K20910,MAX(0,K20960-K20885-K20898))</f>
        <v>0</v>
      </c>
    </row>
    <row r="20912" customFormat="false" ht="15" hidden="false" customHeight="false" outlineLevel="0" collapsed="false">
      <c r="A20912" s="5" t="s">
        <v>273</v>
      </c>
      <c r="G20912" s="25" t="n">
        <f aca="false">G20903*(1-G20874)*(G20902-G20908+G20907-G20910)</f>
        <v>0</v>
      </c>
      <c r="H20912" s="25" t="n">
        <f aca="false">H20903*(1-H20874)*(H20902-H20908+H20907-H20910)</f>
        <v>0</v>
      </c>
      <c r="I20912" s="25" t="n">
        <f aca="false">I20903*(1-I20874)*(I20902-I20908+I20907-I20910)</f>
        <v>0</v>
      </c>
      <c r="J20912" s="25" t="n">
        <f aca="false">J20903*(1-J20874)*(J20902-J20908+J20907-J20910)</f>
        <v>250</v>
      </c>
      <c r="K20912" s="25" t="n">
        <f aca="false">K20903*(1-K20874)*(K20902-K20908+K20907-K20910)</f>
        <v>0</v>
      </c>
    </row>
    <row r="20913" customFormat="false" ht="15" hidden="false" customHeight="false" outlineLevel="0" collapsed="false">
      <c r="A20913" s="2" t="s">
        <v>274</v>
      </c>
      <c r="F20913" s="27" t="n">
        <f aca="false">Assumptions!$C$55</f>
        <v>250</v>
      </c>
      <c r="G20913" s="16" t="n">
        <f aca="false">G20902+G20909+G20907-G20908-G20910-G20911</f>
        <v>250</v>
      </c>
      <c r="H20913" s="16" t="n">
        <f aca="false">H20902+H20909+H20907-H20908-H20910-H20911</f>
        <v>250</v>
      </c>
      <c r="I20913" s="16" t="n">
        <f aca="false">I20902+I20909+I20907-I20908-I20910-I20911</f>
        <v>250</v>
      </c>
      <c r="J20913" s="16" t="n">
        <f aca="false">J20902+J20909+J20907-J20908-J20910-J20911</f>
        <v>250</v>
      </c>
      <c r="K20913" s="16" t="n">
        <f aca="false">K20902+K20909+K20907-K20908-K20910-K20911</f>
        <v>250</v>
      </c>
    </row>
    <row r="20914" customFormat="false" ht="15" hidden="false" customHeight="false" outlineLevel="0" collapsed="false">
      <c r="A20914" s="23" t="s">
        <v>277</v>
      </c>
      <c r="B20914" s="24"/>
      <c r="C20914" s="24"/>
      <c r="D20914" s="24"/>
      <c r="E20914" s="24"/>
      <c r="F20914" s="24"/>
      <c r="G20914" s="24"/>
      <c r="H20914" s="24"/>
      <c r="I20914" s="24"/>
      <c r="J20914" s="24"/>
      <c r="K20914" s="24"/>
    </row>
    <row r="20915" customFormat="false" ht="15" hidden="false" customHeight="false" outlineLevel="0" collapsed="false">
      <c r="A20915" s="5" t="s">
        <v>264</v>
      </c>
      <c r="G20915" s="25" t="n">
        <f aca="false">F20926</f>
        <v>300</v>
      </c>
      <c r="H20915" s="25" t="n">
        <f aca="false">G20926</f>
        <v>300</v>
      </c>
      <c r="I20915" s="25" t="n">
        <f aca="false">H20926</f>
        <v>300</v>
      </c>
      <c r="J20915" s="25" t="n">
        <f aca="false">I20926</f>
        <v>300</v>
      </c>
      <c r="K20915" s="25" t="n">
        <f aca="false">J20926</f>
        <v>300</v>
      </c>
    </row>
    <row r="20916" customFormat="false" ht="15" hidden="false" customHeight="false" outlineLevel="0" collapsed="false">
      <c r="A20916" s="5" t="s">
        <v>265</v>
      </c>
      <c r="G20916" s="20" t="n">
        <f aca="false">IF(G20840=Assumptions!$K$56,1,0)</f>
        <v>0</v>
      </c>
      <c r="H20916" s="20" t="n">
        <f aca="false">IF(H20840=Assumptions!$K$56,1,0)</f>
        <v>1</v>
      </c>
      <c r="I20916" s="20" t="n">
        <f aca="false">IF(I20840=Assumptions!$K$56,1,0)</f>
        <v>0</v>
      </c>
      <c r="J20916" s="20" t="n">
        <f aca="false">IF(J20840=Assumptions!$K$56,1,0)</f>
        <v>0</v>
      </c>
      <c r="K20916" s="20" t="n">
        <f aca="false">IF(K20840=Assumptions!$K$56,1,0)</f>
        <v>0</v>
      </c>
    </row>
    <row r="20918" customFormat="false" ht="15" hidden="false" customHeight="false" outlineLevel="0" collapsed="false">
      <c r="A20918" s="5" t="s">
        <v>266</v>
      </c>
      <c r="G20918" s="30" t="n">
        <f aca="false">IF(Assumptions!$I$56=1,MAX(G20866,Assumptions!$G$56)+Assumptions!$F$56+$C$20867,Assumptions!$E$56)</f>
        <v>0.075</v>
      </c>
      <c r="H20918" s="30" t="n">
        <f aca="false">IF(G21031=1,$C$20868,IF(Assumptions!$I$56=1,MAX(H20866,Assumptions!$G$56)+Assumptions!$F$56+$C$20867,Assumptions!$E$56))</f>
        <v>0.075</v>
      </c>
      <c r="I20918" s="30" t="n">
        <f aca="false">IF(H21031=1,$C$20868,IF(Assumptions!$I$56=1,MAX(I20866,Assumptions!$G$56)+Assumptions!$F$56+$C$20867,Assumptions!$E$56))</f>
        <v>0.075</v>
      </c>
      <c r="J20918" s="30" t="n">
        <f aca="false">IF(I21031=1,$C$20868,IF(Assumptions!$I$56=1,MAX(J20866,Assumptions!$G$56)+Assumptions!$F$56+$C$20867,Assumptions!$E$56))</f>
        <v>0.075</v>
      </c>
      <c r="K20918" s="30" t="n">
        <f aca="false">IF(J21031=1,$C$20868,IF(Assumptions!$I$56=1,MAX(K20866,Assumptions!$G$56)+Assumptions!$F$56+$C$20867,Assumptions!$E$56))</f>
        <v>0.075</v>
      </c>
    </row>
    <row r="20919" customFormat="false" ht="15" hidden="false" customHeight="false" outlineLevel="0" collapsed="false">
      <c r="A20919" s="5" t="s">
        <v>267</v>
      </c>
      <c r="G20919" s="25" t="n">
        <f aca="false">G20915*G20918</f>
        <v>22.5</v>
      </c>
      <c r="H20919" s="25" t="n">
        <f aca="false">H20915*H20918</f>
        <v>22.5</v>
      </c>
      <c r="I20919" s="25" t="n">
        <f aca="false">I20915*I20918</f>
        <v>22.5</v>
      </c>
      <c r="J20919" s="25" t="n">
        <f aca="false">J20915*J20918</f>
        <v>22.5</v>
      </c>
      <c r="K20919" s="25" t="n">
        <f aca="false">K20915*K20918</f>
        <v>22.5</v>
      </c>
    </row>
    <row r="20920" customFormat="false" ht="15" hidden="false" customHeight="false" outlineLevel="0" collapsed="false">
      <c r="A20920" s="5" t="s">
        <v>268</v>
      </c>
      <c r="G20920" s="25" t="n">
        <f aca="false">G20915*Assumptions!$H$56</f>
        <v>0</v>
      </c>
      <c r="H20920" s="25" t="n">
        <f aca="false">H20915*Assumptions!$H$56</f>
        <v>0</v>
      </c>
      <c r="I20920" s="25" t="n">
        <f aca="false">I20915*Assumptions!$H$56</f>
        <v>0</v>
      </c>
      <c r="J20920" s="25" t="n">
        <f aca="false">J20915*Assumptions!$H$56</f>
        <v>0</v>
      </c>
      <c r="K20920" s="25" t="n">
        <f aca="false">K20915*Assumptions!$H$56</f>
        <v>0</v>
      </c>
    </row>
    <row r="20921" customFormat="false" ht="15" hidden="false" customHeight="false" outlineLevel="0" collapsed="false">
      <c r="A20921" s="5" t="s">
        <v>269</v>
      </c>
      <c r="G20921" s="25" t="n">
        <f aca="false">MIN(G20915,Assumptions!$L$56*Assumptions!$C$56)</f>
        <v>0</v>
      </c>
      <c r="H20921" s="25" t="n">
        <f aca="false">MIN(H20915,Assumptions!$L$56*Assumptions!$C$56)</f>
        <v>0</v>
      </c>
      <c r="I20921" s="25" t="n">
        <f aca="false">MIN(I20915,Assumptions!$L$56*Assumptions!$C$56)</f>
        <v>0</v>
      </c>
      <c r="J20921" s="25" t="n">
        <f aca="false">MIN(J20915,Assumptions!$L$56*Assumptions!$C$56)</f>
        <v>0</v>
      </c>
      <c r="K20921" s="25" t="n">
        <f aca="false">MIN(K20915,Assumptions!$L$56*Assumptions!$C$56)</f>
        <v>0</v>
      </c>
    </row>
    <row r="20922" customFormat="false" ht="15" hidden="false" customHeight="false" outlineLevel="0" collapsed="false">
      <c r="A20922" s="5" t="s">
        <v>270</v>
      </c>
      <c r="G20922" s="25" t="n">
        <f aca="false">IF(AND(Assumptions!$P$56=1,G20840&lt;Assumptions!$K$56),MIN(MAX(0,-G20954),MAX(0,Assumptions!$D$56-G20915)),0)</f>
        <v>0</v>
      </c>
      <c r="H20922" s="25" t="n">
        <f aca="false">IF(AND(Assumptions!$P$56=1,OR(H20840&lt;Assumptions!$K$56,G21031=1)),MIN(MAX(0,-H20954),MAX(0,Assumptions!$D$56-H20915)),0)</f>
        <v>0</v>
      </c>
      <c r="I20922" s="25" t="n">
        <f aca="false">IF(AND(Assumptions!$P$56=1,OR(I20840&lt;Assumptions!$K$56,H21031=1)),MIN(MAX(0,-I20954),MAX(0,Assumptions!$D$56-I20915)),0)</f>
        <v>0</v>
      </c>
      <c r="J20922" s="25" t="n">
        <f aca="false">IF(AND(Assumptions!$P$56=1,OR(J20840&lt;Assumptions!$K$56,I21031=1)),MIN(MAX(0,-J20954),MAX(0,Assumptions!$D$56-J20915)),0)</f>
        <v>0</v>
      </c>
      <c r="K20922" s="25" t="n">
        <f aca="false">IF(AND(Assumptions!$P$56=1,OR(K20840&lt;Assumptions!$K$56,J21031=1)),MIN(MAX(0,-K20954),MAX(0,Assumptions!$D$56-K20915)),0)</f>
        <v>0</v>
      </c>
    </row>
    <row r="20923" customFormat="false" ht="15" hidden="false" customHeight="false" outlineLevel="0" collapsed="false">
      <c r="A20923" s="5" t="s">
        <v>271</v>
      </c>
      <c r="G20923" s="25" t="n">
        <f aca="false">G20916*MIN(G20915-G20921+G20920,MAX(0,G20956-Assumptions!$C$12*G20874-G20884-G20897-G20910))</f>
        <v>0</v>
      </c>
      <c r="H20923" s="25" t="n">
        <f aca="false">H20916*MIN(H20915-H20921+H20920,MAX(0,H20956-Assumptions!$C$12*H20874-H20884-H20897-H20910))</f>
        <v>0</v>
      </c>
      <c r="I20923" s="25" t="n">
        <f aca="false">I20916*MIN(I20915-I20921+I20920,MAX(0,I20956-Assumptions!$C$12*I20874-I20884-I20897-I20910))</f>
        <v>0</v>
      </c>
      <c r="J20923" s="25" t="n">
        <f aca="false">J20916*MIN(J20915-J20921+J20920,MAX(0,J20956-Assumptions!$C$12*J20874-J20884-J20897-J20910))</f>
        <v>0</v>
      </c>
      <c r="K20923" s="25" t="n">
        <f aca="false">K20916*MIN(K20915-K20921+K20920,MAX(0,K20956-Assumptions!$C$12*K20874-K20884-K20897-K20910))</f>
        <v>0</v>
      </c>
    </row>
    <row r="20924" customFormat="false" ht="15" hidden="false" customHeight="false" outlineLevel="0" collapsed="false">
      <c r="A20924" s="5" t="s">
        <v>272</v>
      </c>
      <c r="G20924" s="25" t="n">
        <f aca="false">Assumptions!$N$56*MIN(G20915+G20922+G20920-G20921-G20923,MAX(0,G20960-G20885-G20898-G20911))</f>
        <v>0</v>
      </c>
      <c r="H20924" s="25" t="n">
        <f aca="false">Assumptions!$N$56*MIN(H20915+H20922+H20920-H20921-H20923,MAX(0,H20960-H20885-H20898-H20911))</f>
        <v>0</v>
      </c>
      <c r="I20924" s="25" t="n">
        <f aca="false">Assumptions!$N$56*MIN(I20915+I20922+I20920-I20921-I20923,MAX(0,I20960-I20885-I20898-I20911))</f>
        <v>0</v>
      </c>
      <c r="J20924" s="25" t="n">
        <f aca="false">Assumptions!$N$56*MIN(J20915+J20922+J20920-J20921-J20923,MAX(0,J20960-J20885-J20898-J20911))</f>
        <v>0</v>
      </c>
      <c r="K20924" s="25" t="n">
        <f aca="false">Assumptions!$N$56*MIN(K20915+K20922+K20920-K20921-K20923,MAX(0,K20960-K20885-K20898-K20911))</f>
        <v>0</v>
      </c>
    </row>
    <row r="20925" customFormat="false" ht="15" hidden="false" customHeight="false" outlineLevel="0" collapsed="false">
      <c r="A20925" s="5" t="s">
        <v>273</v>
      </c>
      <c r="G20925" s="25" t="n">
        <f aca="false">G20916*(1-G20874)*(G20915-G20921+G20920-G20923)</f>
        <v>0</v>
      </c>
      <c r="H20925" s="25" t="n">
        <f aca="false">H20916*(1-H20874)*(H20915-H20921+H20920-H20923)</f>
        <v>300</v>
      </c>
      <c r="I20925" s="25" t="n">
        <f aca="false">I20916*(1-I20874)*(I20915-I20921+I20920-I20923)</f>
        <v>0</v>
      </c>
      <c r="J20925" s="25" t="n">
        <f aca="false">J20916*(1-J20874)*(J20915-J20921+J20920-J20923)</f>
        <v>0</v>
      </c>
      <c r="K20925" s="25" t="n">
        <f aca="false">K20916*(1-K20874)*(K20915-K20921+K20920-K20923)</f>
        <v>0</v>
      </c>
    </row>
    <row r="20926" customFormat="false" ht="15" hidden="false" customHeight="false" outlineLevel="0" collapsed="false">
      <c r="A20926" s="2" t="s">
        <v>274</v>
      </c>
      <c r="F20926" s="27" t="n">
        <f aca="false">Assumptions!$C$56</f>
        <v>300</v>
      </c>
      <c r="G20926" s="16" t="n">
        <f aca="false">G20915+G20922+G20920-G20921-G20923-G20924</f>
        <v>300</v>
      </c>
      <c r="H20926" s="16" t="n">
        <f aca="false">H20915+H20922+H20920-H20921-H20923-H20924</f>
        <v>300</v>
      </c>
      <c r="I20926" s="16" t="n">
        <f aca="false">I20915+I20922+I20920-I20921-I20923-I20924</f>
        <v>300</v>
      </c>
      <c r="J20926" s="16" t="n">
        <f aca="false">J20915+J20922+J20920-J20921-J20923-J20924</f>
        <v>300</v>
      </c>
      <c r="K20926" s="16" t="n">
        <f aca="false">K20915+K20922+K20920-K20921-K20923-K20924</f>
        <v>300</v>
      </c>
    </row>
    <row r="20927" customFormat="false" ht="15" hidden="false" customHeight="false" outlineLevel="0" collapsed="false">
      <c r="A20927" s="23" t="s">
        <v>278</v>
      </c>
      <c r="B20927" s="24"/>
      <c r="C20927" s="24"/>
      <c r="D20927" s="24"/>
      <c r="E20927" s="24"/>
      <c r="F20927" s="24"/>
      <c r="G20927" s="24"/>
      <c r="H20927" s="24"/>
      <c r="I20927" s="24"/>
      <c r="J20927" s="24"/>
      <c r="K20927" s="24"/>
    </row>
    <row r="20928" customFormat="false" ht="15" hidden="false" customHeight="false" outlineLevel="0" collapsed="false">
      <c r="A20928" s="2" t="s">
        <v>279</v>
      </c>
      <c r="F20928" s="16" t="n">
        <f aca="false">F20887+F20900+F20913+F20926</f>
        <v>1250</v>
      </c>
      <c r="G20928" s="16" t="n">
        <f aca="false">G20887+G20900+G20913+G20926</f>
        <v>1299.7088</v>
      </c>
      <c r="H20928" s="16" t="n">
        <f aca="false">H20887+H20900+H20913+H20926</f>
        <v>1294.5088</v>
      </c>
      <c r="I20928" s="16" t="n">
        <f aca="false">I20887+I20900+I20913+I20926</f>
        <v>1289.3088</v>
      </c>
      <c r="J20928" s="16" t="n">
        <f aca="false">J20887+J20900+J20913+J20926</f>
        <v>1284.1088</v>
      </c>
      <c r="K20928" s="16" t="n">
        <f aca="false">K20887+K20900+K20913+K20926</f>
        <v>1278.9088</v>
      </c>
    </row>
    <row r="20929" customFormat="false" ht="15" hidden="false" customHeight="false" outlineLevel="0" collapsed="false">
      <c r="A20929" s="5" t="s">
        <v>280</v>
      </c>
      <c r="G20929" s="25" t="n">
        <f aca="false">G20877*Assumptions!$C$53+G20890*Assumptions!$C$54+G20903*Assumptions!$C$55+G20916*Assumptions!$C$56</f>
        <v>0</v>
      </c>
      <c r="H20929" s="25" t="n">
        <f aca="false">H20877*Assumptions!$C$53+H20890*Assumptions!$C$54+H20903*Assumptions!$C$55+H20916*Assumptions!$C$56</f>
        <v>480</v>
      </c>
      <c r="I20929" s="25" t="n">
        <f aca="false">I20877*Assumptions!$C$53+I20890*Assumptions!$C$54+I20903*Assumptions!$C$55+I20916*Assumptions!$C$56</f>
        <v>520</v>
      </c>
      <c r="J20929" s="25" t="n">
        <f aca="false">J20877*Assumptions!$C$53+J20890*Assumptions!$C$54+J20903*Assumptions!$C$55+J20916*Assumptions!$C$56</f>
        <v>250</v>
      </c>
      <c r="K20929" s="25" t="n">
        <f aca="false">K20877*Assumptions!$C$53+K20890*Assumptions!$C$54+K20903*Assumptions!$C$55+K20916*Assumptions!$C$56</f>
        <v>0</v>
      </c>
    </row>
    <row r="20930" customFormat="false" ht="15" hidden="false" customHeight="false" outlineLevel="0" collapsed="false">
      <c r="A20930" s="23" t="s">
        <v>281</v>
      </c>
      <c r="B20930" s="24"/>
      <c r="C20930" s="24"/>
      <c r="D20930" s="24"/>
      <c r="E20930" s="24"/>
      <c r="F20930" s="24"/>
      <c r="G20930" s="24"/>
      <c r="H20930" s="24"/>
      <c r="I20930" s="24"/>
      <c r="J20930" s="24"/>
      <c r="K20930" s="24"/>
    </row>
    <row r="20931" customFormat="false" ht="15" hidden="false" customHeight="false" outlineLevel="0" collapsed="false">
      <c r="A20931" s="5" t="s">
        <v>282</v>
      </c>
      <c r="C20931" s="25" t="n">
        <f aca="false">SUMPRODUCT($G$20877:$K$20877,$G$20876:$K$20876-$G$20882:$K$20882+$G$20881:$K$20881)</f>
        <v>234.9088</v>
      </c>
    </row>
    <row r="20932" customFormat="false" ht="15" hidden="false" customHeight="false" outlineLevel="0" collapsed="false">
      <c r="A20932" s="5" t="s">
        <v>283</v>
      </c>
      <c r="C20932" s="25" t="n">
        <f aca="false">SUMPRODUCT($G$20877:$K$20877,$G$20884:$K$20884)</f>
        <v>0</v>
      </c>
    </row>
    <row r="20933" customFormat="false" ht="15" hidden="false" customHeight="false" outlineLevel="0" collapsed="false">
      <c r="A20933" s="5" t="s">
        <v>284</v>
      </c>
      <c r="C20933" s="5" t="str">
        <f aca="false">IF(SUM($G$20877:$K$20877)=0,"n/a (beyond horizon)",IF(SUMPRODUCT($G$20877:$K$20877,$G$20874:$K$20874)&gt;0,"REFINANCING PASS","REFINANCING FAILURE"))</f>
        <v>REFINANCING FAILURE</v>
      </c>
    </row>
    <row r="20934" customFormat="false" ht="15" hidden="false" customHeight="false" outlineLevel="0" collapsed="false">
      <c r="A20934" s="5" t="s">
        <v>285</v>
      </c>
      <c r="C20934" s="5" t="str">
        <f aca="false">IF(SUM($G$20877:$K$20877)=0,"n/a",IF(C20932&gt;=C20931-0.001,"Repaid from cash",IF(SUMPRODUCT($G$20877:$K$20877,$G$20874:$K$20874)&gt;0,IF(C20932&gt;0,"Partly repaid; remainder refinanced","Refinanced"),IF(SUM($G$20886:$K$20886)&gt;0.001,IF(C20932&gt;0,"Partial repayment; PAYMENT DEFAULT","PAYMENT DEFAULT"),"Repaid from cash"))))</f>
        <v>PAYMENT DEFAULT</v>
      </c>
    </row>
    <row r="20935" customFormat="false" ht="15" hidden="false" customHeight="false" outlineLevel="0" collapsed="false">
      <c r="A20935" s="5" t="s">
        <v>286</v>
      </c>
      <c r="C20935" s="25" t="n">
        <f aca="false">SUMPRODUCT($G$20890:$K$20890,$G$20889:$K$20889-$G$20895:$K$20895+$G$20894:$K$20894)</f>
        <v>504.4</v>
      </c>
    </row>
    <row r="20936" customFormat="false" ht="15" hidden="false" customHeight="false" outlineLevel="0" collapsed="false">
      <c r="A20936" s="5" t="s">
        <v>287</v>
      </c>
      <c r="C20936" s="25" t="n">
        <f aca="false">SUMPRODUCT($G$20890:$K$20890,$G$20897:$K$20897)</f>
        <v>0</v>
      </c>
    </row>
    <row r="20937" customFormat="false" ht="15" hidden="false" customHeight="false" outlineLevel="0" collapsed="false">
      <c r="A20937" s="5" t="s">
        <v>288</v>
      </c>
      <c r="C20937" s="5" t="str">
        <f aca="false">IF(SUM($G$20890:$K$20890)=0,"n/a (beyond horizon)",IF(SUMPRODUCT($G$20890:$K$20890,$G$20874:$K$20874)&gt;0,"REFINANCING PASS","REFINANCING FAILURE"))</f>
        <v>REFINANCING FAILURE</v>
      </c>
    </row>
    <row r="20938" customFormat="false" ht="15" hidden="false" customHeight="false" outlineLevel="0" collapsed="false">
      <c r="A20938" s="5" t="s">
        <v>289</v>
      </c>
      <c r="C20938" s="5" t="str">
        <f aca="false">IF(SUM($G$20890:$K$20890)=0,"n/a",IF(C20936&gt;=C20935-0.001,"Repaid from cash",IF(SUMPRODUCT($G$20890:$K$20890,$G$20874:$K$20874)&gt;0,IF(C20936&gt;0,"Partly repaid; remainder refinanced","Refinanced"),IF(SUM($G$20899:$K$20899)&gt;0.001,IF(C20936&gt;0,"Partial repayment; PAYMENT DEFAULT","PAYMENT DEFAULT"),"Repaid from cash"))))</f>
        <v>PAYMENT DEFAULT</v>
      </c>
    </row>
    <row r="20939" customFormat="false" ht="15" hidden="false" customHeight="false" outlineLevel="0" collapsed="false">
      <c r="A20939" s="5" t="s">
        <v>290</v>
      </c>
      <c r="C20939" s="25" t="n">
        <f aca="false">SUMPRODUCT($G$20903:$K$20903,$G$20902:$K$20902-$G$20908:$K$20908+$G$20907:$K$20907)</f>
        <v>250</v>
      </c>
    </row>
    <row r="20940" customFormat="false" ht="15" hidden="false" customHeight="false" outlineLevel="0" collapsed="false">
      <c r="A20940" s="5" t="s">
        <v>291</v>
      </c>
      <c r="C20940" s="25" t="n">
        <f aca="false">SUMPRODUCT($G$20903:$K$20903,$G$20910:$K$20910)</f>
        <v>0</v>
      </c>
    </row>
    <row r="20941" customFormat="false" ht="15" hidden="false" customHeight="false" outlineLevel="0" collapsed="false">
      <c r="A20941" s="5" t="s">
        <v>292</v>
      </c>
      <c r="C20941" s="5" t="str">
        <f aca="false">IF(SUM($G$20903:$K$20903)=0,"n/a (beyond horizon)",IF(SUMPRODUCT($G$20903:$K$20903,$G$20874:$K$20874)&gt;0,"REFINANCING PASS","REFINANCING FAILURE"))</f>
        <v>REFINANCING FAILURE</v>
      </c>
    </row>
    <row r="20942" customFormat="false" ht="15" hidden="false" customHeight="false" outlineLevel="0" collapsed="false">
      <c r="A20942" s="5" t="s">
        <v>293</v>
      </c>
      <c r="C20942" s="5" t="str">
        <f aca="false">IF(SUM($G$20903:$K$20903)=0,"n/a",IF(C20940&gt;=C20939-0.001,"Repaid from cash",IF(SUMPRODUCT($G$20903:$K$20903,$G$20874:$K$20874)&gt;0,IF(C20940&gt;0,"Partly repaid; remainder refinanced","Refinanced"),IF(SUM($G$20912:$K$20912)&gt;0.001,IF(C20940&gt;0,"Partial repayment; PAYMENT DEFAULT","PAYMENT DEFAULT"),"Repaid from cash"))))</f>
        <v>PAYMENT DEFAULT</v>
      </c>
    </row>
    <row r="20943" customFormat="false" ht="15" hidden="false" customHeight="false" outlineLevel="0" collapsed="false">
      <c r="A20943" s="5" t="s">
        <v>294</v>
      </c>
      <c r="C20943" s="25" t="n">
        <f aca="false">SUMPRODUCT($G$20916:$K$20916,$G$20915:$K$20915-$G$20921:$K$20921+$G$20920:$K$20920)</f>
        <v>300</v>
      </c>
    </row>
    <row r="20944" customFormat="false" ht="15" hidden="false" customHeight="false" outlineLevel="0" collapsed="false">
      <c r="A20944" s="5" t="s">
        <v>295</v>
      </c>
      <c r="C20944" s="25" t="n">
        <f aca="false">SUMPRODUCT($G$20916:$K$20916,$G$20923:$K$20923)</f>
        <v>0</v>
      </c>
    </row>
    <row r="20945" customFormat="false" ht="15" hidden="false" customHeight="false" outlineLevel="0" collapsed="false">
      <c r="A20945" s="5" t="s">
        <v>296</v>
      </c>
      <c r="C20945" s="5" t="str">
        <f aca="false">IF(SUM($G$20916:$K$20916)=0,"n/a (beyond horizon)",IF(SUMPRODUCT($G$20916:$K$20916,$G$20874:$K$20874)&gt;0,"REFINANCING PASS","REFINANCING FAILURE"))</f>
        <v>REFINANCING FAILURE</v>
      </c>
    </row>
    <row r="20946" customFormat="false" ht="15" hidden="false" customHeight="false" outlineLevel="0" collapsed="false">
      <c r="A20946" s="5" t="s">
        <v>297</v>
      </c>
      <c r="C20946" s="5" t="str">
        <f aca="false">IF(SUM($G$20916:$K$20916)=0,"n/a",IF(C20944&gt;=C20943-0.001,"Repaid from cash",IF(SUMPRODUCT($G$20916:$K$20916,$G$20874:$K$20874)&gt;0,IF(C20944&gt;0,"Partly repaid; remainder refinanced","Refinanced"),IF(SUM($G$20925:$K$20925)&gt;0.001,IF(C20944&gt;0,"Partial repayment; PAYMENT DEFAULT","PAYMENT DEFAULT"),"Repaid from cash"))))</f>
        <v>PAYMENT DEFAULT</v>
      </c>
    </row>
    <row r="20947" customFormat="false" ht="15" hidden="false" customHeight="false" outlineLevel="0" collapsed="false">
      <c r="A20947" s="5" t="s">
        <v>298</v>
      </c>
      <c r="C20947" s="20" t="n">
        <f aca="false">IF(C20933="REFINANCING FAILURE",1,0)+IF(C20937="REFINANCING FAILURE",1,0)+IF(C20941="REFINANCING FAILURE",1,0)+IF(C20945="REFINANCING FAILURE",1,0)</f>
        <v>4</v>
      </c>
    </row>
    <row r="20949" customFormat="false" ht="15" hidden="false" customHeight="false" outlineLevel="0" collapsed="false">
      <c r="A20949" s="23" t="s">
        <v>300</v>
      </c>
      <c r="B20949" s="24"/>
      <c r="C20949" s="24"/>
      <c r="D20949" s="24"/>
      <c r="E20949" s="24"/>
      <c r="F20949" s="24"/>
      <c r="G20949" s="24"/>
      <c r="H20949" s="24"/>
      <c r="I20949" s="24"/>
      <c r="J20949" s="24"/>
      <c r="K20949" s="24"/>
    </row>
    <row r="20950" customFormat="false" ht="15" hidden="false" customHeight="false" outlineLevel="0" collapsed="false">
      <c r="A20950" s="5" t="s">
        <v>260</v>
      </c>
      <c r="G20950" s="25" t="n">
        <f aca="false">F20962</f>
        <v>45</v>
      </c>
      <c r="H20950" s="25" t="n">
        <f aca="false">G20962</f>
        <v>0</v>
      </c>
      <c r="I20950" s="25" t="n">
        <f aca="false">H20962</f>
        <v>-139.5574048</v>
      </c>
      <c r="J20950" s="25" t="n">
        <f aca="false">I20962</f>
        <v>-299.764809344</v>
      </c>
      <c r="K20950" s="25" t="n">
        <f aca="false">J20962</f>
        <v>-462.24043997056</v>
      </c>
    </row>
    <row r="20951" customFormat="false" ht="15" hidden="false" customHeight="false" outlineLevel="0" collapsed="false">
      <c r="A20951" s="5" t="s">
        <v>301</v>
      </c>
      <c r="G20951" s="25" t="n">
        <f aca="false">G20863</f>
        <v>-94.7088</v>
      </c>
      <c r="H20951" s="25" t="n">
        <f aca="false">H20863</f>
        <v>-134.3574048</v>
      </c>
      <c r="I20951" s="25" t="n">
        <f aca="false">I20863</f>
        <v>-155.007404544</v>
      </c>
      <c r="J20951" s="25" t="n">
        <f aca="false">J20863</f>
        <v>-157.27563062656</v>
      </c>
      <c r="K20951" s="25" t="n">
        <f aca="false">K20863</f>
        <v>-156.443655088294</v>
      </c>
    </row>
    <row r="20952" customFormat="false" ht="15" hidden="false" customHeight="false" outlineLevel="0" collapsed="false">
      <c r="A20952" s="5" t="s">
        <v>302</v>
      </c>
      <c r="G20952" s="25" t="n">
        <f aca="false">CHOOSE($C$20833,Assumptions!$G$68,Assumptions!$G$87,Assumptions!$G$106)</f>
        <v>0</v>
      </c>
      <c r="H20952" s="25" t="n">
        <f aca="false">CHOOSE($C$20833,Assumptions!$H$68,Assumptions!$H$87,Assumptions!$H$106)</f>
        <v>0</v>
      </c>
      <c r="I20952" s="25" t="n">
        <f aca="false">CHOOSE($C$20833,Assumptions!$I$68,Assumptions!$I$87,Assumptions!$I$106)</f>
        <v>0</v>
      </c>
      <c r="J20952" s="25" t="n">
        <f aca="false">CHOOSE($C$20833,Assumptions!$J$68,Assumptions!$J$87,Assumptions!$J$106)</f>
        <v>0</v>
      </c>
      <c r="K20952" s="25" t="n">
        <f aca="false">CHOOSE($C$20833,Assumptions!$K$68,Assumptions!$K$87,Assumptions!$K$106)</f>
        <v>0</v>
      </c>
    </row>
    <row r="20953" customFormat="false" ht="15" hidden="false" customHeight="false" outlineLevel="0" collapsed="false">
      <c r="A20953" s="5" t="s">
        <v>303</v>
      </c>
      <c r="G20953" s="25" t="n">
        <f aca="false">G20882+G20895+G20908+G20921</f>
        <v>5.2</v>
      </c>
      <c r="H20953" s="25" t="n">
        <f aca="false">H20882+H20895+H20908+H20921</f>
        <v>5.2</v>
      </c>
      <c r="I20953" s="25" t="n">
        <f aca="false">I20882+I20895+I20908+I20921</f>
        <v>5.2</v>
      </c>
      <c r="J20953" s="25" t="n">
        <f aca="false">J20882+J20895+J20908+J20921</f>
        <v>5.2</v>
      </c>
      <c r="K20953" s="25" t="n">
        <f aca="false">K20882+K20895+K20908+K20921</f>
        <v>5.2</v>
      </c>
    </row>
    <row r="20954" customFormat="false" ht="15" hidden="false" customHeight="false" outlineLevel="0" collapsed="false">
      <c r="A20954" s="2" t="s">
        <v>304</v>
      </c>
      <c r="G20954" s="16" t="n">
        <f aca="false">G20950+G20951+G20952-G20953</f>
        <v>-54.9088</v>
      </c>
      <c r="H20954" s="16" t="n">
        <f aca="false">H20950+H20951+H20952-H20953</f>
        <v>-139.5574048</v>
      </c>
      <c r="I20954" s="16" t="n">
        <f aca="false">I20950+I20951+I20952-I20953</f>
        <v>-299.764809344</v>
      </c>
      <c r="J20954" s="16" t="n">
        <f aca="false">J20950+J20951+J20952-J20953</f>
        <v>-462.24043997056</v>
      </c>
      <c r="K20954" s="16" t="n">
        <f aca="false">K20950+K20951+K20952-K20953</f>
        <v>-623.884095058854</v>
      </c>
    </row>
    <row r="20955" customFormat="false" ht="15" hidden="false" customHeight="false" outlineLevel="0" collapsed="false">
      <c r="A20955" s="5" t="s">
        <v>305</v>
      </c>
      <c r="G20955" s="25" t="n">
        <f aca="false">G20883+G20896+G20909+G20922</f>
        <v>54.9088</v>
      </c>
      <c r="H20955" s="25" t="n">
        <f aca="false">H20883+H20896+H20909+H20922</f>
        <v>0</v>
      </c>
      <c r="I20955" s="25" t="n">
        <f aca="false">I20883+I20896+I20909+I20922</f>
        <v>0</v>
      </c>
      <c r="J20955" s="25" t="n">
        <f aca="false">J20883+J20896+J20909+J20922</f>
        <v>0</v>
      </c>
      <c r="K20955" s="25" t="n">
        <f aca="false">K20883+K20896+K20909+K20922</f>
        <v>0</v>
      </c>
    </row>
    <row r="20956" customFormat="false" ht="15" hidden="false" customHeight="false" outlineLevel="0" collapsed="false">
      <c r="A20956" s="2" t="s">
        <v>306</v>
      </c>
      <c r="G20956" s="16" t="n">
        <f aca="false">G20954+G20955</f>
        <v>0</v>
      </c>
      <c r="H20956" s="16" t="n">
        <f aca="false">H20954+H20955</f>
        <v>-139.5574048</v>
      </c>
      <c r="I20956" s="16" t="n">
        <f aca="false">I20954+I20955</f>
        <v>-299.764809344</v>
      </c>
      <c r="J20956" s="16" t="n">
        <f aca="false">J20954+J20955</f>
        <v>-462.24043997056</v>
      </c>
      <c r="K20956" s="16" t="n">
        <f aca="false">K20954+K20955</f>
        <v>-623.884095058854</v>
      </c>
    </row>
    <row r="20957" customFormat="false" ht="15" hidden="false" customHeight="false" outlineLevel="0" collapsed="false">
      <c r="A20957" s="5" t="s">
        <v>307</v>
      </c>
      <c r="G20957" s="25" t="n">
        <f aca="false">G20884+G20897+G20910+G20923</f>
        <v>0</v>
      </c>
      <c r="H20957" s="25" t="n">
        <f aca="false">H20884+H20897+H20910+H20923</f>
        <v>0</v>
      </c>
      <c r="I20957" s="25" t="n">
        <f aca="false">I20884+I20897+I20910+I20923</f>
        <v>0</v>
      </c>
      <c r="J20957" s="25" t="n">
        <f aca="false">J20884+J20897+J20910+J20923</f>
        <v>0</v>
      </c>
      <c r="K20957" s="25" t="n">
        <f aca="false">K20884+K20897+K20910+K20923</f>
        <v>0</v>
      </c>
    </row>
    <row r="20958" customFormat="false" ht="15" hidden="false" customHeight="false" outlineLevel="0" collapsed="false">
      <c r="A20958" s="2" t="s">
        <v>308</v>
      </c>
      <c r="G20958" s="16" t="n">
        <f aca="false">G20956-G20957</f>
        <v>0</v>
      </c>
      <c r="H20958" s="16" t="n">
        <f aca="false">H20956-H20957</f>
        <v>-139.5574048</v>
      </c>
      <c r="I20958" s="16" t="n">
        <f aca="false">I20956-I20957</f>
        <v>-299.764809344</v>
      </c>
      <c r="J20958" s="16" t="n">
        <f aca="false">J20956-J20957</f>
        <v>-462.24043997056</v>
      </c>
      <c r="K20958" s="16" t="n">
        <f aca="false">K20956-K20957</f>
        <v>-623.884095058854</v>
      </c>
    </row>
    <row r="20959" customFormat="false" ht="15" hidden="false" customHeight="false" outlineLevel="0" collapsed="false">
      <c r="A20959" s="5" t="s">
        <v>309</v>
      </c>
      <c r="G20959" s="25" t="n">
        <f aca="false">MAX(0,-G20958)</f>
        <v>-0</v>
      </c>
      <c r="H20959" s="25" t="n">
        <f aca="false">MAX(0,-H20958)</f>
        <v>139.5574048</v>
      </c>
      <c r="I20959" s="25" t="n">
        <f aca="false">MAX(0,-I20958)</f>
        <v>299.764809344</v>
      </c>
      <c r="J20959" s="25" t="n">
        <f aca="false">MAX(0,-J20958)</f>
        <v>462.24043997056</v>
      </c>
      <c r="K20959" s="25" t="n">
        <f aca="false">MAX(0,-K20958)</f>
        <v>623.884095058854</v>
      </c>
    </row>
    <row r="20960" customFormat="false" ht="15" hidden="false" customHeight="false" outlineLevel="0" collapsed="false">
      <c r="A20960" s="5" t="s">
        <v>310</v>
      </c>
      <c r="G20960" s="25" t="n">
        <f aca="false">MAX(0,G20958-Assumptions!$C$12)*Assumptions!$C$13</f>
        <v>0</v>
      </c>
      <c r="H20960" s="25" t="n">
        <f aca="false">MAX(0,H20958-Assumptions!$C$12)*Assumptions!$C$13</f>
        <v>0</v>
      </c>
      <c r="I20960" s="25" t="n">
        <f aca="false">MAX(0,I20958-Assumptions!$C$12)*Assumptions!$C$13</f>
        <v>0</v>
      </c>
      <c r="J20960" s="25" t="n">
        <f aca="false">MAX(0,J20958-Assumptions!$C$12)*Assumptions!$C$13</f>
        <v>0</v>
      </c>
      <c r="K20960" s="25" t="n">
        <f aca="false">MAX(0,K20958-Assumptions!$C$12)*Assumptions!$C$13</f>
        <v>0</v>
      </c>
    </row>
    <row r="20961" customFormat="false" ht="15" hidden="false" customHeight="false" outlineLevel="0" collapsed="false">
      <c r="A20961" s="5" t="s">
        <v>311</v>
      </c>
      <c r="G20961" s="25" t="n">
        <f aca="false">G20885+G20898+G20911+G20924</f>
        <v>0</v>
      </c>
      <c r="H20961" s="25" t="n">
        <f aca="false">H20885+H20898+H20911+H20924</f>
        <v>0</v>
      </c>
      <c r="I20961" s="25" t="n">
        <f aca="false">I20885+I20898+I20911+I20924</f>
        <v>0</v>
      </c>
      <c r="J20961" s="25" t="n">
        <f aca="false">J20885+J20898+J20911+J20924</f>
        <v>0</v>
      </c>
      <c r="K20961" s="25" t="n">
        <f aca="false">K20885+K20898+K20911+K20924</f>
        <v>0</v>
      </c>
    </row>
    <row r="20962" customFormat="false" ht="15" hidden="false" customHeight="false" outlineLevel="0" collapsed="false">
      <c r="A20962" s="2" t="s">
        <v>312</v>
      </c>
      <c r="F20962" s="27" t="n">
        <f aca="false">Assumptions!$C$11</f>
        <v>45</v>
      </c>
      <c r="G20962" s="16" t="n">
        <f aca="false">G20958-G20961</f>
        <v>0</v>
      </c>
      <c r="H20962" s="16" t="n">
        <f aca="false">H20958-H20961</f>
        <v>-139.5574048</v>
      </c>
      <c r="I20962" s="16" t="n">
        <f aca="false">I20958-I20961</f>
        <v>-299.764809344</v>
      </c>
      <c r="J20962" s="16" t="n">
        <f aca="false">J20958-J20961</f>
        <v>-462.24043997056</v>
      </c>
      <c r="K20962" s="16" t="n">
        <f aca="false">K20958-K20961</f>
        <v>-623.884095058854</v>
      </c>
    </row>
    <row r="20963" customFormat="false" ht="15" hidden="false" customHeight="false" outlineLevel="0" collapsed="false">
      <c r="A20963" s="5" t="s">
        <v>313</v>
      </c>
      <c r="G20963" s="25" t="n">
        <f aca="false">G20886+G20899+G20912+G20925</f>
        <v>0</v>
      </c>
      <c r="H20963" s="25" t="n">
        <f aca="false">H20886+H20899+H20912+H20925</f>
        <v>534.9088</v>
      </c>
      <c r="I20963" s="25" t="n">
        <f aca="false">I20886+I20899+I20912+I20925</f>
        <v>504.4</v>
      </c>
      <c r="J20963" s="25" t="n">
        <f aca="false">J20886+J20899+J20912+J20925</f>
        <v>250</v>
      </c>
      <c r="K20963" s="25" t="n">
        <f aca="false">K20886+K20899+K20912+K20925</f>
        <v>0</v>
      </c>
    </row>
    <row r="20964" customFormat="false" ht="15" hidden="false" customHeight="false" outlineLevel="0" collapsed="false">
      <c r="A20964" s="5" t="s">
        <v>314</v>
      </c>
      <c r="G20964" s="20" t="n">
        <f aca="false">IF(OR(G20959&gt;0.001,G20963&gt;0.001),1,0)</f>
        <v>0</v>
      </c>
      <c r="H20964" s="20" t="n">
        <f aca="false">IF(OR(H20959&gt;0.001,H20963&gt;0.001),1,0)</f>
        <v>1</v>
      </c>
      <c r="I20964" s="20" t="n">
        <f aca="false">IF(OR(I20959&gt;0.001,I20963&gt;0.001),1,0)</f>
        <v>1</v>
      </c>
      <c r="J20964" s="20" t="n">
        <f aca="false">IF(OR(J20959&gt;0.001,J20963&gt;0.001),1,0)</f>
        <v>1</v>
      </c>
      <c r="K20964" s="20" t="n">
        <f aca="false">IF(OR(K20959&gt;0.001,K20963&gt;0.001),1,0)</f>
        <v>1</v>
      </c>
    </row>
    <row r="20965" customFormat="false" ht="15" hidden="false" customHeight="false" outlineLevel="0" collapsed="false">
      <c r="A20965" s="5" t="s">
        <v>315</v>
      </c>
      <c r="G20965" s="20" t="n">
        <f aca="false">IF(G20964=1,1,0)</f>
        <v>0</v>
      </c>
      <c r="H20965" s="20" t="n">
        <f aca="false">IF(AND(H20964=1,SUM($G$20964:G20964)=0),1,0)</f>
        <v>1</v>
      </c>
      <c r="I20965" s="20" t="n">
        <f aca="false">IF(AND(I20964=1,SUM($G$20964:H20964)=0),1,0)</f>
        <v>0</v>
      </c>
      <c r="J20965" s="20" t="n">
        <f aca="false">IF(AND(J20964=1,SUM($G$20964:I20964)=0),1,0)</f>
        <v>0</v>
      </c>
      <c r="K20965" s="20" t="n">
        <f aca="false">IF(AND(K20964=1,SUM($G$20964:J20964)=0),1,0)</f>
        <v>0</v>
      </c>
    </row>
    <row r="20966" customFormat="false" ht="15" hidden="false" customHeight="false" outlineLevel="0" collapsed="false">
      <c r="A20966" s="5" t="s">
        <v>316</v>
      </c>
      <c r="G20966" s="25" t="n">
        <f aca="false">(G20928-F20928)-(G20955+G20855-G20953-G20957-G20961)</f>
        <v>0</v>
      </c>
      <c r="H20966" s="25" t="n">
        <f aca="false">(H20928-G20928)-(H20955+H20855-H20953-H20957-H20961)</f>
        <v>1.82076576038526E-013</v>
      </c>
      <c r="I20966" s="25" t="n">
        <f aca="false">(I20928-H20928)-(I20955+I20855-I20953-I20957-I20961)</f>
        <v>-4.52970994047064E-014</v>
      </c>
      <c r="J20966" s="25" t="n">
        <f aca="false">(J20928-I20928)-(J20955+J20855-J20953-J20957-J20961)</f>
        <v>-4.52970994047064E-014</v>
      </c>
      <c r="K20966" s="25" t="n">
        <f aca="false">(K20928-J20928)-(K20955+K20855-K20953-K20957-K20961)</f>
        <v>1.82076576038526E-013</v>
      </c>
    </row>
    <row r="20968" customFormat="false" ht="15" hidden="false" customHeight="false" outlineLevel="0" collapsed="false">
      <c r="A20968" s="23" t="s">
        <v>318</v>
      </c>
      <c r="B20968" s="24"/>
      <c r="C20968" s="24"/>
      <c r="D20968" s="24"/>
      <c r="E20968" s="24"/>
      <c r="F20968" s="24"/>
      <c r="G20968" s="24"/>
      <c r="H20968" s="24"/>
      <c r="I20968" s="24"/>
      <c r="J20968" s="24"/>
      <c r="K20968" s="24"/>
    </row>
    <row r="20969" customFormat="false" ht="15" hidden="false" customHeight="false" outlineLevel="0" collapsed="false">
      <c r="A20969" s="5" t="s">
        <v>319</v>
      </c>
      <c r="G20969" s="25" t="n">
        <f aca="false">G20928</f>
        <v>1299.7088</v>
      </c>
      <c r="H20969" s="25" t="n">
        <f aca="false">H20928</f>
        <v>1294.5088</v>
      </c>
      <c r="I20969" s="25" t="n">
        <f aca="false">I20928</f>
        <v>1289.3088</v>
      </c>
      <c r="J20969" s="25" t="n">
        <f aca="false">J20928</f>
        <v>1284.1088</v>
      </c>
      <c r="K20969" s="25" t="n">
        <f aca="false">K20928</f>
        <v>1278.9088</v>
      </c>
    </row>
    <row r="20970" customFormat="false" ht="15" hidden="false" customHeight="false" outlineLevel="0" collapsed="false">
      <c r="A20970" s="5" t="s">
        <v>320</v>
      </c>
      <c r="G20970" s="25" t="n">
        <f aca="false">Assumptions!$O$53*G20887+Assumptions!$O$54*G20900+Assumptions!$O$55*G20913+Assumptions!$O$56*G20926</f>
        <v>999.7088</v>
      </c>
      <c r="H20970" s="25" t="n">
        <f aca="false">Assumptions!$O$53*H20887+Assumptions!$O$54*H20900+Assumptions!$O$55*H20913+Assumptions!$O$56*H20926</f>
        <v>994.5088</v>
      </c>
      <c r="I20970" s="25" t="n">
        <f aca="false">Assumptions!$O$53*I20887+Assumptions!$O$54*I20900+Assumptions!$O$55*I20913+Assumptions!$O$56*I20926</f>
        <v>989.3088</v>
      </c>
      <c r="J20970" s="25" t="n">
        <f aca="false">Assumptions!$O$53*J20887+Assumptions!$O$54*J20900+Assumptions!$O$55*J20913+Assumptions!$O$56*J20926</f>
        <v>984.1088</v>
      </c>
      <c r="K20970" s="25" t="n">
        <f aca="false">Assumptions!$O$53*K20887+Assumptions!$O$54*K20900+Assumptions!$O$55*K20913+Assumptions!$O$56*K20926</f>
        <v>978.9088</v>
      </c>
    </row>
    <row r="20971" customFormat="false" ht="15" hidden="false" customHeight="false" outlineLevel="0" collapsed="false">
      <c r="A20971" s="5" t="s">
        <v>321</v>
      </c>
      <c r="G20971" s="25" t="n">
        <f aca="false">G20969-G20962</f>
        <v>1299.7088</v>
      </c>
      <c r="H20971" s="25" t="n">
        <f aca="false">H20969-H20962</f>
        <v>1434.0662048</v>
      </c>
      <c r="I20971" s="25" t="n">
        <f aca="false">I20969-I20962</f>
        <v>1589.073609344</v>
      </c>
      <c r="J20971" s="25" t="n">
        <f aca="false">J20969-J20962</f>
        <v>1746.34923997056</v>
      </c>
      <c r="K20971" s="25" t="n">
        <f aca="false">K20969-K20962</f>
        <v>1902.79289505885</v>
      </c>
    </row>
    <row r="20972" customFormat="false" ht="15" hidden="false" customHeight="false" outlineLevel="0" collapsed="false">
      <c r="A20972" s="5" t="s">
        <v>322</v>
      </c>
      <c r="G20972" s="31" t="n">
        <f aca="false">IF(G20850&gt;0,G20969/G20850,0)</f>
        <v>70.6978241949521</v>
      </c>
      <c r="H20972" s="31" t="n">
        <f aca="false">IF(H20850&gt;0,H20969/H20850,0)</f>
        <v>80.9367465962406</v>
      </c>
      <c r="I20972" s="31" t="n">
        <f aca="false">IF(I20850&gt;0,I20969/I20850,0)</f>
        <v>82.763476695823</v>
      </c>
      <c r="J20972" s="31" t="n">
        <f aca="false">IF(J20850&gt;0,J20969/J20850,0)</f>
        <v>83.2623006318033</v>
      </c>
      <c r="K20972" s="31" t="n">
        <f aca="false">IF(K20850&gt;0,K20969/K20850,0)</f>
        <v>83.762757427964</v>
      </c>
    </row>
    <row r="20973" customFormat="false" ht="15" hidden="false" customHeight="false" outlineLevel="0" collapsed="false">
      <c r="A20973" s="5" t="s">
        <v>323</v>
      </c>
      <c r="G20973" s="31" t="n">
        <f aca="false">IF(G20850&gt;0,G20971/G20850,0)</f>
        <v>70.6978241949521</v>
      </c>
      <c r="H20973" s="31" t="n">
        <f aca="false">IF(H20850&gt;0,H20971/H20850,0)</f>
        <v>89.6623128557566</v>
      </c>
      <c r="I20973" s="31" t="n">
        <f aca="false">IF(I20850&gt;0,I20971/I20850,0)</f>
        <v>102.006017980246</v>
      </c>
      <c r="J20973" s="31" t="n">
        <f aca="false">IF(J20850&gt;0,J20971/J20850,0)</f>
        <v>113.234217713133</v>
      </c>
      <c r="K20973" s="31" t="n">
        <f aca="false">IF(K20850&gt;0,K20971/K20850,0)</f>
        <v>124.624351403687</v>
      </c>
    </row>
    <row r="20974" customFormat="false" ht="15" hidden="false" customHeight="false" outlineLevel="0" collapsed="false">
      <c r="A20974" s="5" t="s">
        <v>324</v>
      </c>
      <c r="G20974" s="31" t="n">
        <f aca="false">IF(G20854&gt;0,G20850/G20854,0)</f>
        <v>0.13127677806341</v>
      </c>
      <c r="H20974" s="31" t="n">
        <f aca="false">IF(H20854&gt;0,H20850/H20854,0)</f>
        <v>0.111190805103385</v>
      </c>
      <c r="I20974" s="31" t="n">
        <f aca="false">IF(I20854&gt;0,I20850/I20854,0)</f>
        <v>0.11024648666467</v>
      </c>
      <c r="J20974" s="31" t="n">
        <f aca="false">IF(J20854&gt;0,J20850/J20854,0)</f>
        <v>0.109660569397092</v>
      </c>
      <c r="K20974" s="31" t="n">
        <f aca="false">IF(K20854&gt;0,K20850/K20854,0)</f>
        <v>0.109080209295775</v>
      </c>
    </row>
    <row r="20975" customFormat="false" ht="15" hidden="false" customHeight="false" outlineLevel="0" collapsed="false">
      <c r="A20975" s="5" t="s">
        <v>325</v>
      </c>
      <c r="G20975" s="31" t="n">
        <f aca="false">IF(G20854&gt;0,G20853/G20854,0)</f>
        <v>-0.157532133676093</v>
      </c>
      <c r="H20975" s="31" t="n">
        <f aca="false">IF(H20854&gt;0,H20853/H20854,0)</f>
        <v>-0.133428966124062</v>
      </c>
      <c r="I20975" s="31" t="n">
        <f aca="false">IF(I20854&gt;0,I20853/I20854,0)</f>
        <v>-0.132295783997604</v>
      </c>
      <c r="J20975" s="31" t="n">
        <f aca="false">IF(J20854&gt;0,J20853/J20854,0)</f>
        <v>-0.131592683276511</v>
      </c>
      <c r="K20975" s="31" t="n">
        <f aca="false">IF(K20854&gt;0,K20853/K20854,0)</f>
        <v>-0.13089625115493</v>
      </c>
    </row>
    <row r="20976" customFormat="false" ht="15" hidden="false" customHeight="false" outlineLevel="0" collapsed="false">
      <c r="A20976" s="5" t="s">
        <v>182</v>
      </c>
      <c r="G20976" s="21" t="n">
        <f aca="false">IF(G20969&gt;0,G20863/G20969,0)</f>
        <v>-0.0728692457879796</v>
      </c>
      <c r="H20976" s="21" t="n">
        <f aca="false">IF(H20969&gt;0,H20863/H20969,0)</f>
        <v>-0.103790259903988</v>
      </c>
      <c r="I20976" s="21" t="n">
        <f aca="false">IF(I20969&gt;0,I20863/I20969,0)</f>
        <v>-0.120225197054422</v>
      </c>
      <c r="J20976" s="21" t="n">
        <f aca="false">IF(J20969&gt;0,J20863/J20969,0)</f>
        <v>-0.122478430664567</v>
      </c>
      <c r="K20976" s="21" t="n">
        <f aca="false">IF(K20969&gt;0,K20863/K20969,0)</f>
        <v>-0.122325888357555</v>
      </c>
    </row>
    <row r="20977" customFormat="false" ht="15" hidden="false" customHeight="false" outlineLevel="0" collapsed="false">
      <c r="A20977" s="5" t="s">
        <v>326</v>
      </c>
      <c r="G20977" s="31" t="n">
        <f aca="false">IF(G20854+G20953&gt;0,(G20850-G20861-G20858)/(G20854+G20953),0)</f>
        <v>-0.0759460203800606</v>
      </c>
      <c r="H20977" s="31" t="n">
        <f aca="false">IF(H20854+H20953&gt;0,(H20850-H20861-H20858)/(H20854+H20953),0)</f>
        <v>-0.0643868726775781</v>
      </c>
      <c r="I20977" s="31" t="n">
        <f aca="false">IF(I20854+I20953&gt;0,(I20850-I20861-I20858)/(I20854+I20953),0)</f>
        <v>-0.0638000393994207</v>
      </c>
      <c r="J20977" s="31" t="n">
        <f aca="false">IF(J20854+J20953&gt;0,(J20850-J20861-J20858)/(J20854+J20953),0)</f>
        <v>-0.0634503083935347</v>
      </c>
      <c r="K20977" s="31" t="n">
        <f aca="false">IF(K20854+K20953&gt;0,(K20850-K20861-K20858)/(K20854+K20953),0)</f>
        <v>-0.0631038089376677</v>
      </c>
    </row>
    <row r="20978" customFormat="false" ht="15" hidden="false" customHeight="false" outlineLevel="0" collapsed="false">
      <c r="A20978" s="5" t="s">
        <v>327</v>
      </c>
      <c r="G20978" s="25" t="n">
        <f aca="false">MAX(0,G20962)+Assumptions!$P$53*MAX(0,Assumptions!$D$53-G20887)+Assumptions!$P$54*MAX(0,Assumptions!$D$54-G20900)+Assumptions!$P$55*MAX(0,Assumptions!$D$55-G20913)+Assumptions!$P$56*MAX(0,Assumptions!$D$56-G20926)</f>
        <v>65.0912</v>
      </c>
      <c r="H20978" s="25" t="n">
        <f aca="false">MAX(0,H20962)+Assumptions!$P$53*MAX(0,Assumptions!$D$53-H20887)+Assumptions!$P$54*MAX(0,Assumptions!$D$54-H20900)+Assumptions!$P$55*MAX(0,Assumptions!$D$55-H20913)+Assumptions!$P$56*MAX(0,Assumptions!$D$56-H20926)</f>
        <v>65.0912</v>
      </c>
      <c r="I20978" s="25" t="n">
        <f aca="false">MAX(0,I20962)+Assumptions!$P$53*MAX(0,Assumptions!$D$53-I20887)+Assumptions!$P$54*MAX(0,Assumptions!$D$54-I20900)+Assumptions!$P$55*MAX(0,Assumptions!$D$55-I20913)+Assumptions!$P$56*MAX(0,Assumptions!$D$56-I20926)</f>
        <v>65.0912</v>
      </c>
      <c r="J20978" s="25" t="n">
        <f aca="false">MAX(0,J20962)+Assumptions!$P$53*MAX(0,Assumptions!$D$53-J20887)+Assumptions!$P$54*MAX(0,Assumptions!$D$54-J20900)+Assumptions!$P$55*MAX(0,Assumptions!$D$55-J20913)+Assumptions!$P$56*MAX(0,Assumptions!$D$56-J20926)</f>
        <v>65.0912</v>
      </c>
      <c r="K20978" s="25" t="n">
        <f aca="false">MAX(0,K20962)+Assumptions!$P$53*MAX(0,Assumptions!$D$53-K20887)+Assumptions!$P$54*MAX(0,Assumptions!$D$54-K20900)+Assumptions!$P$55*MAX(0,Assumptions!$D$55-K20913)+Assumptions!$P$56*MAX(0,Assumptions!$D$56-K20926)</f>
        <v>65.0912</v>
      </c>
    </row>
    <row r="20979" customFormat="false" ht="15" hidden="false" customHeight="false" outlineLevel="0" collapsed="false">
      <c r="A20979" s="5" t="s">
        <v>328</v>
      </c>
      <c r="G20979" s="21" t="n">
        <f aca="false">IF(G20969&gt;0,G20969/(G20969+MAX(0,G20850*CHOOSE($C$20833,Assumptions!$C$76,Assumptions!$C$95,Assumptions!$C$114)-G20971)),0)</f>
        <v>1</v>
      </c>
      <c r="H20979" s="21" t="n">
        <f aca="false">IF(H20969&gt;0,H20969/(H20969+MAX(0,H20850*CHOOSE($C$20833,Assumptions!$C$76,Assumptions!$C$95,Assumptions!$C$114)-H20971)),0)</f>
        <v>1</v>
      </c>
      <c r="I20979" s="21" t="n">
        <f aca="false">IF(I20969&gt;0,I20969/(I20969+MAX(0,I20850*CHOOSE($C$20833,Assumptions!$C$76,Assumptions!$C$95,Assumptions!$C$114)-I20971)),0)</f>
        <v>1</v>
      </c>
      <c r="J20979" s="21" t="n">
        <f aca="false">IF(J20969&gt;0,J20969/(J20969+MAX(0,J20850*CHOOSE($C$20833,Assumptions!$C$76,Assumptions!$C$95,Assumptions!$C$114)-J20971)),0)</f>
        <v>1</v>
      </c>
      <c r="K20979" s="21" t="n">
        <f aca="false">IF(K20969&gt;0,K20969/(K20969+MAX(0,K20850*CHOOSE($C$20833,Assumptions!$C$76,Assumptions!$C$95,Assumptions!$C$114)-K20971)),0)</f>
        <v>1</v>
      </c>
    </row>
    <row r="20980" customFormat="false" ht="15" hidden="false" customHeight="false" outlineLevel="0" collapsed="false">
      <c r="A20980" s="5" t="s">
        <v>329</v>
      </c>
      <c r="G20980" s="21" t="n">
        <f aca="false">IF(G20969&gt;0,MAX(0,G20962)/G20969,0)</f>
        <v>0</v>
      </c>
      <c r="H20980" s="21" t="n">
        <f aca="false">IF(H20969&gt;0,MAX(0,H20962)/H20969,0)</f>
        <v>0</v>
      </c>
      <c r="I20980" s="21" t="n">
        <f aca="false">IF(I20969&gt;0,MAX(0,I20962)/I20969,0)</f>
        <v>0</v>
      </c>
      <c r="J20980" s="21" t="n">
        <f aca="false">IF(J20969&gt;0,MAX(0,J20962)/J20969,0)</f>
        <v>0</v>
      </c>
      <c r="K20980" s="21" t="n">
        <f aca="false">IF(K20969&gt;0,MAX(0,K20962)/K20969,0)</f>
        <v>0</v>
      </c>
    </row>
    <row r="20981" customFormat="false" ht="15" hidden="false" customHeight="false" outlineLevel="0" collapsed="false">
      <c r="A20981" s="5" t="s">
        <v>330</v>
      </c>
      <c r="G20981" s="25" t="n">
        <f aca="false">Assumptions!$C$27*(1-CHOOSE($C$20833,Assumptions!$C$79,Assumptions!$C$98,Assumptions!$C$117))</f>
        <v>676</v>
      </c>
      <c r="H20981" s="25" t="n">
        <f aca="false">Assumptions!$C$27*(1-CHOOSE($C$20833,Assumptions!$C$79,Assumptions!$C$98,Assumptions!$C$117))</f>
        <v>676</v>
      </c>
      <c r="I20981" s="25" t="n">
        <f aca="false">Assumptions!$C$27*(1-CHOOSE($C$20833,Assumptions!$C$79,Assumptions!$C$98,Assumptions!$C$117))</f>
        <v>676</v>
      </c>
      <c r="J20981" s="25" t="n">
        <f aca="false">Assumptions!$C$27*(1-CHOOSE($C$20833,Assumptions!$C$79,Assumptions!$C$98,Assumptions!$C$117))</f>
        <v>676</v>
      </c>
      <c r="K20981" s="25" t="n">
        <f aca="false">Assumptions!$C$27*(1-CHOOSE($C$20833,Assumptions!$C$79,Assumptions!$C$98,Assumptions!$C$117))</f>
        <v>676</v>
      </c>
    </row>
    <row r="20982" customFormat="false" ht="15" hidden="false" customHeight="false" outlineLevel="0" collapsed="false">
      <c r="A20982" s="23" t="s">
        <v>331</v>
      </c>
      <c r="B20982" s="24"/>
      <c r="C20982" s="24"/>
      <c r="D20982" s="24"/>
      <c r="E20982" s="24"/>
      <c r="F20982" s="24"/>
      <c r="G20982" s="24"/>
      <c r="H20982" s="24"/>
      <c r="I20982" s="24"/>
      <c r="J20982" s="24"/>
      <c r="K20982" s="24"/>
    </row>
    <row r="20983" customFormat="false" ht="15" hidden="false" customHeight="false" outlineLevel="0" collapsed="false">
      <c r="A20983" s="23" t="s">
        <v>332</v>
      </c>
      <c r="B20983" s="24"/>
      <c r="C20983" s="24"/>
      <c r="D20983" s="24"/>
      <c r="E20983" s="24"/>
      <c r="F20983" s="24"/>
      <c r="G20983" s="24"/>
      <c r="H20983" s="24"/>
      <c r="I20983" s="24"/>
      <c r="J20983" s="24"/>
      <c r="K20983" s="24"/>
    </row>
    <row r="20984" customFormat="false" ht="15" hidden="false" customHeight="false" outlineLevel="0" collapsed="false">
      <c r="A20984" s="5" t="s">
        <v>333</v>
      </c>
      <c r="G20984" s="31" t="n">
        <f aca="false">IF(G20850&gt;0,G20971/G20850,99)</f>
        <v>70.6978241949521</v>
      </c>
      <c r="H20984" s="31" t="n">
        <f aca="false">IF(H20850&gt;0,H20971/H20850,99)</f>
        <v>89.6623128557566</v>
      </c>
      <c r="I20984" s="31" t="n">
        <f aca="false">IF(I20850&gt;0,I20971/I20850,99)</f>
        <v>102.006017980246</v>
      </c>
      <c r="J20984" s="31" t="n">
        <f aca="false">IF(J20850&gt;0,J20971/J20850,99)</f>
        <v>113.234217713133</v>
      </c>
      <c r="K20984" s="31" t="n">
        <f aca="false">IF(K20850&gt;0,K20971/K20850,99)</f>
        <v>124.624351403687</v>
      </c>
    </row>
    <row r="20985" customFormat="false" ht="15" hidden="false" customHeight="false" outlineLevel="0" collapsed="false">
      <c r="A20985" s="5" t="s">
        <v>334</v>
      </c>
      <c r="G20985" s="32" t="n">
        <f aca="false">Assumptions!$G$61</f>
        <v>8.5</v>
      </c>
      <c r="H20985" s="32" t="n">
        <f aca="false">Assumptions!$H$61</f>
        <v>8.5</v>
      </c>
      <c r="I20985" s="32" t="n">
        <f aca="false">Assumptions!$I$61</f>
        <v>8.5</v>
      </c>
      <c r="J20985" s="32" t="n">
        <f aca="false">Assumptions!$J$61</f>
        <v>8.5</v>
      </c>
      <c r="K20985" s="32" t="n">
        <f aca="false">Assumptions!$K$61</f>
        <v>8.5</v>
      </c>
    </row>
    <row r="20986" customFormat="false" ht="15" hidden="false" customHeight="false" outlineLevel="0" collapsed="false">
      <c r="A20986" s="5" t="s">
        <v>335</v>
      </c>
      <c r="G20986" s="31" t="n">
        <f aca="false">G20985-G20984</f>
        <v>-62.1978241949521</v>
      </c>
      <c r="H20986" s="31" t="n">
        <f aca="false">H20985-H20984</f>
        <v>-81.1623128557566</v>
      </c>
      <c r="I20986" s="31" t="n">
        <f aca="false">I20985-I20984</f>
        <v>-93.5060179802461</v>
      </c>
      <c r="J20986" s="31" t="n">
        <f aca="false">J20985-J20984</f>
        <v>-104.734217713133</v>
      </c>
      <c r="K20986" s="31" t="n">
        <f aca="false">K20985-K20984</f>
        <v>-116.124351403687</v>
      </c>
    </row>
    <row r="20987" customFormat="false" ht="15" hidden="false" customHeight="false" outlineLevel="0" collapsed="false">
      <c r="A20987" s="5" t="s">
        <v>336</v>
      </c>
      <c r="G20987" s="21" t="n">
        <f aca="false">IF(G20985=0,0,G20986/ABS(G20985))</f>
        <v>-7.31739108175907</v>
      </c>
      <c r="H20987" s="21" t="n">
        <f aca="false">IF(H20985=0,0,H20986/ABS(H20985))</f>
        <v>-9.5485073947949</v>
      </c>
      <c r="I20987" s="21" t="n">
        <f aca="false">IF(I20985=0,0,I20986/ABS(I20985))</f>
        <v>-11.000707997676</v>
      </c>
      <c r="J20987" s="21" t="n">
        <f aca="false">IF(J20985=0,0,J20986/ABS(J20985))</f>
        <v>-12.3216726721333</v>
      </c>
      <c r="K20987" s="21" t="n">
        <f aca="false">IF(K20985=0,0,K20986/ABS(K20985))</f>
        <v>-13.6616884004338</v>
      </c>
    </row>
    <row r="20988" customFormat="false" ht="15" hidden="false" customHeight="false" outlineLevel="0" collapsed="false">
      <c r="A20988" s="5" t="s">
        <v>337</v>
      </c>
      <c r="G20988" s="20" t="n">
        <f aca="false">IF(G20986&lt;0,1,0)</f>
        <v>1</v>
      </c>
      <c r="H20988" s="20" t="n">
        <f aca="false">IF(H20986&lt;0,1,0)</f>
        <v>1</v>
      </c>
      <c r="I20988" s="20" t="n">
        <f aca="false">IF(I20986&lt;0,1,0)</f>
        <v>1</v>
      </c>
      <c r="J20988" s="20" t="n">
        <f aca="false">IF(J20986&lt;0,1,0)</f>
        <v>1</v>
      </c>
      <c r="K20988" s="20" t="n">
        <f aca="false">IF(K20986&lt;0,1,0)</f>
        <v>1</v>
      </c>
    </row>
    <row r="20989" customFormat="false" ht="15" hidden="false" customHeight="false" outlineLevel="0" collapsed="false">
      <c r="A20989" s="5" t="s">
        <v>338</v>
      </c>
      <c r="C20989" s="20" t="n">
        <f aca="false">IFERROR(INDEX($G$20840:$K$20840,MATCH(1,$G$20988:$K$20988,0)),0)</f>
        <v>2026</v>
      </c>
    </row>
    <row r="20990" customFormat="false" ht="15" hidden="false" customHeight="false" outlineLevel="0" collapsed="false">
      <c r="A20990" s="5" t="s">
        <v>339</v>
      </c>
      <c r="C20990" s="21" t="n">
        <f aca="false">MIN($G$20987:$K$20987)</f>
        <v>-13.6616884004338</v>
      </c>
    </row>
    <row r="20991" customFormat="false" ht="15" hidden="false" customHeight="false" outlineLevel="0" collapsed="false">
      <c r="A20991" s="5" t="s">
        <v>340</v>
      </c>
      <c r="G20991" s="20" t="n">
        <f aca="false">G20988</f>
        <v>1</v>
      </c>
      <c r="H20991" s="20" t="n">
        <f aca="false">H20988</f>
        <v>1</v>
      </c>
      <c r="I20991" s="20" t="n">
        <f aca="false">I20988</f>
        <v>1</v>
      </c>
      <c r="J20991" s="20" t="n">
        <f aca="false">J20988</f>
        <v>1</v>
      </c>
      <c r="K20991" s="20" t="n">
        <f aca="false">K20988</f>
        <v>1</v>
      </c>
    </row>
    <row r="20992" customFormat="false" ht="15" hidden="false" customHeight="false" outlineLevel="0" collapsed="false">
      <c r="A20992" s="5" t="s">
        <v>341</v>
      </c>
      <c r="C20992" s="20" t="n">
        <f aca="false">SUM($G$20991:$K$20991)</f>
        <v>5</v>
      </c>
    </row>
    <row r="20993" customFormat="false" ht="15" hidden="false" customHeight="false" outlineLevel="0" collapsed="false">
      <c r="A20993" s="5" t="s">
        <v>342</v>
      </c>
      <c r="C20993" s="21" t="n">
        <f aca="false">MIN(C20990)</f>
        <v>-13.6616884004338</v>
      </c>
    </row>
    <row r="20995" customFormat="false" ht="15" hidden="false" customHeight="false" outlineLevel="0" collapsed="false">
      <c r="A20995" s="23" t="s">
        <v>444</v>
      </c>
      <c r="B20995" s="24"/>
      <c r="C20995" s="24"/>
      <c r="D20995" s="24"/>
      <c r="E20995" s="24"/>
      <c r="F20995" s="24"/>
      <c r="G20995" s="24"/>
      <c r="H20995" s="24"/>
      <c r="I20995" s="24"/>
      <c r="J20995" s="24"/>
      <c r="K20995" s="24"/>
    </row>
    <row r="20996" customFormat="false" ht="15" hidden="false" customHeight="false" outlineLevel="0" collapsed="false">
      <c r="A20996" s="5" t="s">
        <v>445</v>
      </c>
      <c r="G20996" s="20" t="n">
        <f aca="false">IF($C$20997=1,G20965,IF(G20850=MIN($G$20850:$K$20850),1,0))</f>
        <v>0</v>
      </c>
      <c r="H20996" s="20" t="n">
        <f aca="false">IF($C$20997=1,H20965,IF(AND(H20850=MIN($G$20850:$K$20850),SUM($G$20996:G20996)=0),1,0))</f>
        <v>1</v>
      </c>
      <c r="I20996" s="20" t="n">
        <f aca="false">IF($C$20997=1,I20965,IF(AND(I20850=MIN($G$20850:$K$20850),SUM($G$20996:H20996)=0),1,0))</f>
        <v>0</v>
      </c>
      <c r="J20996" s="20" t="n">
        <f aca="false">IF($C$20997=1,J20965,IF(AND(J20850=MIN($G$20850:$K$20850),SUM($G$20996:I20996)=0),1,0))</f>
        <v>0</v>
      </c>
      <c r="K20996" s="20" t="n">
        <f aca="false">IF($C$20997=1,K20965,IF(AND(K20850=MIN($G$20850:$K$20850),SUM($G$20996:J20996)=0),1,0))</f>
        <v>0</v>
      </c>
    </row>
    <row r="20997" customFormat="false" ht="15" hidden="false" customHeight="false" outlineLevel="0" collapsed="false">
      <c r="A20997" s="5" t="s">
        <v>446</v>
      </c>
      <c r="C20997" s="20" t="n">
        <f aca="false">IF(SUM($G$20965:$K$20965)&gt;0,1,0)</f>
        <v>1</v>
      </c>
    </row>
    <row r="20998" customFormat="false" ht="15" hidden="false" customHeight="false" outlineLevel="0" collapsed="false">
      <c r="A20998" s="5" t="s">
        <v>447</v>
      </c>
      <c r="C20998" s="20" t="n">
        <f aca="false">SUMPRODUCT($G$20996:$K$20996,$G$20840:$K$20840)</f>
        <v>2027</v>
      </c>
    </row>
    <row r="20999" customFormat="false" ht="15" hidden="false" customHeight="false" outlineLevel="0" collapsed="false">
      <c r="A20999" s="5" t="s">
        <v>448</v>
      </c>
      <c r="C20999" s="25" t="n">
        <f aca="false">SUMPRODUCT($G$20996:$K$20996,$G$20850:$K$20850)</f>
        <v>15.99408</v>
      </c>
    </row>
    <row r="21000" customFormat="false" ht="15" hidden="false" customHeight="false" outlineLevel="0" collapsed="false">
      <c r="A21000" s="5" t="s">
        <v>449</v>
      </c>
      <c r="C21000" s="25" t="n">
        <f aca="false">MAX(0,SUMPRODUCT($G$20996:$K$20996,$G$20962:$K$20962))</f>
        <v>0</v>
      </c>
    </row>
    <row r="21001" customFormat="false" ht="15" hidden="false" customHeight="false" outlineLevel="0" collapsed="false">
      <c r="A21001" s="5" t="s">
        <v>450</v>
      </c>
      <c r="C21001" s="25" t="n">
        <f aca="false">(CHOOSE($C$20833,Assumptions!$C$78,Assumptions!$C$97,Assumptions!$C$116)+$C$20837)*C20999</f>
        <v>47.98224</v>
      </c>
    </row>
    <row r="21002" customFormat="false" ht="15" hidden="false" customHeight="false" outlineLevel="0" collapsed="false">
      <c r="A21002" s="5" t="s">
        <v>451</v>
      </c>
      <c r="C21002" s="25" t="n">
        <f aca="false">Assumptions!$C$27*(1-CHOOSE($C$20833,Assumptions!$C$79,Assumptions!$C$98,Assumptions!$C$117))*CHOOSE($C$20833,Assumptions!$C$80,Assumptions!$C$99,Assumptions!$C$118)</f>
        <v>405.6</v>
      </c>
    </row>
    <row r="21003" customFormat="false" ht="15" hidden="false" customHeight="false" outlineLevel="0" collapsed="false">
      <c r="A21003" s="5" t="s">
        <v>452</v>
      </c>
      <c r="C21003" s="25" t="n">
        <f aca="false">MAX(C21001,C21002)+C21000</f>
        <v>405.6</v>
      </c>
    </row>
    <row r="21004" customFormat="false" ht="15" hidden="false" customHeight="false" outlineLevel="0" collapsed="false">
      <c r="A21004" s="2" t="s">
        <v>453</v>
      </c>
      <c r="C21004" s="16" t="n">
        <f aca="false">IF(ISNUMBER(Assumptions!$C$14),Assumptions!$C$14,C21003)</f>
        <v>405.6</v>
      </c>
    </row>
    <row r="21005" customFormat="false" ht="15" hidden="false" customHeight="false" outlineLevel="0" collapsed="false">
      <c r="A21005" s="5" t="s">
        <v>454</v>
      </c>
      <c r="C21005" s="25" t="n">
        <f aca="false">C21004*Assumptions!$C$15</f>
        <v>16.224</v>
      </c>
    </row>
    <row r="21006" customFormat="false" ht="15" hidden="false" customHeight="false" outlineLevel="0" collapsed="false">
      <c r="A21006" s="2" t="s">
        <v>455</v>
      </c>
      <c r="C21006" s="16" t="n">
        <f aca="false">C21004-C21005</f>
        <v>389.376</v>
      </c>
    </row>
    <row r="21007" customFormat="false" ht="15" hidden="false" customHeight="false" outlineLevel="0" collapsed="false">
      <c r="A21007" s="23" t="s">
        <v>456</v>
      </c>
      <c r="B21007" s="24"/>
      <c r="C21007" s="24"/>
      <c r="D21007" s="24"/>
      <c r="E21007" s="24"/>
      <c r="F21007" s="24"/>
      <c r="G21007" s="24"/>
      <c r="H21007" s="24"/>
      <c r="I21007" s="24"/>
      <c r="J21007" s="24"/>
      <c r="K21007" s="24"/>
    </row>
    <row r="21008" customFormat="false" ht="15" hidden="false" customHeight="false" outlineLevel="0" collapsed="false">
      <c r="A21008" s="5" t="s">
        <v>457</v>
      </c>
      <c r="C21008" s="25" t="n">
        <f aca="false">SUMPRODUCT($G$20996:$K$20996,$G$20887:$K$20887)*(1+SUMPRODUCT($G$20996:$K$20996,$G$20879:$K$20879)*Assumptions!$C$16/12)</f>
        <v>241.5743372</v>
      </c>
    </row>
    <row r="21009" customFormat="false" ht="15" hidden="false" customHeight="false" outlineLevel="0" collapsed="false">
      <c r="A21009" s="5" t="s">
        <v>458</v>
      </c>
      <c r="C21009" s="25" t="n">
        <f aca="false">SUMPRODUCT($G$20996:$K$20996,$G$20900:$K$20900)*(1+SUMPRODUCT($G$20996:$K$20996,$G$20892:$K$20892)*Assumptions!$C$16/12)</f>
        <v>526.2257</v>
      </c>
    </row>
    <row r="21010" customFormat="false" ht="15" hidden="false" customHeight="false" outlineLevel="0" collapsed="false">
      <c r="A21010" s="5" t="s">
        <v>459</v>
      </c>
      <c r="C21010" s="25" t="n">
        <f aca="false">SUMPRODUCT($G$20996:$K$20996,$G$20913:$K$20913)*(1+SUMPRODUCT($G$20996:$K$20996,$G$20905:$K$20905)*Assumptions!$C$16/12)</f>
        <v>256.875</v>
      </c>
    </row>
    <row r="21011" customFormat="false" ht="15" hidden="false" customHeight="false" outlineLevel="0" collapsed="false">
      <c r="A21011" s="5" t="s">
        <v>460</v>
      </c>
      <c r="C21011" s="25" t="n">
        <f aca="false">SUMPRODUCT($G$20996:$K$20996,$G$20926:$K$20926)*(1+SUMPRODUCT($G$20996:$K$20996,$G$20918:$K$20918)*Assumptions!$C$16/12)</f>
        <v>305.625</v>
      </c>
    </row>
    <row r="21012" customFormat="false" ht="15" hidden="false" customHeight="false" outlineLevel="0" collapsed="false">
      <c r="A21012" s="23" t="s">
        <v>461</v>
      </c>
      <c r="B21012" s="24"/>
      <c r="C21012" s="24"/>
      <c r="D21012" s="24"/>
      <c r="E21012" s="24"/>
      <c r="F21012" s="24"/>
      <c r="G21012" s="24"/>
      <c r="H21012" s="24"/>
      <c r="I21012" s="24"/>
      <c r="J21012" s="24"/>
      <c r="K21012" s="24"/>
    </row>
    <row r="21013" customFormat="false" ht="15" hidden="false" customHeight="false" outlineLevel="0" collapsed="false">
      <c r="A21013" s="5" t="s">
        <v>457</v>
      </c>
      <c r="C21013" s="26" t="n">
        <f aca="false">Assumptions!$M$53</f>
        <v>1</v>
      </c>
    </row>
    <row r="21014" customFormat="false" ht="15" hidden="false" customHeight="false" outlineLevel="0" collapsed="false">
      <c r="A21014" s="5" t="s">
        <v>458</v>
      </c>
      <c r="C21014" s="26" t="n">
        <f aca="false">Assumptions!$M$54</f>
        <v>2</v>
      </c>
    </row>
    <row r="21015" customFormat="false" ht="15" hidden="false" customHeight="false" outlineLevel="0" collapsed="false">
      <c r="A21015" s="5" t="s">
        <v>459</v>
      </c>
      <c r="C21015" s="26" t="n">
        <f aca="false">Assumptions!$M$55</f>
        <v>3</v>
      </c>
    </row>
    <row r="21016" customFormat="false" ht="15" hidden="false" customHeight="false" outlineLevel="0" collapsed="false">
      <c r="A21016" s="5" t="s">
        <v>460</v>
      </c>
      <c r="C21016" s="26" t="n">
        <f aca="false">Assumptions!$M$56</f>
        <v>4</v>
      </c>
    </row>
    <row r="21017" customFormat="false" ht="15" hidden="false" customHeight="false" outlineLevel="0" collapsed="false">
      <c r="A21017" s="23" t="s">
        <v>462</v>
      </c>
      <c r="B21017" s="24"/>
      <c r="C21017" s="24"/>
      <c r="D21017" s="24"/>
      <c r="E21017" s="24"/>
      <c r="F21017" s="24"/>
      <c r="G21017" s="24"/>
      <c r="H21017" s="24"/>
      <c r="I21017" s="24"/>
      <c r="J21017" s="24"/>
      <c r="K21017" s="24"/>
    </row>
    <row r="21018" customFormat="false" ht="15" hidden="false" customHeight="false" outlineLevel="0" collapsed="false">
      <c r="A21018" s="5" t="s">
        <v>457</v>
      </c>
      <c r="C21018" s="34" t="n">
        <f aca="false">Assumptions!$Q$53</f>
        <v>0</v>
      </c>
    </row>
    <row r="21019" customFormat="false" ht="15" hidden="false" customHeight="false" outlineLevel="0" collapsed="false">
      <c r="A21019" s="5" t="s">
        <v>458</v>
      </c>
      <c r="C21019" s="34" t="n">
        <f aca="false">Assumptions!$Q$54</f>
        <v>0</v>
      </c>
    </row>
    <row r="21020" customFormat="false" ht="15" hidden="false" customHeight="false" outlineLevel="0" collapsed="false">
      <c r="A21020" s="5" t="s">
        <v>459</v>
      </c>
      <c r="C21020" s="34" t="n">
        <f aca="false">Assumptions!$Q$55</f>
        <v>0</v>
      </c>
    </row>
    <row r="21021" customFormat="false" ht="15" hidden="false" customHeight="false" outlineLevel="0" collapsed="false">
      <c r="A21021" s="5" t="s">
        <v>460</v>
      </c>
      <c r="C21021" s="34" t="n">
        <f aca="false">Assumptions!$Q$56</f>
        <v>0</v>
      </c>
    </row>
    <row r="21022" customFormat="false" ht="15" hidden="false" customHeight="false" outlineLevel="0" collapsed="false">
      <c r="A21022" s="23" t="s">
        <v>463</v>
      </c>
      <c r="B21022" s="24"/>
      <c r="C21022" s="24"/>
      <c r="D21022" s="24"/>
      <c r="E21022" s="24"/>
      <c r="F21022" s="24"/>
      <c r="G21022" s="24"/>
      <c r="H21022" s="24"/>
      <c r="I21022" s="24"/>
      <c r="J21022" s="24"/>
      <c r="K21022" s="24"/>
    </row>
    <row r="21023" customFormat="false" ht="15" hidden="false" customHeight="false" outlineLevel="0" collapsed="false">
      <c r="A21023" s="5" t="s">
        <v>457</v>
      </c>
      <c r="C21023" s="25" t="n">
        <f aca="false">IF(C21018&gt;0,MIN(C21008,C21018*$C$21006),0)</f>
        <v>0</v>
      </c>
    </row>
    <row r="21024" customFormat="false" ht="15" hidden="false" customHeight="false" outlineLevel="0" collapsed="false">
      <c r="A21024" s="5" t="s">
        <v>458</v>
      </c>
      <c r="C21024" s="25" t="n">
        <f aca="false">IF(C21019&gt;0,MIN(C21009,C21019*$C$21006),0)</f>
        <v>0</v>
      </c>
    </row>
    <row r="21025" customFormat="false" ht="15" hidden="false" customHeight="false" outlineLevel="0" collapsed="false">
      <c r="A21025" s="5" t="s">
        <v>459</v>
      </c>
      <c r="C21025" s="25" t="n">
        <f aca="false">IF(C21020&gt;0,MIN(C21010,C21020*$C$21006),0)</f>
        <v>0</v>
      </c>
    </row>
    <row r="21026" customFormat="false" ht="15" hidden="false" customHeight="false" outlineLevel="0" collapsed="false">
      <c r="A21026" s="5" t="s">
        <v>460</v>
      </c>
      <c r="C21026" s="25" t="n">
        <f aca="false">IF(C21021&gt;0,MIN(C21011,C21021*$C$21006),0)</f>
        <v>0</v>
      </c>
    </row>
    <row r="21027" customFormat="false" ht="15" hidden="false" customHeight="false" outlineLevel="0" collapsed="false">
      <c r="A21027" s="23" t="s">
        <v>464</v>
      </c>
      <c r="B21027" s="24"/>
      <c r="C21027" s="24"/>
      <c r="D21027" s="24"/>
      <c r="E21027" s="24"/>
      <c r="F21027" s="24"/>
      <c r="G21027" s="24"/>
      <c r="H21027" s="24"/>
      <c r="I21027" s="24"/>
      <c r="J21027" s="24"/>
      <c r="K21027" s="24"/>
    </row>
    <row r="21028" customFormat="false" ht="15" hidden="false" customHeight="false" outlineLevel="0" collapsed="false">
      <c r="A21028" s="5" t="s">
        <v>457</v>
      </c>
      <c r="C21028" s="25" t="n">
        <f aca="false">IF(C21018&gt;0,C21008-C21023,0)</f>
        <v>0</v>
      </c>
      <c r="G21028" s="20" t="n">
        <f aca="false">IF(AND(G20877=1,G20874=1),1,0)</f>
        <v>0</v>
      </c>
      <c r="H21028" s="20" t="n">
        <f aca="false">IF(G21028=1,1,IF(AND(H20877=1,H20874=1),1,0))</f>
        <v>0</v>
      </c>
      <c r="I21028" s="20" t="n">
        <f aca="false">IF(H21028=1,1,IF(AND(I20877=1,I20874=1),1,0))</f>
        <v>0</v>
      </c>
      <c r="J21028" s="20" t="n">
        <f aca="false">IF(I21028=1,1,IF(AND(J20877=1,J20874=1),1,0))</f>
        <v>0</v>
      </c>
      <c r="K21028" s="20" t="n">
        <f aca="false">IF(J21028=1,1,IF(AND(K20877=1,K20874=1),1,0))</f>
        <v>0</v>
      </c>
    </row>
    <row r="21029" customFormat="false" ht="15" hidden="false" customHeight="false" outlineLevel="0" collapsed="false">
      <c r="A21029" s="5" t="s">
        <v>458</v>
      </c>
      <c r="C21029" s="25" t="n">
        <f aca="false">IF(C21019&gt;0,C21009-C21024,0)</f>
        <v>0</v>
      </c>
      <c r="G21029" s="20" t="n">
        <f aca="false">IF(AND(G20890=1,G20874=1),1,0)</f>
        <v>0</v>
      </c>
      <c r="H21029" s="20" t="n">
        <f aca="false">IF(G21029=1,1,IF(AND(H20890=1,H20874=1),1,0))</f>
        <v>0</v>
      </c>
      <c r="I21029" s="20" t="n">
        <f aca="false">IF(H21029=1,1,IF(AND(I20890=1,I20874=1),1,0))</f>
        <v>0</v>
      </c>
      <c r="J21029" s="20" t="n">
        <f aca="false">IF(I21029=1,1,IF(AND(J20890=1,J20874=1),1,0))</f>
        <v>0</v>
      </c>
      <c r="K21029" s="20" t="n">
        <f aca="false">IF(J21029=1,1,IF(AND(K20890=1,K20874=1),1,0))</f>
        <v>0</v>
      </c>
    </row>
    <row r="21030" customFormat="false" ht="15" hidden="false" customHeight="false" outlineLevel="0" collapsed="false">
      <c r="A21030" s="5" t="s">
        <v>459</v>
      </c>
      <c r="C21030" s="25" t="n">
        <f aca="false">IF(C21020&gt;0,C21010-C21025,0)</f>
        <v>0</v>
      </c>
      <c r="G21030" s="20" t="n">
        <f aca="false">IF(AND(G20903=1,G20874=1),1,0)</f>
        <v>0</v>
      </c>
      <c r="H21030" s="20" t="n">
        <f aca="false">IF(G21030=1,1,IF(AND(H20903=1,H20874=1),1,0))</f>
        <v>0</v>
      </c>
      <c r="I21030" s="20" t="n">
        <f aca="false">IF(H21030=1,1,IF(AND(I20903=1,I20874=1),1,0))</f>
        <v>0</v>
      </c>
      <c r="J21030" s="20" t="n">
        <f aca="false">IF(I21030=1,1,IF(AND(J20903=1,J20874=1),1,0))</f>
        <v>0</v>
      </c>
      <c r="K21030" s="20" t="n">
        <f aca="false">IF(J21030=1,1,IF(AND(K20903=1,K20874=1),1,0))</f>
        <v>0</v>
      </c>
    </row>
    <row r="21031" customFormat="false" ht="15" hidden="false" customHeight="false" outlineLevel="0" collapsed="false">
      <c r="A21031" s="5" t="s">
        <v>460</v>
      </c>
      <c r="C21031" s="25" t="n">
        <f aca="false">IF(C21021&gt;0,C21011-C21026,0)</f>
        <v>0</v>
      </c>
      <c r="G21031" s="20" t="n">
        <f aca="false">IF(AND(G20916=1,G20874=1),1,0)</f>
        <v>0</v>
      </c>
      <c r="H21031" s="20" t="n">
        <f aca="false">IF(G21031=1,1,IF(AND(H20916=1,H20874=1),1,0))</f>
        <v>0</v>
      </c>
      <c r="I21031" s="20" t="n">
        <f aca="false">IF(H21031=1,1,IF(AND(I20916=1,I20874=1),1,0))</f>
        <v>0</v>
      </c>
      <c r="J21031" s="20" t="n">
        <f aca="false">IF(I21031=1,1,IF(AND(J20916=1,J20874=1),1,0))</f>
        <v>0</v>
      </c>
      <c r="K21031" s="20" t="n">
        <f aca="false">IF(J21031=1,1,IF(AND(K20916=1,K20874=1),1,0))</f>
        <v>0</v>
      </c>
    </row>
    <row r="21032" customFormat="false" ht="15" hidden="false" customHeight="false" outlineLevel="0" collapsed="false">
      <c r="A21032" s="23" t="s">
        <v>465</v>
      </c>
      <c r="B21032" s="24"/>
      <c r="C21032" s="24"/>
      <c r="D21032" s="24"/>
      <c r="E21032" s="24"/>
      <c r="F21032" s="24"/>
      <c r="G21032" s="24"/>
      <c r="H21032" s="24"/>
      <c r="I21032" s="24"/>
      <c r="J21032" s="24"/>
      <c r="K21032" s="24"/>
    </row>
    <row r="21033" customFormat="false" ht="15" hidden="false" customHeight="false" outlineLevel="0" collapsed="false">
      <c r="A21033" s="5" t="s">
        <v>457</v>
      </c>
      <c r="C21033" s="25" t="n">
        <f aca="false">IF(C21018&gt;0,C21028,C21008)</f>
        <v>241.5743372</v>
      </c>
    </row>
    <row r="21034" customFormat="false" ht="15" hidden="false" customHeight="false" outlineLevel="0" collapsed="false">
      <c r="A21034" s="5" t="s">
        <v>458</v>
      </c>
      <c r="C21034" s="25" t="n">
        <f aca="false">IF(C21019&gt;0,C21029,C21009)</f>
        <v>526.2257</v>
      </c>
    </row>
    <row r="21035" customFormat="false" ht="15" hidden="false" customHeight="false" outlineLevel="0" collapsed="false">
      <c r="A21035" s="5" t="s">
        <v>459</v>
      </c>
      <c r="C21035" s="25" t="n">
        <f aca="false">IF(C21020&gt;0,C21030,C21010)</f>
        <v>256.875</v>
      </c>
    </row>
    <row r="21036" customFormat="false" ht="15" hidden="false" customHeight="false" outlineLevel="0" collapsed="false">
      <c r="A21036" s="5" t="s">
        <v>460</v>
      </c>
      <c r="C21036" s="25" t="n">
        <f aca="false">IF(C21021&gt;0,C21031,C21011)</f>
        <v>305.625</v>
      </c>
    </row>
    <row r="21037" customFormat="false" ht="15" hidden="false" customHeight="false" outlineLevel="0" collapsed="false">
      <c r="A21037" s="23" t="s">
        <v>466</v>
      </c>
      <c r="B21037" s="24"/>
      <c r="C21037" s="24"/>
      <c r="D21037" s="24"/>
      <c r="E21037" s="24"/>
      <c r="F21037" s="24"/>
      <c r="G21037" s="24"/>
      <c r="H21037" s="24"/>
      <c r="I21037" s="24"/>
      <c r="J21037" s="24"/>
      <c r="K21037" s="24"/>
    </row>
    <row r="21038" customFormat="false" ht="15" hidden="false" customHeight="false" outlineLevel="0" collapsed="false">
      <c r="A21038" s="5" t="s">
        <v>457</v>
      </c>
      <c r="C21038" s="20" t="n">
        <f aca="false">IF(C21018&gt;0,Assumptions!$C$17,C21013)</f>
        <v>1</v>
      </c>
    </row>
    <row r="21039" customFormat="false" ht="15" hidden="false" customHeight="false" outlineLevel="0" collapsed="false">
      <c r="A21039" s="5" t="s">
        <v>458</v>
      </c>
      <c r="C21039" s="20" t="n">
        <f aca="false">IF(C21019&gt;0,Assumptions!$C$17,C21014)</f>
        <v>2</v>
      </c>
    </row>
    <row r="21040" customFormat="false" ht="15" hidden="false" customHeight="false" outlineLevel="0" collapsed="false">
      <c r="A21040" s="5" t="s">
        <v>459</v>
      </c>
      <c r="C21040" s="20" t="n">
        <f aca="false">IF(C21020&gt;0,Assumptions!$C$17,C21015)</f>
        <v>3</v>
      </c>
    </row>
    <row r="21041" customFormat="false" ht="15" hidden="false" customHeight="false" outlineLevel="0" collapsed="false">
      <c r="A21041" s="5" t="s">
        <v>460</v>
      </c>
      <c r="C21041" s="20" t="n">
        <f aca="false">IF(C21021&gt;0,Assumptions!$C$17,C21016)</f>
        <v>4</v>
      </c>
    </row>
    <row r="21042" customFormat="false" ht="15" hidden="false" customHeight="false" outlineLevel="0" collapsed="false">
      <c r="A21042" s="23" t="s">
        <v>467</v>
      </c>
      <c r="B21042" s="24"/>
      <c r="C21042" s="24"/>
      <c r="D21042" s="24"/>
      <c r="E21042" s="24"/>
      <c r="F21042" s="24"/>
      <c r="G21042" s="24"/>
      <c r="H21042" s="24"/>
      <c r="I21042" s="24"/>
      <c r="J21042" s="24"/>
      <c r="K21042" s="24"/>
    </row>
    <row r="21043" customFormat="false" ht="15" hidden="false" customHeight="false" outlineLevel="0" collapsed="false">
      <c r="A21043" s="5" t="s">
        <v>457</v>
      </c>
      <c r="C21043" s="25" t="n">
        <f aca="false">SUMPRODUCT(($C$21038:$C$21041&lt;C21038)*$C$21033:$C$21036)</f>
        <v>0</v>
      </c>
    </row>
    <row r="21044" customFormat="false" ht="15" hidden="false" customHeight="false" outlineLevel="0" collapsed="false">
      <c r="A21044" s="5" t="s">
        <v>458</v>
      </c>
      <c r="C21044" s="25" t="n">
        <f aca="false">SUMPRODUCT(($C$21038:$C$21041&lt;C21039)*$C$21033:$C$21036)</f>
        <v>241.5743372</v>
      </c>
    </row>
    <row r="21045" customFormat="false" ht="15" hidden="false" customHeight="false" outlineLevel="0" collapsed="false">
      <c r="A21045" s="5" t="s">
        <v>459</v>
      </c>
      <c r="C21045" s="25" t="n">
        <f aca="false">SUMPRODUCT(($C$21038:$C$21041&lt;C21040)*$C$21033:$C$21036)</f>
        <v>767.8000372</v>
      </c>
    </row>
    <row r="21046" customFormat="false" ht="15" hidden="false" customHeight="false" outlineLevel="0" collapsed="false">
      <c r="A21046" s="5" t="s">
        <v>460</v>
      </c>
      <c r="C21046" s="25" t="n">
        <f aca="false">SUMPRODUCT(($C$21038:$C$21041&lt;C21041)*$C$21033:$C$21036)</f>
        <v>1024.6750372</v>
      </c>
    </row>
    <row r="21047" customFormat="false" ht="15" hidden="false" customHeight="false" outlineLevel="0" collapsed="false">
      <c r="A21047" s="23" t="s">
        <v>468</v>
      </c>
      <c r="B21047" s="24"/>
      <c r="C21047" s="24"/>
      <c r="D21047" s="24"/>
      <c r="E21047" s="24"/>
      <c r="F21047" s="24"/>
      <c r="G21047" s="24"/>
      <c r="H21047" s="24"/>
      <c r="I21047" s="24"/>
      <c r="J21047" s="24"/>
      <c r="K21047" s="24"/>
    </row>
    <row r="21048" customFormat="false" ht="15" hidden="false" customHeight="false" outlineLevel="0" collapsed="false">
      <c r="A21048" s="5" t="s">
        <v>457</v>
      </c>
      <c r="C21048" s="25" t="n">
        <f aca="false">SUMPRODUCT(($C$21038:$C$21041=C21038)*$C$21033:$C$21036)</f>
        <v>241.5743372</v>
      </c>
    </row>
    <row r="21049" customFormat="false" ht="15" hidden="false" customHeight="false" outlineLevel="0" collapsed="false">
      <c r="A21049" s="5" t="s">
        <v>458</v>
      </c>
      <c r="C21049" s="25" t="n">
        <f aca="false">SUMPRODUCT(($C$21038:$C$21041=C21039)*$C$21033:$C$21036)</f>
        <v>526.2257</v>
      </c>
    </row>
    <row r="21050" customFormat="false" ht="15" hidden="false" customHeight="false" outlineLevel="0" collapsed="false">
      <c r="A21050" s="5" t="s">
        <v>459</v>
      </c>
      <c r="C21050" s="25" t="n">
        <f aca="false">SUMPRODUCT(($C$21038:$C$21041=C21040)*$C$21033:$C$21036)</f>
        <v>256.875</v>
      </c>
    </row>
    <row r="21051" customFormat="false" ht="15" hidden="false" customHeight="false" outlineLevel="0" collapsed="false">
      <c r="A21051" s="5" t="s">
        <v>460</v>
      </c>
      <c r="C21051" s="25" t="n">
        <f aca="false">SUMPRODUCT(($C$21038:$C$21041=C21041)*$C$21033:$C$21036)</f>
        <v>305.625</v>
      </c>
    </row>
    <row r="21052" customFormat="false" ht="15" hidden="false" customHeight="false" outlineLevel="0" collapsed="false">
      <c r="A21052" s="23" t="s">
        <v>469</v>
      </c>
      <c r="B21052" s="24"/>
      <c r="C21052" s="24"/>
      <c r="D21052" s="24"/>
      <c r="E21052" s="24"/>
      <c r="F21052" s="24"/>
      <c r="G21052" s="24"/>
      <c r="H21052" s="24"/>
      <c r="I21052" s="24"/>
      <c r="J21052" s="24"/>
      <c r="K21052" s="24"/>
    </row>
    <row r="21053" customFormat="false" ht="15" hidden="false" customHeight="false" outlineLevel="0" collapsed="false">
      <c r="A21053" s="5" t="s">
        <v>457</v>
      </c>
      <c r="C21053" s="25" t="n">
        <f aca="false">IF(C21048=0,0,C21033/C21048*MAX(0,MIN(C21048,$C$21006-SUM($C$21023:$C$21026)-C21043)))</f>
        <v>241.5743372</v>
      </c>
    </row>
    <row r="21054" customFormat="false" ht="15" hidden="false" customHeight="false" outlineLevel="0" collapsed="false">
      <c r="A21054" s="5" t="s">
        <v>458</v>
      </c>
      <c r="C21054" s="25" t="n">
        <f aca="false">IF(C21049=0,0,C21034/C21049*MAX(0,MIN(C21049,$C$21006-SUM($C$21023:$C$21026)-C21044)))</f>
        <v>147.8016628</v>
      </c>
    </row>
    <row r="21055" customFormat="false" ht="15" hidden="false" customHeight="false" outlineLevel="0" collapsed="false">
      <c r="A21055" s="5" t="s">
        <v>459</v>
      </c>
      <c r="C21055" s="25" t="n">
        <f aca="false">IF(C21050=0,0,C21035/C21050*MAX(0,MIN(C21050,$C$21006-SUM($C$21023:$C$21026)-C21045)))</f>
        <v>0</v>
      </c>
    </row>
    <row r="21056" customFormat="false" ht="15" hidden="false" customHeight="false" outlineLevel="0" collapsed="false">
      <c r="A21056" s="5" t="s">
        <v>460</v>
      </c>
      <c r="C21056" s="25" t="n">
        <f aca="false">IF(C21051=0,0,C21036/C21051*MAX(0,MIN(C21051,$C$21006-SUM($C$21023:$C$21026)-C21046)))</f>
        <v>0</v>
      </c>
    </row>
    <row r="21057" customFormat="false" ht="15" hidden="false" customHeight="false" outlineLevel="0" collapsed="false">
      <c r="A21057" s="23" t="s">
        <v>470</v>
      </c>
      <c r="B21057" s="24"/>
      <c r="C21057" s="24"/>
      <c r="D21057" s="24"/>
      <c r="E21057" s="24"/>
      <c r="F21057" s="24"/>
      <c r="G21057" s="24"/>
      <c r="H21057" s="24"/>
      <c r="I21057" s="24"/>
      <c r="J21057" s="24"/>
      <c r="K21057" s="24"/>
    </row>
    <row r="21058" customFormat="false" ht="15" hidden="false" customHeight="false" outlineLevel="0" collapsed="false">
      <c r="A21058" s="2" t="s">
        <v>457</v>
      </c>
      <c r="C21058" s="16" t="n">
        <f aca="false">C21023+C21053</f>
        <v>241.5743372</v>
      </c>
    </row>
    <row r="21059" customFormat="false" ht="15" hidden="false" customHeight="false" outlineLevel="0" collapsed="false">
      <c r="A21059" s="2" t="s">
        <v>458</v>
      </c>
      <c r="C21059" s="16" t="n">
        <f aca="false">C21024+C21054</f>
        <v>147.8016628</v>
      </c>
    </row>
    <row r="21060" customFormat="false" ht="15" hidden="false" customHeight="false" outlineLevel="0" collapsed="false">
      <c r="A21060" s="2" t="s">
        <v>459</v>
      </c>
      <c r="C21060" s="16" t="n">
        <f aca="false">C21025+C21055</f>
        <v>0</v>
      </c>
    </row>
    <row r="21061" customFormat="false" ht="15" hidden="false" customHeight="false" outlineLevel="0" collapsed="false">
      <c r="A21061" s="2" t="s">
        <v>460</v>
      </c>
      <c r="C21061" s="16" t="n">
        <f aca="false">C21026+C21056</f>
        <v>0</v>
      </c>
    </row>
    <row r="21062" customFormat="false" ht="15" hidden="false" customHeight="false" outlineLevel="0" collapsed="false">
      <c r="A21062" s="23" t="s">
        <v>471</v>
      </c>
      <c r="B21062" s="24"/>
      <c r="C21062" s="24"/>
      <c r="D21062" s="24"/>
      <c r="E21062" s="24"/>
      <c r="F21062" s="24"/>
      <c r="G21062" s="24"/>
      <c r="H21062" s="24"/>
      <c r="I21062" s="24"/>
      <c r="J21062" s="24"/>
      <c r="K21062" s="24"/>
    </row>
    <row r="21063" customFormat="false" ht="15" hidden="false" customHeight="false" outlineLevel="0" collapsed="false">
      <c r="A21063" s="5" t="s">
        <v>457</v>
      </c>
      <c r="C21063" s="21" t="n">
        <f aca="false">IF(C21008=0,1,C21058/C21008)</f>
        <v>1</v>
      </c>
    </row>
    <row r="21064" customFormat="false" ht="15" hidden="false" customHeight="false" outlineLevel="0" collapsed="false">
      <c r="A21064" s="5" t="s">
        <v>458</v>
      </c>
      <c r="C21064" s="21" t="n">
        <f aca="false">IF(C21009=0,1,C21059/C21009)</f>
        <v>0.280871236049474</v>
      </c>
    </row>
    <row r="21065" customFormat="false" ht="15" hidden="false" customHeight="false" outlineLevel="0" collapsed="false">
      <c r="A21065" s="5" t="s">
        <v>459</v>
      </c>
      <c r="C21065" s="21" t="n">
        <f aca="false">IF(C21010=0,1,C21060/C21010)</f>
        <v>0</v>
      </c>
    </row>
    <row r="21066" customFormat="false" ht="15" hidden="false" customHeight="false" outlineLevel="0" collapsed="false">
      <c r="A21066" s="5" t="s">
        <v>460</v>
      </c>
      <c r="C21066" s="21" t="n">
        <f aca="false">IF(C21011=0,1,C21061/C21011)</f>
        <v>0</v>
      </c>
    </row>
    <row r="21067" customFormat="false" ht="15" hidden="false" customHeight="false" outlineLevel="0" collapsed="false">
      <c r="A21067" s="23" t="s">
        <v>472</v>
      </c>
      <c r="B21067" s="24"/>
      <c r="C21067" s="24"/>
      <c r="D21067" s="24"/>
      <c r="E21067" s="24"/>
      <c r="F21067" s="24"/>
      <c r="G21067" s="24"/>
      <c r="H21067" s="24"/>
      <c r="I21067" s="24"/>
      <c r="J21067" s="24"/>
      <c r="K21067" s="24"/>
    </row>
    <row r="21068" customFormat="false" ht="15" hidden="false" customHeight="false" outlineLevel="0" collapsed="false">
      <c r="A21068" s="5" t="s">
        <v>457</v>
      </c>
      <c r="C21068" s="25" t="n">
        <f aca="false">C21008-C21058</f>
        <v>0</v>
      </c>
    </row>
    <row r="21069" customFormat="false" ht="15" hidden="false" customHeight="false" outlineLevel="0" collapsed="false">
      <c r="A21069" s="5" t="s">
        <v>458</v>
      </c>
      <c r="C21069" s="25" t="n">
        <f aca="false">C21009-C21059</f>
        <v>378.4240372</v>
      </c>
    </row>
    <row r="21070" customFormat="false" ht="15" hidden="false" customHeight="false" outlineLevel="0" collapsed="false">
      <c r="A21070" s="5" t="s">
        <v>459</v>
      </c>
      <c r="C21070" s="25" t="n">
        <f aca="false">C21010-C21060</f>
        <v>256.875</v>
      </c>
    </row>
    <row r="21071" customFormat="false" ht="15" hidden="false" customHeight="false" outlineLevel="0" collapsed="false">
      <c r="A21071" s="5" t="s">
        <v>460</v>
      </c>
      <c r="C21071" s="25" t="n">
        <f aca="false">C21011-C21061</f>
        <v>305.625</v>
      </c>
    </row>
    <row r="21072" customFormat="false" ht="15" hidden="false" customHeight="false" outlineLevel="0" collapsed="false">
      <c r="A21072" s="23" t="s">
        <v>473</v>
      </c>
      <c r="B21072" s="24"/>
      <c r="C21072" s="24"/>
      <c r="D21072" s="24"/>
      <c r="E21072" s="24"/>
      <c r="F21072" s="24"/>
      <c r="G21072" s="24"/>
      <c r="H21072" s="24"/>
      <c r="I21072" s="24"/>
      <c r="J21072" s="24"/>
      <c r="K21072" s="24"/>
    </row>
    <row r="21073" customFormat="false" ht="15" hidden="false" customHeight="false" outlineLevel="0" collapsed="false">
      <c r="A21073" s="5" t="s">
        <v>457</v>
      </c>
      <c r="C21073" s="21" t="n">
        <f aca="false">IF(C21008=0,0,C21068/C21008)</f>
        <v>0</v>
      </c>
    </row>
    <row r="21074" customFormat="false" ht="15" hidden="false" customHeight="false" outlineLevel="0" collapsed="false">
      <c r="A21074" s="5" t="s">
        <v>458</v>
      </c>
      <c r="C21074" s="21" t="n">
        <f aca="false">IF(C21009=0,0,C21069/C21009)</f>
        <v>0.719128763950526</v>
      </c>
    </row>
    <row r="21075" customFormat="false" ht="15" hidden="false" customHeight="false" outlineLevel="0" collapsed="false">
      <c r="A21075" s="5" t="s">
        <v>459</v>
      </c>
      <c r="C21075" s="21" t="n">
        <f aca="false">IF(C21010=0,0,C21070/C21010)</f>
        <v>1</v>
      </c>
    </row>
    <row r="21076" customFormat="false" ht="15" hidden="false" customHeight="false" outlineLevel="0" collapsed="false">
      <c r="A21076" s="5" t="s">
        <v>460</v>
      </c>
      <c r="C21076" s="21" t="n">
        <f aca="false">IF(C21011=0,0,C21071/C21011)</f>
        <v>1</v>
      </c>
    </row>
    <row r="21077" customFormat="false" ht="15" hidden="false" customHeight="false" outlineLevel="0" collapsed="false">
      <c r="A21077" s="2" t="s">
        <v>474</v>
      </c>
      <c r="C21077" s="16" t="n">
        <f aca="false">MAX(0,$C$21006-SUM($C$21023:$C$21026)-SUM($C$21033:$C$21036))</f>
        <v>0</v>
      </c>
    </row>
    <row r="21078" customFormat="false" ht="15" hidden="false" customHeight="false" outlineLevel="0" collapsed="false">
      <c r="A21078" s="5" t="s">
        <v>475</v>
      </c>
      <c r="C21078" s="25" t="n">
        <f aca="false">SUM($C$21058:$C$21061)+C21077+C21005-C21004</f>
        <v>0</v>
      </c>
    </row>
    <row r="21080" customFormat="false" ht="15" hidden="false" customHeight="false" outlineLevel="0" collapsed="false">
      <c r="A21080" s="23" t="s">
        <v>478</v>
      </c>
      <c r="B21080" s="24"/>
      <c r="C21080" s="24"/>
      <c r="D21080" s="24"/>
      <c r="E21080" s="24"/>
      <c r="F21080" s="24"/>
      <c r="G21080" s="24"/>
      <c r="H21080" s="24"/>
      <c r="I21080" s="24"/>
      <c r="J21080" s="24"/>
      <c r="K21080" s="24"/>
    </row>
    <row r="21081" customFormat="false" ht="15" hidden="false" customHeight="false" outlineLevel="0" collapsed="false">
      <c r="A21081" s="5" t="s">
        <v>479</v>
      </c>
      <c r="C21081" s="26" t="n">
        <f aca="false">Assumptions!$C$30</f>
        <v>2</v>
      </c>
    </row>
    <row r="21082" customFormat="false" ht="15" hidden="false" customHeight="false" outlineLevel="0" collapsed="false">
      <c r="A21082" s="5" t="s">
        <v>480</v>
      </c>
      <c r="C21082" s="28" t="n">
        <f aca="false">Assumptions!$C$31</f>
        <v>100</v>
      </c>
    </row>
    <row r="21083" customFormat="false" ht="15" hidden="false" customHeight="false" outlineLevel="0" collapsed="false">
      <c r="A21083" s="5" t="s">
        <v>481</v>
      </c>
      <c r="C21083" s="39" t="n">
        <f aca="false">Assumptions!$C$32</f>
        <v>78</v>
      </c>
    </row>
    <row r="21084" customFormat="false" ht="15" hidden="false" customHeight="false" outlineLevel="0" collapsed="false">
      <c r="A21084" s="5" t="s">
        <v>482</v>
      </c>
      <c r="C21084" s="25" t="n">
        <f aca="false">C21082*C21083/100*(1+Assumptions!$C$33)</f>
        <v>78.39</v>
      </c>
    </row>
    <row r="21085" customFormat="false" ht="15" hidden="false" customHeight="false" outlineLevel="0" collapsed="false">
      <c r="A21085" s="5" t="s">
        <v>483</v>
      </c>
      <c r="C21085" s="26" t="n">
        <f aca="false">Assumptions!$C$34</f>
        <v>2</v>
      </c>
    </row>
    <row r="21086" customFormat="false" ht="15" hidden="false" customHeight="false" outlineLevel="0" collapsed="false">
      <c r="A21086" s="5" t="s">
        <v>484</v>
      </c>
      <c r="C21086" s="20" t="n">
        <f aca="false">IF(C20997=1,SUMPRODUCT($G$20965:$K$20965,$G$20841:$K$20841),0)</f>
        <v>2</v>
      </c>
    </row>
    <row r="21087" customFormat="false" ht="15" hidden="false" customHeight="false" outlineLevel="0" collapsed="false">
      <c r="A21087" s="5" t="s">
        <v>485</v>
      </c>
      <c r="C21087" s="21" t="n">
        <f aca="false">IFERROR(C21082/CHOOSE(C21081,SUMPRODUCT($G$20996:$K$20996,$G$20887:$K$20887),SUMPRODUCT($G$20996:$K$20996,$G$20900:$K$20900),SUMPRODUCT($G$20996:$K$20996,$G$20913:$K$20913),SUMPRODUCT($G$20996:$K$20996,$G$20926:$K$20926)),0)</f>
        <v>0.196232339089482</v>
      </c>
    </row>
    <row r="21088" customFormat="false" ht="15" hidden="false" customHeight="false" outlineLevel="0" collapsed="false">
      <c r="A21088" s="5" t="s">
        <v>486</v>
      </c>
      <c r="C21088" s="25" t="n">
        <f aca="false">CHOOSE(C21081,C21058,C21059,C21060,C21061)*C21087</f>
        <v>29.0034660125589</v>
      </c>
    </row>
    <row r="21089" customFormat="false" ht="15" hidden="false" customHeight="false" outlineLevel="0" collapsed="false">
      <c r="A21089" s="5" t="s">
        <v>487</v>
      </c>
      <c r="C21089" s="21" t="n">
        <f aca="false">CHOOSE(C21081,C21063,C21064,C21065,C21066)</f>
        <v>0.280871236049474</v>
      </c>
    </row>
    <row r="21090" customFormat="false" ht="15" hidden="false" customHeight="false" outlineLevel="0" collapsed="false">
      <c r="A21090" s="5" t="s">
        <v>488</v>
      </c>
      <c r="C21090" s="20" t="n">
        <f aca="false">IF(C20997=1,C21086,C21085)</f>
        <v>2</v>
      </c>
    </row>
    <row r="21091" customFormat="false" ht="15" hidden="false" customHeight="false" outlineLevel="0" collapsed="false">
      <c r="A21091" s="5" t="s">
        <v>489</v>
      </c>
      <c r="C21091" s="33" t="n">
        <f aca="false">CHOOSE($C$20833,Assumptions!$C$77,Assumptions!$C$96,Assumptions!$C$115)</f>
        <v>70</v>
      </c>
    </row>
    <row r="21092" customFormat="false" ht="15" hidden="false" customHeight="false" outlineLevel="0" collapsed="false">
      <c r="A21092" s="5" t="s">
        <v>490</v>
      </c>
      <c r="C21092" s="25" t="n">
        <f aca="false">INDEX($G$20850:$K$20850,C21085)*CHOOSE($C$20833,Assumptions!$C$76,Assumptions!$C$95,Assumptions!$C$114)+MAX(0,INDEX($G$20962:$K$20962,C21085))</f>
        <v>55.97928</v>
      </c>
    </row>
    <row r="21093" customFormat="false" ht="15" hidden="false" customHeight="false" outlineLevel="0" collapsed="false">
      <c r="A21093" s="23" t="s">
        <v>491</v>
      </c>
      <c r="B21093" s="24"/>
      <c r="C21093" s="24"/>
      <c r="D21093" s="24"/>
      <c r="E21093" s="24"/>
      <c r="F21093" s="24"/>
      <c r="G21093" s="24"/>
      <c r="H21093" s="24"/>
      <c r="I21093" s="24"/>
      <c r="J21093" s="24"/>
      <c r="K21093" s="24"/>
    </row>
    <row r="21094" customFormat="false" ht="15" hidden="false" customHeight="false" outlineLevel="0" collapsed="false">
      <c r="A21094" s="5" t="s">
        <v>457</v>
      </c>
      <c r="C21094" s="25" t="n">
        <f aca="false">INDEX($G$20887:$K$20887,C21085)</f>
        <v>234.9088</v>
      </c>
    </row>
    <row r="21095" customFormat="false" ht="15" hidden="false" customHeight="false" outlineLevel="0" collapsed="false">
      <c r="A21095" s="5" t="s">
        <v>458</v>
      </c>
      <c r="C21095" s="25" t="n">
        <f aca="false">INDEX($G$20900:$K$20900,C21085)</f>
        <v>509.6</v>
      </c>
    </row>
    <row r="21096" customFormat="false" ht="15" hidden="false" customHeight="false" outlineLevel="0" collapsed="false">
      <c r="A21096" s="5" t="s">
        <v>459</v>
      </c>
      <c r="C21096" s="25" t="n">
        <f aca="false">INDEX($G$20913:$K$20913,C21085)</f>
        <v>250</v>
      </c>
    </row>
    <row r="21097" customFormat="false" ht="15" hidden="false" customHeight="false" outlineLevel="0" collapsed="false">
      <c r="A21097" s="5" t="s">
        <v>460</v>
      </c>
      <c r="C21097" s="25" t="n">
        <f aca="false">INDEX($G$20926:$K$20926,C21085)</f>
        <v>300</v>
      </c>
    </row>
    <row r="21098" customFormat="false" ht="15" hidden="false" customHeight="false" outlineLevel="0" collapsed="false">
      <c r="A21098" s="23" t="s">
        <v>461</v>
      </c>
      <c r="B21098" s="24"/>
      <c r="C21098" s="24"/>
      <c r="D21098" s="24"/>
      <c r="E21098" s="24"/>
      <c r="F21098" s="24"/>
      <c r="G21098" s="24"/>
      <c r="H21098" s="24"/>
      <c r="I21098" s="24"/>
      <c r="J21098" s="24"/>
      <c r="K21098" s="24"/>
    </row>
    <row r="21099" customFormat="false" ht="15" hidden="false" customHeight="false" outlineLevel="0" collapsed="false">
      <c r="A21099" s="5" t="s">
        <v>457</v>
      </c>
      <c r="C21099" s="26" t="n">
        <f aca="false">Assumptions!$M$53</f>
        <v>1</v>
      </c>
    </row>
    <row r="21100" customFormat="false" ht="15" hidden="false" customHeight="false" outlineLevel="0" collapsed="false">
      <c r="A21100" s="5" t="s">
        <v>458</v>
      </c>
      <c r="C21100" s="26" t="n">
        <f aca="false">Assumptions!$M$54</f>
        <v>2</v>
      </c>
    </row>
    <row r="21101" customFormat="false" ht="15" hidden="false" customHeight="false" outlineLevel="0" collapsed="false">
      <c r="A21101" s="5" t="s">
        <v>459</v>
      </c>
      <c r="C21101" s="26" t="n">
        <f aca="false">Assumptions!$M$55</f>
        <v>3</v>
      </c>
    </row>
    <row r="21102" customFormat="false" ht="15" hidden="false" customHeight="false" outlineLevel="0" collapsed="false">
      <c r="A21102" s="5" t="s">
        <v>460</v>
      </c>
      <c r="C21102" s="26" t="n">
        <f aca="false">Assumptions!$M$56</f>
        <v>4</v>
      </c>
    </row>
    <row r="21103" customFormat="false" ht="15" hidden="false" customHeight="false" outlineLevel="0" collapsed="false">
      <c r="A21103" s="23" t="s">
        <v>462</v>
      </c>
      <c r="B21103" s="24"/>
      <c r="C21103" s="24"/>
      <c r="D21103" s="24"/>
      <c r="E21103" s="24"/>
      <c r="F21103" s="24"/>
      <c r="G21103" s="24"/>
      <c r="H21103" s="24"/>
      <c r="I21103" s="24"/>
      <c r="J21103" s="24"/>
      <c r="K21103" s="24"/>
    </row>
    <row r="21104" customFormat="false" ht="15" hidden="false" customHeight="false" outlineLevel="0" collapsed="false">
      <c r="A21104" s="5" t="s">
        <v>457</v>
      </c>
      <c r="C21104" s="34" t="n">
        <f aca="false">Assumptions!$Q$53</f>
        <v>0</v>
      </c>
    </row>
    <row r="21105" customFormat="false" ht="15" hidden="false" customHeight="false" outlineLevel="0" collapsed="false">
      <c r="A21105" s="5" t="s">
        <v>458</v>
      </c>
      <c r="C21105" s="34" t="n">
        <f aca="false">Assumptions!$Q$54</f>
        <v>0</v>
      </c>
    </row>
    <row r="21106" customFormat="false" ht="15" hidden="false" customHeight="false" outlineLevel="0" collapsed="false">
      <c r="A21106" s="5" t="s">
        <v>459</v>
      </c>
      <c r="C21106" s="34" t="n">
        <f aca="false">Assumptions!$Q$55</f>
        <v>0</v>
      </c>
    </row>
    <row r="21107" customFormat="false" ht="15" hidden="false" customHeight="false" outlineLevel="0" collapsed="false">
      <c r="A21107" s="5" t="s">
        <v>460</v>
      </c>
      <c r="C21107" s="34" t="n">
        <f aca="false">Assumptions!$Q$56</f>
        <v>0</v>
      </c>
    </row>
    <row r="21108" customFormat="false" ht="15" hidden="false" customHeight="false" outlineLevel="0" collapsed="false">
      <c r="A21108" s="23" t="s">
        <v>463</v>
      </c>
      <c r="B21108" s="24"/>
      <c r="C21108" s="24"/>
      <c r="D21108" s="24"/>
      <c r="E21108" s="24"/>
      <c r="F21108" s="24"/>
      <c r="G21108" s="24"/>
      <c r="H21108" s="24"/>
      <c r="I21108" s="24"/>
      <c r="J21108" s="24"/>
      <c r="K21108" s="24"/>
    </row>
    <row r="21109" customFormat="false" ht="15" hidden="false" customHeight="false" outlineLevel="0" collapsed="false">
      <c r="A21109" s="5" t="s">
        <v>457</v>
      </c>
      <c r="C21109" s="25" t="n">
        <f aca="false">IF(C21104&gt;0,MIN(C21094,C21104*$C$21092),0)</f>
        <v>0</v>
      </c>
    </row>
    <row r="21110" customFormat="false" ht="15" hidden="false" customHeight="false" outlineLevel="0" collapsed="false">
      <c r="A21110" s="5" t="s">
        <v>458</v>
      </c>
      <c r="C21110" s="25" t="n">
        <f aca="false">IF(C21105&gt;0,MIN(C21095,C21105*$C$21092),0)</f>
        <v>0</v>
      </c>
    </row>
    <row r="21111" customFormat="false" ht="15" hidden="false" customHeight="false" outlineLevel="0" collapsed="false">
      <c r="A21111" s="5" t="s">
        <v>459</v>
      </c>
      <c r="C21111" s="25" t="n">
        <f aca="false">IF(C21106&gt;0,MIN(C21096,C21106*$C$21092),0)</f>
        <v>0</v>
      </c>
    </row>
    <row r="21112" customFormat="false" ht="15" hidden="false" customHeight="false" outlineLevel="0" collapsed="false">
      <c r="A21112" s="5" t="s">
        <v>460</v>
      </c>
      <c r="C21112" s="25" t="n">
        <f aca="false">IF(C21107&gt;0,MIN(C21097,C21107*$C$21092),0)</f>
        <v>0</v>
      </c>
    </row>
    <row r="21113" customFormat="false" ht="15" hidden="false" customHeight="false" outlineLevel="0" collapsed="false">
      <c r="A21113" s="23" t="s">
        <v>464</v>
      </c>
      <c r="B21113" s="24"/>
      <c r="C21113" s="24"/>
      <c r="D21113" s="24"/>
      <c r="E21113" s="24"/>
      <c r="F21113" s="24"/>
      <c r="G21113" s="24"/>
      <c r="H21113" s="24"/>
      <c r="I21113" s="24"/>
      <c r="J21113" s="24"/>
      <c r="K21113" s="24"/>
    </row>
    <row r="21114" customFormat="false" ht="15" hidden="false" customHeight="false" outlineLevel="0" collapsed="false">
      <c r="A21114" s="5" t="s">
        <v>457</v>
      </c>
      <c r="C21114" s="25" t="n">
        <f aca="false">IF(C21104&gt;0,C21094-C21109,0)</f>
        <v>0</v>
      </c>
    </row>
    <row r="21115" customFormat="false" ht="15" hidden="false" customHeight="false" outlineLevel="0" collapsed="false">
      <c r="A21115" s="5" t="s">
        <v>458</v>
      </c>
      <c r="C21115" s="25" t="n">
        <f aca="false">IF(C21105&gt;0,C21095-C21110,0)</f>
        <v>0</v>
      </c>
    </row>
    <row r="21116" customFormat="false" ht="15" hidden="false" customHeight="false" outlineLevel="0" collapsed="false">
      <c r="A21116" s="5" t="s">
        <v>459</v>
      </c>
      <c r="C21116" s="25" t="n">
        <f aca="false">IF(C21106&gt;0,C21096-C21111,0)</f>
        <v>0</v>
      </c>
    </row>
    <row r="21117" customFormat="false" ht="15" hidden="false" customHeight="false" outlineLevel="0" collapsed="false">
      <c r="A21117" s="5" t="s">
        <v>460</v>
      </c>
      <c r="C21117" s="25" t="n">
        <f aca="false">IF(C21107&gt;0,C21097-C21112,0)</f>
        <v>0</v>
      </c>
    </row>
    <row r="21118" customFormat="false" ht="15" hidden="false" customHeight="false" outlineLevel="0" collapsed="false">
      <c r="A21118" s="23" t="s">
        <v>465</v>
      </c>
      <c r="B21118" s="24"/>
      <c r="C21118" s="24"/>
      <c r="D21118" s="24"/>
      <c r="E21118" s="24"/>
      <c r="F21118" s="24"/>
      <c r="G21118" s="24"/>
      <c r="H21118" s="24"/>
      <c r="I21118" s="24"/>
      <c r="J21118" s="24"/>
      <c r="K21118" s="24"/>
    </row>
    <row r="21119" customFormat="false" ht="15" hidden="false" customHeight="false" outlineLevel="0" collapsed="false">
      <c r="A21119" s="5" t="s">
        <v>457</v>
      </c>
      <c r="C21119" s="25" t="n">
        <f aca="false">IF(C21104&gt;0,C21114,C21094)</f>
        <v>234.9088</v>
      </c>
    </row>
    <row r="21120" customFormat="false" ht="15" hidden="false" customHeight="false" outlineLevel="0" collapsed="false">
      <c r="A21120" s="5" t="s">
        <v>458</v>
      </c>
      <c r="C21120" s="25" t="n">
        <f aca="false">IF(C21105&gt;0,C21115,C21095)</f>
        <v>509.6</v>
      </c>
    </row>
    <row r="21121" customFormat="false" ht="15" hidden="false" customHeight="false" outlineLevel="0" collapsed="false">
      <c r="A21121" s="5" t="s">
        <v>459</v>
      </c>
      <c r="C21121" s="25" t="n">
        <f aca="false">IF(C21106&gt;0,C21116,C21096)</f>
        <v>250</v>
      </c>
    </row>
    <row r="21122" customFormat="false" ht="15" hidden="false" customHeight="false" outlineLevel="0" collapsed="false">
      <c r="A21122" s="5" t="s">
        <v>460</v>
      </c>
      <c r="C21122" s="25" t="n">
        <f aca="false">IF(C21107&gt;0,C21117,C21097)</f>
        <v>300</v>
      </c>
    </row>
    <row r="21123" customFormat="false" ht="15" hidden="false" customHeight="false" outlineLevel="0" collapsed="false">
      <c r="A21123" s="23" t="s">
        <v>466</v>
      </c>
      <c r="B21123" s="24"/>
      <c r="C21123" s="24"/>
      <c r="D21123" s="24"/>
      <c r="E21123" s="24"/>
      <c r="F21123" s="24"/>
      <c r="G21123" s="24"/>
      <c r="H21123" s="24"/>
      <c r="I21123" s="24"/>
      <c r="J21123" s="24"/>
      <c r="K21123" s="24"/>
    </row>
    <row r="21124" customFormat="false" ht="15" hidden="false" customHeight="false" outlineLevel="0" collapsed="false">
      <c r="A21124" s="5" t="s">
        <v>457</v>
      </c>
      <c r="C21124" s="20" t="n">
        <f aca="false">IF(C21104&gt;0,Assumptions!$C$17,C21099)</f>
        <v>1</v>
      </c>
    </row>
    <row r="21125" customFormat="false" ht="15" hidden="false" customHeight="false" outlineLevel="0" collapsed="false">
      <c r="A21125" s="5" t="s">
        <v>458</v>
      </c>
      <c r="C21125" s="20" t="n">
        <f aca="false">IF(C21105&gt;0,Assumptions!$C$17,C21100)</f>
        <v>2</v>
      </c>
    </row>
    <row r="21126" customFormat="false" ht="15" hidden="false" customHeight="false" outlineLevel="0" collapsed="false">
      <c r="A21126" s="5" t="s">
        <v>459</v>
      </c>
      <c r="C21126" s="20" t="n">
        <f aca="false">IF(C21106&gt;0,Assumptions!$C$17,C21101)</f>
        <v>3</v>
      </c>
    </row>
    <row r="21127" customFormat="false" ht="15" hidden="false" customHeight="false" outlineLevel="0" collapsed="false">
      <c r="A21127" s="5" t="s">
        <v>460</v>
      </c>
      <c r="C21127" s="20" t="n">
        <f aca="false">IF(C21107&gt;0,Assumptions!$C$17,C21102)</f>
        <v>4</v>
      </c>
    </row>
    <row r="21128" customFormat="false" ht="15" hidden="false" customHeight="false" outlineLevel="0" collapsed="false">
      <c r="A21128" s="23" t="s">
        <v>467</v>
      </c>
      <c r="B21128" s="24"/>
      <c r="C21128" s="24"/>
      <c r="D21128" s="24"/>
      <c r="E21128" s="24"/>
      <c r="F21128" s="24"/>
      <c r="G21128" s="24"/>
      <c r="H21128" s="24"/>
      <c r="I21128" s="24"/>
      <c r="J21128" s="24"/>
      <c r="K21128" s="24"/>
    </row>
    <row r="21129" customFormat="false" ht="15" hidden="false" customHeight="false" outlineLevel="0" collapsed="false">
      <c r="A21129" s="5" t="s">
        <v>457</v>
      </c>
      <c r="C21129" s="25" t="n">
        <f aca="false">SUMPRODUCT(($C$21124:$C$21127&lt;C21124)*$C$21119:$C$21122)</f>
        <v>0</v>
      </c>
    </row>
    <row r="21130" customFormat="false" ht="15" hidden="false" customHeight="false" outlineLevel="0" collapsed="false">
      <c r="A21130" s="5" t="s">
        <v>458</v>
      </c>
      <c r="C21130" s="25" t="n">
        <f aca="false">SUMPRODUCT(($C$21124:$C$21127&lt;C21125)*$C$21119:$C$21122)</f>
        <v>234.9088</v>
      </c>
    </row>
    <row r="21131" customFormat="false" ht="15" hidden="false" customHeight="false" outlineLevel="0" collapsed="false">
      <c r="A21131" s="5" t="s">
        <v>459</v>
      </c>
      <c r="C21131" s="25" t="n">
        <f aca="false">SUMPRODUCT(($C$21124:$C$21127&lt;C21126)*$C$21119:$C$21122)</f>
        <v>744.5088</v>
      </c>
    </row>
    <row r="21132" customFormat="false" ht="15" hidden="false" customHeight="false" outlineLevel="0" collapsed="false">
      <c r="A21132" s="5" t="s">
        <v>460</v>
      </c>
      <c r="C21132" s="25" t="n">
        <f aca="false">SUMPRODUCT(($C$21124:$C$21127&lt;C21127)*$C$21119:$C$21122)</f>
        <v>994.5088</v>
      </c>
    </row>
    <row r="21133" customFormat="false" ht="15" hidden="false" customHeight="false" outlineLevel="0" collapsed="false">
      <c r="A21133" s="23" t="s">
        <v>468</v>
      </c>
      <c r="B21133" s="24"/>
      <c r="C21133" s="24"/>
      <c r="D21133" s="24"/>
      <c r="E21133" s="24"/>
      <c r="F21133" s="24"/>
      <c r="G21133" s="24"/>
      <c r="H21133" s="24"/>
      <c r="I21133" s="24"/>
      <c r="J21133" s="24"/>
      <c r="K21133" s="24"/>
    </row>
    <row r="21134" customFormat="false" ht="15" hidden="false" customHeight="false" outlineLevel="0" collapsed="false">
      <c r="A21134" s="5" t="s">
        <v>457</v>
      </c>
      <c r="C21134" s="25" t="n">
        <f aca="false">SUMPRODUCT(($C$21124:$C$21127=C21124)*$C$21119:$C$21122)</f>
        <v>234.9088</v>
      </c>
    </row>
    <row r="21135" customFormat="false" ht="15" hidden="false" customHeight="false" outlineLevel="0" collapsed="false">
      <c r="A21135" s="5" t="s">
        <v>458</v>
      </c>
      <c r="C21135" s="25" t="n">
        <f aca="false">SUMPRODUCT(($C$21124:$C$21127=C21125)*$C$21119:$C$21122)</f>
        <v>509.6</v>
      </c>
    </row>
    <row r="21136" customFormat="false" ht="15" hidden="false" customHeight="false" outlineLevel="0" collapsed="false">
      <c r="A21136" s="5" t="s">
        <v>459</v>
      </c>
      <c r="C21136" s="25" t="n">
        <f aca="false">SUMPRODUCT(($C$21124:$C$21127=C21126)*$C$21119:$C$21122)</f>
        <v>250</v>
      </c>
    </row>
    <row r="21137" customFormat="false" ht="15" hidden="false" customHeight="false" outlineLevel="0" collapsed="false">
      <c r="A21137" s="5" t="s">
        <v>460</v>
      </c>
      <c r="C21137" s="25" t="n">
        <f aca="false">SUMPRODUCT(($C$21124:$C$21127=C21127)*$C$21119:$C$21122)</f>
        <v>300</v>
      </c>
    </row>
    <row r="21138" customFormat="false" ht="15" hidden="false" customHeight="false" outlineLevel="0" collapsed="false">
      <c r="A21138" s="23" t="s">
        <v>469</v>
      </c>
      <c r="B21138" s="24"/>
      <c r="C21138" s="24"/>
      <c r="D21138" s="24"/>
      <c r="E21138" s="24"/>
      <c r="F21138" s="24"/>
      <c r="G21138" s="24"/>
      <c r="H21138" s="24"/>
      <c r="I21138" s="24"/>
      <c r="J21138" s="24"/>
      <c r="K21138" s="24"/>
    </row>
    <row r="21139" customFormat="false" ht="15" hidden="false" customHeight="false" outlineLevel="0" collapsed="false">
      <c r="A21139" s="5" t="s">
        <v>457</v>
      </c>
      <c r="C21139" s="25" t="n">
        <f aca="false">IF(C21134=0,0,C21119/C21134*MAX(0,MIN(C21134,$C$21092-SUM($C$21109:$C$21112)-C21129)))</f>
        <v>55.97928</v>
      </c>
    </row>
    <row r="21140" customFormat="false" ht="15" hidden="false" customHeight="false" outlineLevel="0" collapsed="false">
      <c r="A21140" s="5" t="s">
        <v>458</v>
      </c>
      <c r="C21140" s="25" t="n">
        <f aca="false">IF(C21135=0,0,C21120/C21135*MAX(0,MIN(C21135,$C$21092-SUM($C$21109:$C$21112)-C21130)))</f>
        <v>0</v>
      </c>
    </row>
    <row r="21141" customFormat="false" ht="15" hidden="false" customHeight="false" outlineLevel="0" collapsed="false">
      <c r="A21141" s="5" t="s">
        <v>459</v>
      </c>
      <c r="C21141" s="25" t="n">
        <f aca="false">IF(C21136=0,0,C21121/C21136*MAX(0,MIN(C21136,$C$21092-SUM($C$21109:$C$21112)-C21131)))</f>
        <v>0</v>
      </c>
    </row>
    <row r="21142" customFormat="false" ht="15" hidden="false" customHeight="false" outlineLevel="0" collapsed="false">
      <c r="A21142" s="5" t="s">
        <v>460</v>
      </c>
      <c r="C21142" s="25" t="n">
        <f aca="false">IF(C21137=0,0,C21122/C21137*MAX(0,MIN(C21137,$C$21092-SUM($C$21109:$C$21112)-C21132)))</f>
        <v>0</v>
      </c>
    </row>
    <row r="21143" customFormat="false" ht="15" hidden="false" customHeight="false" outlineLevel="0" collapsed="false">
      <c r="A21143" s="23" t="s">
        <v>470</v>
      </c>
      <c r="B21143" s="24"/>
      <c r="C21143" s="24"/>
      <c r="D21143" s="24"/>
      <c r="E21143" s="24"/>
      <c r="F21143" s="24"/>
      <c r="G21143" s="24"/>
      <c r="H21143" s="24"/>
      <c r="I21143" s="24"/>
      <c r="J21143" s="24"/>
      <c r="K21143" s="24"/>
    </row>
    <row r="21144" customFormat="false" ht="15" hidden="false" customHeight="false" outlineLevel="0" collapsed="false">
      <c r="A21144" s="2" t="s">
        <v>457</v>
      </c>
      <c r="C21144" s="16" t="n">
        <f aca="false">C21109+C21139</f>
        <v>55.97928</v>
      </c>
    </row>
    <row r="21145" customFormat="false" ht="15" hidden="false" customHeight="false" outlineLevel="0" collapsed="false">
      <c r="A21145" s="2" t="s">
        <v>458</v>
      </c>
      <c r="C21145" s="16" t="n">
        <f aca="false">C21110+C21140</f>
        <v>0</v>
      </c>
    </row>
    <row r="21146" customFormat="false" ht="15" hidden="false" customHeight="false" outlineLevel="0" collapsed="false">
      <c r="A21146" s="2" t="s">
        <v>459</v>
      </c>
      <c r="C21146" s="16" t="n">
        <f aca="false">C21111+C21141</f>
        <v>0</v>
      </c>
    </row>
    <row r="21147" customFormat="false" ht="15" hidden="false" customHeight="false" outlineLevel="0" collapsed="false">
      <c r="A21147" s="2" t="s">
        <v>460</v>
      </c>
      <c r="C21147" s="16" t="n">
        <f aca="false">C21112+C21142</f>
        <v>0</v>
      </c>
    </row>
    <row r="21148" customFormat="false" ht="15" hidden="false" customHeight="false" outlineLevel="0" collapsed="false">
      <c r="A21148" s="23" t="s">
        <v>471</v>
      </c>
      <c r="B21148" s="24"/>
      <c r="C21148" s="24"/>
      <c r="D21148" s="24"/>
      <c r="E21148" s="24"/>
      <c r="F21148" s="24"/>
      <c r="G21148" s="24"/>
      <c r="H21148" s="24"/>
      <c r="I21148" s="24"/>
      <c r="J21148" s="24"/>
      <c r="K21148" s="24"/>
    </row>
    <row r="21149" customFormat="false" ht="15" hidden="false" customHeight="false" outlineLevel="0" collapsed="false">
      <c r="A21149" s="5" t="s">
        <v>457</v>
      </c>
      <c r="C21149" s="21" t="n">
        <f aca="false">IF(C21094=0,1,C21144/C21094)</f>
        <v>0.238302183655955</v>
      </c>
    </row>
    <row r="21150" customFormat="false" ht="15" hidden="false" customHeight="false" outlineLevel="0" collapsed="false">
      <c r="A21150" s="5" t="s">
        <v>458</v>
      </c>
      <c r="C21150" s="21" t="n">
        <f aca="false">IF(C21095=0,1,C21145/C21095)</f>
        <v>0</v>
      </c>
    </row>
    <row r="21151" customFormat="false" ht="15" hidden="false" customHeight="false" outlineLevel="0" collapsed="false">
      <c r="A21151" s="5" t="s">
        <v>459</v>
      </c>
      <c r="C21151" s="21" t="n">
        <f aca="false">IF(C21096=0,1,C21146/C21096)</f>
        <v>0</v>
      </c>
    </row>
    <row r="21152" customFormat="false" ht="15" hidden="false" customHeight="false" outlineLevel="0" collapsed="false">
      <c r="A21152" s="5" t="s">
        <v>460</v>
      </c>
      <c r="C21152" s="21" t="n">
        <f aca="false">IF(C21097=0,1,C21147/C21097)</f>
        <v>0</v>
      </c>
    </row>
    <row r="21153" customFormat="false" ht="15" hidden="false" customHeight="false" outlineLevel="0" collapsed="false">
      <c r="A21153" s="23" t="s">
        <v>472</v>
      </c>
      <c r="B21153" s="24"/>
      <c r="C21153" s="24"/>
      <c r="D21153" s="24"/>
      <c r="E21153" s="24"/>
      <c r="F21153" s="24"/>
      <c r="G21153" s="24"/>
      <c r="H21153" s="24"/>
      <c r="I21153" s="24"/>
      <c r="J21153" s="24"/>
      <c r="K21153" s="24"/>
    </row>
    <row r="21154" customFormat="false" ht="15" hidden="false" customHeight="false" outlineLevel="0" collapsed="false">
      <c r="A21154" s="5" t="s">
        <v>457</v>
      </c>
      <c r="C21154" s="25" t="n">
        <f aca="false">C21094-C21144</f>
        <v>178.92952</v>
      </c>
    </row>
    <row r="21155" customFormat="false" ht="15" hidden="false" customHeight="false" outlineLevel="0" collapsed="false">
      <c r="A21155" s="5" t="s">
        <v>458</v>
      </c>
      <c r="C21155" s="25" t="n">
        <f aca="false">C21095-C21145</f>
        <v>509.6</v>
      </c>
    </row>
    <row r="21156" customFormat="false" ht="15" hidden="false" customHeight="false" outlineLevel="0" collapsed="false">
      <c r="A21156" s="5" t="s">
        <v>459</v>
      </c>
      <c r="C21156" s="25" t="n">
        <f aca="false">C21096-C21146</f>
        <v>250</v>
      </c>
    </row>
    <row r="21157" customFormat="false" ht="15" hidden="false" customHeight="false" outlineLevel="0" collapsed="false">
      <c r="A21157" s="5" t="s">
        <v>460</v>
      </c>
      <c r="C21157" s="25" t="n">
        <f aca="false">C21097-C21147</f>
        <v>300</v>
      </c>
    </row>
    <row r="21158" customFormat="false" ht="15" hidden="false" customHeight="false" outlineLevel="0" collapsed="false">
      <c r="A21158" s="23" t="s">
        <v>473</v>
      </c>
      <c r="B21158" s="24"/>
      <c r="C21158" s="24"/>
      <c r="D21158" s="24"/>
      <c r="E21158" s="24"/>
      <c r="F21158" s="24"/>
      <c r="G21158" s="24"/>
      <c r="H21158" s="24"/>
      <c r="I21158" s="24"/>
      <c r="J21158" s="24"/>
      <c r="K21158" s="24"/>
    </row>
    <row r="21159" customFormat="false" ht="15" hidden="false" customHeight="false" outlineLevel="0" collapsed="false">
      <c r="A21159" s="5" t="s">
        <v>457</v>
      </c>
      <c r="C21159" s="21" t="n">
        <f aca="false">IF(C21094=0,0,C21154/C21094)</f>
        <v>0.761697816344045</v>
      </c>
    </row>
    <row r="21160" customFormat="false" ht="15" hidden="false" customHeight="false" outlineLevel="0" collapsed="false">
      <c r="A21160" s="5" t="s">
        <v>458</v>
      </c>
      <c r="C21160" s="21" t="n">
        <f aca="false">IF(C21095=0,0,C21155/C21095)</f>
        <v>1</v>
      </c>
    </row>
    <row r="21161" customFormat="false" ht="15" hidden="false" customHeight="false" outlineLevel="0" collapsed="false">
      <c r="A21161" s="5" t="s">
        <v>459</v>
      </c>
      <c r="C21161" s="21" t="n">
        <f aca="false">IF(C21096=0,0,C21156/C21096)</f>
        <v>1</v>
      </c>
    </row>
    <row r="21162" customFormat="false" ht="15" hidden="false" customHeight="false" outlineLevel="0" collapsed="false">
      <c r="A21162" s="5" t="s">
        <v>460</v>
      </c>
      <c r="C21162" s="21" t="n">
        <f aca="false">IF(C21097=0,0,C21157/C21097)</f>
        <v>1</v>
      </c>
    </row>
    <row r="21163" customFormat="false" ht="15" hidden="false" customHeight="false" outlineLevel="0" collapsed="false">
      <c r="A21163" s="2" t="s">
        <v>474</v>
      </c>
      <c r="C21163" s="16" t="n">
        <f aca="false">MAX(0,$C$21092-SUM($C$21109:$C$21112)-SUM($C$21119:$C$21122))</f>
        <v>0</v>
      </c>
    </row>
    <row r="21164" customFormat="false" ht="15" hidden="false" customHeight="false" outlineLevel="0" collapsed="false">
      <c r="A21164" s="5" t="s">
        <v>492</v>
      </c>
      <c r="C21164" s="33" t="n">
        <f aca="false">MIN(C21091,100*CHOOSE(C21081,C21149,C21150,C21151,C21152))</f>
        <v>0</v>
      </c>
    </row>
    <row r="21165" customFormat="false" ht="15" hidden="false" customHeight="false" outlineLevel="0" collapsed="false">
      <c r="A21165" s="5" t="s">
        <v>493</v>
      </c>
      <c r="C21165" s="20" t="n">
        <f aca="false">IF(C20997=1,C21086+Assumptions!$C$36,C21085)</f>
        <v>3</v>
      </c>
    </row>
    <row r="21166" customFormat="false" ht="15" hidden="false" customHeight="false" outlineLevel="0" collapsed="false">
      <c r="A21166" s="23" t="s">
        <v>494</v>
      </c>
      <c r="B21166" s="24"/>
      <c r="C21166" s="24"/>
      <c r="D21166" s="24"/>
      <c r="E21166" s="24"/>
      <c r="F21166" s="24"/>
      <c r="G21166" s="24"/>
      <c r="H21166" s="24"/>
      <c r="I21166" s="24"/>
      <c r="J21166" s="24"/>
      <c r="K21166" s="24"/>
    </row>
    <row r="21167" customFormat="false" ht="15" hidden="false" customHeight="false" outlineLevel="0" collapsed="false">
      <c r="A21167" s="5" t="s">
        <v>495</v>
      </c>
      <c r="C21167" s="20" t="n">
        <f aca="false">COLUMN()-COLUMN($C$1)</f>
        <v>0</v>
      </c>
      <c r="D21167" s="20" t="n">
        <f aca="false">COLUMN()-COLUMN($C$1)</f>
        <v>1</v>
      </c>
      <c r="E21167" s="20" t="n">
        <f aca="false">COLUMN()-COLUMN($C$1)</f>
        <v>2</v>
      </c>
      <c r="F21167" s="20" t="n">
        <f aca="false">COLUMN()-COLUMN($C$1)</f>
        <v>3</v>
      </c>
      <c r="G21167" s="20" t="n">
        <f aca="false">COLUMN()-COLUMN($C$1)</f>
        <v>4</v>
      </c>
      <c r="H21167" s="20" t="n">
        <f aca="false">COLUMN()-COLUMN($C$1)</f>
        <v>5</v>
      </c>
      <c r="I21167" s="20" t="n">
        <f aca="false">COLUMN()-COLUMN($C$1)</f>
        <v>6</v>
      </c>
    </row>
    <row r="21168" customFormat="false" ht="15" hidden="false" customHeight="false" outlineLevel="0" collapsed="false">
      <c r="A21168" s="5" t="s">
        <v>496</v>
      </c>
      <c r="D21168" s="30" t="n">
        <f aca="false">CHOOSE($C$21081,G20879,G20892,G20905,G20918)</f>
        <v>0.133</v>
      </c>
      <c r="E21168" s="30" t="n">
        <f aca="false">CHOOSE($C$21081,H20879,H20892,H20905,H20918)</f>
        <v>0.1305</v>
      </c>
      <c r="F21168" s="30" t="n">
        <f aca="false">CHOOSE($C$21081,I20879,I20892,I20905,I20918)</f>
        <v>0.128</v>
      </c>
      <c r="G21168" s="30" t="n">
        <f aca="false">CHOOSE($C$21081,J20879,J20892,J20905,J20918)</f>
        <v>0.128</v>
      </c>
      <c r="H21168" s="30" t="n">
        <f aca="false">CHOOSE($C$21081,K20879,K20892,K20905,K20918)</f>
        <v>0.128</v>
      </c>
    </row>
    <row r="21169" customFormat="false" ht="15" hidden="false" customHeight="false" outlineLevel="0" collapsed="false">
      <c r="A21169" s="5" t="s">
        <v>497</v>
      </c>
      <c r="D21169" s="25" t="n">
        <f aca="false">IF(D21167&lt;=$C$21090,$C$21082*D21168,0)</f>
        <v>13.3</v>
      </c>
      <c r="E21169" s="25" t="n">
        <f aca="false">IF(E21167&lt;=$C$21090,$C$21082*E21168,0)</f>
        <v>13.05</v>
      </c>
      <c r="F21169" s="25" t="n">
        <f aca="false">IF(F21167&lt;=$C$21090,$C$21082*F21168,0)</f>
        <v>0</v>
      </c>
      <c r="G21169" s="25" t="n">
        <f aca="false">IF(G21167&lt;=$C$21090,$C$21082*G21168,0)</f>
        <v>0</v>
      </c>
      <c r="H21169" s="25" t="n">
        <f aca="false">IF(H21167&lt;=$C$21090,$C$21082*H21168,0)</f>
        <v>0</v>
      </c>
    </row>
    <row r="21170" customFormat="false" ht="15" hidden="false" customHeight="false" outlineLevel="0" collapsed="false">
      <c r="A21170" s="5" t="s">
        <v>498</v>
      </c>
      <c r="D21170" s="25" t="n">
        <f aca="false">IF(AND($C$20997=0,D21167=$C$21085),$C$21082*$C$21164/100,0)+IF(AND($C$20997=1,D21167=$C$21165),$C$21088,0)</f>
        <v>0</v>
      </c>
      <c r="E21170" s="25" t="n">
        <f aca="false">IF(AND($C$20997=0,E21167=$C$21085),$C$21082*$C$21164/100,0)+IF(AND($C$20997=1,E21167=$C$21165),$C$21088,0)</f>
        <v>0</v>
      </c>
      <c r="F21170" s="25" t="n">
        <f aca="false">IF(AND($C$20997=0,F21167=$C$21085),$C$21082*$C$21164/100,0)+IF(AND($C$20997=1,F21167=$C$21165),$C$21088,0)</f>
        <v>29.0034660125589</v>
      </c>
      <c r="G21170" s="25" t="n">
        <f aca="false">IF(AND($C$20997=0,G21167=$C$21085),$C$21082*$C$21164/100,0)+IF(AND($C$20997=1,G21167=$C$21165),$C$21088,0)</f>
        <v>0</v>
      </c>
      <c r="H21170" s="25" t="n">
        <f aca="false">IF(AND($C$20997=0,H21167=$C$21085),$C$21082*$C$21164/100,0)+IF(AND($C$20997=1,H21167=$C$21165),$C$21088,0)</f>
        <v>0</v>
      </c>
      <c r="I21170" s="25" t="n">
        <f aca="false">IF(AND($C$20997=0,I21167=$C$21085),$C$21082*$C$21164/100,0)+IF(AND($C$20997=1,I21167=$C$21165),$C$21088,0)</f>
        <v>0</v>
      </c>
    </row>
    <row r="21171" customFormat="false" ht="15" hidden="false" customHeight="false" outlineLevel="0" collapsed="false">
      <c r="A21171" s="2" t="s">
        <v>499</v>
      </c>
      <c r="C21171" s="16" t="n">
        <f aca="false">-$C$21084</f>
        <v>-78.39</v>
      </c>
      <c r="D21171" s="16" t="n">
        <f aca="false">D21169+D21170</f>
        <v>13.3</v>
      </c>
      <c r="E21171" s="16" t="n">
        <f aca="false">E21169+E21170</f>
        <v>13.05</v>
      </c>
      <c r="F21171" s="16" t="n">
        <f aca="false">F21169+F21170</f>
        <v>29.0034660125589</v>
      </c>
      <c r="G21171" s="16" t="n">
        <f aca="false">G21169+G21170</f>
        <v>0</v>
      </c>
      <c r="H21171" s="16" t="n">
        <f aca="false">H21169+H21170</f>
        <v>0</v>
      </c>
      <c r="I21171" s="16" t="n">
        <f aca="false">I21169+I21170</f>
        <v>0</v>
      </c>
    </row>
    <row r="21172" customFormat="false" ht="15" hidden="false" customHeight="false" outlineLevel="0" collapsed="false">
      <c r="A21172" s="5" t="s">
        <v>500</v>
      </c>
      <c r="C21172" s="25" t="n">
        <f aca="false">SUM($C$21169:$I$21169)</f>
        <v>26.35</v>
      </c>
    </row>
    <row r="21173" customFormat="false" ht="15" hidden="false" customHeight="false" outlineLevel="0" collapsed="false">
      <c r="A21173" s="5" t="s">
        <v>501</v>
      </c>
      <c r="C21173" s="25" t="n">
        <f aca="false">SUM($C$21170:$I$21170)</f>
        <v>29.0034660125589</v>
      </c>
    </row>
    <row r="21174" customFormat="false" ht="15" hidden="false" customHeight="false" outlineLevel="0" collapsed="false">
      <c r="A21174" s="5" t="s">
        <v>502</v>
      </c>
      <c r="C21174" s="25" t="n">
        <f aca="false">C21172+C21173</f>
        <v>55.3534660125589</v>
      </c>
    </row>
    <row r="21175" customFormat="false" ht="15" hidden="false" customHeight="false" outlineLevel="0" collapsed="false">
      <c r="A21175" s="5" t="s">
        <v>503</v>
      </c>
      <c r="C21175" s="25" t="n">
        <f aca="false">C21173-C21082*C21083/100</f>
        <v>-48.9965339874412</v>
      </c>
    </row>
    <row r="21176" customFormat="false" ht="15" hidden="false" customHeight="false" outlineLevel="0" collapsed="false">
      <c r="A21176" s="5" t="s">
        <v>504</v>
      </c>
      <c r="C21176" s="25" t="n">
        <f aca="false">C21174-C21084</f>
        <v>-23.0365339874411</v>
      </c>
    </row>
    <row r="21177" customFormat="false" ht="15" hidden="false" customHeight="false" outlineLevel="0" collapsed="false">
      <c r="A21177" s="2" t="s">
        <v>385</v>
      </c>
      <c r="C21177" s="43" t="n">
        <f aca="false">C21174/C21084</f>
        <v>0.706129174799832</v>
      </c>
    </row>
    <row r="21178" customFormat="false" ht="15" hidden="false" customHeight="false" outlineLevel="0" collapsed="false">
      <c r="A21178" s="2" t="s">
        <v>384</v>
      </c>
      <c r="C21178" s="41" t="n">
        <f aca="false">IF(C21174&lt;=0,-1,IFERROR(IRR($C$21171:$I$21171,MAX(-0.9,C21177^(1/C21165)-1)),IRR($C$21171:$I$21171,0.1)))</f>
        <v>-0.138534047289136</v>
      </c>
    </row>
    <row r="21179" customFormat="false" ht="15" hidden="false" customHeight="false" outlineLevel="0" collapsed="false">
      <c r="A21179" s="5" t="s">
        <v>505</v>
      </c>
      <c r="C21179" s="31" t="n">
        <f aca="false">MAX($G$20973:$K$20973)</f>
        <v>124.624351403687</v>
      </c>
    </row>
    <row r="21180" customFormat="false" ht="15" hidden="false" customHeight="false" outlineLevel="0" collapsed="false">
      <c r="A21180" s="5" t="s">
        <v>506</v>
      </c>
      <c r="C21180" s="31" t="n">
        <f aca="false">MIN($G$20974:$K$20974)</f>
        <v>0.109080209295775</v>
      </c>
    </row>
    <row r="21181" customFormat="false" ht="15" hidden="false" customHeight="false" outlineLevel="0" collapsed="false">
      <c r="A21181" s="5" t="s">
        <v>507</v>
      </c>
      <c r="C21181" s="25" t="n">
        <f aca="false">SUM($G$20863:$K$20863)</f>
        <v>-697.792895058854</v>
      </c>
    </row>
    <row r="21185" customFormat="false" ht="15" hidden="false" customHeight="false" outlineLevel="0" collapsed="false">
      <c r="A21185" s="9" t="s">
        <v>686</v>
      </c>
      <c r="B21185" s="10"/>
      <c r="C21185" s="10"/>
      <c r="D21185" s="10"/>
      <c r="E21185" s="10"/>
      <c r="F21185" s="10"/>
      <c r="G21185" s="10"/>
      <c r="H21185" s="10"/>
      <c r="I21185" s="10"/>
      <c r="J21185" s="10"/>
      <c r="K21185" s="10"/>
    </row>
    <row r="21186" customFormat="false" ht="15" hidden="false" customHeight="false" outlineLevel="0" collapsed="false">
      <c r="A21186" s="5" t="s">
        <v>622</v>
      </c>
      <c r="C21186" s="11" t="n">
        <v>3</v>
      </c>
    </row>
    <row r="21187" customFormat="false" ht="15" hidden="false" customHeight="false" outlineLevel="0" collapsed="false">
      <c r="A21187" s="5" t="s">
        <v>623</v>
      </c>
      <c r="C21187" s="18" t="n">
        <v>0</v>
      </c>
    </row>
    <row r="21188" customFormat="false" ht="15" hidden="false" customHeight="false" outlineLevel="0" collapsed="false">
      <c r="A21188" s="5" t="s">
        <v>624</v>
      </c>
      <c r="C21188" s="18" t="n">
        <v>0</v>
      </c>
    </row>
    <row r="21189" customFormat="false" ht="15" hidden="false" customHeight="false" outlineLevel="0" collapsed="false">
      <c r="A21189" s="5" t="s">
        <v>625</v>
      </c>
      <c r="C21189" s="18" t="n">
        <v>0</v>
      </c>
    </row>
    <row r="21190" customFormat="false" ht="15" hidden="false" customHeight="false" outlineLevel="0" collapsed="false">
      <c r="A21190" s="5" t="s">
        <v>626</v>
      </c>
      <c r="C21190" s="32" t="n">
        <f aca="false">Sensitivities!$A$62</f>
        <v>0</v>
      </c>
    </row>
    <row r="21192" customFormat="false" ht="15" hidden="false" customHeight="false" outlineLevel="0" collapsed="false">
      <c r="A21192" s="23" t="s">
        <v>237</v>
      </c>
      <c r="B21192" s="24"/>
      <c r="C21192" s="24"/>
      <c r="D21192" s="24"/>
      <c r="E21192" s="24"/>
      <c r="F21192" s="24"/>
      <c r="G21192" s="24"/>
      <c r="H21192" s="24"/>
      <c r="I21192" s="24"/>
      <c r="J21192" s="24"/>
      <c r="K21192" s="24"/>
    </row>
    <row r="21193" customFormat="false" ht="15" hidden="false" customHeight="false" outlineLevel="0" collapsed="false">
      <c r="A21193" s="5" t="s">
        <v>238</v>
      </c>
      <c r="F21193" s="26" t="n">
        <f aca="false">Assumptions!$C$6</f>
        <v>2025</v>
      </c>
      <c r="G21193" s="20" t="n">
        <f aca="false">F21193+1</f>
        <v>2026</v>
      </c>
      <c r="H21193" s="20" t="n">
        <f aca="false">G21193+1</f>
        <v>2027</v>
      </c>
      <c r="I21193" s="20" t="n">
        <f aca="false">H21193+1</f>
        <v>2028</v>
      </c>
      <c r="J21193" s="20" t="n">
        <f aca="false">I21193+1</f>
        <v>2029</v>
      </c>
      <c r="K21193" s="20" t="n">
        <f aca="false">J21193+1</f>
        <v>2030</v>
      </c>
    </row>
    <row r="21194" customFormat="false" ht="15" hidden="false" customHeight="false" outlineLevel="0" collapsed="false">
      <c r="A21194" s="5" t="s">
        <v>239</v>
      </c>
      <c r="G21194" s="20" t="n">
        <f aca="false">G21193-Assumptions!$C$6</f>
        <v>1</v>
      </c>
      <c r="H21194" s="20" t="n">
        <f aca="false">H21193-Assumptions!$C$6</f>
        <v>2</v>
      </c>
      <c r="I21194" s="20" t="n">
        <f aca="false">I21193-Assumptions!$C$6</f>
        <v>3</v>
      </c>
      <c r="J21194" s="20" t="n">
        <f aca="false">J21193-Assumptions!$C$6</f>
        <v>4</v>
      </c>
      <c r="K21194" s="20" t="n">
        <f aca="false">K21193-Assumptions!$C$6</f>
        <v>5</v>
      </c>
    </row>
    <row r="21195" customFormat="false" ht="15" hidden="false" customHeight="false" outlineLevel="0" collapsed="false">
      <c r="A21195" s="5" t="s">
        <v>149</v>
      </c>
      <c r="G21195" s="21" t="n">
        <f aca="false">CHOOSE($C$21186,Assumptions!$G$65,Assumptions!$G$84,Assumptions!$G$103)+$C$21187</f>
        <v>-0.234</v>
      </c>
      <c r="H21195" s="21" t="n">
        <f aca="false">CHOOSE($C$21186,Assumptions!$H$65,Assumptions!$H$84,Assumptions!$H$103)+$C$21187</f>
        <v>-0.13</v>
      </c>
      <c r="I21195" s="21" t="n">
        <f aca="false">CHOOSE($C$21186,Assumptions!$I$65,Assumptions!$I$84,Assumptions!$I$103)+$C$21187</f>
        <v>-0.026</v>
      </c>
      <c r="J21195" s="21" t="n">
        <f aca="false">CHOOSE($C$21186,Assumptions!$J$65,Assumptions!$J$84,Assumptions!$J$103)+$C$21187</f>
        <v>-0.01</v>
      </c>
      <c r="K21195" s="21" t="n">
        <f aca="false">CHOOSE($C$21186,Assumptions!$K$65,Assumptions!$K$84,Assumptions!$K$103)+$C$21187</f>
        <v>-0.01</v>
      </c>
    </row>
    <row r="21196" customFormat="false" ht="15" hidden="false" customHeight="false" outlineLevel="0" collapsed="false">
      <c r="A21196" s="5" t="s">
        <v>150</v>
      </c>
      <c r="G21196" s="21" t="n">
        <f aca="false">CHOOSE($C$21186,Assumptions!$G$66,Assumptions!$G$85,Assumptions!$G$104)</f>
        <v>0.305</v>
      </c>
      <c r="H21196" s="21" t="n">
        <f aca="false">CHOOSE($C$21186,Assumptions!$H$66,Assumptions!$H$85,Assumptions!$H$104)</f>
        <v>0.305</v>
      </c>
      <c r="I21196" s="21" t="n">
        <f aca="false">CHOOSE($C$21186,Assumptions!$I$66,Assumptions!$I$85,Assumptions!$I$104)</f>
        <v>0.305</v>
      </c>
      <c r="J21196" s="21" t="n">
        <f aca="false">CHOOSE($C$21186,Assumptions!$J$66,Assumptions!$J$85,Assumptions!$J$104)</f>
        <v>0.305</v>
      </c>
      <c r="K21196" s="21" t="n">
        <f aca="false">CHOOSE($C$21186,Assumptions!$K$66,Assumptions!$K$85,Assumptions!$K$104)</f>
        <v>0.305</v>
      </c>
    </row>
    <row r="21197" customFormat="false" ht="15" hidden="false" customHeight="false" outlineLevel="0" collapsed="false">
      <c r="A21197" s="5" t="s">
        <v>151</v>
      </c>
      <c r="G21197" s="21" t="n">
        <f aca="false">CHOOSE($C$21186,Assumptions!$G$67,Assumptions!$G$86,Assumptions!$G$105)+$C$21188</f>
        <v>0.01</v>
      </c>
      <c r="H21197" s="21" t="n">
        <f aca="false">CHOOSE($C$21186,Assumptions!$H$67,Assumptions!$H$86,Assumptions!$H$105)+$C$21188</f>
        <v>0.01</v>
      </c>
      <c r="I21197" s="21" t="n">
        <f aca="false">CHOOSE($C$21186,Assumptions!$I$67,Assumptions!$I$86,Assumptions!$I$105)+$C$21188</f>
        <v>0.01</v>
      </c>
      <c r="J21197" s="21" t="n">
        <f aca="false">CHOOSE($C$21186,Assumptions!$J$67,Assumptions!$J$86,Assumptions!$J$105)+$C$21188</f>
        <v>0.01</v>
      </c>
      <c r="K21197" s="21" t="n">
        <f aca="false">CHOOSE($C$21186,Assumptions!$K$67,Assumptions!$K$86,Assumptions!$K$105)+$C$21188</f>
        <v>0.01</v>
      </c>
    </row>
    <row r="21198" customFormat="false" ht="15" hidden="false" customHeight="false" outlineLevel="0" collapsed="false">
      <c r="A21198" s="23" t="s">
        <v>240</v>
      </c>
      <c r="B21198" s="24"/>
      <c r="C21198" s="24"/>
      <c r="D21198" s="24"/>
      <c r="E21198" s="24"/>
      <c r="F21198" s="24"/>
      <c r="G21198" s="24"/>
      <c r="H21198" s="24"/>
      <c r="I21198" s="24"/>
      <c r="J21198" s="24"/>
      <c r="K21198" s="24"/>
    </row>
    <row r="21199" customFormat="false" ht="15" hidden="false" customHeight="false" outlineLevel="0" collapsed="false">
      <c r="A21199" s="2" t="s">
        <v>207</v>
      </c>
      <c r="F21199" s="27" t="n">
        <f aca="false">'Historical Financials'!E17</f>
        <v>2400</v>
      </c>
      <c r="G21199" s="16" t="n">
        <f aca="false">F21199*(1+G21195)</f>
        <v>1838.4</v>
      </c>
      <c r="H21199" s="16" t="n">
        <f aca="false">G21199*(1+H21195)</f>
        <v>1599.408</v>
      </c>
      <c r="I21199" s="16" t="n">
        <f aca="false">H21199*(1+I21195)</f>
        <v>1557.823392</v>
      </c>
      <c r="J21199" s="16" t="n">
        <f aca="false">I21199*(1+J21195)</f>
        <v>1542.24515808</v>
      </c>
      <c r="K21199" s="16" t="n">
        <f aca="false">J21199*(1+K21195)</f>
        <v>1526.8227064992</v>
      </c>
    </row>
    <row r="21200" customFormat="false" ht="15" hidden="false" customHeight="false" outlineLevel="0" collapsed="false">
      <c r="A21200" s="5" t="s">
        <v>217</v>
      </c>
      <c r="G21200" s="25" t="n">
        <f aca="false">G21199*(1-G21196)</f>
        <v>1277.688</v>
      </c>
      <c r="H21200" s="25" t="n">
        <f aca="false">H21199*(1-H21196)</f>
        <v>1111.58856</v>
      </c>
      <c r="I21200" s="25" t="n">
        <f aca="false">I21199*(1-I21196)</f>
        <v>1082.68725744</v>
      </c>
      <c r="J21200" s="25" t="n">
        <f aca="false">J21199*(1-J21196)</f>
        <v>1071.8603848656</v>
      </c>
      <c r="K21200" s="25" t="n">
        <f aca="false">K21199*(1-K21196)</f>
        <v>1061.14178101694</v>
      </c>
    </row>
    <row r="21201" customFormat="false" ht="15" hidden="false" customHeight="false" outlineLevel="0" collapsed="false">
      <c r="A21201" s="2" t="s">
        <v>218</v>
      </c>
      <c r="G21201" s="16" t="n">
        <f aca="false">G21199-G21200</f>
        <v>560.712</v>
      </c>
      <c r="H21201" s="16" t="n">
        <f aca="false">H21199-H21200</f>
        <v>487.81944</v>
      </c>
      <c r="I21201" s="16" t="n">
        <f aca="false">I21199-I21200</f>
        <v>475.13613456</v>
      </c>
      <c r="J21201" s="16" t="n">
        <f aca="false">J21199-J21200</f>
        <v>470.3847732144</v>
      </c>
      <c r="K21201" s="16" t="n">
        <f aca="false">K21199-K21200</f>
        <v>465.680925482256</v>
      </c>
    </row>
    <row r="21202" customFormat="false" ht="15" hidden="false" customHeight="false" outlineLevel="0" collapsed="false">
      <c r="A21202" s="5" t="s">
        <v>241</v>
      </c>
      <c r="G21202" s="25" t="n">
        <f aca="false">G21201-G21203</f>
        <v>542.328</v>
      </c>
      <c r="H21202" s="25" t="n">
        <f aca="false">H21201-H21203</f>
        <v>471.82536</v>
      </c>
      <c r="I21202" s="25" t="n">
        <f aca="false">I21201-I21203</f>
        <v>459.55790064</v>
      </c>
      <c r="J21202" s="25" t="n">
        <f aca="false">J21201-J21203</f>
        <v>454.9623216336</v>
      </c>
      <c r="K21202" s="25" t="n">
        <f aca="false">K21201-K21203</f>
        <v>450.412698417264</v>
      </c>
    </row>
    <row r="21203" customFormat="false" ht="15" hidden="false" customHeight="false" outlineLevel="0" collapsed="false">
      <c r="A21203" s="2" t="s">
        <v>242</v>
      </c>
      <c r="G21203" s="16" t="n">
        <f aca="false">G21199*G21197</f>
        <v>18.384</v>
      </c>
      <c r="H21203" s="16" t="n">
        <f aca="false">H21199*H21197</f>
        <v>15.99408</v>
      </c>
      <c r="I21203" s="16" t="n">
        <f aca="false">I21199*I21197</f>
        <v>15.57823392</v>
      </c>
      <c r="J21203" s="16" t="n">
        <f aca="false">J21199*J21197</f>
        <v>15.4224515808</v>
      </c>
      <c r="K21203" s="16" t="n">
        <f aca="false">K21199*K21197</f>
        <v>15.268227064992</v>
      </c>
    </row>
    <row r="21204" customFormat="false" ht="15" hidden="false" customHeight="false" outlineLevel="0" collapsed="false">
      <c r="A21204" s="5" t="s">
        <v>243</v>
      </c>
      <c r="G21204" s="25" t="n">
        <f aca="false">G21199*'Historical Financials'!E22/'Historical Financials'!E17</f>
        <v>40.4448</v>
      </c>
      <c r="H21204" s="25" t="n">
        <f aca="false">H21199*'Historical Financials'!E22/'Historical Financials'!E17</f>
        <v>35.186976</v>
      </c>
      <c r="I21204" s="25" t="n">
        <f aca="false">I21199*'Historical Financials'!E22/'Historical Financials'!E17</f>
        <v>34.272114624</v>
      </c>
      <c r="J21204" s="25" t="n">
        <f aca="false">J21199*'Historical Financials'!E22/'Historical Financials'!E17</f>
        <v>33.92939347776</v>
      </c>
      <c r="K21204" s="25" t="n">
        <f aca="false">K21199*'Historical Financials'!E22/'Historical Financials'!E17</f>
        <v>33.5900995429824</v>
      </c>
    </row>
    <row r="21205" customFormat="false" ht="15" hidden="false" customHeight="false" outlineLevel="0" collapsed="false">
      <c r="A21205" s="5" t="s">
        <v>244</v>
      </c>
      <c r="G21205" s="25" t="n">
        <f aca="false">G21199*'Historical Financials'!E23/'Historical Financials'!E17</f>
        <v>0</v>
      </c>
      <c r="H21205" s="25" t="n">
        <f aca="false">H21199*'Historical Financials'!E23/'Historical Financials'!E17</f>
        <v>0</v>
      </c>
      <c r="I21205" s="25" t="n">
        <f aca="false">I21199*'Historical Financials'!E23/'Historical Financials'!E17</f>
        <v>0</v>
      </c>
      <c r="J21205" s="25" t="n">
        <f aca="false">J21199*'Historical Financials'!E23/'Historical Financials'!E17</f>
        <v>0</v>
      </c>
      <c r="K21205" s="25" t="n">
        <f aca="false">K21199*'Historical Financials'!E23/'Historical Financials'!E17</f>
        <v>0</v>
      </c>
    </row>
    <row r="21206" customFormat="false" ht="15" hidden="false" customHeight="false" outlineLevel="0" collapsed="false">
      <c r="A21206" s="2" t="s">
        <v>245</v>
      </c>
      <c r="G21206" s="16" t="n">
        <f aca="false">G21203-G21204-G21205</f>
        <v>-22.0608</v>
      </c>
      <c r="H21206" s="16" t="n">
        <f aca="false">H21203-H21204-H21205</f>
        <v>-19.192896</v>
      </c>
      <c r="I21206" s="16" t="n">
        <f aca="false">I21203-I21204-I21205</f>
        <v>-18.693880704</v>
      </c>
      <c r="J21206" s="16" t="n">
        <f aca="false">J21203-J21204-J21205</f>
        <v>-18.50694189696</v>
      </c>
      <c r="K21206" s="16" t="n">
        <f aca="false">K21203-K21204-K21205</f>
        <v>-18.3218724779904</v>
      </c>
    </row>
    <row r="21207" customFormat="false" ht="15" hidden="false" customHeight="false" outlineLevel="0" collapsed="false">
      <c r="A21207" s="5" t="s">
        <v>246</v>
      </c>
      <c r="G21207" s="25" t="n">
        <f aca="false">G21233+G21246+G21259+G21272</f>
        <v>140.04</v>
      </c>
      <c r="H21207" s="25" t="n">
        <f aca="false">H21233+H21246+H21259+H21272</f>
        <v>143.8435488</v>
      </c>
      <c r="I21207" s="25" t="n">
        <f aca="false">I21233+I21246+I21259+I21272</f>
        <v>141.3036768</v>
      </c>
      <c r="J21207" s="25" t="n">
        <f aca="false">J21233+J21246+J21259+J21272</f>
        <v>140.6380768</v>
      </c>
      <c r="K21207" s="25" t="n">
        <f aca="false">K21233+K21246+K21259+K21272</f>
        <v>139.9724768</v>
      </c>
    </row>
    <row r="21208" customFormat="false" ht="15" hidden="false" customHeight="false" outlineLevel="0" collapsed="false">
      <c r="A21208" s="5" t="s">
        <v>247</v>
      </c>
      <c r="G21208" s="25" t="n">
        <f aca="false">G21234+G21247+G21260+G21273</f>
        <v>0</v>
      </c>
      <c r="H21208" s="25" t="n">
        <f aca="false">H21234+H21247+H21260+H21273</f>
        <v>0</v>
      </c>
      <c r="I21208" s="25" t="n">
        <f aca="false">I21234+I21247+I21260+I21273</f>
        <v>0</v>
      </c>
      <c r="J21208" s="25" t="n">
        <f aca="false">J21234+J21247+J21260+J21273</f>
        <v>0</v>
      </c>
      <c r="K21208" s="25" t="n">
        <f aca="false">K21234+K21247+K21260+K21273</f>
        <v>0</v>
      </c>
    </row>
    <row r="21209" customFormat="false" ht="15" hidden="false" customHeight="false" outlineLevel="0" collapsed="false">
      <c r="A21209" s="5" t="s">
        <v>212</v>
      </c>
      <c r="G21209" s="25" t="n">
        <f aca="false">G21207+G21208</f>
        <v>140.04</v>
      </c>
      <c r="H21209" s="25" t="n">
        <f aca="false">H21207+H21208</f>
        <v>143.8435488</v>
      </c>
      <c r="I21209" s="25" t="n">
        <f aca="false">I21207+I21208</f>
        <v>141.3036768</v>
      </c>
      <c r="J21209" s="25" t="n">
        <f aca="false">J21207+J21208</f>
        <v>140.6380768</v>
      </c>
      <c r="K21209" s="25" t="n">
        <f aca="false">K21207+K21208</f>
        <v>139.9724768</v>
      </c>
    </row>
    <row r="21210" customFormat="false" ht="15" hidden="false" customHeight="false" outlineLevel="0" collapsed="false">
      <c r="A21210" s="2" t="s">
        <v>223</v>
      </c>
      <c r="G21210" s="16" t="n">
        <f aca="false">G21206-G21209</f>
        <v>-162.1008</v>
      </c>
      <c r="H21210" s="16" t="n">
        <f aca="false">H21206-H21209</f>
        <v>-163.0364448</v>
      </c>
      <c r="I21210" s="16" t="n">
        <f aca="false">I21206-I21209</f>
        <v>-159.997557504</v>
      </c>
      <c r="J21210" s="16" t="n">
        <f aca="false">J21206-J21209</f>
        <v>-159.14501869696</v>
      </c>
      <c r="K21210" s="16" t="n">
        <f aca="false">K21206-K21209</f>
        <v>-158.29434927799</v>
      </c>
    </row>
    <row r="21211" customFormat="false" ht="15" hidden="false" customHeight="false" outlineLevel="0" collapsed="false">
      <c r="A21211" s="5" t="s">
        <v>213</v>
      </c>
      <c r="G21211" s="25" t="n">
        <f aca="false">MAX(0,G21210)*Assumptions!$C$9</f>
        <v>0</v>
      </c>
      <c r="H21211" s="25" t="n">
        <f aca="false">MAX(0,H21210)*Assumptions!$C$9</f>
        <v>0</v>
      </c>
      <c r="I21211" s="25" t="n">
        <f aca="false">MAX(0,I21210)*Assumptions!$C$9</f>
        <v>0</v>
      </c>
      <c r="J21211" s="25" t="n">
        <f aca="false">MAX(0,J21210)*Assumptions!$C$9</f>
        <v>0</v>
      </c>
      <c r="K21211" s="25" t="n">
        <f aca="false">MAX(0,K21210)*Assumptions!$C$9</f>
        <v>0</v>
      </c>
    </row>
    <row r="21212" customFormat="false" ht="15" hidden="false" customHeight="false" outlineLevel="0" collapsed="false">
      <c r="A21212" s="2" t="s">
        <v>248</v>
      </c>
      <c r="G21212" s="16" t="n">
        <f aca="false">G21210-G21211</f>
        <v>-162.1008</v>
      </c>
      <c r="H21212" s="16" t="n">
        <f aca="false">H21210-H21211</f>
        <v>-163.0364448</v>
      </c>
      <c r="I21212" s="16" t="n">
        <f aca="false">I21210-I21211</f>
        <v>-159.997557504</v>
      </c>
      <c r="J21212" s="16" t="n">
        <f aca="false">J21210-J21211</f>
        <v>-159.14501869696</v>
      </c>
      <c r="K21212" s="16" t="n">
        <f aca="false">K21210-K21211</f>
        <v>-158.29434927799</v>
      </c>
    </row>
    <row r="21213" customFormat="false" ht="15" hidden="false" customHeight="false" outlineLevel="0" collapsed="false">
      <c r="A21213" s="23" t="s">
        <v>249</v>
      </c>
      <c r="B21213" s="24"/>
      <c r="C21213" s="24"/>
      <c r="D21213" s="24"/>
      <c r="E21213" s="24"/>
      <c r="F21213" s="24"/>
      <c r="G21213" s="24"/>
      <c r="H21213" s="24"/>
      <c r="I21213" s="24"/>
      <c r="J21213" s="24"/>
      <c r="K21213" s="24"/>
    </row>
    <row r="21214" customFormat="false" ht="15" hidden="false" customHeight="false" outlineLevel="0" collapsed="false">
      <c r="A21214" s="5" t="s">
        <v>153</v>
      </c>
      <c r="G21214" s="25" t="n">
        <f aca="false">G21199*CHOOSE($C$21186,Assumptions!$C$69,Assumptions!$C$88,Assumptions!$C$107)</f>
        <v>29.4144</v>
      </c>
      <c r="H21214" s="25" t="n">
        <f aca="false">H21199*CHOOSE($C$21186,Assumptions!$C$69,Assumptions!$C$88,Assumptions!$C$107)</f>
        <v>25.590528</v>
      </c>
      <c r="I21214" s="25" t="n">
        <f aca="false">I21199*CHOOSE($C$21186,Assumptions!$C$69,Assumptions!$C$88,Assumptions!$C$107)</f>
        <v>24.925174272</v>
      </c>
      <c r="J21214" s="25" t="n">
        <f aca="false">J21199*CHOOSE($C$21186,Assumptions!$C$69,Assumptions!$C$88,Assumptions!$C$107)</f>
        <v>24.67592252928</v>
      </c>
      <c r="K21214" s="25" t="n">
        <f aca="false">K21199*CHOOSE($C$21186,Assumptions!$C$69,Assumptions!$C$88,Assumptions!$C$107)</f>
        <v>24.4291633039872</v>
      </c>
    </row>
    <row r="21215" customFormat="false" ht="15" hidden="false" customHeight="false" outlineLevel="0" collapsed="false">
      <c r="A21215" s="5" t="s">
        <v>250</v>
      </c>
      <c r="G21215" s="25" t="n">
        <f aca="false">CHOOSE($C$21186,Assumptions!$C$70,Assumptions!$C$89,Assumptions!$C$108)*(G21199-F21199)+CHOOSE($C$21186,Assumptions!$C$71,Assumptions!$C$90,Assumptions!$C$109)*G21199</f>
        <v>-56.3616</v>
      </c>
      <c r="H21215" s="25" t="n">
        <f aca="false">CHOOSE($C$21186,Assumptions!$C$70,Assumptions!$C$89,Assumptions!$C$108)*(H21199-G21199)+CHOOSE($C$21186,Assumptions!$C$71,Assumptions!$C$90,Assumptions!$C$109)*H21199</f>
        <v>-19.082592</v>
      </c>
      <c r="I21215" s="25" t="n">
        <f aca="false">CHOOSE($C$21186,Assumptions!$C$70,Assumptions!$C$89,Assumptions!$C$108)*(I21199-H21199)+CHOOSE($C$21186,Assumptions!$C$71,Assumptions!$C$90,Assumptions!$C$109)*I21199</f>
        <v>4.35678739199999</v>
      </c>
      <c r="J21215" s="25" t="n">
        <f aca="false">CHOOSE($C$21186,Assumptions!$C$70,Assumptions!$C$89,Assumptions!$C$108)*(J21199-I21199)+CHOOSE($C$21186,Assumptions!$C$71,Assumptions!$C$90,Assumptions!$C$109)*J21199</f>
        <v>7.38408287808</v>
      </c>
      <c r="K21215" s="25" t="n">
        <f aca="false">CHOOSE($C$21186,Assumptions!$C$70,Assumptions!$C$89,Assumptions!$C$108)*(K21199-J21199)+CHOOSE($C$21186,Assumptions!$C$71,Assumptions!$C$90,Assumptions!$C$109)*K21199</f>
        <v>7.3102420492992</v>
      </c>
    </row>
    <row r="21216" customFormat="false" ht="15" hidden="false" customHeight="false" outlineLevel="0" collapsed="false">
      <c r="A21216" s="2" t="s">
        <v>251</v>
      </c>
      <c r="G21216" s="16" t="n">
        <f aca="false">G21212+G21204+G21205+G21208-G21214-G21215</f>
        <v>-94.7088</v>
      </c>
      <c r="H21216" s="16" t="n">
        <f aca="false">H21212+H21204+H21205+H21208-H21214-H21215</f>
        <v>-134.3574048</v>
      </c>
      <c r="I21216" s="16" t="n">
        <f aca="false">I21212+I21204+I21205+I21208-I21214-I21215</f>
        <v>-155.007404544</v>
      </c>
      <c r="J21216" s="16" t="n">
        <f aca="false">J21212+J21204+J21205+J21208-J21214-J21215</f>
        <v>-157.27563062656</v>
      </c>
      <c r="K21216" s="16" t="n">
        <f aca="false">K21212+K21204+K21205+K21208-K21214-K21215</f>
        <v>-156.443655088294</v>
      </c>
    </row>
    <row r="21218" customFormat="false" ht="15" hidden="false" customHeight="false" outlineLevel="0" collapsed="false">
      <c r="A21218" s="23" t="s">
        <v>253</v>
      </c>
      <c r="B21218" s="24"/>
      <c r="C21218" s="24"/>
      <c r="D21218" s="24"/>
      <c r="E21218" s="24"/>
      <c r="F21218" s="24"/>
      <c r="G21218" s="24"/>
      <c r="H21218" s="24"/>
      <c r="I21218" s="24"/>
      <c r="J21218" s="24"/>
      <c r="K21218" s="24"/>
    </row>
    <row r="21219" customFormat="false" ht="15" hidden="false" customHeight="false" outlineLevel="0" collapsed="false">
      <c r="A21219" s="5" t="s">
        <v>254</v>
      </c>
      <c r="G21219" s="29" t="n">
        <f aca="false">Assumptions!$G$49</f>
        <v>0.0425</v>
      </c>
      <c r="H21219" s="29" t="n">
        <f aca="false">Assumptions!$H$49</f>
        <v>0.04</v>
      </c>
      <c r="I21219" s="29" t="n">
        <f aca="false">Assumptions!$I$49</f>
        <v>0.0375</v>
      </c>
      <c r="J21219" s="29" t="n">
        <f aca="false">Assumptions!$J$49</f>
        <v>0.0375</v>
      </c>
      <c r="K21219" s="29" t="n">
        <f aca="false">Assumptions!$K$49</f>
        <v>0.0375</v>
      </c>
    </row>
    <row r="21220" customFormat="false" ht="15" hidden="false" customHeight="false" outlineLevel="0" collapsed="false">
      <c r="A21220" s="5" t="s">
        <v>255</v>
      </c>
      <c r="C21220" s="30" t="n">
        <f aca="false">CHOOSE($C$21186,Assumptions!$C$72,Assumptions!$C$91,Assumptions!$C$110)+$C$21189</f>
        <v>0.03</v>
      </c>
    </row>
    <row r="21221" customFormat="false" ht="15" hidden="false" customHeight="false" outlineLevel="0" collapsed="false">
      <c r="A21221" s="5" t="s">
        <v>256</v>
      </c>
      <c r="C21221" s="30" t="n">
        <f aca="false">CHOOSE($C$21186,Assumptions!$C$73,Assumptions!$C$92,Assumptions!$C$111)</f>
        <v>0.16</v>
      </c>
    </row>
    <row r="21222" customFormat="false" ht="15" hidden="false" customHeight="false" outlineLevel="0" collapsed="false">
      <c r="A21222" s="5" t="s">
        <v>257</v>
      </c>
      <c r="C21222" s="31" t="n">
        <f aca="false">CHOOSE($C$21186,Assumptions!$C$74,Assumptions!$C$93,Assumptions!$C$112)</f>
        <v>5</v>
      </c>
    </row>
    <row r="21223" customFormat="false" ht="15" hidden="false" customHeight="false" outlineLevel="0" collapsed="false">
      <c r="A21223" s="5" t="s">
        <v>258</v>
      </c>
      <c r="C21223" s="31" t="n">
        <f aca="false">CHOOSE($C$21186,Assumptions!$C$75,Assumptions!$C$94,Assumptions!$C$113)</f>
        <v>2</v>
      </c>
    </row>
    <row r="21224" customFormat="false" ht="15" hidden="false" customHeight="false" outlineLevel="0" collapsed="false">
      <c r="A21224" s="5" t="s">
        <v>259</v>
      </c>
      <c r="G21224" s="25" t="n">
        <f aca="false">G21229+G21242+G21255+G21268</f>
        <v>1250</v>
      </c>
      <c r="H21224" s="25" t="n">
        <f aca="false">H21229+H21242+H21255+H21268</f>
        <v>1299.7088</v>
      </c>
      <c r="I21224" s="25" t="n">
        <f aca="false">I21229+I21242+I21255+I21268</f>
        <v>1294.5088</v>
      </c>
      <c r="J21224" s="25" t="n">
        <f aca="false">J21229+J21242+J21255+J21268</f>
        <v>1289.3088</v>
      </c>
      <c r="K21224" s="25" t="n">
        <f aca="false">K21229+K21242+K21255+K21268</f>
        <v>1284.1088</v>
      </c>
    </row>
    <row r="21225" customFormat="false" ht="15" hidden="false" customHeight="false" outlineLevel="0" collapsed="false">
      <c r="A21225" s="5" t="s">
        <v>260</v>
      </c>
      <c r="G21225" s="25" t="n">
        <f aca="false">F21315</f>
        <v>45</v>
      </c>
      <c r="H21225" s="25" t="n">
        <f aca="false">G21315</f>
        <v>0</v>
      </c>
      <c r="I21225" s="25" t="n">
        <f aca="false">H21315</f>
        <v>-139.5574048</v>
      </c>
      <c r="J21225" s="25" t="n">
        <f aca="false">I21315</f>
        <v>-299.764809344</v>
      </c>
      <c r="K21225" s="25" t="n">
        <f aca="false">J21315</f>
        <v>-462.24043997056</v>
      </c>
    </row>
    <row r="21226" customFormat="false" ht="15" hidden="false" customHeight="false" outlineLevel="0" collapsed="false">
      <c r="A21226" s="5" t="s">
        <v>261</v>
      </c>
      <c r="G21226" s="25" t="n">
        <f aca="false">G21229*IF(G21230=1,$C$21221,IF(Assumptions!$I$53=1,MAX(G21219,Assumptions!$G$53)+Assumptions!$F$53+$C$21220,Assumptions!$E$53))+G21242*IF(G21243=1,$C$21221,IF(Assumptions!$I$54=1,MAX(G21219,Assumptions!$G$54)+Assumptions!$F$54+$C$21220,Assumptions!$E$54))+G21255*IF(G21256=1,$C$21221,IF(Assumptions!$I$55=1,MAX(G21219,Assumptions!$G$55)+Assumptions!$F$55+$C$21220,Assumptions!$E$55))+G21268*IF(G21269=1,$C$21221,IF(Assumptions!$I$56=1,MAX(G21219,Assumptions!$G$56)+Assumptions!$F$56+$C$21220,Assumptions!$E$56))</f>
        <v>140.04</v>
      </c>
      <c r="H21226" s="25" t="n">
        <f aca="false">H21229*IF(OR(H21230=1,G21381=1),$C$21221,IF(Assumptions!$I$53=1,MAX(H21219,Assumptions!$G$53)+Assumptions!$F$53+$C$21220,Assumptions!$E$53))+H21242*IF(OR(H21243=1,G21382=1),$C$21221,IF(Assumptions!$I$54=1,MAX(H21219,Assumptions!$G$54)+Assumptions!$F$54+$C$21220,Assumptions!$E$54))+H21255*IF(OR(H21256=1,G21383=1),$C$21221,IF(Assumptions!$I$55=1,MAX(H21219,Assumptions!$G$55)+Assumptions!$F$55+$C$21220,Assumptions!$E$55))+H21268*IF(OR(H21269=1,G21384=1),$C$21221,IF(Assumptions!$I$56=1,MAX(H21219,Assumptions!$G$56)+Assumptions!$F$56+$C$21220,Assumptions!$E$56))</f>
        <v>180.266808</v>
      </c>
      <c r="I21226" s="25" t="n">
        <f aca="false">I21229*IF(OR(I21230=1,H21381=1),$C$21221,IF(Assumptions!$I$53=1,MAX(I21219,Assumptions!$G$53)+Assumptions!$F$53+$C$21220,Assumptions!$E$53))+I21242*IF(OR(I21243=1,H21382=1),$C$21221,IF(Assumptions!$I$54=1,MAX(I21219,Assumptions!$G$54)+Assumptions!$F$54+$C$21220,Assumptions!$E$54))+I21255*IF(OR(I21256=1,H21383=1),$C$21221,IF(Assumptions!$I$55=1,MAX(I21219,Assumptions!$G$55)+Assumptions!$F$55+$C$21220,Assumptions!$E$55))+I21268*IF(OR(I21269=1,H21384=1),$C$21221,IF(Assumptions!$I$56=1,MAX(I21219,Assumptions!$G$56)+Assumptions!$F$56+$C$21220,Assumptions!$E$56))</f>
        <v>157.6108768</v>
      </c>
      <c r="J21226" s="25" t="n">
        <f aca="false">J21229*IF(OR(J21230=1,I21381=1),$C$21221,IF(Assumptions!$I$53=1,MAX(J21219,Assumptions!$G$53)+Assumptions!$F$53+$C$21220,Assumptions!$E$53))+J21242*IF(OR(J21243=1,I21382=1),$C$21221,IF(Assumptions!$I$54=1,MAX(J21219,Assumptions!$G$54)+Assumptions!$F$54+$C$21220,Assumptions!$E$54))+J21255*IF(OR(J21256=1,I21383=1),$C$21221,IF(Assumptions!$I$55=1,MAX(J21219,Assumptions!$G$55)+Assumptions!$F$55+$C$21220,Assumptions!$E$55))+J21268*IF(OR(J21269=1,I21384=1),$C$21221,IF(Assumptions!$I$56=1,MAX(J21219,Assumptions!$G$56)+Assumptions!$F$56+$C$21220,Assumptions!$E$56))</f>
        <v>153.1380768</v>
      </c>
      <c r="K21226" s="25" t="n">
        <f aca="false">K21229*IF(OR(K21230=1,J21381=1),$C$21221,IF(Assumptions!$I$53=1,MAX(K21219,Assumptions!$G$53)+Assumptions!$F$53+$C$21220,Assumptions!$E$53))+K21242*IF(OR(K21243=1,J21382=1),$C$21221,IF(Assumptions!$I$54=1,MAX(K21219,Assumptions!$G$54)+Assumptions!$F$54+$C$21220,Assumptions!$E$54))+K21255*IF(OR(K21256=1,J21383=1),$C$21221,IF(Assumptions!$I$55=1,MAX(K21219,Assumptions!$G$55)+Assumptions!$F$55+$C$21220,Assumptions!$E$55))+K21268*IF(OR(K21269=1,J21384=1),$C$21221,IF(Assumptions!$I$56=1,MAX(K21219,Assumptions!$G$56)+Assumptions!$F$56+$C$21220,Assumptions!$E$56))</f>
        <v>139.9724768</v>
      </c>
    </row>
    <row r="21227" customFormat="false" ht="15" hidden="false" customHeight="false" outlineLevel="0" collapsed="false">
      <c r="A21227" s="5" t="s">
        <v>262</v>
      </c>
      <c r="G21227" s="20" t="n">
        <f aca="false">IF(G21203&lt;=0,0,IF(AND((G21224-G21225)/G21203&lt;=$C$21222,G21203/G21226&gt;=$C$21223),1,0))</f>
        <v>0</v>
      </c>
      <c r="H21227" s="20" t="n">
        <f aca="false">IF(H21203&lt;=0,0,IF(AND((H21224-H21225)/H21203&lt;=$C$21222,H21203/H21226&gt;=$C$21223),1,0))</f>
        <v>0</v>
      </c>
      <c r="I21227" s="20" t="n">
        <f aca="false">IF(I21203&lt;=0,0,IF(AND((I21224-I21225)/I21203&lt;=$C$21222,I21203/I21226&gt;=$C$21223),1,0))</f>
        <v>0</v>
      </c>
      <c r="J21227" s="20" t="n">
        <f aca="false">IF(J21203&lt;=0,0,IF(AND((J21224-J21225)/J21203&lt;=$C$21222,J21203/J21226&gt;=$C$21223),1,0))</f>
        <v>0</v>
      </c>
      <c r="K21227" s="20" t="n">
        <f aca="false">IF(K21203&lt;=0,0,IF(AND((K21224-K21225)/K21203&lt;=$C$21222,K21203/K21226&gt;=$C$21223),1,0))</f>
        <v>0</v>
      </c>
    </row>
    <row r="21228" customFormat="false" ht="15" hidden="false" customHeight="false" outlineLevel="0" collapsed="false">
      <c r="A21228" s="23" t="s">
        <v>263</v>
      </c>
      <c r="B21228" s="24"/>
      <c r="C21228" s="24"/>
      <c r="D21228" s="24"/>
      <c r="E21228" s="24"/>
      <c r="F21228" s="24"/>
      <c r="G21228" s="24"/>
      <c r="H21228" s="24"/>
      <c r="I21228" s="24"/>
      <c r="J21228" s="24"/>
      <c r="K21228" s="24"/>
    </row>
    <row r="21229" customFormat="false" ht="15" hidden="false" customHeight="false" outlineLevel="0" collapsed="false">
      <c r="A21229" s="5" t="s">
        <v>264</v>
      </c>
      <c r="G21229" s="25" t="n">
        <f aca="false">F21240</f>
        <v>180</v>
      </c>
      <c r="H21229" s="25" t="n">
        <f aca="false">G21240</f>
        <v>234.9088</v>
      </c>
      <c r="I21229" s="25" t="n">
        <f aca="false">H21240</f>
        <v>234.9088</v>
      </c>
      <c r="J21229" s="25" t="n">
        <f aca="false">I21240</f>
        <v>234.9088</v>
      </c>
      <c r="K21229" s="25" t="n">
        <f aca="false">J21240</f>
        <v>234.9088</v>
      </c>
    </row>
    <row r="21230" customFormat="false" ht="15" hidden="false" customHeight="false" outlineLevel="0" collapsed="false">
      <c r="A21230" s="5" t="s">
        <v>265</v>
      </c>
      <c r="G21230" s="20" t="n">
        <f aca="false">IF(G21193=Assumptions!$K$53,1,0)</f>
        <v>0</v>
      </c>
      <c r="H21230" s="20" t="n">
        <f aca="false">IF(H21193=Assumptions!$K$53,1,0)</f>
        <v>1</v>
      </c>
      <c r="I21230" s="20" t="n">
        <f aca="false">IF(I21193=Assumptions!$K$53,1,0)</f>
        <v>0</v>
      </c>
      <c r="J21230" s="20" t="n">
        <f aca="false">IF(J21193=Assumptions!$K$53,1,0)</f>
        <v>0</v>
      </c>
      <c r="K21230" s="20" t="n">
        <f aca="false">IF(K21193=Assumptions!$K$53,1,0)</f>
        <v>0</v>
      </c>
    </row>
    <row r="21232" customFormat="false" ht="15" hidden="false" customHeight="false" outlineLevel="0" collapsed="false">
      <c r="A21232" s="5" t="s">
        <v>266</v>
      </c>
      <c r="G21232" s="30" t="n">
        <f aca="false">IF(Assumptions!$I$53=1,MAX(G21219,Assumptions!$G$53)+Assumptions!$F$53+$C$21220,Assumptions!$E$53)</f>
        <v>0.116</v>
      </c>
      <c r="H21232" s="30" t="n">
        <f aca="false">IF(G21381=1,$C$21221,IF(Assumptions!$I$53=1,MAX(H21219,Assumptions!$G$53)+Assumptions!$F$53+$C$21220,Assumptions!$E$53))</f>
        <v>0.1135</v>
      </c>
      <c r="I21232" s="30" t="n">
        <f aca="false">IF(H21381=1,$C$21221,IF(Assumptions!$I$53=1,MAX(I21219,Assumptions!$G$53)+Assumptions!$F$53+$C$21220,Assumptions!$E$53))</f>
        <v>0.111</v>
      </c>
      <c r="J21232" s="30" t="n">
        <f aca="false">IF(I21381=1,$C$21221,IF(Assumptions!$I$53=1,MAX(J21219,Assumptions!$G$53)+Assumptions!$F$53+$C$21220,Assumptions!$E$53))</f>
        <v>0.111</v>
      </c>
      <c r="K21232" s="30" t="n">
        <f aca="false">IF(J21381=1,$C$21221,IF(Assumptions!$I$53=1,MAX(K21219,Assumptions!$G$53)+Assumptions!$F$53+$C$21220,Assumptions!$E$53))</f>
        <v>0.111</v>
      </c>
    </row>
    <row r="21233" customFormat="false" ht="15" hidden="false" customHeight="false" outlineLevel="0" collapsed="false">
      <c r="A21233" s="5" t="s">
        <v>267</v>
      </c>
      <c r="G21233" s="25" t="n">
        <f aca="false">G21229*G21232</f>
        <v>20.88</v>
      </c>
      <c r="H21233" s="25" t="n">
        <f aca="false">H21229*H21232</f>
        <v>26.6621488</v>
      </c>
      <c r="I21233" s="25" t="n">
        <f aca="false">I21229*I21232</f>
        <v>26.0748768</v>
      </c>
      <c r="J21233" s="25" t="n">
        <f aca="false">J21229*J21232</f>
        <v>26.0748768</v>
      </c>
      <c r="K21233" s="25" t="n">
        <f aca="false">K21229*K21232</f>
        <v>26.0748768</v>
      </c>
    </row>
    <row r="21234" customFormat="false" ht="15" hidden="false" customHeight="false" outlineLevel="0" collapsed="false">
      <c r="A21234" s="5" t="s">
        <v>268</v>
      </c>
      <c r="G21234" s="25" t="n">
        <f aca="false">G21229*Assumptions!$H$53</f>
        <v>0</v>
      </c>
      <c r="H21234" s="25" t="n">
        <f aca="false">H21229*Assumptions!$H$53</f>
        <v>0</v>
      </c>
      <c r="I21234" s="25" t="n">
        <f aca="false">I21229*Assumptions!$H$53</f>
        <v>0</v>
      </c>
      <c r="J21234" s="25" t="n">
        <f aca="false">J21229*Assumptions!$H$53</f>
        <v>0</v>
      </c>
      <c r="K21234" s="25" t="n">
        <f aca="false">K21229*Assumptions!$H$53</f>
        <v>0</v>
      </c>
    </row>
    <row r="21235" customFormat="false" ht="15" hidden="false" customHeight="false" outlineLevel="0" collapsed="false">
      <c r="A21235" s="5" t="s">
        <v>269</v>
      </c>
      <c r="G21235" s="25" t="n">
        <f aca="false">MIN(G21229,Assumptions!$L$53*Assumptions!$C$53)</f>
        <v>0</v>
      </c>
      <c r="H21235" s="25" t="n">
        <f aca="false">MIN(H21229,Assumptions!$L$53*Assumptions!$C$53)</f>
        <v>0</v>
      </c>
      <c r="I21235" s="25" t="n">
        <f aca="false">MIN(I21229,Assumptions!$L$53*Assumptions!$C$53)</f>
        <v>0</v>
      </c>
      <c r="J21235" s="25" t="n">
        <f aca="false">MIN(J21229,Assumptions!$L$53*Assumptions!$C$53)</f>
        <v>0</v>
      </c>
      <c r="K21235" s="25" t="n">
        <f aca="false">MIN(K21229,Assumptions!$L$53*Assumptions!$C$53)</f>
        <v>0</v>
      </c>
    </row>
    <row r="21236" customFormat="false" ht="15" hidden="false" customHeight="false" outlineLevel="0" collapsed="false">
      <c r="A21236" s="5" t="s">
        <v>270</v>
      </c>
      <c r="G21236" s="25" t="n">
        <f aca="false">IF(AND(Assumptions!$P$53=1,G21193&lt;Assumptions!$K$53),MIN(MAX(0,-G21307),MAX(0,Assumptions!$D$53-G21229)),0)</f>
        <v>54.9088</v>
      </c>
      <c r="H21236" s="25" t="n">
        <f aca="false">IF(AND(Assumptions!$P$53=1,OR(H21193&lt;Assumptions!$K$53,G21381=1)),MIN(MAX(0,-H21307),MAX(0,Assumptions!$D$53-H21229)),0)</f>
        <v>0</v>
      </c>
      <c r="I21236" s="25" t="n">
        <f aca="false">IF(AND(Assumptions!$P$53=1,OR(I21193&lt;Assumptions!$K$53,H21381=1)),MIN(MAX(0,-I21307),MAX(0,Assumptions!$D$53-I21229)),0)</f>
        <v>0</v>
      </c>
      <c r="J21236" s="25" t="n">
        <f aca="false">IF(AND(Assumptions!$P$53=1,OR(J21193&lt;Assumptions!$K$53,I21381=1)),MIN(MAX(0,-J21307),MAX(0,Assumptions!$D$53-J21229)),0)</f>
        <v>0</v>
      </c>
      <c r="K21236" s="25" t="n">
        <f aca="false">IF(AND(Assumptions!$P$53=1,OR(K21193&lt;Assumptions!$K$53,J21381=1)),MIN(MAX(0,-K21307),MAX(0,Assumptions!$D$53-K21229)),0)</f>
        <v>0</v>
      </c>
    </row>
    <row r="21237" customFormat="false" ht="15" hidden="false" customHeight="false" outlineLevel="0" collapsed="false">
      <c r="A21237" s="5" t="s">
        <v>271</v>
      </c>
      <c r="G21237" s="25" t="n">
        <f aca="false">G21230*MIN(G21229-G21235+G21234,MAX(0,G21309-Assumptions!$C$12*G21227))</f>
        <v>0</v>
      </c>
      <c r="H21237" s="25" t="n">
        <f aca="false">H21230*MIN(H21229-H21235+H21234,MAX(0,H21309-Assumptions!$C$12*H21227))</f>
        <v>0</v>
      </c>
      <c r="I21237" s="25" t="n">
        <f aca="false">I21230*MIN(I21229-I21235+I21234,MAX(0,I21309-Assumptions!$C$12*I21227))</f>
        <v>0</v>
      </c>
      <c r="J21237" s="25" t="n">
        <f aca="false">J21230*MIN(J21229-J21235+J21234,MAX(0,J21309-Assumptions!$C$12*J21227))</f>
        <v>0</v>
      </c>
      <c r="K21237" s="25" t="n">
        <f aca="false">K21230*MIN(K21229-K21235+K21234,MAX(0,K21309-Assumptions!$C$12*K21227))</f>
        <v>0</v>
      </c>
    </row>
    <row r="21238" customFormat="false" ht="15" hidden="false" customHeight="false" outlineLevel="0" collapsed="false">
      <c r="A21238" s="5" t="s">
        <v>272</v>
      </c>
      <c r="G21238" s="25" t="n">
        <f aca="false">Assumptions!$N$53*MIN(G21229+G21236+G21234-G21235-G21237,MAX(0,G21313))</f>
        <v>0</v>
      </c>
      <c r="H21238" s="25" t="n">
        <f aca="false">Assumptions!$N$53*MIN(H21229+H21236+H21234-H21235-H21237,MAX(0,H21313))</f>
        <v>0</v>
      </c>
      <c r="I21238" s="25" t="n">
        <f aca="false">Assumptions!$N$53*MIN(I21229+I21236+I21234-I21235-I21237,MAX(0,I21313))</f>
        <v>0</v>
      </c>
      <c r="J21238" s="25" t="n">
        <f aca="false">Assumptions!$N$53*MIN(J21229+J21236+J21234-J21235-J21237,MAX(0,J21313))</f>
        <v>0</v>
      </c>
      <c r="K21238" s="25" t="n">
        <f aca="false">Assumptions!$N$53*MIN(K21229+K21236+K21234-K21235-K21237,MAX(0,K21313))</f>
        <v>0</v>
      </c>
    </row>
    <row r="21239" customFormat="false" ht="15" hidden="false" customHeight="false" outlineLevel="0" collapsed="false">
      <c r="A21239" s="5" t="s">
        <v>273</v>
      </c>
      <c r="G21239" s="25" t="n">
        <f aca="false">G21230*(1-G21227)*(G21229-G21235+G21234-G21237)</f>
        <v>0</v>
      </c>
      <c r="H21239" s="25" t="n">
        <f aca="false">H21230*(1-H21227)*(H21229-H21235+H21234-H21237)</f>
        <v>234.9088</v>
      </c>
      <c r="I21239" s="25" t="n">
        <f aca="false">I21230*(1-I21227)*(I21229-I21235+I21234-I21237)</f>
        <v>0</v>
      </c>
      <c r="J21239" s="25" t="n">
        <f aca="false">J21230*(1-J21227)*(J21229-J21235+J21234-J21237)</f>
        <v>0</v>
      </c>
      <c r="K21239" s="25" t="n">
        <f aca="false">K21230*(1-K21227)*(K21229-K21235+K21234-K21237)</f>
        <v>0</v>
      </c>
    </row>
    <row r="21240" customFormat="false" ht="15" hidden="false" customHeight="false" outlineLevel="0" collapsed="false">
      <c r="A21240" s="2" t="s">
        <v>274</v>
      </c>
      <c r="F21240" s="27" t="n">
        <f aca="false">Assumptions!$C$53</f>
        <v>180</v>
      </c>
      <c r="G21240" s="16" t="n">
        <f aca="false">G21229+G21236+G21234-G21235-G21237-G21238</f>
        <v>234.9088</v>
      </c>
      <c r="H21240" s="16" t="n">
        <f aca="false">H21229+H21236+H21234-H21235-H21237-H21238</f>
        <v>234.9088</v>
      </c>
      <c r="I21240" s="16" t="n">
        <f aca="false">I21229+I21236+I21234-I21235-I21237-I21238</f>
        <v>234.9088</v>
      </c>
      <c r="J21240" s="16" t="n">
        <f aca="false">J21229+J21236+J21234-J21235-J21237-J21238</f>
        <v>234.9088</v>
      </c>
      <c r="K21240" s="16" t="n">
        <f aca="false">K21229+K21236+K21234-K21235-K21237-K21238</f>
        <v>234.9088</v>
      </c>
    </row>
    <row r="21241" customFormat="false" ht="15" hidden="false" customHeight="false" outlineLevel="0" collapsed="false">
      <c r="A21241" s="23" t="s">
        <v>275</v>
      </c>
      <c r="B21241" s="24"/>
      <c r="C21241" s="24"/>
      <c r="D21241" s="24"/>
      <c r="E21241" s="24"/>
      <c r="F21241" s="24"/>
      <c r="G21241" s="24"/>
      <c r="H21241" s="24"/>
      <c r="I21241" s="24"/>
      <c r="J21241" s="24"/>
      <c r="K21241" s="24"/>
    </row>
    <row r="21242" customFormat="false" ht="15" hidden="false" customHeight="false" outlineLevel="0" collapsed="false">
      <c r="A21242" s="5" t="s">
        <v>264</v>
      </c>
      <c r="G21242" s="25" t="n">
        <f aca="false">F21253</f>
        <v>520</v>
      </c>
      <c r="H21242" s="25" t="n">
        <f aca="false">G21253</f>
        <v>514.8</v>
      </c>
      <c r="I21242" s="25" t="n">
        <f aca="false">H21253</f>
        <v>509.6</v>
      </c>
      <c r="J21242" s="25" t="n">
        <f aca="false">I21253</f>
        <v>504.4</v>
      </c>
      <c r="K21242" s="25" t="n">
        <f aca="false">J21253</f>
        <v>499.2</v>
      </c>
    </row>
    <row r="21243" customFormat="false" ht="15" hidden="false" customHeight="false" outlineLevel="0" collapsed="false">
      <c r="A21243" s="5" t="s">
        <v>265</v>
      </c>
      <c r="G21243" s="20" t="n">
        <f aca="false">IF(G21193=Assumptions!$K$54,1,0)</f>
        <v>0</v>
      </c>
      <c r="H21243" s="20" t="n">
        <f aca="false">IF(H21193=Assumptions!$K$54,1,0)</f>
        <v>0</v>
      </c>
      <c r="I21243" s="20" t="n">
        <f aca="false">IF(I21193=Assumptions!$K$54,1,0)</f>
        <v>1</v>
      </c>
      <c r="J21243" s="20" t="n">
        <f aca="false">IF(J21193=Assumptions!$K$54,1,0)</f>
        <v>0</v>
      </c>
      <c r="K21243" s="20" t="n">
        <f aca="false">IF(K21193=Assumptions!$K$54,1,0)</f>
        <v>0</v>
      </c>
    </row>
    <row r="21245" customFormat="false" ht="15" hidden="false" customHeight="false" outlineLevel="0" collapsed="false">
      <c r="A21245" s="5" t="s">
        <v>266</v>
      </c>
      <c r="G21245" s="30" t="n">
        <f aca="false">IF(Assumptions!$I$54=1,MAX(G21219,Assumptions!$G$54)+Assumptions!$F$54+$C$21220,Assumptions!$E$54)</f>
        <v>0.133</v>
      </c>
      <c r="H21245" s="30" t="n">
        <f aca="false">IF(G21382=1,$C$21221,IF(Assumptions!$I$54=1,MAX(H21219,Assumptions!$G$54)+Assumptions!$F$54+$C$21220,Assumptions!$E$54))</f>
        <v>0.1305</v>
      </c>
      <c r="I21245" s="30" t="n">
        <f aca="false">IF(H21382=1,$C$21221,IF(Assumptions!$I$54=1,MAX(I21219,Assumptions!$G$54)+Assumptions!$F$54+$C$21220,Assumptions!$E$54))</f>
        <v>0.128</v>
      </c>
      <c r="J21245" s="30" t="n">
        <f aca="false">IF(I21382=1,$C$21221,IF(Assumptions!$I$54=1,MAX(J21219,Assumptions!$G$54)+Assumptions!$F$54+$C$21220,Assumptions!$E$54))</f>
        <v>0.128</v>
      </c>
      <c r="K21245" s="30" t="n">
        <f aca="false">IF(J21382=1,$C$21221,IF(Assumptions!$I$54=1,MAX(K21219,Assumptions!$G$54)+Assumptions!$F$54+$C$21220,Assumptions!$E$54))</f>
        <v>0.128</v>
      </c>
    </row>
    <row r="21246" customFormat="false" ht="15" hidden="false" customHeight="false" outlineLevel="0" collapsed="false">
      <c r="A21246" s="5" t="s">
        <v>267</v>
      </c>
      <c r="G21246" s="25" t="n">
        <f aca="false">G21242*G21245</f>
        <v>69.16</v>
      </c>
      <c r="H21246" s="25" t="n">
        <f aca="false">H21242*H21245</f>
        <v>67.1814</v>
      </c>
      <c r="I21246" s="25" t="n">
        <f aca="false">I21242*I21245</f>
        <v>65.2288</v>
      </c>
      <c r="J21246" s="25" t="n">
        <f aca="false">J21242*J21245</f>
        <v>64.5632</v>
      </c>
      <c r="K21246" s="25" t="n">
        <f aca="false">K21242*K21245</f>
        <v>63.8976</v>
      </c>
    </row>
    <row r="21247" customFormat="false" ht="15" hidden="false" customHeight="false" outlineLevel="0" collapsed="false">
      <c r="A21247" s="5" t="s">
        <v>268</v>
      </c>
      <c r="G21247" s="25" t="n">
        <f aca="false">G21242*Assumptions!$H$54</f>
        <v>0</v>
      </c>
      <c r="H21247" s="25" t="n">
        <f aca="false">H21242*Assumptions!$H$54</f>
        <v>0</v>
      </c>
      <c r="I21247" s="25" t="n">
        <f aca="false">I21242*Assumptions!$H$54</f>
        <v>0</v>
      </c>
      <c r="J21247" s="25" t="n">
        <f aca="false">J21242*Assumptions!$H$54</f>
        <v>0</v>
      </c>
      <c r="K21247" s="25" t="n">
        <f aca="false">K21242*Assumptions!$H$54</f>
        <v>0</v>
      </c>
    </row>
    <row r="21248" customFormat="false" ht="15" hidden="false" customHeight="false" outlineLevel="0" collapsed="false">
      <c r="A21248" s="5" t="s">
        <v>269</v>
      </c>
      <c r="G21248" s="25" t="n">
        <f aca="false">MIN(G21242,Assumptions!$L$54*Assumptions!$C$54)</f>
        <v>5.2</v>
      </c>
      <c r="H21248" s="25" t="n">
        <f aca="false">MIN(H21242,Assumptions!$L$54*Assumptions!$C$54)</f>
        <v>5.2</v>
      </c>
      <c r="I21248" s="25" t="n">
        <f aca="false">MIN(I21242,Assumptions!$L$54*Assumptions!$C$54)</f>
        <v>5.2</v>
      </c>
      <c r="J21248" s="25" t="n">
        <f aca="false">MIN(J21242,Assumptions!$L$54*Assumptions!$C$54)</f>
        <v>5.2</v>
      </c>
      <c r="K21248" s="25" t="n">
        <f aca="false">MIN(K21242,Assumptions!$L$54*Assumptions!$C$54)</f>
        <v>5.2</v>
      </c>
    </row>
    <row r="21249" customFormat="false" ht="15" hidden="false" customHeight="false" outlineLevel="0" collapsed="false">
      <c r="A21249" s="5" t="s">
        <v>270</v>
      </c>
      <c r="G21249" s="25" t="n">
        <f aca="false">IF(AND(Assumptions!$P$54=1,G21193&lt;Assumptions!$K$54),MIN(MAX(0,-G21307),MAX(0,Assumptions!$D$54-G21242)),0)</f>
        <v>0</v>
      </c>
      <c r="H21249" s="25" t="n">
        <f aca="false">IF(AND(Assumptions!$P$54=1,OR(H21193&lt;Assumptions!$K$54,G21382=1)),MIN(MAX(0,-H21307),MAX(0,Assumptions!$D$54-H21242)),0)</f>
        <v>0</v>
      </c>
      <c r="I21249" s="25" t="n">
        <f aca="false">IF(AND(Assumptions!$P$54=1,OR(I21193&lt;Assumptions!$K$54,H21382=1)),MIN(MAX(0,-I21307),MAX(0,Assumptions!$D$54-I21242)),0)</f>
        <v>0</v>
      </c>
      <c r="J21249" s="25" t="n">
        <f aca="false">IF(AND(Assumptions!$P$54=1,OR(J21193&lt;Assumptions!$K$54,I21382=1)),MIN(MAX(0,-J21307),MAX(0,Assumptions!$D$54-J21242)),0)</f>
        <v>0</v>
      </c>
      <c r="K21249" s="25" t="n">
        <f aca="false">IF(AND(Assumptions!$P$54=1,OR(K21193&lt;Assumptions!$K$54,J21382=1)),MIN(MAX(0,-K21307),MAX(0,Assumptions!$D$54-K21242)),0)</f>
        <v>0</v>
      </c>
    </row>
    <row r="21250" customFormat="false" ht="15" hidden="false" customHeight="false" outlineLevel="0" collapsed="false">
      <c r="A21250" s="5" t="s">
        <v>271</v>
      </c>
      <c r="G21250" s="25" t="n">
        <f aca="false">G21243*MIN(G21242-G21248+G21247,MAX(0,G21309-Assumptions!$C$12*G21227-G21237))</f>
        <v>0</v>
      </c>
      <c r="H21250" s="25" t="n">
        <f aca="false">H21243*MIN(H21242-H21248+H21247,MAX(0,H21309-Assumptions!$C$12*H21227-H21237))</f>
        <v>0</v>
      </c>
      <c r="I21250" s="25" t="n">
        <f aca="false">I21243*MIN(I21242-I21248+I21247,MAX(0,I21309-Assumptions!$C$12*I21227-I21237))</f>
        <v>0</v>
      </c>
      <c r="J21250" s="25" t="n">
        <f aca="false">J21243*MIN(J21242-J21248+J21247,MAX(0,J21309-Assumptions!$C$12*J21227-J21237))</f>
        <v>0</v>
      </c>
      <c r="K21250" s="25" t="n">
        <f aca="false">K21243*MIN(K21242-K21248+K21247,MAX(0,K21309-Assumptions!$C$12*K21227-K21237))</f>
        <v>0</v>
      </c>
    </row>
    <row r="21251" customFormat="false" ht="15" hidden="false" customHeight="false" outlineLevel="0" collapsed="false">
      <c r="A21251" s="5" t="s">
        <v>272</v>
      </c>
      <c r="G21251" s="25" t="n">
        <f aca="false">Assumptions!$N$54*MIN(G21242+G21249+G21247-G21248-G21250,MAX(0,G21313-G21238))</f>
        <v>0</v>
      </c>
      <c r="H21251" s="25" t="n">
        <f aca="false">Assumptions!$N$54*MIN(H21242+H21249+H21247-H21248-H21250,MAX(0,H21313-H21238))</f>
        <v>0</v>
      </c>
      <c r="I21251" s="25" t="n">
        <f aca="false">Assumptions!$N$54*MIN(I21242+I21249+I21247-I21248-I21250,MAX(0,I21313-I21238))</f>
        <v>0</v>
      </c>
      <c r="J21251" s="25" t="n">
        <f aca="false">Assumptions!$N$54*MIN(J21242+J21249+J21247-J21248-J21250,MAX(0,J21313-J21238))</f>
        <v>0</v>
      </c>
      <c r="K21251" s="25" t="n">
        <f aca="false">Assumptions!$N$54*MIN(K21242+K21249+K21247-K21248-K21250,MAX(0,K21313-K21238))</f>
        <v>0</v>
      </c>
    </row>
    <row r="21252" customFormat="false" ht="15" hidden="false" customHeight="false" outlineLevel="0" collapsed="false">
      <c r="A21252" s="5" t="s">
        <v>273</v>
      </c>
      <c r="G21252" s="25" t="n">
        <f aca="false">G21243*(1-G21227)*(G21242-G21248+G21247-G21250)</f>
        <v>0</v>
      </c>
      <c r="H21252" s="25" t="n">
        <f aca="false">H21243*(1-H21227)*(H21242-H21248+H21247-H21250)</f>
        <v>0</v>
      </c>
      <c r="I21252" s="25" t="n">
        <f aca="false">I21243*(1-I21227)*(I21242-I21248+I21247-I21250)</f>
        <v>504.4</v>
      </c>
      <c r="J21252" s="25" t="n">
        <f aca="false">J21243*(1-J21227)*(J21242-J21248+J21247-J21250)</f>
        <v>0</v>
      </c>
      <c r="K21252" s="25" t="n">
        <f aca="false">K21243*(1-K21227)*(K21242-K21248+K21247-K21250)</f>
        <v>0</v>
      </c>
    </row>
    <row r="21253" customFormat="false" ht="15" hidden="false" customHeight="false" outlineLevel="0" collapsed="false">
      <c r="A21253" s="2" t="s">
        <v>274</v>
      </c>
      <c r="F21253" s="27" t="n">
        <f aca="false">Assumptions!$C$54</f>
        <v>520</v>
      </c>
      <c r="G21253" s="16" t="n">
        <f aca="false">G21242+G21249+G21247-G21248-G21250-G21251</f>
        <v>514.8</v>
      </c>
      <c r="H21253" s="16" t="n">
        <f aca="false">H21242+H21249+H21247-H21248-H21250-H21251</f>
        <v>509.6</v>
      </c>
      <c r="I21253" s="16" t="n">
        <f aca="false">I21242+I21249+I21247-I21248-I21250-I21251</f>
        <v>504.4</v>
      </c>
      <c r="J21253" s="16" t="n">
        <f aca="false">J21242+J21249+J21247-J21248-J21250-J21251</f>
        <v>499.2</v>
      </c>
      <c r="K21253" s="16" t="n">
        <f aca="false">K21242+K21249+K21247-K21248-K21250-K21251</f>
        <v>494</v>
      </c>
    </row>
    <row r="21254" customFormat="false" ht="15" hidden="false" customHeight="false" outlineLevel="0" collapsed="false">
      <c r="A21254" s="23" t="s">
        <v>276</v>
      </c>
      <c r="B21254" s="24"/>
      <c r="C21254" s="24"/>
      <c r="D21254" s="24"/>
      <c r="E21254" s="24"/>
      <c r="F21254" s="24"/>
      <c r="G21254" s="24"/>
      <c r="H21254" s="24"/>
      <c r="I21254" s="24"/>
      <c r="J21254" s="24"/>
      <c r="K21254" s="24"/>
    </row>
    <row r="21255" customFormat="false" ht="15" hidden="false" customHeight="false" outlineLevel="0" collapsed="false">
      <c r="A21255" s="5" t="s">
        <v>264</v>
      </c>
      <c r="G21255" s="25" t="n">
        <f aca="false">F21266</f>
        <v>250</v>
      </c>
      <c r="H21255" s="25" t="n">
        <f aca="false">G21266</f>
        <v>250</v>
      </c>
      <c r="I21255" s="25" t="n">
        <f aca="false">H21266</f>
        <v>250</v>
      </c>
      <c r="J21255" s="25" t="n">
        <f aca="false">I21266</f>
        <v>250</v>
      </c>
      <c r="K21255" s="25" t="n">
        <f aca="false">J21266</f>
        <v>250</v>
      </c>
    </row>
    <row r="21256" customFormat="false" ht="15" hidden="false" customHeight="false" outlineLevel="0" collapsed="false">
      <c r="A21256" s="5" t="s">
        <v>265</v>
      </c>
      <c r="G21256" s="20" t="n">
        <f aca="false">IF(G21193=Assumptions!$K$55,1,0)</f>
        <v>0</v>
      </c>
      <c r="H21256" s="20" t="n">
        <f aca="false">IF(H21193=Assumptions!$K$55,1,0)</f>
        <v>0</v>
      </c>
      <c r="I21256" s="20" t="n">
        <f aca="false">IF(I21193=Assumptions!$K$55,1,0)</f>
        <v>0</v>
      </c>
      <c r="J21256" s="20" t="n">
        <f aca="false">IF(J21193=Assumptions!$K$55,1,0)</f>
        <v>1</v>
      </c>
      <c r="K21256" s="20" t="n">
        <f aca="false">IF(K21193=Assumptions!$K$55,1,0)</f>
        <v>0</v>
      </c>
    </row>
    <row r="21258" customFormat="false" ht="15" hidden="false" customHeight="false" outlineLevel="0" collapsed="false">
      <c r="A21258" s="5" t="s">
        <v>266</v>
      </c>
      <c r="G21258" s="30" t="n">
        <f aca="false">IF(Assumptions!$I$55=1,MAX(G21219,Assumptions!$G$55)+Assumptions!$F$55+$C$21220,Assumptions!$E$55)</f>
        <v>0.11</v>
      </c>
      <c r="H21258" s="30" t="n">
        <f aca="false">IF(G21383=1,$C$21221,IF(Assumptions!$I$55=1,MAX(H21219,Assumptions!$G$55)+Assumptions!$F$55+$C$21220,Assumptions!$E$55))</f>
        <v>0.11</v>
      </c>
      <c r="I21258" s="30" t="n">
        <f aca="false">IF(H21383=1,$C$21221,IF(Assumptions!$I$55=1,MAX(I21219,Assumptions!$G$55)+Assumptions!$F$55+$C$21220,Assumptions!$E$55))</f>
        <v>0.11</v>
      </c>
      <c r="J21258" s="30" t="n">
        <f aca="false">IF(I21383=1,$C$21221,IF(Assumptions!$I$55=1,MAX(J21219,Assumptions!$G$55)+Assumptions!$F$55+$C$21220,Assumptions!$E$55))</f>
        <v>0.11</v>
      </c>
      <c r="K21258" s="30" t="n">
        <f aca="false">IF(J21383=1,$C$21221,IF(Assumptions!$I$55=1,MAX(K21219,Assumptions!$G$55)+Assumptions!$F$55+$C$21220,Assumptions!$E$55))</f>
        <v>0.11</v>
      </c>
    </row>
    <row r="21259" customFormat="false" ht="15" hidden="false" customHeight="false" outlineLevel="0" collapsed="false">
      <c r="A21259" s="5" t="s">
        <v>267</v>
      </c>
      <c r="G21259" s="25" t="n">
        <f aca="false">G21255*G21258</f>
        <v>27.5</v>
      </c>
      <c r="H21259" s="25" t="n">
        <f aca="false">H21255*H21258</f>
        <v>27.5</v>
      </c>
      <c r="I21259" s="25" t="n">
        <f aca="false">I21255*I21258</f>
        <v>27.5</v>
      </c>
      <c r="J21259" s="25" t="n">
        <f aca="false">J21255*J21258</f>
        <v>27.5</v>
      </c>
      <c r="K21259" s="25" t="n">
        <f aca="false">K21255*K21258</f>
        <v>27.5</v>
      </c>
    </row>
    <row r="21260" customFormat="false" ht="15" hidden="false" customHeight="false" outlineLevel="0" collapsed="false">
      <c r="A21260" s="5" t="s">
        <v>268</v>
      </c>
      <c r="G21260" s="25" t="n">
        <f aca="false">G21255*Assumptions!$H$55</f>
        <v>0</v>
      </c>
      <c r="H21260" s="25" t="n">
        <f aca="false">H21255*Assumptions!$H$55</f>
        <v>0</v>
      </c>
      <c r="I21260" s="25" t="n">
        <f aca="false">I21255*Assumptions!$H$55</f>
        <v>0</v>
      </c>
      <c r="J21260" s="25" t="n">
        <f aca="false">J21255*Assumptions!$H$55</f>
        <v>0</v>
      </c>
      <c r="K21260" s="25" t="n">
        <f aca="false">K21255*Assumptions!$H$55</f>
        <v>0</v>
      </c>
    </row>
    <row r="21261" customFormat="false" ht="15" hidden="false" customHeight="false" outlineLevel="0" collapsed="false">
      <c r="A21261" s="5" t="s">
        <v>269</v>
      </c>
      <c r="G21261" s="25" t="n">
        <f aca="false">MIN(G21255,Assumptions!$L$55*Assumptions!$C$55)</f>
        <v>0</v>
      </c>
      <c r="H21261" s="25" t="n">
        <f aca="false">MIN(H21255,Assumptions!$L$55*Assumptions!$C$55)</f>
        <v>0</v>
      </c>
      <c r="I21261" s="25" t="n">
        <f aca="false">MIN(I21255,Assumptions!$L$55*Assumptions!$C$55)</f>
        <v>0</v>
      </c>
      <c r="J21261" s="25" t="n">
        <f aca="false">MIN(J21255,Assumptions!$L$55*Assumptions!$C$55)</f>
        <v>0</v>
      </c>
      <c r="K21261" s="25" t="n">
        <f aca="false">MIN(K21255,Assumptions!$L$55*Assumptions!$C$55)</f>
        <v>0</v>
      </c>
    </row>
    <row r="21262" customFormat="false" ht="15" hidden="false" customHeight="false" outlineLevel="0" collapsed="false">
      <c r="A21262" s="5" t="s">
        <v>270</v>
      </c>
      <c r="G21262" s="25" t="n">
        <f aca="false">IF(AND(Assumptions!$P$55=1,G21193&lt;Assumptions!$K$55),MIN(MAX(0,-G21307),MAX(0,Assumptions!$D$55-G21255)),0)</f>
        <v>0</v>
      </c>
      <c r="H21262" s="25" t="n">
        <f aca="false">IF(AND(Assumptions!$P$55=1,OR(H21193&lt;Assumptions!$K$55,G21383=1)),MIN(MAX(0,-H21307),MAX(0,Assumptions!$D$55-H21255)),0)</f>
        <v>0</v>
      </c>
      <c r="I21262" s="25" t="n">
        <f aca="false">IF(AND(Assumptions!$P$55=1,OR(I21193&lt;Assumptions!$K$55,H21383=1)),MIN(MAX(0,-I21307),MAX(0,Assumptions!$D$55-I21255)),0)</f>
        <v>0</v>
      </c>
      <c r="J21262" s="25" t="n">
        <f aca="false">IF(AND(Assumptions!$P$55=1,OR(J21193&lt;Assumptions!$K$55,I21383=1)),MIN(MAX(0,-J21307),MAX(0,Assumptions!$D$55-J21255)),0)</f>
        <v>0</v>
      </c>
      <c r="K21262" s="25" t="n">
        <f aca="false">IF(AND(Assumptions!$P$55=1,OR(K21193&lt;Assumptions!$K$55,J21383=1)),MIN(MAX(0,-K21307),MAX(0,Assumptions!$D$55-K21255)),0)</f>
        <v>0</v>
      </c>
    </row>
    <row r="21263" customFormat="false" ht="15" hidden="false" customHeight="false" outlineLevel="0" collapsed="false">
      <c r="A21263" s="5" t="s">
        <v>271</v>
      </c>
      <c r="G21263" s="25" t="n">
        <f aca="false">G21256*MIN(G21255-G21261+G21260,MAX(0,G21309-Assumptions!$C$12*G21227-G21237-G21250))</f>
        <v>0</v>
      </c>
      <c r="H21263" s="25" t="n">
        <f aca="false">H21256*MIN(H21255-H21261+H21260,MAX(0,H21309-Assumptions!$C$12*H21227-H21237-H21250))</f>
        <v>0</v>
      </c>
      <c r="I21263" s="25" t="n">
        <f aca="false">I21256*MIN(I21255-I21261+I21260,MAX(0,I21309-Assumptions!$C$12*I21227-I21237-I21250))</f>
        <v>0</v>
      </c>
      <c r="J21263" s="25" t="n">
        <f aca="false">J21256*MIN(J21255-J21261+J21260,MAX(0,J21309-Assumptions!$C$12*J21227-J21237-J21250))</f>
        <v>0</v>
      </c>
      <c r="K21263" s="25" t="n">
        <f aca="false">K21256*MIN(K21255-K21261+K21260,MAX(0,K21309-Assumptions!$C$12*K21227-K21237-K21250))</f>
        <v>0</v>
      </c>
    </row>
    <row r="21264" customFormat="false" ht="15" hidden="false" customHeight="false" outlineLevel="0" collapsed="false">
      <c r="A21264" s="5" t="s">
        <v>272</v>
      </c>
      <c r="G21264" s="25" t="n">
        <f aca="false">Assumptions!$N$55*MIN(G21255+G21262+G21260-G21261-G21263,MAX(0,G21313-G21238-G21251))</f>
        <v>0</v>
      </c>
      <c r="H21264" s="25" t="n">
        <f aca="false">Assumptions!$N$55*MIN(H21255+H21262+H21260-H21261-H21263,MAX(0,H21313-H21238-H21251))</f>
        <v>0</v>
      </c>
      <c r="I21264" s="25" t="n">
        <f aca="false">Assumptions!$N$55*MIN(I21255+I21262+I21260-I21261-I21263,MAX(0,I21313-I21238-I21251))</f>
        <v>0</v>
      </c>
      <c r="J21264" s="25" t="n">
        <f aca="false">Assumptions!$N$55*MIN(J21255+J21262+J21260-J21261-J21263,MAX(0,J21313-J21238-J21251))</f>
        <v>0</v>
      </c>
      <c r="K21264" s="25" t="n">
        <f aca="false">Assumptions!$N$55*MIN(K21255+K21262+K21260-K21261-K21263,MAX(0,K21313-K21238-K21251))</f>
        <v>0</v>
      </c>
    </row>
    <row r="21265" customFormat="false" ht="15" hidden="false" customHeight="false" outlineLevel="0" collapsed="false">
      <c r="A21265" s="5" t="s">
        <v>273</v>
      </c>
      <c r="G21265" s="25" t="n">
        <f aca="false">G21256*(1-G21227)*(G21255-G21261+G21260-G21263)</f>
        <v>0</v>
      </c>
      <c r="H21265" s="25" t="n">
        <f aca="false">H21256*(1-H21227)*(H21255-H21261+H21260-H21263)</f>
        <v>0</v>
      </c>
      <c r="I21265" s="25" t="n">
        <f aca="false">I21256*(1-I21227)*(I21255-I21261+I21260-I21263)</f>
        <v>0</v>
      </c>
      <c r="J21265" s="25" t="n">
        <f aca="false">J21256*(1-J21227)*(J21255-J21261+J21260-J21263)</f>
        <v>250</v>
      </c>
      <c r="K21265" s="25" t="n">
        <f aca="false">K21256*(1-K21227)*(K21255-K21261+K21260-K21263)</f>
        <v>0</v>
      </c>
    </row>
    <row r="21266" customFormat="false" ht="15" hidden="false" customHeight="false" outlineLevel="0" collapsed="false">
      <c r="A21266" s="2" t="s">
        <v>274</v>
      </c>
      <c r="F21266" s="27" t="n">
        <f aca="false">Assumptions!$C$55</f>
        <v>250</v>
      </c>
      <c r="G21266" s="16" t="n">
        <f aca="false">G21255+G21262+G21260-G21261-G21263-G21264</f>
        <v>250</v>
      </c>
      <c r="H21266" s="16" t="n">
        <f aca="false">H21255+H21262+H21260-H21261-H21263-H21264</f>
        <v>250</v>
      </c>
      <c r="I21266" s="16" t="n">
        <f aca="false">I21255+I21262+I21260-I21261-I21263-I21264</f>
        <v>250</v>
      </c>
      <c r="J21266" s="16" t="n">
        <f aca="false">J21255+J21262+J21260-J21261-J21263-J21264</f>
        <v>250</v>
      </c>
      <c r="K21266" s="16" t="n">
        <f aca="false">K21255+K21262+K21260-K21261-K21263-K21264</f>
        <v>250</v>
      </c>
    </row>
    <row r="21267" customFormat="false" ht="15" hidden="false" customHeight="false" outlineLevel="0" collapsed="false">
      <c r="A21267" s="23" t="s">
        <v>277</v>
      </c>
      <c r="B21267" s="24"/>
      <c r="C21267" s="24"/>
      <c r="D21267" s="24"/>
      <c r="E21267" s="24"/>
      <c r="F21267" s="24"/>
      <c r="G21267" s="24"/>
      <c r="H21267" s="24"/>
      <c r="I21267" s="24"/>
      <c r="J21267" s="24"/>
      <c r="K21267" s="24"/>
    </row>
    <row r="21268" customFormat="false" ht="15" hidden="false" customHeight="false" outlineLevel="0" collapsed="false">
      <c r="A21268" s="5" t="s">
        <v>264</v>
      </c>
      <c r="G21268" s="25" t="n">
        <f aca="false">F21279</f>
        <v>300</v>
      </c>
      <c r="H21268" s="25" t="n">
        <f aca="false">G21279</f>
        <v>300</v>
      </c>
      <c r="I21268" s="25" t="n">
        <f aca="false">H21279</f>
        <v>300</v>
      </c>
      <c r="J21268" s="25" t="n">
        <f aca="false">I21279</f>
        <v>300</v>
      </c>
      <c r="K21268" s="25" t="n">
        <f aca="false">J21279</f>
        <v>300</v>
      </c>
    </row>
    <row r="21269" customFormat="false" ht="15" hidden="false" customHeight="false" outlineLevel="0" collapsed="false">
      <c r="A21269" s="5" t="s">
        <v>265</v>
      </c>
      <c r="G21269" s="20" t="n">
        <f aca="false">IF(G21193=Assumptions!$K$56,1,0)</f>
        <v>0</v>
      </c>
      <c r="H21269" s="20" t="n">
        <f aca="false">IF(H21193=Assumptions!$K$56,1,0)</f>
        <v>1</v>
      </c>
      <c r="I21269" s="20" t="n">
        <f aca="false">IF(I21193=Assumptions!$K$56,1,0)</f>
        <v>0</v>
      </c>
      <c r="J21269" s="20" t="n">
        <f aca="false">IF(J21193=Assumptions!$K$56,1,0)</f>
        <v>0</v>
      </c>
      <c r="K21269" s="20" t="n">
        <f aca="false">IF(K21193=Assumptions!$K$56,1,0)</f>
        <v>0</v>
      </c>
    </row>
    <row r="21271" customFormat="false" ht="15" hidden="false" customHeight="false" outlineLevel="0" collapsed="false">
      <c r="A21271" s="5" t="s">
        <v>266</v>
      </c>
      <c r="G21271" s="30" t="n">
        <f aca="false">IF(Assumptions!$I$56=1,MAX(G21219,Assumptions!$G$56)+Assumptions!$F$56+$C$21220,Assumptions!$E$56)</f>
        <v>0.075</v>
      </c>
      <c r="H21271" s="30" t="n">
        <f aca="false">IF(G21384=1,$C$21221,IF(Assumptions!$I$56=1,MAX(H21219,Assumptions!$G$56)+Assumptions!$F$56+$C$21220,Assumptions!$E$56))</f>
        <v>0.075</v>
      </c>
      <c r="I21271" s="30" t="n">
        <f aca="false">IF(H21384=1,$C$21221,IF(Assumptions!$I$56=1,MAX(I21219,Assumptions!$G$56)+Assumptions!$F$56+$C$21220,Assumptions!$E$56))</f>
        <v>0.075</v>
      </c>
      <c r="J21271" s="30" t="n">
        <f aca="false">IF(I21384=1,$C$21221,IF(Assumptions!$I$56=1,MAX(J21219,Assumptions!$G$56)+Assumptions!$F$56+$C$21220,Assumptions!$E$56))</f>
        <v>0.075</v>
      </c>
      <c r="K21271" s="30" t="n">
        <f aca="false">IF(J21384=1,$C$21221,IF(Assumptions!$I$56=1,MAX(K21219,Assumptions!$G$56)+Assumptions!$F$56+$C$21220,Assumptions!$E$56))</f>
        <v>0.075</v>
      </c>
    </row>
    <row r="21272" customFormat="false" ht="15" hidden="false" customHeight="false" outlineLevel="0" collapsed="false">
      <c r="A21272" s="5" t="s">
        <v>267</v>
      </c>
      <c r="G21272" s="25" t="n">
        <f aca="false">G21268*G21271</f>
        <v>22.5</v>
      </c>
      <c r="H21272" s="25" t="n">
        <f aca="false">H21268*H21271</f>
        <v>22.5</v>
      </c>
      <c r="I21272" s="25" t="n">
        <f aca="false">I21268*I21271</f>
        <v>22.5</v>
      </c>
      <c r="J21272" s="25" t="n">
        <f aca="false">J21268*J21271</f>
        <v>22.5</v>
      </c>
      <c r="K21272" s="25" t="n">
        <f aca="false">K21268*K21271</f>
        <v>22.5</v>
      </c>
    </row>
    <row r="21273" customFormat="false" ht="15" hidden="false" customHeight="false" outlineLevel="0" collapsed="false">
      <c r="A21273" s="5" t="s">
        <v>268</v>
      </c>
      <c r="G21273" s="25" t="n">
        <f aca="false">G21268*Assumptions!$H$56</f>
        <v>0</v>
      </c>
      <c r="H21273" s="25" t="n">
        <f aca="false">H21268*Assumptions!$H$56</f>
        <v>0</v>
      </c>
      <c r="I21273" s="25" t="n">
        <f aca="false">I21268*Assumptions!$H$56</f>
        <v>0</v>
      </c>
      <c r="J21273" s="25" t="n">
        <f aca="false">J21268*Assumptions!$H$56</f>
        <v>0</v>
      </c>
      <c r="K21273" s="25" t="n">
        <f aca="false">K21268*Assumptions!$H$56</f>
        <v>0</v>
      </c>
    </row>
    <row r="21274" customFormat="false" ht="15" hidden="false" customHeight="false" outlineLevel="0" collapsed="false">
      <c r="A21274" s="5" t="s">
        <v>269</v>
      </c>
      <c r="G21274" s="25" t="n">
        <f aca="false">MIN(G21268,Assumptions!$L$56*Assumptions!$C$56)</f>
        <v>0</v>
      </c>
      <c r="H21274" s="25" t="n">
        <f aca="false">MIN(H21268,Assumptions!$L$56*Assumptions!$C$56)</f>
        <v>0</v>
      </c>
      <c r="I21274" s="25" t="n">
        <f aca="false">MIN(I21268,Assumptions!$L$56*Assumptions!$C$56)</f>
        <v>0</v>
      </c>
      <c r="J21274" s="25" t="n">
        <f aca="false">MIN(J21268,Assumptions!$L$56*Assumptions!$C$56)</f>
        <v>0</v>
      </c>
      <c r="K21274" s="25" t="n">
        <f aca="false">MIN(K21268,Assumptions!$L$56*Assumptions!$C$56)</f>
        <v>0</v>
      </c>
    </row>
    <row r="21275" customFormat="false" ht="15" hidden="false" customHeight="false" outlineLevel="0" collapsed="false">
      <c r="A21275" s="5" t="s">
        <v>270</v>
      </c>
      <c r="G21275" s="25" t="n">
        <f aca="false">IF(AND(Assumptions!$P$56=1,G21193&lt;Assumptions!$K$56),MIN(MAX(0,-G21307),MAX(0,Assumptions!$D$56-G21268)),0)</f>
        <v>0</v>
      </c>
      <c r="H21275" s="25" t="n">
        <f aca="false">IF(AND(Assumptions!$P$56=1,OR(H21193&lt;Assumptions!$K$56,G21384=1)),MIN(MAX(0,-H21307),MAX(0,Assumptions!$D$56-H21268)),0)</f>
        <v>0</v>
      </c>
      <c r="I21275" s="25" t="n">
        <f aca="false">IF(AND(Assumptions!$P$56=1,OR(I21193&lt;Assumptions!$K$56,H21384=1)),MIN(MAX(0,-I21307),MAX(0,Assumptions!$D$56-I21268)),0)</f>
        <v>0</v>
      </c>
      <c r="J21275" s="25" t="n">
        <f aca="false">IF(AND(Assumptions!$P$56=1,OR(J21193&lt;Assumptions!$K$56,I21384=1)),MIN(MAX(0,-J21307),MAX(0,Assumptions!$D$56-J21268)),0)</f>
        <v>0</v>
      </c>
      <c r="K21275" s="25" t="n">
        <f aca="false">IF(AND(Assumptions!$P$56=1,OR(K21193&lt;Assumptions!$K$56,J21384=1)),MIN(MAX(0,-K21307),MAX(0,Assumptions!$D$56-K21268)),0)</f>
        <v>0</v>
      </c>
    </row>
    <row r="21276" customFormat="false" ht="15" hidden="false" customHeight="false" outlineLevel="0" collapsed="false">
      <c r="A21276" s="5" t="s">
        <v>271</v>
      </c>
      <c r="G21276" s="25" t="n">
        <f aca="false">G21269*MIN(G21268-G21274+G21273,MAX(0,G21309-Assumptions!$C$12*G21227-G21237-G21250-G21263))</f>
        <v>0</v>
      </c>
      <c r="H21276" s="25" t="n">
        <f aca="false">H21269*MIN(H21268-H21274+H21273,MAX(0,H21309-Assumptions!$C$12*H21227-H21237-H21250-H21263))</f>
        <v>0</v>
      </c>
      <c r="I21276" s="25" t="n">
        <f aca="false">I21269*MIN(I21268-I21274+I21273,MAX(0,I21309-Assumptions!$C$12*I21227-I21237-I21250-I21263))</f>
        <v>0</v>
      </c>
      <c r="J21276" s="25" t="n">
        <f aca="false">J21269*MIN(J21268-J21274+J21273,MAX(0,J21309-Assumptions!$C$12*J21227-J21237-J21250-J21263))</f>
        <v>0</v>
      </c>
      <c r="K21276" s="25" t="n">
        <f aca="false">K21269*MIN(K21268-K21274+K21273,MAX(0,K21309-Assumptions!$C$12*K21227-K21237-K21250-K21263))</f>
        <v>0</v>
      </c>
    </row>
    <row r="21277" customFormat="false" ht="15" hidden="false" customHeight="false" outlineLevel="0" collapsed="false">
      <c r="A21277" s="5" t="s">
        <v>272</v>
      </c>
      <c r="G21277" s="25" t="n">
        <f aca="false">Assumptions!$N$56*MIN(G21268+G21275+G21273-G21274-G21276,MAX(0,G21313-G21238-G21251-G21264))</f>
        <v>0</v>
      </c>
      <c r="H21277" s="25" t="n">
        <f aca="false">Assumptions!$N$56*MIN(H21268+H21275+H21273-H21274-H21276,MAX(0,H21313-H21238-H21251-H21264))</f>
        <v>0</v>
      </c>
      <c r="I21277" s="25" t="n">
        <f aca="false">Assumptions!$N$56*MIN(I21268+I21275+I21273-I21274-I21276,MAX(0,I21313-I21238-I21251-I21264))</f>
        <v>0</v>
      </c>
      <c r="J21277" s="25" t="n">
        <f aca="false">Assumptions!$N$56*MIN(J21268+J21275+J21273-J21274-J21276,MAX(0,J21313-J21238-J21251-J21264))</f>
        <v>0</v>
      </c>
      <c r="K21277" s="25" t="n">
        <f aca="false">Assumptions!$N$56*MIN(K21268+K21275+K21273-K21274-K21276,MAX(0,K21313-K21238-K21251-K21264))</f>
        <v>0</v>
      </c>
    </row>
    <row r="21278" customFormat="false" ht="15" hidden="false" customHeight="false" outlineLevel="0" collapsed="false">
      <c r="A21278" s="5" t="s">
        <v>273</v>
      </c>
      <c r="G21278" s="25" t="n">
        <f aca="false">G21269*(1-G21227)*(G21268-G21274+G21273-G21276)</f>
        <v>0</v>
      </c>
      <c r="H21278" s="25" t="n">
        <f aca="false">H21269*(1-H21227)*(H21268-H21274+H21273-H21276)</f>
        <v>300</v>
      </c>
      <c r="I21278" s="25" t="n">
        <f aca="false">I21269*(1-I21227)*(I21268-I21274+I21273-I21276)</f>
        <v>0</v>
      </c>
      <c r="J21278" s="25" t="n">
        <f aca="false">J21269*(1-J21227)*(J21268-J21274+J21273-J21276)</f>
        <v>0</v>
      </c>
      <c r="K21278" s="25" t="n">
        <f aca="false">K21269*(1-K21227)*(K21268-K21274+K21273-K21276)</f>
        <v>0</v>
      </c>
    </row>
    <row r="21279" customFormat="false" ht="15" hidden="false" customHeight="false" outlineLevel="0" collapsed="false">
      <c r="A21279" s="2" t="s">
        <v>274</v>
      </c>
      <c r="F21279" s="27" t="n">
        <f aca="false">Assumptions!$C$56</f>
        <v>300</v>
      </c>
      <c r="G21279" s="16" t="n">
        <f aca="false">G21268+G21275+G21273-G21274-G21276-G21277</f>
        <v>300</v>
      </c>
      <c r="H21279" s="16" t="n">
        <f aca="false">H21268+H21275+H21273-H21274-H21276-H21277</f>
        <v>300</v>
      </c>
      <c r="I21279" s="16" t="n">
        <f aca="false">I21268+I21275+I21273-I21274-I21276-I21277</f>
        <v>300</v>
      </c>
      <c r="J21279" s="16" t="n">
        <f aca="false">J21268+J21275+J21273-J21274-J21276-J21277</f>
        <v>300</v>
      </c>
      <c r="K21279" s="16" t="n">
        <f aca="false">K21268+K21275+K21273-K21274-K21276-K21277</f>
        <v>300</v>
      </c>
    </row>
    <row r="21280" customFormat="false" ht="15" hidden="false" customHeight="false" outlineLevel="0" collapsed="false">
      <c r="A21280" s="23" t="s">
        <v>278</v>
      </c>
      <c r="B21280" s="24"/>
      <c r="C21280" s="24"/>
      <c r="D21280" s="24"/>
      <c r="E21280" s="24"/>
      <c r="F21280" s="24"/>
      <c r="G21280" s="24"/>
      <c r="H21280" s="24"/>
      <c r="I21280" s="24"/>
      <c r="J21280" s="24"/>
      <c r="K21280" s="24"/>
    </row>
    <row r="21281" customFormat="false" ht="15" hidden="false" customHeight="false" outlineLevel="0" collapsed="false">
      <c r="A21281" s="2" t="s">
        <v>279</v>
      </c>
      <c r="F21281" s="16" t="n">
        <f aca="false">F21240+F21253+F21266+F21279</f>
        <v>1250</v>
      </c>
      <c r="G21281" s="16" t="n">
        <f aca="false">G21240+G21253+G21266+G21279</f>
        <v>1299.7088</v>
      </c>
      <c r="H21281" s="16" t="n">
        <f aca="false">H21240+H21253+H21266+H21279</f>
        <v>1294.5088</v>
      </c>
      <c r="I21281" s="16" t="n">
        <f aca="false">I21240+I21253+I21266+I21279</f>
        <v>1289.3088</v>
      </c>
      <c r="J21281" s="16" t="n">
        <f aca="false">J21240+J21253+J21266+J21279</f>
        <v>1284.1088</v>
      </c>
      <c r="K21281" s="16" t="n">
        <f aca="false">K21240+K21253+K21266+K21279</f>
        <v>1278.9088</v>
      </c>
    </row>
    <row r="21282" customFormat="false" ht="15" hidden="false" customHeight="false" outlineLevel="0" collapsed="false">
      <c r="A21282" s="5" t="s">
        <v>280</v>
      </c>
      <c r="G21282" s="25" t="n">
        <f aca="false">G21230*Assumptions!$C$53+G21243*Assumptions!$C$54+G21256*Assumptions!$C$55+G21269*Assumptions!$C$56</f>
        <v>0</v>
      </c>
      <c r="H21282" s="25" t="n">
        <f aca="false">H21230*Assumptions!$C$53+H21243*Assumptions!$C$54+H21256*Assumptions!$C$55+H21269*Assumptions!$C$56</f>
        <v>480</v>
      </c>
      <c r="I21282" s="25" t="n">
        <f aca="false">I21230*Assumptions!$C$53+I21243*Assumptions!$C$54+I21256*Assumptions!$C$55+I21269*Assumptions!$C$56</f>
        <v>520</v>
      </c>
      <c r="J21282" s="25" t="n">
        <f aca="false">J21230*Assumptions!$C$53+J21243*Assumptions!$C$54+J21256*Assumptions!$C$55+J21269*Assumptions!$C$56</f>
        <v>250</v>
      </c>
      <c r="K21282" s="25" t="n">
        <f aca="false">K21230*Assumptions!$C$53+K21243*Assumptions!$C$54+K21256*Assumptions!$C$55+K21269*Assumptions!$C$56</f>
        <v>0</v>
      </c>
    </row>
    <row r="21283" customFormat="false" ht="15" hidden="false" customHeight="false" outlineLevel="0" collapsed="false">
      <c r="A21283" s="23" t="s">
        <v>281</v>
      </c>
      <c r="B21283" s="24"/>
      <c r="C21283" s="24"/>
      <c r="D21283" s="24"/>
      <c r="E21283" s="24"/>
      <c r="F21283" s="24"/>
      <c r="G21283" s="24"/>
      <c r="H21283" s="24"/>
      <c r="I21283" s="24"/>
      <c r="J21283" s="24"/>
      <c r="K21283" s="24"/>
    </row>
    <row r="21284" customFormat="false" ht="15" hidden="false" customHeight="false" outlineLevel="0" collapsed="false">
      <c r="A21284" s="5" t="s">
        <v>282</v>
      </c>
      <c r="C21284" s="25" t="n">
        <f aca="false">SUMPRODUCT($G$21230:$K$21230,$G$21229:$K$21229-$G$21235:$K$21235+$G$21234:$K$21234)</f>
        <v>234.9088</v>
      </c>
    </row>
    <row r="21285" customFormat="false" ht="15" hidden="false" customHeight="false" outlineLevel="0" collapsed="false">
      <c r="A21285" s="5" t="s">
        <v>283</v>
      </c>
      <c r="C21285" s="25" t="n">
        <f aca="false">SUMPRODUCT($G$21230:$K$21230,$G$21237:$K$21237)</f>
        <v>0</v>
      </c>
    </row>
    <row r="21286" customFormat="false" ht="15" hidden="false" customHeight="false" outlineLevel="0" collapsed="false">
      <c r="A21286" s="5" t="s">
        <v>284</v>
      </c>
      <c r="C21286" s="5" t="str">
        <f aca="false">IF(SUM($G$21230:$K$21230)=0,"n/a (beyond horizon)",IF(SUMPRODUCT($G$21230:$K$21230,$G$21227:$K$21227)&gt;0,"REFINANCING PASS","REFINANCING FAILURE"))</f>
        <v>REFINANCING FAILURE</v>
      </c>
    </row>
    <row r="21287" customFormat="false" ht="15" hidden="false" customHeight="false" outlineLevel="0" collapsed="false">
      <c r="A21287" s="5" t="s">
        <v>285</v>
      </c>
      <c r="C21287" s="5" t="str">
        <f aca="false">IF(SUM($G$21230:$K$21230)=0,"n/a",IF(C21285&gt;=C21284-0.001,"Repaid from cash",IF(SUMPRODUCT($G$21230:$K$21230,$G$21227:$K$21227)&gt;0,IF(C21285&gt;0,"Partly repaid; remainder refinanced","Refinanced"),IF(SUM($G$21239:$K$21239)&gt;0.001,IF(C21285&gt;0,"Partial repayment; PAYMENT DEFAULT","PAYMENT DEFAULT"),"Repaid from cash"))))</f>
        <v>PAYMENT DEFAULT</v>
      </c>
    </row>
    <row r="21288" customFormat="false" ht="15" hidden="false" customHeight="false" outlineLevel="0" collapsed="false">
      <c r="A21288" s="5" t="s">
        <v>286</v>
      </c>
      <c r="C21288" s="25" t="n">
        <f aca="false">SUMPRODUCT($G$21243:$K$21243,$G$21242:$K$21242-$G$21248:$K$21248+$G$21247:$K$21247)</f>
        <v>504.4</v>
      </c>
    </row>
    <row r="21289" customFormat="false" ht="15" hidden="false" customHeight="false" outlineLevel="0" collapsed="false">
      <c r="A21289" s="5" t="s">
        <v>287</v>
      </c>
      <c r="C21289" s="25" t="n">
        <f aca="false">SUMPRODUCT($G$21243:$K$21243,$G$21250:$K$21250)</f>
        <v>0</v>
      </c>
    </row>
    <row r="21290" customFormat="false" ht="15" hidden="false" customHeight="false" outlineLevel="0" collapsed="false">
      <c r="A21290" s="5" t="s">
        <v>288</v>
      </c>
      <c r="C21290" s="5" t="str">
        <f aca="false">IF(SUM($G$21243:$K$21243)=0,"n/a (beyond horizon)",IF(SUMPRODUCT($G$21243:$K$21243,$G$21227:$K$21227)&gt;0,"REFINANCING PASS","REFINANCING FAILURE"))</f>
        <v>REFINANCING FAILURE</v>
      </c>
    </row>
    <row r="21291" customFormat="false" ht="15" hidden="false" customHeight="false" outlineLevel="0" collapsed="false">
      <c r="A21291" s="5" t="s">
        <v>289</v>
      </c>
      <c r="C21291" s="5" t="str">
        <f aca="false">IF(SUM($G$21243:$K$21243)=0,"n/a",IF(C21289&gt;=C21288-0.001,"Repaid from cash",IF(SUMPRODUCT($G$21243:$K$21243,$G$21227:$K$21227)&gt;0,IF(C21289&gt;0,"Partly repaid; remainder refinanced","Refinanced"),IF(SUM($G$21252:$K$21252)&gt;0.001,IF(C21289&gt;0,"Partial repayment; PAYMENT DEFAULT","PAYMENT DEFAULT"),"Repaid from cash"))))</f>
        <v>PAYMENT DEFAULT</v>
      </c>
    </row>
    <row r="21292" customFormat="false" ht="15" hidden="false" customHeight="false" outlineLevel="0" collapsed="false">
      <c r="A21292" s="5" t="s">
        <v>290</v>
      </c>
      <c r="C21292" s="25" t="n">
        <f aca="false">SUMPRODUCT($G$21256:$K$21256,$G$21255:$K$21255-$G$21261:$K$21261+$G$21260:$K$21260)</f>
        <v>250</v>
      </c>
    </row>
    <row r="21293" customFormat="false" ht="15" hidden="false" customHeight="false" outlineLevel="0" collapsed="false">
      <c r="A21293" s="5" t="s">
        <v>291</v>
      </c>
      <c r="C21293" s="25" t="n">
        <f aca="false">SUMPRODUCT($G$21256:$K$21256,$G$21263:$K$21263)</f>
        <v>0</v>
      </c>
    </row>
    <row r="21294" customFormat="false" ht="15" hidden="false" customHeight="false" outlineLevel="0" collapsed="false">
      <c r="A21294" s="5" t="s">
        <v>292</v>
      </c>
      <c r="C21294" s="5" t="str">
        <f aca="false">IF(SUM($G$21256:$K$21256)=0,"n/a (beyond horizon)",IF(SUMPRODUCT($G$21256:$K$21256,$G$21227:$K$21227)&gt;0,"REFINANCING PASS","REFINANCING FAILURE"))</f>
        <v>REFINANCING FAILURE</v>
      </c>
    </row>
    <row r="21295" customFormat="false" ht="15" hidden="false" customHeight="false" outlineLevel="0" collapsed="false">
      <c r="A21295" s="5" t="s">
        <v>293</v>
      </c>
      <c r="C21295" s="5" t="str">
        <f aca="false">IF(SUM($G$21256:$K$21256)=0,"n/a",IF(C21293&gt;=C21292-0.001,"Repaid from cash",IF(SUMPRODUCT($G$21256:$K$21256,$G$21227:$K$21227)&gt;0,IF(C21293&gt;0,"Partly repaid; remainder refinanced","Refinanced"),IF(SUM($G$21265:$K$21265)&gt;0.001,IF(C21293&gt;0,"Partial repayment; PAYMENT DEFAULT","PAYMENT DEFAULT"),"Repaid from cash"))))</f>
        <v>PAYMENT DEFAULT</v>
      </c>
    </row>
    <row r="21296" customFormat="false" ht="15" hidden="false" customHeight="false" outlineLevel="0" collapsed="false">
      <c r="A21296" s="5" t="s">
        <v>294</v>
      </c>
      <c r="C21296" s="25" t="n">
        <f aca="false">SUMPRODUCT($G$21269:$K$21269,$G$21268:$K$21268-$G$21274:$K$21274+$G$21273:$K$21273)</f>
        <v>300</v>
      </c>
    </row>
    <row r="21297" customFormat="false" ht="15" hidden="false" customHeight="false" outlineLevel="0" collapsed="false">
      <c r="A21297" s="5" t="s">
        <v>295</v>
      </c>
      <c r="C21297" s="25" t="n">
        <f aca="false">SUMPRODUCT($G$21269:$K$21269,$G$21276:$K$21276)</f>
        <v>0</v>
      </c>
    </row>
    <row r="21298" customFormat="false" ht="15" hidden="false" customHeight="false" outlineLevel="0" collapsed="false">
      <c r="A21298" s="5" t="s">
        <v>296</v>
      </c>
      <c r="C21298" s="5" t="str">
        <f aca="false">IF(SUM($G$21269:$K$21269)=0,"n/a (beyond horizon)",IF(SUMPRODUCT($G$21269:$K$21269,$G$21227:$K$21227)&gt;0,"REFINANCING PASS","REFINANCING FAILURE"))</f>
        <v>REFINANCING FAILURE</v>
      </c>
    </row>
    <row r="21299" customFormat="false" ht="15" hidden="false" customHeight="false" outlineLevel="0" collapsed="false">
      <c r="A21299" s="5" t="s">
        <v>297</v>
      </c>
      <c r="C21299" s="5" t="str">
        <f aca="false">IF(SUM($G$21269:$K$21269)=0,"n/a",IF(C21297&gt;=C21296-0.001,"Repaid from cash",IF(SUMPRODUCT($G$21269:$K$21269,$G$21227:$K$21227)&gt;0,IF(C21297&gt;0,"Partly repaid; remainder refinanced","Refinanced"),IF(SUM($G$21278:$K$21278)&gt;0.001,IF(C21297&gt;0,"Partial repayment; PAYMENT DEFAULT","PAYMENT DEFAULT"),"Repaid from cash"))))</f>
        <v>PAYMENT DEFAULT</v>
      </c>
    </row>
    <row r="21300" customFormat="false" ht="15" hidden="false" customHeight="false" outlineLevel="0" collapsed="false">
      <c r="A21300" s="5" t="s">
        <v>298</v>
      </c>
      <c r="C21300" s="20" t="n">
        <f aca="false">IF(C21286="REFINANCING FAILURE",1,0)+IF(C21290="REFINANCING FAILURE",1,0)+IF(C21294="REFINANCING FAILURE",1,0)+IF(C21298="REFINANCING FAILURE",1,0)</f>
        <v>4</v>
      </c>
    </row>
    <row r="21302" customFormat="false" ht="15" hidden="false" customHeight="false" outlineLevel="0" collapsed="false">
      <c r="A21302" s="23" t="s">
        <v>300</v>
      </c>
      <c r="B21302" s="24"/>
      <c r="C21302" s="24"/>
      <c r="D21302" s="24"/>
      <c r="E21302" s="24"/>
      <c r="F21302" s="24"/>
      <c r="G21302" s="24"/>
      <c r="H21302" s="24"/>
      <c r="I21302" s="24"/>
      <c r="J21302" s="24"/>
      <c r="K21302" s="24"/>
    </row>
    <row r="21303" customFormat="false" ht="15" hidden="false" customHeight="false" outlineLevel="0" collapsed="false">
      <c r="A21303" s="5" t="s">
        <v>260</v>
      </c>
      <c r="G21303" s="25" t="n">
        <f aca="false">F21315</f>
        <v>45</v>
      </c>
      <c r="H21303" s="25" t="n">
        <f aca="false">G21315</f>
        <v>0</v>
      </c>
      <c r="I21303" s="25" t="n">
        <f aca="false">H21315</f>
        <v>-139.5574048</v>
      </c>
      <c r="J21303" s="25" t="n">
        <f aca="false">I21315</f>
        <v>-299.764809344</v>
      </c>
      <c r="K21303" s="25" t="n">
        <f aca="false">J21315</f>
        <v>-462.24043997056</v>
      </c>
    </row>
    <row r="21304" customFormat="false" ht="15" hidden="false" customHeight="false" outlineLevel="0" collapsed="false">
      <c r="A21304" s="5" t="s">
        <v>301</v>
      </c>
      <c r="G21304" s="25" t="n">
        <f aca="false">G21216</f>
        <v>-94.7088</v>
      </c>
      <c r="H21304" s="25" t="n">
        <f aca="false">H21216</f>
        <v>-134.3574048</v>
      </c>
      <c r="I21304" s="25" t="n">
        <f aca="false">I21216</f>
        <v>-155.007404544</v>
      </c>
      <c r="J21304" s="25" t="n">
        <f aca="false">J21216</f>
        <v>-157.27563062656</v>
      </c>
      <c r="K21304" s="25" t="n">
        <f aca="false">K21216</f>
        <v>-156.443655088294</v>
      </c>
    </row>
    <row r="21305" customFormat="false" ht="15" hidden="false" customHeight="false" outlineLevel="0" collapsed="false">
      <c r="A21305" s="5" t="s">
        <v>302</v>
      </c>
      <c r="G21305" s="25" t="n">
        <f aca="false">CHOOSE($C$21186,Assumptions!$G$68,Assumptions!$G$87,Assumptions!$G$106)</f>
        <v>0</v>
      </c>
      <c r="H21305" s="25" t="n">
        <f aca="false">CHOOSE($C$21186,Assumptions!$H$68,Assumptions!$H$87,Assumptions!$H$106)</f>
        <v>0</v>
      </c>
      <c r="I21305" s="25" t="n">
        <f aca="false">CHOOSE($C$21186,Assumptions!$I$68,Assumptions!$I$87,Assumptions!$I$106)</f>
        <v>0</v>
      </c>
      <c r="J21305" s="25" t="n">
        <f aca="false">CHOOSE($C$21186,Assumptions!$J$68,Assumptions!$J$87,Assumptions!$J$106)</f>
        <v>0</v>
      </c>
      <c r="K21305" s="25" t="n">
        <f aca="false">CHOOSE($C$21186,Assumptions!$K$68,Assumptions!$K$87,Assumptions!$K$106)</f>
        <v>0</v>
      </c>
    </row>
    <row r="21306" customFormat="false" ht="15" hidden="false" customHeight="false" outlineLevel="0" collapsed="false">
      <c r="A21306" s="5" t="s">
        <v>303</v>
      </c>
      <c r="G21306" s="25" t="n">
        <f aca="false">G21235+G21248+G21261+G21274</f>
        <v>5.2</v>
      </c>
      <c r="H21306" s="25" t="n">
        <f aca="false">H21235+H21248+H21261+H21274</f>
        <v>5.2</v>
      </c>
      <c r="I21306" s="25" t="n">
        <f aca="false">I21235+I21248+I21261+I21274</f>
        <v>5.2</v>
      </c>
      <c r="J21306" s="25" t="n">
        <f aca="false">J21235+J21248+J21261+J21274</f>
        <v>5.2</v>
      </c>
      <c r="K21306" s="25" t="n">
        <f aca="false">K21235+K21248+K21261+K21274</f>
        <v>5.2</v>
      </c>
    </row>
    <row r="21307" customFormat="false" ht="15" hidden="false" customHeight="false" outlineLevel="0" collapsed="false">
      <c r="A21307" s="2" t="s">
        <v>304</v>
      </c>
      <c r="G21307" s="16" t="n">
        <f aca="false">G21303+G21304+G21305-G21306</f>
        <v>-54.9088</v>
      </c>
      <c r="H21307" s="16" t="n">
        <f aca="false">H21303+H21304+H21305-H21306</f>
        <v>-139.5574048</v>
      </c>
      <c r="I21307" s="16" t="n">
        <f aca="false">I21303+I21304+I21305-I21306</f>
        <v>-299.764809344</v>
      </c>
      <c r="J21307" s="16" t="n">
        <f aca="false">J21303+J21304+J21305-J21306</f>
        <v>-462.24043997056</v>
      </c>
      <c r="K21307" s="16" t="n">
        <f aca="false">K21303+K21304+K21305-K21306</f>
        <v>-623.884095058854</v>
      </c>
    </row>
    <row r="21308" customFormat="false" ht="15" hidden="false" customHeight="false" outlineLevel="0" collapsed="false">
      <c r="A21308" s="5" t="s">
        <v>305</v>
      </c>
      <c r="G21308" s="25" t="n">
        <f aca="false">G21236+G21249+G21262+G21275</f>
        <v>54.9088</v>
      </c>
      <c r="H21308" s="25" t="n">
        <f aca="false">H21236+H21249+H21262+H21275</f>
        <v>0</v>
      </c>
      <c r="I21308" s="25" t="n">
        <f aca="false">I21236+I21249+I21262+I21275</f>
        <v>0</v>
      </c>
      <c r="J21308" s="25" t="n">
        <f aca="false">J21236+J21249+J21262+J21275</f>
        <v>0</v>
      </c>
      <c r="K21308" s="25" t="n">
        <f aca="false">K21236+K21249+K21262+K21275</f>
        <v>0</v>
      </c>
    </row>
    <row r="21309" customFormat="false" ht="15" hidden="false" customHeight="false" outlineLevel="0" collapsed="false">
      <c r="A21309" s="2" t="s">
        <v>306</v>
      </c>
      <c r="G21309" s="16" t="n">
        <f aca="false">G21307+G21308</f>
        <v>0</v>
      </c>
      <c r="H21309" s="16" t="n">
        <f aca="false">H21307+H21308</f>
        <v>-139.5574048</v>
      </c>
      <c r="I21309" s="16" t="n">
        <f aca="false">I21307+I21308</f>
        <v>-299.764809344</v>
      </c>
      <c r="J21309" s="16" t="n">
        <f aca="false">J21307+J21308</f>
        <v>-462.24043997056</v>
      </c>
      <c r="K21309" s="16" t="n">
        <f aca="false">K21307+K21308</f>
        <v>-623.884095058854</v>
      </c>
    </row>
    <row r="21310" customFormat="false" ht="15" hidden="false" customHeight="false" outlineLevel="0" collapsed="false">
      <c r="A21310" s="5" t="s">
        <v>307</v>
      </c>
      <c r="G21310" s="25" t="n">
        <f aca="false">G21237+G21250+G21263+G21276</f>
        <v>0</v>
      </c>
      <c r="H21310" s="25" t="n">
        <f aca="false">H21237+H21250+H21263+H21276</f>
        <v>0</v>
      </c>
      <c r="I21310" s="25" t="n">
        <f aca="false">I21237+I21250+I21263+I21276</f>
        <v>0</v>
      </c>
      <c r="J21310" s="25" t="n">
        <f aca="false">J21237+J21250+J21263+J21276</f>
        <v>0</v>
      </c>
      <c r="K21310" s="25" t="n">
        <f aca="false">K21237+K21250+K21263+K21276</f>
        <v>0</v>
      </c>
    </row>
    <row r="21311" customFormat="false" ht="15" hidden="false" customHeight="false" outlineLevel="0" collapsed="false">
      <c r="A21311" s="2" t="s">
        <v>308</v>
      </c>
      <c r="G21311" s="16" t="n">
        <f aca="false">G21309-G21310</f>
        <v>0</v>
      </c>
      <c r="H21311" s="16" t="n">
        <f aca="false">H21309-H21310</f>
        <v>-139.5574048</v>
      </c>
      <c r="I21311" s="16" t="n">
        <f aca="false">I21309-I21310</f>
        <v>-299.764809344</v>
      </c>
      <c r="J21311" s="16" t="n">
        <f aca="false">J21309-J21310</f>
        <v>-462.24043997056</v>
      </c>
      <c r="K21311" s="16" t="n">
        <f aca="false">K21309-K21310</f>
        <v>-623.884095058854</v>
      </c>
    </row>
    <row r="21312" customFormat="false" ht="15" hidden="false" customHeight="false" outlineLevel="0" collapsed="false">
      <c r="A21312" s="5" t="s">
        <v>309</v>
      </c>
      <c r="G21312" s="25" t="n">
        <f aca="false">MAX(0,-G21311)</f>
        <v>-0</v>
      </c>
      <c r="H21312" s="25" t="n">
        <f aca="false">MAX(0,-H21311)</f>
        <v>139.5574048</v>
      </c>
      <c r="I21312" s="25" t="n">
        <f aca="false">MAX(0,-I21311)</f>
        <v>299.764809344</v>
      </c>
      <c r="J21312" s="25" t="n">
        <f aca="false">MAX(0,-J21311)</f>
        <v>462.24043997056</v>
      </c>
      <c r="K21312" s="25" t="n">
        <f aca="false">MAX(0,-K21311)</f>
        <v>623.884095058854</v>
      </c>
    </row>
    <row r="21313" customFormat="false" ht="15" hidden="false" customHeight="false" outlineLevel="0" collapsed="false">
      <c r="A21313" s="5" t="s">
        <v>310</v>
      </c>
      <c r="G21313" s="25" t="n">
        <f aca="false">MAX(0,G21311-Assumptions!$C$12)*Assumptions!$C$13</f>
        <v>0</v>
      </c>
      <c r="H21313" s="25" t="n">
        <f aca="false">MAX(0,H21311-Assumptions!$C$12)*Assumptions!$C$13</f>
        <v>0</v>
      </c>
      <c r="I21313" s="25" t="n">
        <f aca="false">MAX(0,I21311-Assumptions!$C$12)*Assumptions!$C$13</f>
        <v>0</v>
      </c>
      <c r="J21313" s="25" t="n">
        <f aca="false">MAX(0,J21311-Assumptions!$C$12)*Assumptions!$C$13</f>
        <v>0</v>
      </c>
      <c r="K21313" s="25" t="n">
        <f aca="false">MAX(0,K21311-Assumptions!$C$12)*Assumptions!$C$13</f>
        <v>0</v>
      </c>
    </row>
    <row r="21314" customFormat="false" ht="15" hidden="false" customHeight="false" outlineLevel="0" collapsed="false">
      <c r="A21314" s="5" t="s">
        <v>311</v>
      </c>
      <c r="G21314" s="25" t="n">
        <f aca="false">G21238+G21251+G21264+G21277</f>
        <v>0</v>
      </c>
      <c r="H21314" s="25" t="n">
        <f aca="false">H21238+H21251+H21264+H21277</f>
        <v>0</v>
      </c>
      <c r="I21314" s="25" t="n">
        <f aca="false">I21238+I21251+I21264+I21277</f>
        <v>0</v>
      </c>
      <c r="J21314" s="25" t="n">
        <f aca="false">J21238+J21251+J21264+J21277</f>
        <v>0</v>
      </c>
      <c r="K21314" s="25" t="n">
        <f aca="false">K21238+K21251+K21264+K21277</f>
        <v>0</v>
      </c>
    </row>
    <row r="21315" customFormat="false" ht="15" hidden="false" customHeight="false" outlineLevel="0" collapsed="false">
      <c r="A21315" s="2" t="s">
        <v>312</v>
      </c>
      <c r="F21315" s="27" t="n">
        <f aca="false">Assumptions!$C$11</f>
        <v>45</v>
      </c>
      <c r="G21315" s="16" t="n">
        <f aca="false">G21311-G21314</f>
        <v>0</v>
      </c>
      <c r="H21315" s="16" t="n">
        <f aca="false">H21311-H21314</f>
        <v>-139.5574048</v>
      </c>
      <c r="I21315" s="16" t="n">
        <f aca="false">I21311-I21314</f>
        <v>-299.764809344</v>
      </c>
      <c r="J21315" s="16" t="n">
        <f aca="false">J21311-J21314</f>
        <v>-462.24043997056</v>
      </c>
      <c r="K21315" s="16" t="n">
        <f aca="false">K21311-K21314</f>
        <v>-623.884095058854</v>
      </c>
    </row>
    <row r="21316" customFormat="false" ht="15" hidden="false" customHeight="false" outlineLevel="0" collapsed="false">
      <c r="A21316" s="5" t="s">
        <v>313</v>
      </c>
      <c r="G21316" s="25" t="n">
        <f aca="false">G21239+G21252+G21265+G21278</f>
        <v>0</v>
      </c>
      <c r="H21316" s="25" t="n">
        <f aca="false">H21239+H21252+H21265+H21278</f>
        <v>534.9088</v>
      </c>
      <c r="I21316" s="25" t="n">
        <f aca="false">I21239+I21252+I21265+I21278</f>
        <v>504.4</v>
      </c>
      <c r="J21316" s="25" t="n">
        <f aca="false">J21239+J21252+J21265+J21278</f>
        <v>250</v>
      </c>
      <c r="K21316" s="25" t="n">
        <f aca="false">K21239+K21252+K21265+K21278</f>
        <v>0</v>
      </c>
    </row>
    <row r="21317" customFormat="false" ht="15" hidden="false" customHeight="false" outlineLevel="0" collapsed="false">
      <c r="A21317" s="5" t="s">
        <v>314</v>
      </c>
      <c r="G21317" s="20" t="n">
        <f aca="false">IF(OR(G21312&gt;0.001,G21316&gt;0.001),1,0)</f>
        <v>0</v>
      </c>
      <c r="H21317" s="20" t="n">
        <f aca="false">IF(OR(H21312&gt;0.001,H21316&gt;0.001),1,0)</f>
        <v>1</v>
      </c>
      <c r="I21317" s="20" t="n">
        <f aca="false">IF(OR(I21312&gt;0.001,I21316&gt;0.001),1,0)</f>
        <v>1</v>
      </c>
      <c r="J21317" s="20" t="n">
        <f aca="false">IF(OR(J21312&gt;0.001,J21316&gt;0.001),1,0)</f>
        <v>1</v>
      </c>
      <c r="K21317" s="20" t="n">
        <f aca="false">IF(OR(K21312&gt;0.001,K21316&gt;0.001),1,0)</f>
        <v>1</v>
      </c>
    </row>
    <row r="21318" customFormat="false" ht="15" hidden="false" customHeight="false" outlineLevel="0" collapsed="false">
      <c r="A21318" s="5" t="s">
        <v>315</v>
      </c>
      <c r="G21318" s="20" t="n">
        <f aca="false">IF(G21317=1,1,0)</f>
        <v>0</v>
      </c>
      <c r="H21318" s="20" t="n">
        <f aca="false">IF(AND(H21317=1,SUM($G$21317:G21317)=0),1,0)</f>
        <v>1</v>
      </c>
      <c r="I21318" s="20" t="n">
        <f aca="false">IF(AND(I21317=1,SUM($G$21317:H21317)=0),1,0)</f>
        <v>0</v>
      </c>
      <c r="J21318" s="20" t="n">
        <f aca="false">IF(AND(J21317=1,SUM($G$21317:I21317)=0),1,0)</f>
        <v>0</v>
      </c>
      <c r="K21318" s="20" t="n">
        <f aca="false">IF(AND(K21317=1,SUM($G$21317:J21317)=0),1,0)</f>
        <v>0</v>
      </c>
    </row>
    <row r="21319" customFormat="false" ht="15" hidden="false" customHeight="false" outlineLevel="0" collapsed="false">
      <c r="A21319" s="5" t="s">
        <v>316</v>
      </c>
      <c r="G21319" s="25" t="n">
        <f aca="false">(G21281-F21281)-(G21308+G21208-G21306-G21310-G21314)</f>
        <v>0</v>
      </c>
      <c r="H21319" s="25" t="n">
        <f aca="false">(H21281-G21281)-(H21308+H21208-H21306-H21310-H21314)</f>
        <v>1.82076576038526E-013</v>
      </c>
      <c r="I21319" s="25" t="n">
        <f aca="false">(I21281-H21281)-(I21308+I21208-I21306-I21310-I21314)</f>
        <v>-4.52970994047064E-014</v>
      </c>
      <c r="J21319" s="25" t="n">
        <f aca="false">(J21281-I21281)-(J21308+J21208-J21306-J21310-J21314)</f>
        <v>-4.52970994047064E-014</v>
      </c>
      <c r="K21319" s="25" t="n">
        <f aca="false">(K21281-J21281)-(K21308+K21208-K21306-K21310-K21314)</f>
        <v>1.82076576038526E-013</v>
      </c>
    </row>
    <row r="21321" customFormat="false" ht="15" hidden="false" customHeight="false" outlineLevel="0" collapsed="false">
      <c r="A21321" s="23" t="s">
        <v>318</v>
      </c>
      <c r="B21321" s="24"/>
      <c r="C21321" s="24"/>
      <c r="D21321" s="24"/>
      <c r="E21321" s="24"/>
      <c r="F21321" s="24"/>
      <c r="G21321" s="24"/>
      <c r="H21321" s="24"/>
      <c r="I21321" s="24"/>
      <c r="J21321" s="24"/>
      <c r="K21321" s="24"/>
    </row>
    <row r="21322" customFormat="false" ht="15" hidden="false" customHeight="false" outlineLevel="0" collapsed="false">
      <c r="A21322" s="5" t="s">
        <v>319</v>
      </c>
      <c r="G21322" s="25" t="n">
        <f aca="false">G21281</f>
        <v>1299.7088</v>
      </c>
      <c r="H21322" s="25" t="n">
        <f aca="false">H21281</f>
        <v>1294.5088</v>
      </c>
      <c r="I21322" s="25" t="n">
        <f aca="false">I21281</f>
        <v>1289.3088</v>
      </c>
      <c r="J21322" s="25" t="n">
        <f aca="false">J21281</f>
        <v>1284.1088</v>
      </c>
      <c r="K21322" s="25" t="n">
        <f aca="false">K21281</f>
        <v>1278.9088</v>
      </c>
    </row>
    <row r="21323" customFormat="false" ht="15" hidden="false" customHeight="false" outlineLevel="0" collapsed="false">
      <c r="A21323" s="5" t="s">
        <v>320</v>
      </c>
      <c r="G21323" s="25" t="n">
        <f aca="false">Assumptions!$O$53*G21240+Assumptions!$O$54*G21253+Assumptions!$O$55*G21266+Assumptions!$O$56*G21279</f>
        <v>999.7088</v>
      </c>
      <c r="H21323" s="25" t="n">
        <f aca="false">Assumptions!$O$53*H21240+Assumptions!$O$54*H21253+Assumptions!$O$55*H21266+Assumptions!$O$56*H21279</f>
        <v>994.5088</v>
      </c>
      <c r="I21323" s="25" t="n">
        <f aca="false">Assumptions!$O$53*I21240+Assumptions!$O$54*I21253+Assumptions!$O$55*I21266+Assumptions!$O$56*I21279</f>
        <v>989.3088</v>
      </c>
      <c r="J21323" s="25" t="n">
        <f aca="false">Assumptions!$O$53*J21240+Assumptions!$O$54*J21253+Assumptions!$O$55*J21266+Assumptions!$O$56*J21279</f>
        <v>984.1088</v>
      </c>
      <c r="K21323" s="25" t="n">
        <f aca="false">Assumptions!$O$53*K21240+Assumptions!$O$54*K21253+Assumptions!$O$55*K21266+Assumptions!$O$56*K21279</f>
        <v>978.9088</v>
      </c>
    </row>
    <row r="21324" customFormat="false" ht="15" hidden="false" customHeight="false" outlineLevel="0" collapsed="false">
      <c r="A21324" s="5" t="s">
        <v>321</v>
      </c>
      <c r="G21324" s="25" t="n">
        <f aca="false">G21322-G21315</f>
        <v>1299.7088</v>
      </c>
      <c r="H21324" s="25" t="n">
        <f aca="false">H21322-H21315</f>
        <v>1434.0662048</v>
      </c>
      <c r="I21324" s="25" t="n">
        <f aca="false">I21322-I21315</f>
        <v>1589.073609344</v>
      </c>
      <c r="J21324" s="25" t="n">
        <f aca="false">J21322-J21315</f>
        <v>1746.34923997056</v>
      </c>
      <c r="K21324" s="25" t="n">
        <f aca="false">K21322-K21315</f>
        <v>1902.79289505885</v>
      </c>
    </row>
    <row r="21325" customFormat="false" ht="15" hidden="false" customHeight="false" outlineLevel="0" collapsed="false">
      <c r="A21325" s="5" t="s">
        <v>322</v>
      </c>
      <c r="G21325" s="31" t="n">
        <f aca="false">IF(G21203&gt;0,G21322/G21203,0)</f>
        <v>70.6978241949521</v>
      </c>
      <c r="H21325" s="31" t="n">
        <f aca="false">IF(H21203&gt;0,H21322/H21203,0)</f>
        <v>80.9367465962406</v>
      </c>
      <c r="I21325" s="31" t="n">
        <f aca="false">IF(I21203&gt;0,I21322/I21203,0)</f>
        <v>82.763476695823</v>
      </c>
      <c r="J21325" s="31" t="n">
        <f aca="false">IF(J21203&gt;0,J21322/J21203,0)</f>
        <v>83.2623006318033</v>
      </c>
      <c r="K21325" s="31" t="n">
        <f aca="false">IF(K21203&gt;0,K21322/K21203,0)</f>
        <v>83.762757427964</v>
      </c>
    </row>
    <row r="21326" customFormat="false" ht="15" hidden="false" customHeight="false" outlineLevel="0" collapsed="false">
      <c r="A21326" s="5" t="s">
        <v>323</v>
      </c>
      <c r="G21326" s="31" t="n">
        <f aca="false">IF(G21203&gt;0,G21324/G21203,0)</f>
        <v>70.6978241949521</v>
      </c>
      <c r="H21326" s="31" t="n">
        <f aca="false">IF(H21203&gt;0,H21324/H21203,0)</f>
        <v>89.6623128557566</v>
      </c>
      <c r="I21326" s="31" t="n">
        <f aca="false">IF(I21203&gt;0,I21324/I21203,0)</f>
        <v>102.006017980246</v>
      </c>
      <c r="J21326" s="31" t="n">
        <f aca="false">IF(J21203&gt;0,J21324/J21203,0)</f>
        <v>113.234217713133</v>
      </c>
      <c r="K21326" s="31" t="n">
        <f aca="false">IF(K21203&gt;0,K21324/K21203,0)</f>
        <v>124.624351403687</v>
      </c>
    </row>
    <row r="21327" customFormat="false" ht="15" hidden="false" customHeight="false" outlineLevel="0" collapsed="false">
      <c r="A21327" s="5" t="s">
        <v>324</v>
      </c>
      <c r="G21327" s="31" t="n">
        <f aca="false">IF(G21207&gt;0,G21203/G21207,0)</f>
        <v>0.13127677806341</v>
      </c>
      <c r="H21327" s="31" t="n">
        <f aca="false">IF(H21207&gt;0,H21203/H21207,0)</f>
        <v>0.111190805103385</v>
      </c>
      <c r="I21327" s="31" t="n">
        <f aca="false">IF(I21207&gt;0,I21203/I21207,0)</f>
        <v>0.11024648666467</v>
      </c>
      <c r="J21327" s="31" t="n">
        <f aca="false">IF(J21207&gt;0,J21203/J21207,0)</f>
        <v>0.109660569397092</v>
      </c>
      <c r="K21327" s="31" t="n">
        <f aca="false">IF(K21207&gt;0,K21203/K21207,0)</f>
        <v>0.109080209295775</v>
      </c>
    </row>
    <row r="21328" customFormat="false" ht="15" hidden="false" customHeight="false" outlineLevel="0" collapsed="false">
      <c r="A21328" s="5" t="s">
        <v>325</v>
      </c>
      <c r="G21328" s="31" t="n">
        <f aca="false">IF(G21207&gt;0,G21206/G21207,0)</f>
        <v>-0.157532133676093</v>
      </c>
      <c r="H21328" s="31" t="n">
        <f aca="false">IF(H21207&gt;0,H21206/H21207,0)</f>
        <v>-0.133428966124062</v>
      </c>
      <c r="I21328" s="31" t="n">
        <f aca="false">IF(I21207&gt;0,I21206/I21207,0)</f>
        <v>-0.132295783997604</v>
      </c>
      <c r="J21328" s="31" t="n">
        <f aca="false">IF(J21207&gt;0,J21206/J21207,0)</f>
        <v>-0.131592683276511</v>
      </c>
      <c r="K21328" s="31" t="n">
        <f aca="false">IF(K21207&gt;0,K21206/K21207,0)</f>
        <v>-0.13089625115493</v>
      </c>
    </row>
    <row r="21329" customFormat="false" ht="15" hidden="false" customHeight="false" outlineLevel="0" collapsed="false">
      <c r="A21329" s="5" t="s">
        <v>182</v>
      </c>
      <c r="G21329" s="21" t="n">
        <f aca="false">IF(G21322&gt;0,G21216/G21322,0)</f>
        <v>-0.0728692457879796</v>
      </c>
      <c r="H21329" s="21" t="n">
        <f aca="false">IF(H21322&gt;0,H21216/H21322,0)</f>
        <v>-0.103790259903988</v>
      </c>
      <c r="I21329" s="21" t="n">
        <f aca="false">IF(I21322&gt;0,I21216/I21322,0)</f>
        <v>-0.120225197054422</v>
      </c>
      <c r="J21329" s="21" t="n">
        <f aca="false">IF(J21322&gt;0,J21216/J21322,0)</f>
        <v>-0.122478430664567</v>
      </c>
      <c r="K21329" s="21" t="n">
        <f aca="false">IF(K21322&gt;0,K21216/K21322,0)</f>
        <v>-0.122325888357555</v>
      </c>
    </row>
    <row r="21330" customFormat="false" ht="15" hidden="false" customHeight="false" outlineLevel="0" collapsed="false">
      <c r="A21330" s="5" t="s">
        <v>326</v>
      </c>
      <c r="G21330" s="31" t="n">
        <f aca="false">IF(G21207+G21306&gt;0,(G21203-G21214-G21211)/(G21207+G21306),0)</f>
        <v>-0.0759460203800606</v>
      </c>
      <c r="H21330" s="31" t="n">
        <f aca="false">IF(H21207+H21306&gt;0,(H21203-H21214-H21211)/(H21207+H21306),0)</f>
        <v>-0.0643868726775781</v>
      </c>
      <c r="I21330" s="31" t="n">
        <f aca="false">IF(I21207+I21306&gt;0,(I21203-I21214-I21211)/(I21207+I21306),0)</f>
        <v>-0.0638000393994207</v>
      </c>
      <c r="J21330" s="31" t="n">
        <f aca="false">IF(J21207+J21306&gt;0,(J21203-J21214-J21211)/(J21207+J21306),0)</f>
        <v>-0.0634503083935347</v>
      </c>
      <c r="K21330" s="31" t="n">
        <f aca="false">IF(K21207+K21306&gt;0,(K21203-K21214-K21211)/(K21207+K21306),0)</f>
        <v>-0.0631038089376677</v>
      </c>
    </row>
    <row r="21331" customFormat="false" ht="15" hidden="false" customHeight="false" outlineLevel="0" collapsed="false">
      <c r="A21331" s="5" t="s">
        <v>327</v>
      </c>
      <c r="G21331" s="25" t="n">
        <f aca="false">MAX(0,G21315)+Assumptions!$P$53*MAX(0,Assumptions!$D$53-G21240)+Assumptions!$P$54*MAX(0,Assumptions!$D$54-G21253)+Assumptions!$P$55*MAX(0,Assumptions!$D$55-G21266)+Assumptions!$P$56*MAX(0,Assumptions!$D$56-G21279)</f>
        <v>65.0912</v>
      </c>
      <c r="H21331" s="25" t="n">
        <f aca="false">MAX(0,H21315)+Assumptions!$P$53*MAX(0,Assumptions!$D$53-H21240)+Assumptions!$P$54*MAX(0,Assumptions!$D$54-H21253)+Assumptions!$P$55*MAX(0,Assumptions!$D$55-H21266)+Assumptions!$P$56*MAX(0,Assumptions!$D$56-H21279)</f>
        <v>65.0912</v>
      </c>
      <c r="I21331" s="25" t="n">
        <f aca="false">MAX(0,I21315)+Assumptions!$P$53*MAX(0,Assumptions!$D$53-I21240)+Assumptions!$P$54*MAX(0,Assumptions!$D$54-I21253)+Assumptions!$P$55*MAX(0,Assumptions!$D$55-I21266)+Assumptions!$P$56*MAX(0,Assumptions!$D$56-I21279)</f>
        <v>65.0912</v>
      </c>
      <c r="J21331" s="25" t="n">
        <f aca="false">MAX(0,J21315)+Assumptions!$P$53*MAX(0,Assumptions!$D$53-J21240)+Assumptions!$P$54*MAX(0,Assumptions!$D$54-J21253)+Assumptions!$P$55*MAX(0,Assumptions!$D$55-J21266)+Assumptions!$P$56*MAX(0,Assumptions!$D$56-J21279)</f>
        <v>65.0912</v>
      </c>
      <c r="K21331" s="25" t="n">
        <f aca="false">MAX(0,K21315)+Assumptions!$P$53*MAX(0,Assumptions!$D$53-K21240)+Assumptions!$P$54*MAX(0,Assumptions!$D$54-K21253)+Assumptions!$P$55*MAX(0,Assumptions!$D$55-K21266)+Assumptions!$P$56*MAX(0,Assumptions!$D$56-K21279)</f>
        <v>65.0912</v>
      </c>
    </row>
    <row r="21332" customFormat="false" ht="15" hidden="false" customHeight="false" outlineLevel="0" collapsed="false">
      <c r="A21332" s="5" t="s">
        <v>328</v>
      </c>
      <c r="G21332" s="21" t="n">
        <f aca="false">IF(G21322&gt;0,G21322/(G21322+MAX(0,G21203*CHOOSE($C$21186,Assumptions!$C$76,Assumptions!$C$95,Assumptions!$C$114)-G21324)),0)</f>
        <v>1</v>
      </c>
      <c r="H21332" s="21" t="n">
        <f aca="false">IF(H21322&gt;0,H21322/(H21322+MAX(0,H21203*CHOOSE($C$21186,Assumptions!$C$76,Assumptions!$C$95,Assumptions!$C$114)-H21324)),0)</f>
        <v>1</v>
      </c>
      <c r="I21332" s="21" t="n">
        <f aca="false">IF(I21322&gt;0,I21322/(I21322+MAX(0,I21203*CHOOSE($C$21186,Assumptions!$C$76,Assumptions!$C$95,Assumptions!$C$114)-I21324)),0)</f>
        <v>1</v>
      </c>
      <c r="J21332" s="21" t="n">
        <f aca="false">IF(J21322&gt;0,J21322/(J21322+MAX(0,J21203*CHOOSE($C$21186,Assumptions!$C$76,Assumptions!$C$95,Assumptions!$C$114)-J21324)),0)</f>
        <v>1</v>
      </c>
      <c r="K21332" s="21" t="n">
        <f aca="false">IF(K21322&gt;0,K21322/(K21322+MAX(0,K21203*CHOOSE($C$21186,Assumptions!$C$76,Assumptions!$C$95,Assumptions!$C$114)-K21324)),0)</f>
        <v>1</v>
      </c>
    </row>
    <row r="21333" customFormat="false" ht="15" hidden="false" customHeight="false" outlineLevel="0" collapsed="false">
      <c r="A21333" s="5" t="s">
        <v>329</v>
      </c>
      <c r="G21333" s="21" t="n">
        <f aca="false">IF(G21322&gt;0,MAX(0,G21315)/G21322,0)</f>
        <v>0</v>
      </c>
      <c r="H21333" s="21" t="n">
        <f aca="false">IF(H21322&gt;0,MAX(0,H21315)/H21322,0)</f>
        <v>0</v>
      </c>
      <c r="I21333" s="21" t="n">
        <f aca="false">IF(I21322&gt;0,MAX(0,I21315)/I21322,0)</f>
        <v>0</v>
      </c>
      <c r="J21333" s="21" t="n">
        <f aca="false">IF(J21322&gt;0,MAX(0,J21315)/J21322,0)</f>
        <v>0</v>
      </c>
      <c r="K21333" s="21" t="n">
        <f aca="false">IF(K21322&gt;0,MAX(0,K21315)/K21322,0)</f>
        <v>0</v>
      </c>
    </row>
    <row r="21334" customFormat="false" ht="15" hidden="false" customHeight="false" outlineLevel="0" collapsed="false">
      <c r="A21334" s="5" t="s">
        <v>330</v>
      </c>
      <c r="G21334" s="25" t="n">
        <f aca="false">Assumptions!$C$27*(1-CHOOSE($C$21186,Assumptions!$C$79,Assumptions!$C$98,Assumptions!$C$117))</f>
        <v>676</v>
      </c>
      <c r="H21334" s="25" t="n">
        <f aca="false">Assumptions!$C$27*(1-CHOOSE($C$21186,Assumptions!$C$79,Assumptions!$C$98,Assumptions!$C$117))</f>
        <v>676</v>
      </c>
      <c r="I21334" s="25" t="n">
        <f aca="false">Assumptions!$C$27*(1-CHOOSE($C$21186,Assumptions!$C$79,Assumptions!$C$98,Assumptions!$C$117))</f>
        <v>676</v>
      </c>
      <c r="J21334" s="25" t="n">
        <f aca="false">Assumptions!$C$27*(1-CHOOSE($C$21186,Assumptions!$C$79,Assumptions!$C$98,Assumptions!$C$117))</f>
        <v>676</v>
      </c>
      <c r="K21334" s="25" t="n">
        <f aca="false">Assumptions!$C$27*(1-CHOOSE($C$21186,Assumptions!$C$79,Assumptions!$C$98,Assumptions!$C$117))</f>
        <v>676</v>
      </c>
    </row>
    <row r="21335" customFormat="false" ht="15" hidden="false" customHeight="false" outlineLevel="0" collapsed="false">
      <c r="A21335" s="23" t="s">
        <v>331</v>
      </c>
      <c r="B21335" s="24"/>
      <c r="C21335" s="24"/>
      <c r="D21335" s="24"/>
      <c r="E21335" s="24"/>
      <c r="F21335" s="24"/>
      <c r="G21335" s="24"/>
      <c r="H21335" s="24"/>
      <c r="I21335" s="24"/>
      <c r="J21335" s="24"/>
      <c r="K21335" s="24"/>
    </row>
    <row r="21336" customFormat="false" ht="15" hidden="false" customHeight="false" outlineLevel="0" collapsed="false">
      <c r="A21336" s="23" t="s">
        <v>332</v>
      </c>
      <c r="B21336" s="24"/>
      <c r="C21336" s="24"/>
      <c r="D21336" s="24"/>
      <c r="E21336" s="24"/>
      <c r="F21336" s="24"/>
      <c r="G21336" s="24"/>
      <c r="H21336" s="24"/>
      <c r="I21336" s="24"/>
      <c r="J21336" s="24"/>
      <c r="K21336" s="24"/>
    </row>
    <row r="21337" customFormat="false" ht="15" hidden="false" customHeight="false" outlineLevel="0" collapsed="false">
      <c r="A21337" s="5" t="s">
        <v>333</v>
      </c>
      <c r="G21337" s="31" t="n">
        <f aca="false">IF(G21203&gt;0,G21324/G21203,99)</f>
        <v>70.6978241949521</v>
      </c>
      <c r="H21337" s="31" t="n">
        <f aca="false">IF(H21203&gt;0,H21324/H21203,99)</f>
        <v>89.6623128557566</v>
      </c>
      <c r="I21337" s="31" t="n">
        <f aca="false">IF(I21203&gt;0,I21324/I21203,99)</f>
        <v>102.006017980246</v>
      </c>
      <c r="J21337" s="31" t="n">
        <f aca="false">IF(J21203&gt;0,J21324/J21203,99)</f>
        <v>113.234217713133</v>
      </c>
      <c r="K21337" s="31" t="n">
        <f aca="false">IF(K21203&gt;0,K21324/K21203,99)</f>
        <v>124.624351403687</v>
      </c>
    </row>
    <row r="21338" customFormat="false" ht="15" hidden="false" customHeight="false" outlineLevel="0" collapsed="false">
      <c r="A21338" s="5" t="s">
        <v>334</v>
      </c>
      <c r="G21338" s="32" t="n">
        <f aca="false">Assumptions!$G$61</f>
        <v>8.5</v>
      </c>
      <c r="H21338" s="32" t="n">
        <f aca="false">Assumptions!$H$61</f>
        <v>8.5</v>
      </c>
      <c r="I21338" s="32" t="n">
        <f aca="false">Assumptions!$I$61</f>
        <v>8.5</v>
      </c>
      <c r="J21338" s="32" t="n">
        <f aca="false">Assumptions!$J$61</f>
        <v>8.5</v>
      </c>
      <c r="K21338" s="32" t="n">
        <f aca="false">Assumptions!$K$61</f>
        <v>8.5</v>
      </c>
    </row>
    <row r="21339" customFormat="false" ht="15" hidden="false" customHeight="false" outlineLevel="0" collapsed="false">
      <c r="A21339" s="5" t="s">
        <v>335</v>
      </c>
      <c r="G21339" s="31" t="n">
        <f aca="false">G21338-G21337</f>
        <v>-62.1978241949521</v>
      </c>
      <c r="H21339" s="31" t="n">
        <f aca="false">H21338-H21337</f>
        <v>-81.1623128557566</v>
      </c>
      <c r="I21339" s="31" t="n">
        <f aca="false">I21338-I21337</f>
        <v>-93.5060179802461</v>
      </c>
      <c r="J21339" s="31" t="n">
        <f aca="false">J21338-J21337</f>
        <v>-104.734217713133</v>
      </c>
      <c r="K21339" s="31" t="n">
        <f aca="false">K21338-K21337</f>
        <v>-116.124351403687</v>
      </c>
    </row>
    <row r="21340" customFormat="false" ht="15" hidden="false" customHeight="false" outlineLevel="0" collapsed="false">
      <c r="A21340" s="5" t="s">
        <v>336</v>
      </c>
      <c r="G21340" s="21" t="n">
        <f aca="false">IF(G21338=0,0,G21339/ABS(G21338))</f>
        <v>-7.31739108175907</v>
      </c>
      <c r="H21340" s="21" t="n">
        <f aca="false">IF(H21338=0,0,H21339/ABS(H21338))</f>
        <v>-9.5485073947949</v>
      </c>
      <c r="I21340" s="21" t="n">
        <f aca="false">IF(I21338=0,0,I21339/ABS(I21338))</f>
        <v>-11.000707997676</v>
      </c>
      <c r="J21340" s="21" t="n">
        <f aca="false">IF(J21338=0,0,J21339/ABS(J21338))</f>
        <v>-12.3216726721333</v>
      </c>
      <c r="K21340" s="21" t="n">
        <f aca="false">IF(K21338=0,0,K21339/ABS(K21338))</f>
        <v>-13.6616884004338</v>
      </c>
    </row>
    <row r="21341" customFormat="false" ht="15" hidden="false" customHeight="false" outlineLevel="0" collapsed="false">
      <c r="A21341" s="5" t="s">
        <v>337</v>
      </c>
      <c r="G21341" s="20" t="n">
        <f aca="false">IF(G21339&lt;0,1,0)</f>
        <v>1</v>
      </c>
      <c r="H21341" s="20" t="n">
        <f aca="false">IF(H21339&lt;0,1,0)</f>
        <v>1</v>
      </c>
      <c r="I21341" s="20" t="n">
        <f aca="false">IF(I21339&lt;0,1,0)</f>
        <v>1</v>
      </c>
      <c r="J21341" s="20" t="n">
        <f aca="false">IF(J21339&lt;0,1,0)</f>
        <v>1</v>
      </c>
      <c r="K21341" s="20" t="n">
        <f aca="false">IF(K21339&lt;0,1,0)</f>
        <v>1</v>
      </c>
    </row>
    <row r="21342" customFormat="false" ht="15" hidden="false" customHeight="false" outlineLevel="0" collapsed="false">
      <c r="A21342" s="5" t="s">
        <v>338</v>
      </c>
      <c r="C21342" s="20" t="n">
        <f aca="false">IFERROR(INDEX($G$21193:$K$21193,MATCH(1,$G$21341:$K$21341,0)),0)</f>
        <v>2026</v>
      </c>
    </row>
    <row r="21343" customFormat="false" ht="15" hidden="false" customHeight="false" outlineLevel="0" collapsed="false">
      <c r="A21343" s="5" t="s">
        <v>339</v>
      </c>
      <c r="C21343" s="21" t="n">
        <f aca="false">MIN($G$21340:$K$21340)</f>
        <v>-13.6616884004338</v>
      </c>
    </row>
    <row r="21344" customFormat="false" ht="15" hidden="false" customHeight="false" outlineLevel="0" collapsed="false">
      <c r="A21344" s="5" t="s">
        <v>340</v>
      </c>
      <c r="G21344" s="20" t="n">
        <f aca="false">G21341</f>
        <v>1</v>
      </c>
      <c r="H21344" s="20" t="n">
        <f aca="false">H21341</f>
        <v>1</v>
      </c>
      <c r="I21344" s="20" t="n">
        <f aca="false">I21341</f>
        <v>1</v>
      </c>
      <c r="J21344" s="20" t="n">
        <f aca="false">J21341</f>
        <v>1</v>
      </c>
      <c r="K21344" s="20" t="n">
        <f aca="false">K21341</f>
        <v>1</v>
      </c>
    </row>
    <row r="21345" customFormat="false" ht="15" hidden="false" customHeight="false" outlineLevel="0" collapsed="false">
      <c r="A21345" s="5" t="s">
        <v>341</v>
      </c>
      <c r="C21345" s="20" t="n">
        <f aca="false">SUM($G$21344:$K$21344)</f>
        <v>5</v>
      </c>
    </row>
    <row r="21346" customFormat="false" ht="15" hidden="false" customHeight="false" outlineLevel="0" collapsed="false">
      <c r="A21346" s="5" t="s">
        <v>342</v>
      </c>
      <c r="C21346" s="21" t="n">
        <f aca="false">MIN(C21343)</f>
        <v>-13.6616884004338</v>
      </c>
    </row>
    <row r="21348" customFormat="false" ht="15" hidden="false" customHeight="false" outlineLevel="0" collapsed="false">
      <c r="A21348" s="23" t="s">
        <v>444</v>
      </c>
      <c r="B21348" s="24"/>
      <c r="C21348" s="24"/>
      <c r="D21348" s="24"/>
      <c r="E21348" s="24"/>
      <c r="F21348" s="24"/>
      <c r="G21348" s="24"/>
      <c r="H21348" s="24"/>
      <c r="I21348" s="24"/>
      <c r="J21348" s="24"/>
      <c r="K21348" s="24"/>
    </row>
    <row r="21349" customFormat="false" ht="15" hidden="false" customHeight="false" outlineLevel="0" collapsed="false">
      <c r="A21349" s="5" t="s">
        <v>445</v>
      </c>
      <c r="G21349" s="20" t="n">
        <f aca="false">IF($C$21350=1,G21318,IF(G21203=MIN($G$21203:$K$21203),1,0))</f>
        <v>0</v>
      </c>
      <c r="H21349" s="20" t="n">
        <f aca="false">IF($C$21350=1,H21318,IF(AND(H21203=MIN($G$21203:$K$21203),SUM($G$21349:G21349)=0),1,0))</f>
        <v>1</v>
      </c>
      <c r="I21349" s="20" t="n">
        <f aca="false">IF($C$21350=1,I21318,IF(AND(I21203=MIN($G$21203:$K$21203),SUM($G$21349:H21349)=0),1,0))</f>
        <v>0</v>
      </c>
      <c r="J21349" s="20" t="n">
        <f aca="false">IF($C$21350=1,J21318,IF(AND(J21203=MIN($G$21203:$K$21203),SUM($G$21349:I21349)=0),1,0))</f>
        <v>0</v>
      </c>
      <c r="K21349" s="20" t="n">
        <f aca="false">IF($C$21350=1,K21318,IF(AND(K21203=MIN($G$21203:$K$21203),SUM($G$21349:J21349)=0),1,0))</f>
        <v>0</v>
      </c>
    </row>
    <row r="21350" customFormat="false" ht="15" hidden="false" customHeight="false" outlineLevel="0" collapsed="false">
      <c r="A21350" s="5" t="s">
        <v>446</v>
      </c>
      <c r="C21350" s="20" t="n">
        <f aca="false">IF(SUM($G$21318:$K$21318)&gt;0,1,0)</f>
        <v>1</v>
      </c>
    </row>
    <row r="21351" customFormat="false" ht="15" hidden="false" customHeight="false" outlineLevel="0" collapsed="false">
      <c r="A21351" s="5" t="s">
        <v>447</v>
      </c>
      <c r="C21351" s="20" t="n">
        <f aca="false">SUMPRODUCT($G$21349:$K$21349,$G$21193:$K$21193)</f>
        <v>2027</v>
      </c>
    </row>
    <row r="21352" customFormat="false" ht="15" hidden="false" customHeight="false" outlineLevel="0" collapsed="false">
      <c r="A21352" s="5" t="s">
        <v>448</v>
      </c>
      <c r="C21352" s="25" t="n">
        <f aca="false">SUMPRODUCT($G$21349:$K$21349,$G$21203:$K$21203)</f>
        <v>15.99408</v>
      </c>
    </row>
    <row r="21353" customFormat="false" ht="15" hidden="false" customHeight="false" outlineLevel="0" collapsed="false">
      <c r="A21353" s="5" t="s">
        <v>449</v>
      </c>
      <c r="C21353" s="25" t="n">
        <f aca="false">MAX(0,SUMPRODUCT($G$21349:$K$21349,$G$21315:$K$21315))</f>
        <v>0</v>
      </c>
    </row>
    <row r="21354" customFormat="false" ht="15" hidden="false" customHeight="false" outlineLevel="0" collapsed="false">
      <c r="A21354" s="5" t="s">
        <v>450</v>
      </c>
      <c r="C21354" s="25" t="n">
        <f aca="false">(CHOOSE($C$21186,Assumptions!$C$78,Assumptions!$C$97,Assumptions!$C$116)+$C$21190)*C21352</f>
        <v>63.97632</v>
      </c>
    </row>
    <row r="21355" customFormat="false" ht="15" hidden="false" customHeight="false" outlineLevel="0" collapsed="false">
      <c r="A21355" s="5" t="s">
        <v>451</v>
      </c>
      <c r="C21355" s="25" t="n">
        <f aca="false">Assumptions!$C$27*(1-CHOOSE($C$21186,Assumptions!$C$79,Assumptions!$C$98,Assumptions!$C$117))*CHOOSE($C$21186,Assumptions!$C$80,Assumptions!$C$99,Assumptions!$C$118)</f>
        <v>405.6</v>
      </c>
    </row>
    <row r="21356" customFormat="false" ht="15" hidden="false" customHeight="false" outlineLevel="0" collapsed="false">
      <c r="A21356" s="5" t="s">
        <v>452</v>
      </c>
      <c r="C21356" s="25" t="n">
        <f aca="false">MAX(C21354,C21355)+C21353</f>
        <v>405.6</v>
      </c>
    </row>
    <row r="21357" customFormat="false" ht="15" hidden="false" customHeight="false" outlineLevel="0" collapsed="false">
      <c r="A21357" s="2" t="s">
        <v>453</v>
      </c>
      <c r="C21357" s="16" t="n">
        <f aca="false">IF(ISNUMBER(Assumptions!$C$14),Assumptions!$C$14,C21356)</f>
        <v>405.6</v>
      </c>
    </row>
    <row r="21358" customFormat="false" ht="15" hidden="false" customHeight="false" outlineLevel="0" collapsed="false">
      <c r="A21358" s="5" t="s">
        <v>454</v>
      </c>
      <c r="C21358" s="25" t="n">
        <f aca="false">C21357*Assumptions!$C$15</f>
        <v>16.224</v>
      </c>
    </row>
    <row r="21359" customFormat="false" ht="15" hidden="false" customHeight="false" outlineLevel="0" collapsed="false">
      <c r="A21359" s="2" t="s">
        <v>455</v>
      </c>
      <c r="C21359" s="16" t="n">
        <f aca="false">C21357-C21358</f>
        <v>389.376</v>
      </c>
    </row>
    <row r="21360" customFormat="false" ht="15" hidden="false" customHeight="false" outlineLevel="0" collapsed="false">
      <c r="A21360" s="23" t="s">
        <v>456</v>
      </c>
      <c r="B21360" s="24"/>
      <c r="C21360" s="24"/>
      <c r="D21360" s="24"/>
      <c r="E21360" s="24"/>
      <c r="F21360" s="24"/>
      <c r="G21360" s="24"/>
      <c r="H21360" s="24"/>
      <c r="I21360" s="24"/>
      <c r="J21360" s="24"/>
      <c r="K21360" s="24"/>
    </row>
    <row r="21361" customFormat="false" ht="15" hidden="false" customHeight="false" outlineLevel="0" collapsed="false">
      <c r="A21361" s="5" t="s">
        <v>457</v>
      </c>
      <c r="C21361" s="25" t="n">
        <f aca="false">SUMPRODUCT($G$21349:$K$21349,$G$21240:$K$21240)*(1+SUMPRODUCT($G$21349:$K$21349,$G$21232:$K$21232)*Assumptions!$C$16/12)</f>
        <v>241.5743372</v>
      </c>
    </row>
    <row r="21362" customFormat="false" ht="15" hidden="false" customHeight="false" outlineLevel="0" collapsed="false">
      <c r="A21362" s="5" t="s">
        <v>458</v>
      </c>
      <c r="C21362" s="25" t="n">
        <f aca="false">SUMPRODUCT($G$21349:$K$21349,$G$21253:$K$21253)*(1+SUMPRODUCT($G$21349:$K$21349,$G$21245:$K$21245)*Assumptions!$C$16/12)</f>
        <v>526.2257</v>
      </c>
    </row>
    <row r="21363" customFormat="false" ht="15" hidden="false" customHeight="false" outlineLevel="0" collapsed="false">
      <c r="A21363" s="5" t="s">
        <v>459</v>
      </c>
      <c r="C21363" s="25" t="n">
        <f aca="false">SUMPRODUCT($G$21349:$K$21349,$G$21266:$K$21266)*(1+SUMPRODUCT($G$21349:$K$21349,$G$21258:$K$21258)*Assumptions!$C$16/12)</f>
        <v>256.875</v>
      </c>
    </row>
    <row r="21364" customFormat="false" ht="15" hidden="false" customHeight="false" outlineLevel="0" collapsed="false">
      <c r="A21364" s="5" t="s">
        <v>460</v>
      </c>
      <c r="C21364" s="25" t="n">
        <f aca="false">SUMPRODUCT($G$21349:$K$21349,$G$21279:$K$21279)*(1+SUMPRODUCT($G$21349:$K$21349,$G$21271:$K$21271)*Assumptions!$C$16/12)</f>
        <v>305.625</v>
      </c>
    </row>
    <row r="21365" customFormat="false" ht="15" hidden="false" customHeight="false" outlineLevel="0" collapsed="false">
      <c r="A21365" s="23" t="s">
        <v>461</v>
      </c>
      <c r="B21365" s="24"/>
      <c r="C21365" s="24"/>
      <c r="D21365" s="24"/>
      <c r="E21365" s="24"/>
      <c r="F21365" s="24"/>
      <c r="G21365" s="24"/>
      <c r="H21365" s="24"/>
      <c r="I21365" s="24"/>
      <c r="J21365" s="24"/>
      <c r="K21365" s="24"/>
    </row>
    <row r="21366" customFormat="false" ht="15" hidden="false" customHeight="false" outlineLevel="0" collapsed="false">
      <c r="A21366" s="5" t="s">
        <v>457</v>
      </c>
      <c r="C21366" s="26" t="n">
        <f aca="false">Assumptions!$M$53</f>
        <v>1</v>
      </c>
    </row>
    <row r="21367" customFormat="false" ht="15" hidden="false" customHeight="false" outlineLevel="0" collapsed="false">
      <c r="A21367" s="5" t="s">
        <v>458</v>
      </c>
      <c r="C21367" s="26" t="n">
        <f aca="false">Assumptions!$M$54</f>
        <v>2</v>
      </c>
    </row>
    <row r="21368" customFormat="false" ht="15" hidden="false" customHeight="false" outlineLevel="0" collapsed="false">
      <c r="A21368" s="5" t="s">
        <v>459</v>
      </c>
      <c r="C21368" s="26" t="n">
        <f aca="false">Assumptions!$M$55</f>
        <v>3</v>
      </c>
    </row>
    <row r="21369" customFormat="false" ht="15" hidden="false" customHeight="false" outlineLevel="0" collapsed="false">
      <c r="A21369" s="5" t="s">
        <v>460</v>
      </c>
      <c r="C21369" s="26" t="n">
        <f aca="false">Assumptions!$M$56</f>
        <v>4</v>
      </c>
    </row>
    <row r="21370" customFormat="false" ht="15" hidden="false" customHeight="false" outlineLevel="0" collapsed="false">
      <c r="A21370" s="23" t="s">
        <v>462</v>
      </c>
      <c r="B21370" s="24"/>
      <c r="C21370" s="24"/>
      <c r="D21370" s="24"/>
      <c r="E21370" s="24"/>
      <c r="F21370" s="24"/>
      <c r="G21370" s="24"/>
      <c r="H21370" s="24"/>
      <c r="I21370" s="24"/>
      <c r="J21370" s="24"/>
      <c r="K21370" s="24"/>
    </row>
    <row r="21371" customFormat="false" ht="15" hidden="false" customHeight="false" outlineLevel="0" collapsed="false">
      <c r="A21371" s="5" t="s">
        <v>457</v>
      </c>
      <c r="C21371" s="34" t="n">
        <f aca="false">Assumptions!$Q$53</f>
        <v>0</v>
      </c>
    </row>
    <row r="21372" customFormat="false" ht="15" hidden="false" customHeight="false" outlineLevel="0" collapsed="false">
      <c r="A21372" s="5" t="s">
        <v>458</v>
      </c>
      <c r="C21372" s="34" t="n">
        <f aca="false">Assumptions!$Q$54</f>
        <v>0</v>
      </c>
    </row>
    <row r="21373" customFormat="false" ht="15" hidden="false" customHeight="false" outlineLevel="0" collapsed="false">
      <c r="A21373" s="5" t="s">
        <v>459</v>
      </c>
      <c r="C21373" s="34" t="n">
        <f aca="false">Assumptions!$Q$55</f>
        <v>0</v>
      </c>
    </row>
    <row r="21374" customFormat="false" ht="15" hidden="false" customHeight="false" outlineLevel="0" collapsed="false">
      <c r="A21374" s="5" t="s">
        <v>460</v>
      </c>
      <c r="C21374" s="34" t="n">
        <f aca="false">Assumptions!$Q$56</f>
        <v>0</v>
      </c>
    </row>
    <row r="21375" customFormat="false" ht="15" hidden="false" customHeight="false" outlineLevel="0" collapsed="false">
      <c r="A21375" s="23" t="s">
        <v>463</v>
      </c>
      <c r="B21375" s="24"/>
      <c r="C21375" s="24"/>
      <c r="D21375" s="24"/>
      <c r="E21375" s="24"/>
      <c r="F21375" s="24"/>
      <c r="G21375" s="24"/>
      <c r="H21375" s="24"/>
      <c r="I21375" s="24"/>
      <c r="J21375" s="24"/>
      <c r="K21375" s="24"/>
    </row>
    <row r="21376" customFormat="false" ht="15" hidden="false" customHeight="false" outlineLevel="0" collapsed="false">
      <c r="A21376" s="5" t="s">
        <v>457</v>
      </c>
      <c r="C21376" s="25" t="n">
        <f aca="false">IF(C21371&gt;0,MIN(C21361,C21371*$C$21359),0)</f>
        <v>0</v>
      </c>
    </row>
    <row r="21377" customFormat="false" ht="15" hidden="false" customHeight="false" outlineLevel="0" collapsed="false">
      <c r="A21377" s="5" t="s">
        <v>458</v>
      </c>
      <c r="C21377" s="25" t="n">
        <f aca="false">IF(C21372&gt;0,MIN(C21362,C21372*$C$21359),0)</f>
        <v>0</v>
      </c>
    </row>
    <row r="21378" customFormat="false" ht="15" hidden="false" customHeight="false" outlineLevel="0" collapsed="false">
      <c r="A21378" s="5" t="s">
        <v>459</v>
      </c>
      <c r="C21378" s="25" t="n">
        <f aca="false">IF(C21373&gt;0,MIN(C21363,C21373*$C$21359),0)</f>
        <v>0</v>
      </c>
    </row>
    <row r="21379" customFormat="false" ht="15" hidden="false" customHeight="false" outlineLevel="0" collapsed="false">
      <c r="A21379" s="5" t="s">
        <v>460</v>
      </c>
      <c r="C21379" s="25" t="n">
        <f aca="false">IF(C21374&gt;0,MIN(C21364,C21374*$C$21359),0)</f>
        <v>0</v>
      </c>
    </row>
    <row r="21380" customFormat="false" ht="15" hidden="false" customHeight="false" outlineLevel="0" collapsed="false">
      <c r="A21380" s="23" t="s">
        <v>464</v>
      </c>
      <c r="B21380" s="24"/>
      <c r="C21380" s="24"/>
      <c r="D21380" s="24"/>
      <c r="E21380" s="24"/>
      <c r="F21380" s="24"/>
      <c r="G21380" s="24"/>
      <c r="H21380" s="24"/>
      <c r="I21380" s="24"/>
      <c r="J21380" s="24"/>
      <c r="K21380" s="24"/>
    </row>
    <row r="21381" customFormat="false" ht="15" hidden="false" customHeight="false" outlineLevel="0" collapsed="false">
      <c r="A21381" s="5" t="s">
        <v>457</v>
      </c>
      <c r="C21381" s="25" t="n">
        <f aca="false">IF(C21371&gt;0,C21361-C21376,0)</f>
        <v>0</v>
      </c>
      <c r="G21381" s="20" t="n">
        <f aca="false">IF(AND(G21230=1,G21227=1),1,0)</f>
        <v>0</v>
      </c>
      <c r="H21381" s="20" t="n">
        <f aca="false">IF(G21381=1,1,IF(AND(H21230=1,H21227=1),1,0))</f>
        <v>0</v>
      </c>
      <c r="I21381" s="20" t="n">
        <f aca="false">IF(H21381=1,1,IF(AND(I21230=1,I21227=1),1,0))</f>
        <v>0</v>
      </c>
      <c r="J21381" s="20" t="n">
        <f aca="false">IF(I21381=1,1,IF(AND(J21230=1,J21227=1),1,0))</f>
        <v>0</v>
      </c>
      <c r="K21381" s="20" t="n">
        <f aca="false">IF(J21381=1,1,IF(AND(K21230=1,K21227=1),1,0))</f>
        <v>0</v>
      </c>
    </row>
    <row r="21382" customFormat="false" ht="15" hidden="false" customHeight="false" outlineLevel="0" collapsed="false">
      <c r="A21382" s="5" t="s">
        <v>458</v>
      </c>
      <c r="C21382" s="25" t="n">
        <f aca="false">IF(C21372&gt;0,C21362-C21377,0)</f>
        <v>0</v>
      </c>
      <c r="G21382" s="20" t="n">
        <f aca="false">IF(AND(G21243=1,G21227=1),1,0)</f>
        <v>0</v>
      </c>
      <c r="H21382" s="20" t="n">
        <f aca="false">IF(G21382=1,1,IF(AND(H21243=1,H21227=1),1,0))</f>
        <v>0</v>
      </c>
      <c r="I21382" s="20" t="n">
        <f aca="false">IF(H21382=1,1,IF(AND(I21243=1,I21227=1),1,0))</f>
        <v>0</v>
      </c>
      <c r="J21382" s="20" t="n">
        <f aca="false">IF(I21382=1,1,IF(AND(J21243=1,J21227=1),1,0))</f>
        <v>0</v>
      </c>
      <c r="K21382" s="20" t="n">
        <f aca="false">IF(J21382=1,1,IF(AND(K21243=1,K21227=1),1,0))</f>
        <v>0</v>
      </c>
    </row>
    <row r="21383" customFormat="false" ht="15" hidden="false" customHeight="false" outlineLevel="0" collapsed="false">
      <c r="A21383" s="5" t="s">
        <v>459</v>
      </c>
      <c r="C21383" s="25" t="n">
        <f aca="false">IF(C21373&gt;0,C21363-C21378,0)</f>
        <v>0</v>
      </c>
      <c r="G21383" s="20" t="n">
        <f aca="false">IF(AND(G21256=1,G21227=1),1,0)</f>
        <v>0</v>
      </c>
      <c r="H21383" s="20" t="n">
        <f aca="false">IF(G21383=1,1,IF(AND(H21256=1,H21227=1),1,0))</f>
        <v>0</v>
      </c>
      <c r="I21383" s="20" t="n">
        <f aca="false">IF(H21383=1,1,IF(AND(I21256=1,I21227=1),1,0))</f>
        <v>0</v>
      </c>
      <c r="J21383" s="20" t="n">
        <f aca="false">IF(I21383=1,1,IF(AND(J21256=1,J21227=1),1,0))</f>
        <v>0</v>
      </c>
      <c r="K21383" s="20" t="n">
        <f aca="false">IF(J21383=1,1,IF(AND(K21256=1,K21227=1),1,0))</f>
        <v>0</v>
      </c>
    </row>
    <row r="21384" customFormat="false" ht="15" hidden="false" customHeight="false" outlineLevel="0" collapsed="false">
      <c r="A21384" s="5" t="s">
        <v>460</v>
      </c>
      <c r="C21384" s="25" t="n">
        <f aca="false">IF(C21374&gt;0,C21364-C21379,0)</f>
        <v>0</v>
      </c>
      <c r="G21384" s="20" t="n">
        <f aca="false">IF(AND(G21269=1,G21227=1),1,0)</f>
        <v>0</v>
      </c>
      <c r="H21384" s="20" t="n">
        <f aca="false">IF(G21384=1,1,IF(AND(H21269=1,H21227=1),1,0))</f>
        <v>0</v>
      </c>
      <c r="I21384" s="20" t="n">
        <f aca="false">IF(H21384=1,1,IF(AND(I21269=1,I21227=1),1,0))</f>
        <v>0</v>
      </c>
      <c r="J21384" s="20" t="n">
        <f aca="false">IF(I21384=1,1,IF(AND(J21269=1,J21227=1),1,0))</f>
        <v>0</v>
      </c>
      <c r="K21384" s="20" t="n">
        <f aca="false">IF(J21384=1,1,IF(AND(K21269=1,K21227=1),1,0))</f>
        <v>0</v>
      </c>
    </row>
    <row r="21385" customFormat="false" ht="15" hidden="false" customHeight="false" outlineLevel="0" collapsed="false">
      <c r="A21385" s="23" t="s">
        <v>465</v>
      </c>
      <c r="B21385" s="24"/>
      <c r="C21385" s="24"/>
      <c r="D21385" s="24"/>
      <c r="E21385" s="24"/>
      <c r="F21385" s="24"/>
      <c r="G21385" s="24"/>
      <c r="H21385" s="24"/>
      <c r="I21385" s="24"/>
      <c r="J21385" s="24"/>
      <c r="K21385" s="24"/>
    </row>
    <row r="21386" customFormat="false" ht="15" hidden="false" customHeight="false" outlineLevel="0" collapsed="false">
      <c r="A21386" s="5" t="s">
        <v>457</v>
      </c>
      <c r="C21386" s="25" t="n">
        <f aca="false">IF(C21371&gt;0,C21381,C21361)</f>
        <v>241.5743372</v>
      </c>
    </row>
    <row r="21387" customFormat="false" ht="15" hidden="false" customHeight="false" outlineLevel="0" collapsed="false">
      <c r="A21387" s="5" t="s">
        <v>458</v>
      </c>
      <c r="C21387" s="25" t="n">
        <f aca="false">IF(C21372&gt;0,C21382,C21362)</f>
        <v>526.2257</v>
      </c>
    </row>
    <row r="21388" customFormat="false" ht="15" hidden="false" customHeight="false" outlineLevel="0" collapsed="false">
      <c r="A21388" s="5" t="s">
        <v>459</v>
      </c>
      <c r="C21388" s="25" t="n">
        <f aca="false">IF(C21373&gt;0,C21383,C21363)</f>
        <v>256.875</v>
      </c>
    </row>
    <row r="21389" customFormat="false" ht="15" hidden="false" customHeight="false" outlineLevel="0" collapsed="false">
      <c r="A21389" s="5" t="s">
        <v>460</v>
      </c>
      <c r="C21389" s="25" t="n">
        <f aca="false">IF(C21374&gt;0,C21384,C21364)</f>
        <v>305.625</v>
      </c>
    </row>
    <row r="21390" customFormat="false" ht="15" hidden="false" customHeight="false" outlineLevel="0" collapsed="false">
      <c r="A21390" s="23" t="s">
        <v>466</v>
      </c>
      <c r="B21390" s="24"/>
      <c r="C21390" s="24"/>
      <c r="D21390" s="24"/>
      <c r="E21390" s="24"/>
      <c r="F21390" s="24"/>
      <c r="G21390" s="24"/>
      <c r="H21390" s="24"/>
      <c r="I21390" s="24"/>
      <c r="J21390" s="24"/>
      <c r="K21390" s="24"/>
    </row>
    <row r="21391" customFormat="false" ht="15" hidden="false" customHeight="false" outlineLevel="0" collapsed="false">
      <c r="A21391" s="5" t="s">
        <v>457</v>
      </c>
      <c r="C21391" s="20" t="n">
        <f aca="false">IF(C21371&gt;0,Assumptions!$C$17,C21366)</f>
        <v>1</v>
      </c>
    </row>
    <row r="21392" customFormat="false" ht="15" hidden="false" customHeight="false" outlineLevel="0" collapsed="false">
      <c r="A21392" s="5" t="s">
        <v>458</v>
      </c>
      <c r="C21392" s="20" t="n">
        <f aca="false">IF(C21372&gt;0,Assumptions!$C$17,C21367)</f>
        <v>2</v>
      </c>
    </row>
    <row r="21393" customFormat="false" ht="15" hidden="false" customHeight="false" outlineLevel="0" collapsed="false">
      <c r="A21393" s="5" t="s">
        <v>459</v>
      </c>
      <c r="C21393" s="20" t="n">
        <f aca="false">IF(C21373&gt;0,Assumptions!$C$17,C21368)</f>
        <v>3</v>
      </c>
    </row>
    <row r="21394" customFormat="false" ht="15" hidden="false" customHeight="false" outlineLevel="0" collapsed="false">
      <c r="A21394" s="5" t="s">
        <v>460</v>
      </c>
      <c r="C21394" s="20" t="n">
        <f aca="false">IF(C21374&gt;0,Assumptions!$C$17,C21369)</f>
        <v>4</v>
      </c>
    </row>
    <row r="21395" customFormat="false" ht="15" hidden="false" customHeight="false" outlineLevel="0" collapsed="false">
      <c r="A21395" s="23" t="s">
        <v>467</v>
      </c>
      <c r="B21395" s="24"/>
      <c r="C21395" s="24"/>
      <c r="D21395" s="24"/>
      <c r="E21395" s="24"/>
      <c r="F21395" s="24"/>
      <c r="G21395" s="24"/>
      <c r="H21395" s="24"/>
      <c r="I21395" s="24"/>
      <c r="J21395" s="24"/>
      <c r="K21395" s="24"/>
    </row>
    <row r="21396" customFormat="false" ht="15" hidden="false" customHeight="false" outlineLevel="0" collapsed="false">
      <c r="A21396" s="5" t="s">
        <v>457</v>
      </c>
      <c r="C21396" s="25" t="n">
        <f aca="false">SUMPRODUCT(($C$21391:$C$21394&lt;C21391)*$C$21386:$C$21389)</f>
        <v>0</v>
      </c>
    </row>
    <row r="21397" customFormat="false" ht="15" hidden="false" customHeight="false" outlineLevel="0" collapsed="false">
      <c r="A21397" s="5" t="s">
        <v>458</v>
      </c>
      <c r="C21397" s="25" t="n">
        <f aca="false">SUMPRODUCT(($C$21391:$C$21394&lt;C21392)*$C$21386:$C$21389)</f>
        <v>241.5743372</v>
      </c>
    </row>
    <row r="21398" customFormat="false" ht="15" hidden="false" customHeight="false" outlineLevel="0" collapsed="false">
      <c r="A21398" s="5" t="s">
        <v>459</v>
      </c>
      <c r="C21398" s="25" t="n">
        <f aca="false">SUMPRODUCT(($C$21391:$C$21394&lt;C21393)*$C$21386:$C$21389)</f>
        <v>767.8000372</v>
      </c>
    </row>
    <row r="21399" customFormat="false" ht="15" hidden="false" customHeight="false" outlineLevel="0" collapsed="false">
      <c r="A21399" s="5" t="s">
        <v>460</v>
      </c>
      <c r="C21399" s="25" t="n">
        <f aca="false">SUMPRODUCT(($C$21391:$C$21394&lt;C21394)*$C$21386:$C$21389)</f>
        <v>1024.6750372</v>
      </c>
    </row>
    <row r="21400" customFormat="false" ht="15" hidden="false" customHeight="false" outlineLevel="0" collapsed="false">
      <c r="A21400" s="23" t="s">
        <v>468</v>
      </c>
      <c r="B21400" s="24"/>
      <c r="C21400" s="24"/>
      <c r="D21400" s="24"/>
      <c r="E21400" s="24"/>
      <c r="F21400" s="24"/>
      <c r="G21400" s="24"/>
      <c r="H21400" s="24"/>
      <c r="I21400" s="24"/>
      <c r="J21400" s="24"/>
      <c r="K21400" s="24"/>
    </row>
    <row r="21401" customFormat="false" ht="15" hidden="false" customHeight="false" outlineLevel="0" collapsed="false">
      <c r="A21401" s="5" t="s">
        <v>457</v>
      </c>
      <c r="C21401" s="25" t="n">
        <f aca="false">SUMPRODUCT(($C$21391:$C$21394=C21391)*$C$21386:$C$21389)</f>
        <v>241.5743372</v>
      </c>
    </row>
    <row r="21402" customFormat="false" ht="15" hidden="false" customHeight="false" outlineLevel="0" collapsed="false">
      <c r="A21402" s="5" t="s">
        <v>458</v>
      </c>
      <c r="C21402" s="25" t="n">
        <f aca="false">SUMPRODUCT(($C$21391:$C$21394=C21392)*$C$21386:$C$21389)</f>
        <v>526.2257</v>
      </c>
    </row>
    <row r="21403" customFormat="false" ht="15" hidden="false" customHeight="false" outlineLevel="0" collapsed="false">
      <c r="A21403" s="5" t="s">
        <v>459</v>
      </c>
      <c r="C21403" s="25" t="n">
        <f aca="false">SUMPRODUCT(($C$21391:$C$21394=C21393)*$C$21386:$C$21389)</f>
        <v>256.875</v>
      </c>
    </row>
    <row r="21404" customFormat="false" ht="15" hidden="false" customHeight="false" outlineLevel="0" collapsed="false">
      <c r="A21404" s="5" t="s">
        <v>460</v>
      </c>
      <c r="C21404" s="25" t="n">
        <f aca="false">SUMPRODUCT(($C$21391:$C$21394=C21394)*$C$21386:$C$21389)</f>
        <v>305.625</v>
      </c>
    </row>
    <row r="21405" customFormat="false" ht="15" hidden="false" customHeight="false" outlineLevel="0" collapsed="false">
      <c r="A21405" s="23" t="s">
        <v>469</v>
      </c>
      <c r="B21405" s="24"/>
      <c r="C21405" s="24"/>
      <c r="D21405" s="24"/>
      <c r="E21405" s="24"/>
      <c r="F21405" s="24"/>
      <c r="G21405" s="24"/>
      <c r="H21405" s="24"/>
      <c r="I21405" s="24"/>
      <c r="J21405" s="24"/>
      <c r="K21405" s="24"/>
    </row>
    <row r="21406" customFormat="false" ht="15" hidden="false" customHeight="false" outlineLevel="0" collapsed="false">
      <c r="A21406" s="5" t="s">
        <v>457</v>
      </c>
      <c r="C21406" s="25" t="n">
        <f aca="false">IF(C21401=0,0,C21386/C21401*MAX(0,MIN(C21401,$C$21359-SUM($C$21376:$C$21379)-C21396)))</f>
        <v>241.5743372</v>
      </c>
    </row>
    <row r="21407" customFormat="false" ht="15" hidden="false" customHeight="false" outlineLevel="0" collapsed="false">
      <c r="A21407" s="5" t="s">
        <v>458</v>
      </c>
      <c r="C21407" s="25" t="n">
        <f aca="false">IF(C21402=0,0,C21387/C21402*MAX(0,MIN(C21402,$C$21359-SUM($C$21376:$C$21379)-C21397)))</f>
        <v>147.8016628</v>
      </c>
    </row>
    <row r="21408" customFormat="false" ht="15" hidden="false" customHeight="false" outlineLevel="0" collapsed="false">
      <c r="A21408" s="5" t="s">
        <v>459</v>
      </c>
      <c r="C21408" s="25" t="n">
        <f aca="false">IF(C21403=0,0,C21388/C21403*MAX(0,MIN(C21403,$C$21359-SUM($C$21376:$C$21379)-C21398)))</f>
        <v>0</v>
      </c>
    </row>
    <row r="21409" customFormat="false" ht="15" hidden="false" customHeight="false" outlineLevel="0" collapsed="false">
      <c r="A21409" s="5" t="s">
        <v>460</v>
      </c>
      <c r="C21409" s="25" t="n">
        <f aca="false">IF(C21404=0,0,C21389/C21404*MAX(0,MIN(C21404,$C$21359-SUM($C$21376:$C$21379)-C21399)))</f>
        <v>0</v>
      </c>
    </row>
    <row r="21410" customFormat="false" ht="15" hidden="false" customHeight="false" outlineLevel="0" collapsed="false">
      <c r="A21410" s="23" t="s">
        <v>470</v>
      </c>
      <c r="B21410" s="24"/>
      <c r="C21410" s="24"/>
      <c r="D21410" s="24"/>
      <c r="E21410" s="24"/>
      <c r="F21410" s="24"/>
      <c r="G21410" s="24"/>
      <c r="H21410" s="24"/>
      <c r="I21410" s="24"/>
      <c r="J21410" s="24"/>
      <c r="K21410" s="24"/>
    </row>
    <row r="21411" customFormat="false" ht="15" hidden="false" customHeight="false" outlineLevel="0" collapsed="false">
      <c r="A21411" s="2" t="s">
        <v>457</v>
      </c>
      <c r="C21411" s="16" t="n">
        <f aca="false">C21376+C21406</f>
        <v>241.5743372</v>
      </c>
    </row>
    <row r="21412" customFormat="false" ht="15" hidden="false" customHeight="false" outlineLevel="0" collapsed="false">
      <c r="A21412" s="2" t="s">
        <v>458</v>
      </c>
      <c r="C21412" s="16" t="n">
        <f aca="false">C21377+C21407</f>
        <v>147.8016628</v>
      </c>
    </row>
    <row r="21413" customFormat="false" ht="15" hidden="false" customHeight="false" outlineLevel="0" collapsed="false">
      <c r="A21413" s="2" t="s">
        <v>459</v>
      </c>
      <c r="C21413" s="16" t="n">
        <f aca="false">C21378+C21408</f>
        <v>0</v>
      </c>
    </row>
    <row r="21414" customFormat="false" ht="15" hidden="false" customHeight="false" outlineLevel="0" collapsed="false">
      <c r="A21414" s="2" t="s">
        <v>460</v>
      </c>
      <c r="C21414" s="16" t="n">
        <f aca="false">C21379+C21409</f>
        <v>0</v>
      </c>
    </row>
    <row r="21415" customFormat="false" ht="15" hidden="false" customHeight="false" outlineLevel="0" collapsed="false">
      <c r="A21415" s="23" t="s">
        <v>471</v>
      </c>
      <c r="B21415" s="24"/>
      <c r="C21415" s="24"/>
      <c r="D21415" s="24"/>
      <c r="E21415" s="24"/>
      <c r="F21415" s="24"/>
      <c r="G21415" s="24"/>
      <c r="H21415" s="24"/>
      <c r="I21415" s="24"/>
      <c r="J21415" s="24"/>
      <c r="K21415" s="24"/>
    </row>
    <row r="21416" customFormat="false" ht="15" hidden="false" customHeight="false" outlineLevel="0" collapsed="false">
      <c r="A21416" s="5" t="s">
        <v>457</v>
      </c>
      <c r="C21416" s="21" t="n">
        <f aca="false">IF(C21361=0,1,C21411/C21361)</f>
        <v>1</v>
      </c>
    </row>
    <row r="21417" customFormat="false" ht="15" hidden="false" customHeight="false" outlineLevel="0" collapsed="false">
      <c r="A21417" s="5" t="s">
        <v>458</v>
      </c>
      <c r="C21417" s="21" t="n">
        <f aca="false">IF(C21362=0,1,C21412/C21362)</f>
        <v>0.280871236049474</v>
      </c>
    </row>
    <row r="21418" customFormat="false" ht="15" hidden="false" customHeight="false" outlineLevel="0" collapsed="false">
      <c r="A21418" s="5" t="s">
        <v>459</v>
      </c>
      <c r="C21418" s="21" t="n">
        <f aca="false">IF(C21363=0,1,C21413/C21363)</f>
        <v>0</v>
      </c>
    </row>
    <row r="21419" customFormat="false" ht="15" hidden="false" customHeight="false" outlineLevel="0" collapsed="false">
      <c r="A21419" s="5" t="s">
        <v>460</v>
      </c>
      <c r="C21419" s="21" t="n">
        <f aca="false">IF(C21364=0,1,C21414/C21364)</f>
        <v>0</v>
      </c>
    </row>
    <row r="21420" customFormat="false" ht="15" hidden="false" customHeight="false" outlineLevel="0" collapsed="false">
      <c r="A21420" s="23" t="s">
        <v>472</v>
      </c>
      <c r="B21420" s="24"/>
      <c r="C21420" s="24"/>
      <c r="D21420" s="24"/>
      <c r="E21420" s="24"/>
      <c r="F21420" s="24"/>
      <c r="G21420" s="24"/>
      <c r="H21420" s="24"/>
      <c r="I21420" s="24"/>
      <c r="J21420" s="24"/>
      <c r="K21420" s="24"/>
    </row>
    <row r="21421" customFormat="false" ht="15" hidden="false" customHeight="false" outlineLevel="0" collapsed="false">
      <c r="A21421" s="5" t="s">
        <v>457</v>
      </c>
      <c r="C21421" s="25" t="n">
        <f aca="false">C21361-C21411</f>
        <v>0</v>
      </c>
    </row>
    <row r="21422" customFormat="false" ht="15" hidden="false" customHeight="false" outlineLevel="0" collapsed="false">
      <c r="A21422" s="5" t="s">
        <v>458</v>
      </c>
      <c r="C21422" s="25" t="n">
        <f aca="false">C21362-C21412</f>
        <v>378.4240372</v>
      </c>
    </row>
    <row r="21423" customFormat="false" ht="15" hidden="false" customHeight="false" outlineLevel="0" collapsed="false">
      <c r="A21423" s="5" t="s">
        <v>459</v>
      </c>
      <c r="C21423" s="25" t="n">
        <f aca="false">C21363-C21413</f>
        <v>256.875</v>
      </c>
    </row>
    <row r="21424" customFormat="false" ht="15" hidden="false" customHeight="false" outlineLevel="0" collapsed="false">
      <c r="A21424" s="5" t="s">
        <v>460</v>
      </c>
      <c r="C21424" s="25" t="n">
        <f aca="false">C21364-C21414</f>
        <v>305.625</v>
      </c>
    </row>
    <row r="21425" customFormat="false" ht="15" hidden="false" customHeight="false" outlineLevel="0" collapsed="false">
      <c r="A21425" s="23" t="s">
        <v>473</v>
      </c>
      <c r="B21425" s="24"/>
      <c r="C21425" s="24"/>
      <c r="D21425" s="24"/>
      <c r="E21425" s="24"/>
      <c r="F21425" s="24"/>
      <c r="G21425" s="24"/>
      <c r="H21425" s="24"/>
      <c r="I21425" s="24"/>
      <c r="J21425" s="24"/>
      <c r="K21425" s="24"/>
    </row>
    <row r="21426" customFormat="false" ht="15" hidden="false" customHeight="false" outlineLevel="0" collapsed="false">
      <c r="A21426" s="5" t="s">
        <v>457</v>
      </c>
      <c r="C21426" s="21" t="n">
        <f aca="false">IF(C21361=0,0,C21421/C21361)</f>
        <v>0</v>
      </c>
    </row>
    <row r="21427" customFormat="false" ht="15" hidden="false" customHeight="false" outlineLevel="0" collapsed="false">
      <c r="A21427" s="5" t="s">
        <v>458</v>
      </c>
      <c r="C21427" s="21" t="n">
        <f aca="false">IF(C21362=0,0,C21422/C21362)</f>
        <v>0.719128763950526</v>
      </c>
    </row>
    <row r="21428" customFormat="false" ht="15" hidden="false" customHeight="false" outlineLevel="0" collapsed="false">
      <c r="A21428" s="5" t="s">
        <v>459</v>
      </c>
      <c r="C21428" s="21" t="n">
        <f aca="false">IF(C21363=0,0,C21423/C21363)</f>
        <v>1</v>
      </c>
    </row>
    <row r="21429" customFormat="false" ht="15" hidden="false" customHeight="false" outlineLevel="0" collapsed="false">
      <c r="A21429" s="5" t="s">
        <v>460</v>
      </c>
      <c r="C21429" s="21" t="n">
        <f aca="false">IF(C21364=0,0,C21424/C21364)</f>
        <v>1</v>
      </c>
    </row>
    <row r="21430" customFormat="false" ht="15" hidden="false" customHeight="false" outlineLevel="0" collapsed="false">
      <c r="A21430" s="2" t="s">
        <v>474</v>
      </c>
      <c r="C21430" s="16" t="n">
        <f aca="false">MAX(0,$C$21359-SUM($C$21376:$C$21379)-SUM($C$21386:$C$21389))</f>
        <v>0</v>
      </c>
    </row>
    <row r="21431" customFormat="false" ht="15" hidden="false" customHeight="false" outlineLevel="0" collapsed="false">
      <c r="A21431" s="5" t="s">
        <v>475</v>
      </c>
      <c r="C21431" s="25" t="n">
        <f aca="false">SUM($C$21411:$C$21414)+C21430+C21358-C21357</f>
        <v>0</v>
      </c>
    </row>
    <row r="21433" customFormat="false" ht="15" hidden="false" customHeight="false" outlineLevel="0" collapsed="false">
      <c r="A21433" s="23" t="s">
        <v>478</v>
      </c>
      <c r="B21433" s="24"/>
      <c r="C21433" s="24"/>
      <c r="D21433" s="24"/>
      <c r="E21433" s="24"/>
      <c r="F21433" s="24"/>
      <c r="G21433" s="24"/>
      <c r="H21433" s="24"/>
      <c r="I21433" s="24"/>
      <c r="J21433" s="24"/>
      <c r="K21433" s="24"/>
    </row>
    <row r="21434" customFormat="false" ht="15" hidden="false" customHeight="false" outlineLevel="0" collapsed="false">
      <c r="A21434" s="5" t="s">
        <v>479</v>
      </c>
      <c r="C21434" s="26" t="n">
        <f aca="false">Assumptions!$C$30</f>
        <v>2</v>
      </c>
    </row>
    <row r="21435" customFormat="false" ht="15" hidden="false" customHeight="false" outlineLevel="0" collapsed="false">
      <c r="A21435" s="5" t="s">
        <v>480</v>
      </c>
      <c r="C21435" s="28" t="n">
        <f aca="false">Assumptions!$C$31</f>
        <v>100</v>
      </c>
    </row>
    <row r="21436" customFormat="false" ht="15" hidden="false" customHeight="false" outlineLevel="0" collapsed="false">
      <c r="A21436" s="5" t="s">
        <v>481</v>
      </c>
      <c r="C21436" s="39" t="n">
        <f aca="false">Assumptions!$C$32</f>
        <v>78</v>
      </c>
    </row>
    <row r="21437" customFormat="false" ht="15" hidden="false" customHeight="false" outlineLevel="0" collapsed="false">
      <c r="A21437" s="5" t="s">
        <v>482</v>
      </c>
      <c r="C21437" s="25" t="n">
        <f aca="false">C21435*C21436/100*(1+Assumptions!$C$33)</f>
        <v>78.39</v>
      </c>
    </row>
    <row r="21438" customFormat="false" ht="15" hidden="false" customHeight="false" outlineLevel="0" collapsed="false">
      <c r="A21438" s="5" t="s">
        <v>483</v>
      </c>
      <c r="C21438" s="26" t="n">
        <f aca="false">Assumptions!$C$34</f>
        <v>2</v>
      </c>
    </row>
    <row r="21439" customFormat="false" ht="15" hidden="false" customHeight="false" outlineLevel="0" collapsed="false">
      <c r="A21439" s="5" t="s">
        <v>484</v>
      </c>
      <c r="C21439" s="20" t="n">
        <f aca="false">IF(C21350=1,SUMPRODUCT($G$21318:$K$21318,$G$21194:$K$21194),0)</f>
        <v>2</v>
      </c>
    </row>
    <row r="21440" customFormat="false" ht="15" hidden="false" customHeight="false" outlineLevel="0" collapsed="false">
      <c r="A21440" s="5" t="s">
        <v>485</v>
      </c>
      <c r="C21440" s="21" t="n">
        <f aca="false">IFERROR(C21435/CHOOSE(C21434,SUMPRODUCT($G$21349:$K$21349,$G$21240:$K$21240),SUMPRODUCT($G$21349:$K$21349,$G$21253:$K$21253),SUMPRODUCT($G$21349:$K$21349,$G$21266:$K$21266),SUMPRODUCT($G$21349:$K$21349,$G$21279:$K$21279)),0)</f>
        <v>0.196232339089482</v>
      </c>
    </row>
    <row r="21441" customFormat="false" ht="15" hidden="false" customHeight="false" outlineLevel="0" collapsed="false">
      <c r="A21441" s="5" t="s">
        <v>486</v>
      </c>
      <c r="C21441" s="25" t="n">
        <f aca="false">CHOOSE(C21434,C21411,C21412,C21413,C21414)*C21440</f>
        <v>29.0034660125589</v>
      </c>
    </row>
    <row r="21442" customFormat="false" ht="15" hidden="false" customHeight="false" outlineLevel="0" collapsed="false">
      <c r="A21442" s="5" t="s">
        <v>487</v>
      </c>
      <c r="C21442" s="21" t="n">
        <f aca="false">CHOOSE(C21434,C21416,C21417,C21418,C21419)</f>
        <v>0.280871236049474</v>
      </c>
    </row>
    <row r="21443" customFormat="false" ht="15" hidden="false" customHeight="false" outlineLevel="0" collapsed="false">
      <c r="A21443" s="5" t="s">
        <v>488</v>
      </c>
      <c r="C21443" s="20" t="n">
        <f aca="false">IF(C21350=1,C21439,C21438)</f>
        <v>2</v>
      </c>
    </row>
    <row r="21444" customFormat="false" ht="15" hidden="false" customHeight="false" outlineLevel="0" collapsed="false">
      <c r="A21444" s="5" t="s">
        <v>489</v>
      </c>
      <c r="C21444" s="33" t="n">
        <f aca="false">CHOOSE($C$21186,Assumptions!$C$77,Assumptions!$C$96,Assumptions!$C$115)</f>
        <v>70</v>
      </c>
    </row>
    <row r="21445" customFormat="false" ht="15" hidden="false" customHeight="false" outlineLevel="0" collapsed="false">
      <c r="A21445" s="5" t="s">
        <v>490</v>
      </c>
      <c r="C21445" s="25" t="n">
        <f aca="false">INDEX($G$21203:$K$21203,C21438)*CHOOSE($C$21186,Assumptions!$C$76,Assumptions!$C$95,Assumptions!$C$114)+MAX(0,INDEX($G$21315:$K$21315,C21438))</f>
        <v>55.97928</v>
      </c>
    </row>
    <row r="21446" customFormat="false" ht="15" hidden="false" customHeight="false" outlineLevel="0" collapsed="false">
      <c r="A21446" s="23" t="s">
        <v>491</v>
      </c>
      <c r="B21446" s="24"/>
      <c r="C21446" s="24"/>
      <c r="D21446" s="24"/>
      <c r="E21446" s="24"/>
      <c r="F21446" s="24"/>
      <c r="G21446" s="24"/>
      <c r="H21446" s="24"/>
      <c r="I21446" s="24"/>
      <c r="J21446" s="24"/>
      <c r="K21446" s="24"/>
    </row>
    <row r="21447" customFormat="false" ht="15" hidden="false" customHeight="false" outlineLevel="0" collapsed="false">
      <c r="A21447" s="5" t="s">
        <v>457</v>
      </c>
      <c r="C21447" s="25" t="n">
        <f aca="false">INDEX($G$21240:$K$21240,C21438)</f>
        <v>234.9088</v>
      </c>
    </row>
    <row r="21448" customFormat="false" ht="15" hidden="false" customHeight="false" outlineLevel="0" collapsed="false">
      <c r="A21448" s="5" t="s">
        <v>458</v>
      </c>
      <c r="C21448" s="25" t="n">
        <f aca="false">INDEX($G$21253:$K$21253,C21438)</f>
        <v>509.6</v>
      </c>
    </row>
    <row r="21449" customFormat="false" ht="15" hidden="false" customHeight="false" outlineLevel="0" collapsed="false">
      <c r="A21449" s="5" t="s">
        <v>459</v>
      </c>
      <c r="C21449" s="25" t="n">
        <f aca="false">INDEX($G$21266:$K$21266,C21438)</f>
        <v>250</v>
      </c>
    </row>
    <row r="21450" customFormat="false" ht="15" hidden="false" customHeight="false" outlineLevel="0" collapsed="false">
      <c r="A21450" s="5" t="s">
        <v>460</v>
      </c>
      <c r="C21450" s="25" t="n">
        <f aca="false">INDEX($G$21279:$K$21279,C21438)</f>
        <v>300</v>
      </c>
    </row>
    <row r="21451" customFormat="false" ht="15" hidden="false" customHeight="false" outlineLevel="0" collapsed="false">
      <c r="A21451" s="23" t="s">
        <v>461</v>
      </c>
      <c r="B21451" s="24"/>
      <c r="C21451" s="24"/>
      <c r="D21451" s="24"/>
      <c r="E21451" s="24"/>
      <c r="F21451" s="24"/>
      <c r="G21451" s="24"/>
      <c r="H21451" s="24"/>
      <c r="I21451" s="24"/>
      <c r="J21451" s="24"/>
      <c r="K21451" s="24"/>
    </row>
    <row r="21452" customFormat="false" ht="15" hidden="false" customHeight="false" outlineLevel="0" collapsed="false">
      <c r="A21452" s="5" t="s">
        <v>457</v>
      </c>
      <c r="C21452" s="26" t="n">
        <f aca="false">Assumptions!$M$53</f>
        <v>1</v>
      </c>
    </row>
    <row r="21453" customFormat="false" ht="15" hidden="false" customHeight="false" outlineLevel="0" collapsed="false">
      <c r="A21453" s="5" t="s">
        <v>458</v>
      </c>
      <c r="C21453" s="26" t="n">
        <f aca="false">Assumptions!$M$54</f>
        <v>2</v>
      </c>
    </row>
    <row r="21454" customFormat="false" ht="15" hidden="false" customHeight="false" outlineLevel="0" collapsed="false">
      <c r="A21454" s="5" t="s">
        <v>459</v>
      </c>
      <c r="C21454" s="26" t="n">
        <f aca="false">Assumptions!$M$55</f>
        <v>3</v>
      </c>
    </row>
    <row r="21455" customFormat="false" ht="15" hidden="false" customHeight="false" outlineLevel="0" collapsed="false">
      <c r="A21455" s="5" t="s">
        <v>460</v>
      </c>
      <c r="C21455" s="26" t="n">
        <f aca="false">Assumptions!$M$56</f>
        <v>4</v>
      </c>
    </row>
    <row r="21456" customFormat="false" ht="15" hidden="false" customHeight="false" outlineLevel="0" collapsed="false">
      <c r="A21456" s="23" t="s">
        <v>462</v>
      </c>
      <c r="B21456" s="24"/>
      <c r="C21456" s="24"/>
      <c r="D21456" s="24"/>
      <c r="E21456" s="24"/>
      <c r="F21456" s="24"/>
      <c r="G21456" s="24"/>
      <c r="H21456" s="24"/>
      <c r="I21456" s="24"/>
      <c r="J21456" s="24"/>
      <c r="K21456" s="24"/>
    </row>
    <row r="21457" customFormat="false" ht="15" hidden="false" customHeight="false" outlineLevel="0" collapsed="false">
      <c r="A21457" s="5" t="s">
        <v>457</v>
      </c>
      <c r="C21457" s="34" t="n">
        <f aca="false">Assumptions!$Q$53</f>
        <v>0</v>
      </c>
    </row>
    <row r="21458" customFormat="false" ht="15" hidden="false" customHeight="false" outlineLevel="0" collapsed="false">
      <c r="A21458" s="5" t="s">
        <v>458</v>
      </c>
      <c r="C21458" s="34" t="n">
        <f aca="false">Assumptions!$Q$54</f>
        <v>0</v>
      </c>
    </row>
    <row r="21459" customFormat="false" ht="15" hidden="false" customHeight="false" outlineLevel="0" collapsed="false">
      <c r="A21459" s="5" t="s">
        <v>459</v>
      </c>
      <c r="C21459" s="34" t="n">
        <f aca="false">Assumptions!$Q$55</f>
        <v>0</v>
      </c>
    </row>
    <row r="21460" customFormat="false" ht="15" hidden="false" customHeight="false" outlineLevel="0" collapsed="false">
      <c r="A21460" s="5" t="s">
        <v>460</v>
      </c>
      <c r="C21460" s="34" t="n">
        <f aca="false">Assumptions!$Q$56</f>
        <v>0</v>
      </c>
    </row>
    <row r="21461" customFormat="false" ht="15" hidden="false" customHeight="false" outlineLevel="0" collapsed="false">
      <c r="A21461" s="23" t="s">
        <v>463</v>
      </c>
      <c r="B21461" s="24"/>
      <c r="C21461" s="24"/>
      <c r="D21461" s="24"/>
      <c r="E21461" s="24"/>
      <c r="F21461" s="24"/>
      <c r="G21461" s="24"/>
      <c r="H21461" s="24"/>
      <c r="I21461" s="24"/>
      <c r="J21461" s="24"/>
      <c r="K21461" s="24"/>
    </row>
    <row r="21462" customFormat="false" ht="15" hidden="false" customHeight="false" outlineLevel="0" collapsed="false">
      <c r="A21462" s="5" t="s">
        <v>457</v>
      </c>
      <c r="C21462" s="25" t="n">
        <f aca="false">IF(C21457&gt;0,MIN(C21447,C21457*$C$21445),0)</f>
        <v>0</v>
      </c>
    </row>
    <row r="21463" customFormat="false" ht="15" hidden="false" customHeight="false" outlineLevel="0" collapsed="false">
      <c r="A21463" s="5" t="s">
        <v>458</v>
      </c>
      <c r="C21463" s="25" t="n">
        <f aca="false">IF(C21458&gt;0,MIN(C21448,C21458*$C$21445),0)</f>
        <v>0</v>
      </c>
    </row>
    <row r="21464" customFormat="false" ht="15" hidden="false" customHeight="false" outlineLevel="0" collapsed="false">
      <c r="A21464" s="5" t="s">
        <v>459</v>
      </c>
      <c r="C21464" s="25" t="n">
        <f aca="false">IF(C21459&gt;0,MIN(C21449,C21459*$C$21445),0)</f>
        <v>0</v>
      </c>
    </row>
    <row r="21465" customFormat="false" ht="15" hidden="false" customHeight="false" outlineLevel="0" collapsed="false">
      <c r="A21465" s="5" t="s">
        <v>460</v>
      </c>
      <c r="C21465" s="25" t="n">
        <f aca="false">IF(C21460&gt;0,MIN(C21450,C21460*$C$21445),0)</f>
        <v>0</v>
      </c>
    </row>
    <row r="21466" customFormat="false" ht="15" hidden="false" customHeight="false" outlineLevel="0" collapsed="false">
      <c r="A21466" s="23" t="s">
        <v>464</v>
      </c>
      <c r="B21466" s="24"/>
      <c r="C21466" s="24"/>
      <c r="D21466" s="24"/>
      <c r="E21466" s="24"/>
      <c r="F21466" s="24"/>
      <c r="G21466" s="24"/>
      <c r="H21466" s="24"/>
      <c r="I21466" s="24"/>
      <c r="J21466" s="24"/>
      <c r="K21466" s="24"/>
    </row>
    <row r="21467" customFormat="false" ht="15" hidden="false" customHeight="false" outlineLevel="0" collapsed="false">
      <c r="A21467" s="5" t="s">
        <v>457</v>
      </c>
      <c r="C21467" s="25" t="n">
        <f aca="false">IF(C21457&gt;0,C21447-C21462,0)</f>
        <v>0</v>
      </c>
    </row>
    <row r="21468" customFormat="false" ht="15" hidden="false" customHeight="false" outlineLevel="0" collapsed="false">
      <c r="A21468" s="5" t="s">
        <v>458</v>
      </c>
      <c r="C21468" s="25" t="n">
        <f aca="false">IF(C21458&gt;0,C21448-C21463,0)</f>
        <v>0</v>
      </c>
    </row>
    <row r="21469" customFormat="false" ht="15" hidden="false" customHeight="false" outlineLevel="0" collapsed="false">
      <c r="A21469" s="5" t="s">
        <v>459</v>
      </c>
      <c r="C21469" s="25" t="n">
        <f aca="false">IF(C21459&gt;0,C21449-C21464,0)</f>
        <v>0</v>
      </c>
    </row>
    <row r="21470" customFormat="false" ht="15" hidden="false" customHeight="false" outlineLevel="0" collapsed="false">
      <c r="A21470" s="5" t="s">
        <v>460</v>
      </c>
      <c r="C21470" s="25" t="n">
        <f aca="false">IF(C21460&gt;0,C21450-C21465,0)</f>
        <v>0</v>
      </c>
    </row>
    <row r="21471" customFormat="false" ht="15" hidden="false" customHeight="false" outlineLevel="0" collapsed="false">
      <c r="A21471" s="23" t="s">
        <v>465</v>
      </c>
      <c r="B21471" s="24"/>
      <c r="C21471" s="24"/>
      <c r="D21471" s="24"/>
      <c r="E21471" s="24"/>
      <c r="F21471" s="24"/>
      <c r="G21471" s="24"/>
      <c r="H21471" s="24"/>
      <c r="I21471" s="24"/>
      <c r="J21471" s="24"/>
      <c r="K21471" s="24"/>
    </row>
    <row r="21472" customFormat="false" ht="15" hidden="false" customHeight="false" outlineLevel="0" collapsed="false">
      <c r="A21472" s="5" t="s">
        <v>457</v>
      </c>
      <c r="C21472" s="25" t="n">
        <f aca="false">IF(C21457&gt;0,C21467,C21447)</f>
        <v>234.9088</v>
      </c>
    </row>
    <row r="21473" customFormat="false" ht="15" hidden="false" customHeight="false" outlineLevel="0" collapsed="false">
      <c r="A21473" s="5" t="s">
        <v>458</v>
      </c>
      <c r="C21473" s="25" t="n">
        <f aca="false">IF(C21458&gt;0,C21468,C21448)</f>
        <v>509.6</v>
      </c>
    </row>
    <row r="21474" customFormat="false" ht="15" hidden="false" customHeight="false" outlineLevel="0" collapsed="false">
      <c r="A21474" s="5" t="s">
        <v>459</v>
      </c>
      <c r="C21474" s="25" t="n">
        <f aca="false">IF(C21459&gt;0,C21469,C21449)</f>
        <v>250</v>
      </c>
    </row>
    <row r="21475" customFormat="false" ht="15" hidden="false" customHeight="false" outlineLevel="0" collapsed="false">
      <c r="A21475" s="5" t="s">
        <v>460</v>
      </c>
      <c r="C21475" s="25" t="n">
        <f aca="false">IF(C21460&gt;0,C21470,C21450)</f>
        <v>300</v>
      </c>
    </row>
    <row r="21476" customFormat="false" ht="15" hidden="false" customHeight="false" outlineLevel="0" collapsed="false">
      <c r="A21476" s="23" t="s">
        <v>466</v>
      </c>
      <c r="B21476" s="24"/>
      <c r="C21476" s="24"/>
      <c r="D21476" s="24"/>
      <c r="E21476" s="24"/>
      <c r="F21476" s="24"/>
      <c r="G21476" s="24"/>
      <c r="H21476" s="24"/>
      <c r="I21476" s="24"/>
      <c r="J21476" s="24"/>
      <c r="K21476" s="24"/>
    </row>
    <row r="21477" customFormat="false" ht="15" hidden="false" customHeight="false" outlineLevel="0" collapsed="false">
      <c r="A21477" s="5" t="s">
        <v>457</v>
      </c>
      <c r="C21477" s="20" t="n">
        <f aca="false">IF(C21457&gt;0,Assumptions!$C$17,C21452)</f>
        <v>1</v>
      </c>
    </row>
    <row r="21478" customFormat="false" ht="15" hidden="false" customHeight="false" outlineLevel="0" collapsed="false">
      <c r="A21478" s="5" t="s">
        <v>458</v>
      </c>
      <c r="C21478" s="20" t="n">
        <f aca="false">IF(C21458&gt;0,Assumptions!$C$17,C21453)</f>
        <v>2</v>
      </c>
    </row>
    <row r="21479" customFormat="false" ht="15" hidden="false" customHeight="false" outlineLevel="0" collapsed="false">
      <c r="A21479" s="5" t="s">
        <v>459</v>
      </c>
      <c r="C21479" s="20" t="n">
        <f aca="false">IF(C21459&gt;0,Assumptions!$C$17,C21454)</f>
        <v>3</v>
      </c>
    </row>
    <row r="21480" customFormat="false" ht="15" hidden="false" customHeight="false" outlineLevel="0" collapsed="false">
      <c r="A21480" s="5" t="s">
        <v>460</v>
      </c>
      <c r="C21480" s="20" t="n">
        <f aca="false">IF(C21460&gt;0,Assumptions!$C$17,C21455)</f>
        <v>4</v>
      </c>
    </row>
    <row r="21481" customFormat="false" ht="15" hidden="false" customHeight="false" outlineLevel="0" collapsed="false">
      <c r="A21481" s="23" t="s">
        <v>467</v>
      </c>
      <c r="B21481" s="24"/>
      <c r="C21481" s="24"/>
      <c r="D21481" s="24"/>
      <c r="E21481" s="24"/>
      <c r="F21481" s="24"/>
      <c r="G21481" s="24"/>
      <c r="H21481" s="24"/>
      <c r="I21481" s="24"/>
      <c r="J21481" s="24"/>
      <c r="K21481" s="24"/>
    </row>
    <row r="21482" customFormat="false" ht="15" hidden="false" customHeight="false" outlineLevel="0" collapsed="false">
      <c r="A21482" s="5" t="s">
        <v>457</v>
      </c>
      <c r="C21482" s="25" t="n">
        <f aca="false">SUMPRODUCT(($C$21477:$C$21480&lt;C21477)*$C$21472:$C$21475)</f>
        <v>0</v>
      </c>
    </row>
    <row r="21483" customFormat="false" ht="15" hidden="false" customHeight="false" outlineLevel="0" collapsed="false">
      <c r="A21483" s="5" t="s">
        <v>458</v>
      </c>
      <c r="C21483" s="25" t="n">
        <f aca="false">SUMPRODUCT(($C$21477:$C$21480&lt;C21478)*$C$21472:$C$21475)</f>
        <v>234.9088</v>
      </c>
    </row>
    <row r="21484" customFormat="false" ht="15" hidden="false" customHeight="false" outlineLevel="0" collapsed="false">
      <c r="A21484" s="5" t="s">
        <v>459</v>
      </c>
      <c r="C21484" s="25" t="n">
        <f aca="false">SUMPRODUCT(($C$21477:$C$21480&lt;C21479)*$C$21472:$C$21475)</f>
        <v>744.5088</v>
      </c>
    </row>
    <row r="21485" customFormat="false" ht="15" hidden="false" customHeight="false" outlineLevel="0" collapsed="false">
      <c r="A21485" s="5" t="s">
        <v>460</v>
      </c>
      <c r="C21485" s="25" t="n">
        <f aca="false">SUMPRODUCT(($C$21477:$C$21480&lt;C21480)*$C$21472:$C$21475)</f>
        <v>994.5088</v>
      </c>
    </row>
    <row r="21486" customFormat="false" ht="15" hidden="false" customHeight="false" outlineLevel="0" collapsed="false">
      <c r="A21486" s="23" t="s">
        <v>468</v>
      </c>
      <c r="B21486" s="24"/>
      <c r="C21486" s="24"/>
      <c r="D21486" s="24"/>
      <c r="E21486" s="24"/>
      <c r="F21486" s="24"/>
      <c r="G21486" s="24"/>
      <c r="H21486" s="24"/>
      <c r="I21486" s="24"/>
      <c r="J21486" s="24"/>
      <c r="K21486" s="24"/>
    </row>
    <row r="21487" customFormat="false" ht="15" hidden="false" customHeight="false" outlineLevel="0" collapsed="false">
      <c r="A21487" s="5" t="s">
        <v>457</v>
      </c>
      <c r="C21487" s="25" t="n">
        <f aca="false">SUMPRODUCT(($C$21477:$C$21480=C21477)*$C$21472:$C$21475)</f>
        <v>234.9088</v>
      </c>
    </row>
    <row r="21488" customFormat="false" ht="15" hidden="false" customHeight="false" outlineLevel="0" collapsed="false">
      <c r="A21488" s="5" t="s">
        <v>458</v>
      </c>
      <c r="C21488" s="25" t="n">
        <f aca="false">SUMPRODUCT(($C$21477:$C$21480=C21478)*$C$21472:$C$21475)</f>
        <v>509.6</v>
      </c>
    </row>
    <row r="21489" customFormat="false" ht="15" hidden="false" customHeight="false" outlineLevel="0" collapsed="false">
      <c r="A21489" s="5" t="s">
        <v>459</v>
      </c>
      <c r="C21489" s="25" t="n">
        <f aca="false">SUMPRODUCT(($C$21477:$C$21480=C21479)*$C$21472:$C$21475)</f>
        <v>250</v>
      </c>
    </row>
    <row r="21490" customFormat="false" ht="15" hidden="false" customHeight="false" outlineLevel="0" collapsed="false">
      <c r="A21490" s="5" t="s">
        <v>460</v>
      </c>
      <c r="C21490" s="25" t="n">
        <f aca="false">SUMPRODUCT(($C$21477:$C$21480=C21480)*$C$21472:$C$21475)</f>
        <v>300</v>
      </c>
    </row>
    <row r="21491" customFormat="false" ht="15" hidden="false" customHeight="false" outlineLevel="0" collapsed="false">
      <c r="A21491" s="23" t="s">
        <v>469</v>
      </c>
      <c r="B21491" s="24"/>
      <c r="C21491" s="24"/>
      <c r="D21491" s="24"/>
      <c r="E21491" s="24"/>
      <c r="F21491" s="24"/>
      <c r="G21491" s="24"/>
      <c r="H21491" s="24"/>
      <c r="I21491" s="24"/>
      <c r="J21491" s="24"/>
      <c r="K21491" s="24"/>
    </row>
    <row r="21492" customFormat="false" ht="15" hidden="false" customHeight="false" outlineLevel="0" collapsed="false">
      <c r="A21492" s="5" t="s">
        <v>457</v>
      </c>
      <c r="C21492" s="25" t="n">
        <f aca="false">IF(C21487=0,0,C21472/C21487*MAX(0,MIN(C21487,$C$21445-SUM($C$21462:$C$21465)-C21482)))</f>
        <v>55.97928</v>
      </c>
    </row>
    <row r="21493" customFormat="false" ht="15" hidden="false" customHeight="false" outlineLevel="0" collapsed="false">
      <c r="A21493" s="5" t="s">
        <v>458</v>
      </c>
      <c r="C21493" s="25" t="n">
        <f aca="false">IF(C21488=0,0,C21473/C21488*MAX(0,MIN(C21488,$C$21445-SUM($C$21462:$C$21465)-C21483)))</f>
        <v>0</v>
      </c>
    </row>
    <row r="21494" customFormat="false" ht="15" hidden="false" customHeight="false" outlineLevel="0" collapsed="false">
      <c r="A21494" s="5" t="s">
        <v>459</v>
      </c>
      <c r="C21494" s="25" t="n">
        <f aca="false">IF(C21489=0,0,C21474/C21489*MAX(0,MIN(C21489,$C$21445-SUM($C$21462:$C$21465)-C21484)))</f>
        <v>0</v>
      </c>
    </row>
    <row r="21495" customFormat="false" ht="15" hidden="false" customHeight="false" outlineLevel="0" collapsed="false">
      <c r="A21495" s="5" t="s">
        <v>460</v>
      </c>
      <c r="C21495" s="25" t="n">
        <f aca="false">IF(C21490=0,0,C21475/C21490*MAX(0,MIN(C21490,$C$21445-SUM($C$21462:$C$21465)-C21485)))</f>
        <v>0</v>
      </c>
    </row>
    <row r="21496" customFormat="false" ht="15" hidden="false" customHeight="false" outlineLevel="0" collapsed="false">
      <c r="A21496" s="23" t="s">
        <v>470</v>
      </c>
      <c r="B21496" s="24"/>
      <c r="C21496" s="24"/>
      <c r="D21496" s="24"/>
      <c r="E21496" s="24"/>
      <c r="F21496" s="24"/>
      <c r="G21496" s="24"/>
      <c r="H21496" s="24"/>
      <c r="I21496" s="24"/>
      <c r="J21496" s="24"/>
      <c r="K21496" s="24"/>
    </row>
    <row r="21497" customFormat="false" ht="15" hidden="false" customHeight="false" outlineLevel="0" collapsed="false">
      <c r="A21497" s="2" t="s">
        <v>457</v>
      </c>
      <c r="C21497" s="16" t="n">
        <f aca="false">C21462+C21492</f>
        <v>55.97928</v>
      </c>
    </row>
    <row r="21498" customFormat="false" ht="15" hidden="false" customHeight="false" outlineLevel="0" collapsed="false">
      <c r="A21498" s="2" t="s">
        <v>458</v>
      </c>
      <c r="C21498" s="16" t="n">
        <f aca="false">C21463+C21493</f>
        <v>0</v>
      </c>
    </row>
    <row r="21499" customFormat="false" ht="15" hidden="false" customHeight="false" outlineLevel="0" collapsed="false">
      <c r="A21499" s="2" t="s">
        <v>459</v>
      </c>
      <c r="C21499" s="16" t="n">
        <f aca="false">C21464+C21494</f>
        <v>0</v>
      </c>
    </row>
    <row r="21500" customFormat="false" ht="15" hidden="false" customHeight="false" outlineLevel="0" collapsed="false">
      <c r="A21500" s="2" t="s">
        <v>460</v>
      </c>
      <c r="C21500" s="16" t="n">
        <f aca="false">C21465+C21495</f>
        <v>0</v>
      </c>
    </row>
    <row r="21501" customFormat="false" ht="15" hidden="false" customHeight="false" outlineLevel="0" collapsed="false">
      <c r="A21501" s="23" t="s">
        <v>471</v>
      </c>
      <c r="B21501" s="24"/>
      <c r="C21501" s="24"/>
      <c r="D21501" s="24"/>
      <c r="E21501" s="24"/>
      <c r="F21501" s="24"/>
      <c r="G21501" s="24"/>
      <c r="H21501" s="24"/>
      <c r="I21501" s="24"/>
      <c r="J21501" s="24"/>
      <c r="K21501" s="24"/>
    </row>
    <row r="21502" customFormat="false" ht="15" hidden="false" customHeight="false" outlineLevel="0" collapsed="false">
      <c r="A21502" s="5" t="s">
        <v>457</v>
      </c>
      <c r="C21502" s="21" t="n">
        <f aca="false">IF(C21447=0,1,C21497/C21447)</f>
        <v>0.238302183655955</v>
      </c>
    </row>
    <row r="21503" customFormat="false" ht="15" hidden="false" customHeight="false" outlineLevel="0" collapsed="false">
      <c r="A21503" s="5" t="s">
        <v>458</v>
      </c>
      <c r="C21503" s="21" t="n">
        <f aca="false">IF(C21448=0,1,C21498/C21448)</f>
        <v>0</v>
      </c>
    </row>
    <row r="21504" customFormat="false" ht="15" hidden="false" customHeight="false" outlineLevel="0" collapsed="false">
      <c r="A21504" s="5" t="s">
        <v>459</v>
      </c>
      <c r="C21504" s="21" t="n">
        <f aca="false">IF(C21449=0,1,C21499/C21449)</f>
        <v>0</v>
      </c>
    </row>
    <row r="21505" customFormat="false" ht="15" hidden="false" customHeight="false" outlineLevel="0" collapsed="false">
      <c r="A21505" s="5" t="s">
        <v>460</v>
      </c>
      <c r="C21505" s="21" t="n">
        <f aca="false">IF(C21450=0,1,C21500/C21450)</f>
        <v>0</v>
      </c>
    </row>
    <row r="21506" customFormat="false" ht="15" hidden="false" customHeight="false" outlineLevel="0" collapsed="false">
      <c r="A21506" s="23" t="s">
        <v>472</v>
      </c>
      <c r="B21506" s="24"/>
      <c r="C21506" s="24"/>
      <c r="D21506" s="24"/>
      <c r="E21506" s="24"/>
      <c r="F21506" s="24"/>
      <c r="G21506" s="24"/>
      <c r="H21506" s="24"/>
      <c r="I21506" s="24"/>
      <c r="J21506" s="24"/>
      <c r="K21506" s="24"/>
    </row>
    <row r="21507" customFormat="false" ht="15" hidden="false" customHeight="false" outlineLevel="0" collapsed="false">
      <c r="A21507" s="5" t="s">
        <v>457</v>
      </c>
      <c r="C21507" s="25" t="n">
        <f aca="false">C21447-C21497</f>
        <v>178.92952</v>
      </c>
    </row>
    <row r="21508" customFormat="false" ht="15" hidden="false" customHeight="false" outlineLevel="0" collapsed="false">
      <c r="A21508" s="5" t="s">
        <v>458</v>
      </c>
      <c r="C21508" s="25" t="n">
        <f aca="false">C21448-C21498</f>
        <v>509.6</v>
      </c>
    </row>
    <row r="21509" customFormat="false" ht="15" hidden="false" customHeight="false" outlineLevel="0" collapsed="false">
      <c r="A21509" s="5" t="s">
        <v>459</v>
      </c>
      <c r="C21509" s="25" t="n">
        <f aca="false">C21449-C21499</f>
        <v>250</v>
      </c>
    </row>
    <row r="21510" customFormat="false" ht="15" hidden="false" customHeight="false" outlineLevel="0" collapsed="false">
      <c r="A21510" s="5" t="s">
        <v>460</v>
      </c>
      <c r="C21510" s="25" t="n">
        <f aca="false">C21450-C21500</f>
        <v>300</v>
      </c>
    </row>
    <row r="21511" customFormat="false" ht="15" hidden="false" customHeight="false" outlineLevel="0" collapsed="false">
      <c r="A21511" s="23" t="s">
        <v>473</v>
      </c>
      <c r="B21511" s="24"/>
      <c r="C21511" s="24"/>
      <c r="D21511" s="24"/>
      <c r="E21511" s="24"/>
      <c r="F21511" s="24"/>
      <c r="G21511" s="24"/>
      <c r="H21511" s="24"/>
      <c r="I21511" s="24"/>
      <c r="J21511" s="24"/>
      <c r="K21511" s="24"/>
    </row>
    <row r="21512" customFormat="false" ht="15" hidden="false" customHeight="false" outlineLevel="0" collapsed="false">
      <c r="A21512" s="5" t="s">
        <v>457</v>
      </c>
      <c r="C21512" s="21" t="n">
        <f aca="false">IF(C21447=0,0,C21507/C21447)</f>
        <v>0.761697816344045</v>
      </c>
    </row>
    <row r="21513" customFormat="false" ht="15" hidden="false" customHeight="false" outlineLevel="0" collapsed="false">
      <c r="A21513" s="5" t="s">
        <v>458</v>
      </c>
      <c r="C21513" s="21" t="n">
        <f aca="false">IF(C21448=0,0,C21508/C21448)</f>
        <v>1</v>
      </c>
    </row>
    <row r="21514" customFormat="false" ht="15" hidden="false" customHeight="false" outlineLevel="0" collapsed="false">
      <c r="A21514" s="5" t="s">
        <v>459</v>
      </c>
      <c r="C21514" s="21" t="n">
        <f aca="false">IF(C21449=0,0,C21509/C21449)</f>
        <v>1</v>
      </c>
    </row>
    <row r="21515" customFormat="false" ht="15" hidden="false" customHeight="false" outlineLevel="0" collapsed="false">
      <c r="A21515" s="5" t="s">
        <v>460</v>
      </c>
      <c r="C21515" s="21" t="n">
        <f aca="false">IF(C21450=0,0,C21510/C21450)</f>
        <v>1</v>
      </c>
    </row>
    <row r="21516" customFormat="false" ht="15" hidden="false" customHeight="false" outlineLevel="0" collapsed="false">
      <c r="A21516" s="2" t="s">
        <v>474</v>
      </c>
      <c r="C21516" s="16" t="n">
        <f aca="false">MAX(0,$C$21445-SUM($C$21462:$C$21465)-SUM($C$21472:$C$21475))</f>
        <v>0</v>
      </c>
    </row>
    <row r="21517" customFormat="false" ht="15" hidden="false" customHeight="false" outlineLevel="0" collapsed="false">
      <c r="A21517" s="5" t="s">
        <v>492</v>
      </c>
      <c r="C21517" s="33" t="n">
        <f aca="false">MIN(C21444,100*CHOOSE(C21434,C21502,C21503,C21504,C21505))</f>
        <v>0</v>
      </c>
    </row>
    <row r="21518" customFormat="false" ht="15" hidden="false" customHeight="false" outlineLevel="0" collapsed="false">
      <c r="A21518" s="5" t="s">
        <v>493</v>
      </c>
      <c r="C21518" s="20" t="n">
        <f aca="false">IF(C21350=1,C21439+Assumptions!$C$36,C21438)</f>
        <v>3</v>
      </c>
    </row>
    <row r="21519" customFormat="false" ht="15" hidden="false" customHeight="false" outlineLevel="0" collapsed="false">
      <c r="A21519" s="23" t="s">
        <v>494</v>
      </c>
      <c r="B21519" s="24"/>
      <c r="C21519" s="24"/>
      <c r="D21519" s="24"/>
      <c r="E21519" s="24"/>
      <c r="F21519" s="24"/>
      <c r="G21519" s="24"/>
      <c r="H21519" s="24"/>
      <c r="I21519" s="24"/>
      <c r="J21519" s="24"/>
      <c r="K21519" s="24"/>
    </row>
    <row r="21520" customFormat="false" ht="15" hidden="false" customHeight="false" outlineLevel="0" collapsed="false">
      <c r="A21520" s="5" t="s">
        <v>495</v>
      </c>
      <c r="C21520" s="20" t="n">
        <f aca="false">COLUMN()-COLUMN($C$1)</f>
        <v>0</v>
      </c>
      <c r="D21520" s="20" t="n">
        <f aca="false">COLUMN()-COLUMN($C$1)</f>
        <v>1</v>
      </c>
      <c r="E21520" s="20" t="n">
        <f aca="false">COLUMN()-COLUMN($C$1)</f>
        <v>2</v>
      </c>
      <c r="F21520" s="20" t="n">
        <f aca="false">COLUMN()-COLUMN($C$1)</f>
        <v>3</v>
      </c>
      <c r="G21520" s="20" t="n">
        <f aca="false">COLUMN()-COLUMN($C$1)</f>
        <v>4</v>
      </c>
      <c r="H21520" s="20" t="n">
        <f aca="false">COLUMN()-COLUMN($C$1)</f>
        <v>5</v>
      </c>
      <c r="I21520" s="20" t="n">
        <f aca="false">COLUMN()-COLUMN($C$1)</f>
        <v>6</v>
      </c>
    </row>
    <row r="21521" customFormat="false" ht="15" hidden="false" customHeight="false" outlineLevel="0" collapsed="false">
      <c r="A21521" s="5" t="s">
        <v>496</v>
      </c>
      <c r="D21521" s="30" t="n">
        <f aca="false">CHOOSE($C$21434,G21232,G21245,G21258,G21271)</f>
        <v>0.133</v>
      </c>
      <c r="E21521" s="30" t="n">
        <f aca="false">CHOOSE($C$21434,H21232,H21245,H21258,H21271)</f>
        <v>0.1305</v>
      </c>
      <c r="F21521" s="30" t="n">
        <f aca="false">CHOOSE($C$21434,I21232,I21245,I21258,I21271)</f>
        <v>0.128</v>
      </c>
      <c r="G21521" s="30" t="n">
        <f aca="false">CHOOSE($C$21434,J21232,J21245,J21258,J21271)</f>
        <v>0.128</v>
      </c>
      <c r="H21521" s="30" t="n">
        <f aca="false">CHOOSE($C$21434,K21232,K21245,K21258,K21271)</f>
        <v>0.128</v>
      </c>
    </row>
    <row r="21522" customFormat="false" ht="15" hidden="false" customHeight="false" outlineLevel="0" collapsed="false">
      <c r="A21522" s="5" t="s">
        <v>497</v>
      </c>
      <c r="D21522" s="25" t="n">
        <f aca="false">IF(D21520&lt;=$C$21443,$C$21435*D21521,0)</f>
        <v>13.3</v>
      </c>
      <c r="E21522" s="25" t="n">
        <f aca="false">IF(E21520&lt;=$C$21443,$C$21435*E21521,0)</f>
        <v>13.05</v>
      </c>
      <c r="F21522" s="25" t="n">
        <f aca="false">IF(F21520&lt;=$C$21443,$C$21435*F21521,0)</f>
        <v>0</v>
      </c>
      <c r="G21522" s="25" t="n">
        <f aca="false">IF(G21520&lt;=$C$21443,$C$21435*G21521,0)</f>
        <v>0</v>
      </c>
      <c r="H21522" s="25" t="n">
        <f aca="false">IF(H21520&lt;=$C$21443,$C$21435*H21521,0)</f>
        <v>0</v>
      </c>
    </row>
    <row r="21523" customFormat="false" ht="15" hidden="false" customHeight="false" outlineLevel="0" collapsed="false">
      <c r="A21523" s="5" t="s">
        <v>498</v>
      </c>
      <c r="D21523" s="25" t="n">
        <f aca="false">IF(AND($C$21350=0,D21520=$C$21438),$C$21435*$C$21517/100,0)+IF(AND($C$21350=1,D21520=$C$21518),$C$21441,0)</f>
        <v>0</v>
      </c>
      <c r="E21523" s="25" t="n">
        <f aca="false">IF(AND($C$21350=0,E21520=$C$21438),$C$21435*$C$21517/100,0)+IF(AND($C$21350=1,E21520=$C$21518),$C$21441,0)</f>
        <v>0</v>
      </c>
      <c r="F21523" s="25" t="n">
        <f aca="false">IF(AND($C$21350=0,F21520=$C$21438),$C$21435*$C$21517/100,0)+IF(AND($C$21350=1,F21520=$C$21518),$C$21441,0)</f>
        <v>29.0034660125589</v>
      </c>
      <c r="G21523" s="25" t="n">
        <f aca="false">IF(AND($C$21350=0,G21520=$C$21438),$C$21435*$C$21517/100,0)+IF(AND($C$21350=1,G21520=$C$21518),$C$21441,0)</f>
        <v>0</v>
      </c>
      <c r="H21523" s="25" t="n">
        <f aca="false">IF(AND($C$21350=0,H21520=$C$21438),$C$21435*$C$21517/100,0)+IF(AND($C$21350=1,H21520=$C$21518),$C$21441,0)</f>
        <v>0</v>
      </c>
      <c r="I21523" s="25" t="n">
        <f aca="false">IF(AND($C$21350=0,I21520=$C$21438),$C$21435*$C$21517/100,0)+IF(AND($C$21350=1,I21520=$C$21518),$C$21441,0)</f>
        <v>0</v>
      </c>
    </row>
    <row r="21524" customFormat="false" ht="15" hidden="false" customHeight="false" outlineLevel="0" collapsed="false">
      <c r="A21524" s="2" t="s">
        <v>499</v>
      </c>
      <c r="C21524" s="16" t="n">
        <f aca="false">-$C$21437</f>
        <v>-78.39</v>
      </c>
      <c r="D21524" s="16" t="n">
        <f aca="false">D21522+D21523</f>
        <v>13.3</v>
      </c>
      <c r="E21524" s="16" t="n">
        <f aca="false">E21522+E21523</f>
        <v>13.05</v>
      </c>
      <c r="F21524" s="16" t="n">
        <f aca="false">F21522+F21523</f>
        <v>29.0034660125589</v>
      </c>
      <c r="G21524" s="16" t="n">
        <f aca="false">G21522+G21523</f>
        <v>0</v>
      </c>
      <c r="H21524" s="16" t="n">
        <f aca="false">H21522+H21523</f>
        <v>0</v>
      </c>
      <c r="I21524" s="16" t="n">
        <f aca="false">I21522+I21523</f>
        <v>0</v>
      </c>
    </row>
    <row r="21525" customFormat="false" ht="15" hidden="false" customHeight="false" outlineLevel="0" collapsed="false">
      <c r="A21525" s="5" t="s">
        <v>500</v>
      </c>
      <c r="C21525" s="25" t="n">
        <f aca="false">SUM($C$21522:$I$21522)</f>
        <v>26.35</v>
      </c>
    </row>
    <row r="21526" customFormat="false" ht="15" hidden="false" customHeight="false" outlineLevel="0" collapsed="false">
      <c r="A21526" s="5" t="s">
        <v>501</v>
      </c>
      <c r="C21526" s="25" t="n">
        <f aca="false">SUM($C$21523:$I$21523)</f>
        <v>29.0034660125589</v>
      </c>
    </row>
    <row r="21527" customFormat="false" ht="15" hidden="false" customHeight="false" outlineLevel="0" collapsed="false">
      <c r="A21527" s="5" t="s">
        <v>502</v>
      </c>
      <c r="C21527" s="25" t="n">
        <f aca="false">C21525+C21526</f>
        <v>55.3534660125589</v>
      </c>
    </row>
    <row r="21528" customFormat="false" ht="15" hidden="false" customHeight="false" outlineLevel="0" collapsed="false">
      <c r="A21528" s="5" t="s">
        <v>503</v>
      </c>
      <c r="C21528" s="25" t="n">
        <f aca="false">C21526-C21435*C21436/100</f>
        <v>-48.9965339874412</v>
      </c>
    </row>
    <row r="21529" customFormat="false" ht="15" hidden="false" customHeight="false" outlineLevel="0" collapsed="false">
      <c r="A21529" s="5" t="s">
        <v>504</v>
      </c>
      <c r="C21529" s="25" t="n">
        <f aca="false">C21527-C21437</f>
        <v>-23.0365339874411</v>
      </c>
    </row>
    <row r="21530" customFormat="false" ht="15" hidden="false" customHeight="false" outlineLevel="0" collapsed="false">
      <c r="A21530" s="2" t="s">
        <v>385</v>
      </c>
      <c r="C21530" s="43" t="n">
        <f aca="false">C21527/C21437</f>
        <v>0.706129174799832</v>
      </c>
    </row>
    <row r="21531" customFormat="false" ht="15" hidden="false" customHeight="false" outlineLevel="0" collapsed="false">
      <c r="A21531" s="2" t="s">
        <v>384</v>
      </c>
      <c r="C21531" s="41" t="n">
        <f aca="false">IF(C21527&lt;=0,-1,IFERROR(IRR($C$21524:$I$21524,MAX(-0.9,C21530^(1/C21518)-1)),IRR($C$21524:$I$21524,0.1)))</f>
        <v>-0.138534047289136</v>
      </c>
    </row>
    <row r="21532" customFormat="false" ht="15" hidden="false" customHeight="false" outlineLevel="0" collapsed="false">
      <c r="A21532" s="5" t="s">
        <v>505</v>
      </c>
      <c r="C21532" s="31" t="n">
        <f aca="false">MAX($G$21326:$K$21326)</f>
        <v>124.624351403687</v>
      </c>
    </row>
    <row r="21533" customFormat="false" ht="15" hidden="false" customHeight="false" outlineLevel="0" collapsed="false">
      <c r="A21533" s="5" t="s">
        <v>506</v>
      </c>
      <c r="C21533" s="31" t="n">
        <f aca="false">MIN($G$21327:$K$21327)</f>
        <v>0.109080209295775</v>
      </c>
    </row>
    <row r="21534" customFormat="false" ht="15" hidden="false" customHeight="false" outlineLevel="0" collapsed="false">
      <c r="A21534" s="5" t="s">
        <v>507</v>
      </c>
      <c r="C21534" s="25" t="n">
        <f aca="false">SUM($G$21216:$K$21216)</f>
        <v>-697.792895058854</v>
      </c>
    </row>
    <row r="21538" customFormat="false" ht="15" hidden="false" customHeight="false" outlineLevel="0" collapsed="false">
      <c r="A21538" s="9" t="s">
        <v>687</v>
      </c>
      <c r="B21538" s="10"/>
      <c r="C21538" s="10"/>
      <c r="D21538" s="10"/>
      <c r="E21538" s="10"/>
      <c r="F21538" s="10"/>
      <c r="G21538" s="10"/>
      <c r="H21538" s="10"/>
      <c r="I21538" s="10"/>
      <c r="J21538" s="10"/>
      <c r="K21538" s="10"/>
    </row>
    <row r="21539" customFormat="false" ht="15" hidden="false" customHeight="false" outlineLevel="0" collapsed="false">
      <c r="A21539" s="5" t="s">
        <v>622</v>
      </c>
      <c r="C21539" s="11" t="n">
        <v>3</v>
      </c>
    </row>
    <row r="21540" customFormat="false" ht="15" hidden="false" customHeight="false" outlineLevel="0" collapsed="false">
      <c r="A21540" s="5" t="s">
        <v>623</v>
      </c>
      <c r="C21540" s="18" t="n">
        <v>0</v>
      </c>
    </row>
    <row r="21541" customFormat="false" ht="15" hidden="false" customHeight="false" outlineLevel="0" collapsed="false">
      <c r="A21541" s="5" t="s">
        <v>624</v>
      </c>
      <c r="C21541" s="18" t="n">
        <v>0</v>
      </c>
    </row>
    <row r="21542" customFormat="false" ht="15" hidden="false" customHeight="false" outlineLevel="0" collapsed="false">
      <c r="A21542" s="5" t="s">
        <v>625</v>
      </c>
      <c r="C21542" s="18" t="n">
        <v>0</v>
      </c>
    </row>
    <row r="21543" customFormat="false" ht="15" hidden="false" customHeight="false" outlineLevel="0" collapsed="false">
      <c r="A21543" s="5" t="s">
        <v>626</v>
      </c>
      <c r="C21543" s="32" t="n">
        <f aca="false">Sensitivities!$A$63</f>
        <v>1</v>
      </c>
    </row>
    <row r="21545" customFormat="false" ht="15" hidden="false" customHeight="false" outlineLevel="0" collapsed="false">
      <c r="A21545" s="23" t="s">
        <v>237</v>
      </c>
      <c r="B21545" s="24"/>
      <c r="C21545" s="24"/>
      <c r="D21545" s="24"/>
      <c r="E21545" s="24"/>
      <c r="F21545" s="24"/>
      <c r="G21545" s="24"/>
      <c r="H21545" s="24"/>
      <c r="I21545" s="24"/>
      <c r="J21545" s="24"/>
      <c r="K21545" s="24"/>
    </row>
    <row r="21546" customFormat="false" ht="15" hidden="false" customHeight="false" outlineLevel="0" collapsed="false">
      <c r="A21546" s="5" t="s">
        <v>238</v>
      </c>
      <c r="F21546" s="26" t="n">
        <f aca="false">Assumptions!$C$6</f>
        <v>2025</v>
      </c>
      <c r="G21546" s="20" t="n">
        <f aca="false">F21546+1</f>
        <v>2026</v>
      </c>
      <c r="H21546" s="20" t="n">
        <f aca="false">G21546+1</f>
        <v>2027</v>
      </c>
      <c r="I21546" s="20" t="n">
        <f aca="false">H21546+1</f>
        <v>2028</v>
      </c>
      <c r="J21546" s="20" t="n">
        <f aca="false">I21546+1</f>
        <v>2029</v>
      </c>
      <c r="K21546" s="20" t="n">
        <f aca="false">J21546+1</f>
        <v>2030</v>
      </c>
    </row>
    <row r="21547" customFormat="false" ht="15" hidden="false" customHeight="false" outlineLevel="0" collapsed="false">
      <c r="A21547" s="5" t="s">
        <v>239</v>
      </c>
      <c r="G21547" s="20" t="n">
        <f aca="false">G21546-Assumptions!$C$6</f>
        <v>1</v>
      </c>
      <c r="H21547" s="20" t="n">
        <f aca="false">H21546-Assumptions!$C$6</f>
        <v>2</v>
      </c>
      <c r="I21547" s="20" t="n">
        <f aca="false">I21546-Assumptions!$C$6</f>
        <v>3</v>
      </c>
      <c r="J21547" s="20" t="n">
        <f aca="false">J21546-Assumptions!$C$6</f>
        <v>4</v>
      </c>
      <c r="K21547" s="20" t="n">
        <f aca="false">K21546-Assumptions!$C$6</f>
        <v>5</v>
      </c>
    </row>
    <row r="21548" customFormat="false" ht="15" hidden="false" customHeight="false" outlineLevel="0" collapsed="false">
      <c r="A21548" s="5" t="s">
        <v>149</v>
      </c>
      <c r="G21548" s="21" t="n">
        <f aca="false">CHOOSE($C$21539,Assumptions!$G$65,Assumptions!$G$84,Assumptions!$G$103)+$C$21540</f>
        <v>-0.234</v>
      </c>
      <c r="H21548" s="21" t="n">
        <f aca="false">CHOOSE($C$21539,Assumptions!$H$65,Assumptions!$H$84,Assumptions!$H$103)+$C$21540</f>
        <v>-0.13</v>
      </c>
      <c r="I21548" s="21" t="n">
        <f aca="false">CHOOSE($C$21539,Assumptions!$I$65,Assumptions!$I$84,Assumptions!$I$103)+$C$21540</f>
        <v>-0.026</v>
      </c>
      <c r="J21548" s="21" t="n">
        <f aca="false">CHOOSE($C$21539,Assumptions!$J$65,Assumptions!$J$84,Assumptions!$J$103)+$C$21540</f>
        <v>-0.01</v>
      </c>
      <c r="K21548" s="21" t="n">
        <f aca="false">CHOOSE($C$21539,Assumptions!$K$65,Assumptions!$K$84,Assumptions!$K$103)+$C$21540</f>
        <v>-0.01</v>
      </c>
    </row>
    <row r="21549" customFormat="false" ht="15" hidden="false" customHeight="false" outlineLevel="0" collapsed="false">
      <c r="A21549" s="5" t="s">
        <v>150</v>
      </c>
      <c r="G21549" s="21" t="n">
        <f aca="false">CHOOSE($C$21539,Assumptions!$G$66,Assumptions!$G$85,Assumptions!$G$104)</f>
        <v>0.305</v>
      </c>
      <c r="H21549" s="21" t="n">
        <f aca="false">CHOOSE($C$21539,Assumptions!$H$66,Assumptions!$H$85,Assumptions!$H$104)</f>
        <v>0.305</v>
      </c>
      <c r="I21549" s="21" t="n">
        <f aca="false">CHOOSE($C$21539,Assumptions!$I$66,Assumptions!$I$85,Assumptions!$I$104)</f>
        <v>0.305</v>
      </c>
      <c r="J21549" s="21" t="n">
        <f aca="false">CHOOSE($C$21539,Assumptions!$J$66,Assumptions!$J$85,Assumptions!$J$104)</f>
        <v>0.305</v>
      </c>
      <c r="K21549" s="21" t="n">
        <f aca="false">CHOOSE($C$21539,Assumptions!$K$66,Assumptions!$K$85,Assumptions!$K$104)</f>
        <v>0.305</v>
      </c>
    </row>
    <row r="21550" customFormat="false" ht="15" hidden="false" customHeight="false" outlineLevel="0" collapsed="false">
      <c r="A21550" s="5" t="s">
        <v>151</v>
      </c>
      <c r="G21550" s="21" t="n">
        <f aca="false">CHOOSE($C$21539,Assumptions!$G$67,Assumptions!$G$86,Assumptions!$G$105)+$C$21541</f>
        <v>0.01</v>
      </c>
      <c r="H21550" s="21" t="n">
        <f aca="false">CHOOSE($C$21539,Assumptions!$H$67,Assumptions!$H$86,Assumptions!$H$105)+$C$21541</f>
        <v>0.01</v>
      </c>
      <c r="I21550" s="21" t="n">
        <f aca="false">CHOOSE($C$21539,Assumptions!$I$67,Assumptions!$I$86,Assumptions!$I$105)+$C$21541</f>
        <v>0.01</v>
      </c>
      <c r="J21550" s="21" t="n">
        <f aca="false">CHOOSE($C$21539,Assumptions!$J$67,Assumptions!$J$86,Assumptions!$J$105)+$C$21541</f>
        <v>0.01</v>
      </c>
      <c r="K21550" s="21" t="n">
        <f aca="false">CHOOSE($C$21539,Assumptions!$K$67,Assumptions!$K$86,Assumptions!$K$105)+$C$21541</f>
        <v>0.01</v>
      </c>
    </row>
    <row r="21551" customFormat="false" ht="15" hidden="false" customHeight="false" outlineLevel="0" collapsed="false">
      <c r="A21551" s="23" t="s">
        <v>240</v>
      </c>
      <c r="B21551" s="24"/>
      <c r="C21551" s="24"/>
      <c r="D21551" s="24"/>
      <c r="E21551" s="24"/>
      <c r="F21551" s="24"/>
      <c r="G21551" s="24"/>
      <c r="H21551" s="24"/>
      <c r="I21551" s="24"/>
      <c r="J21551" s="24"/>
      <c r="K21551" s="24"/>
    </row>
    <row r="21552" customFormat="false" ht="15" hidden="false" customHeight="false" outlineLevel="0" collapsed="false">
      <c r="A21552" s="2" t="s">
        <v>207</v>
      </c>
      <c r="F21552" s="27" t="n">
        <f aca="false">'Historical Financials'!E17</f>
        <v>2400</v>
      </c>
      <c r="G21552" s="16" t="n">
        <f aca="false">F21552*(1+G21548)</f>
        <v>1838.4</v>
      </c>
      <c r="H21552" s="16" t="n">
        <f aca="false">G21552*(1+H21548)</f>
        <v>1599.408</v>
      </c>
      <c r="I21552" s="16" t="n">
        <f aca="false">H21552*(1+I21548)</f>
        <v>1557.823392</v>
      </c>
      <c r="J21552" s="16" t="n">
        <f aca="false">I21552*(1+J21548)</f>
        <v>1542.24515808</v>
      </c>
      <c r="K21552" s="16" t="n">
        <f aca="false">J21552*(1+K21548)</f>
        <v>1526.8227064992</v>
      </c>
    </row>
    <row r="21553" customFormat="false" ht="15" hidden="false" customHeight="false" outlineLevel="0" collapsed="false">
      <c r="A21553" s="5" t="s">
        <v>217</v>
      </c>
      <c r="G21553" s="25" t="n">
        <f aca="false">G21552*(1-G21549)</f>
        <v>1277.688</v>
      </c>
      <c r="H21553" s="25" t="n">
        <f aca="false">H21552*(1-H21549)</f>
        <v>1111.58856</v>
      </c>
      <c r="I21553" s="25" t="n">
        <f aca="false">I21552*(1-I21549)</f>
        <v>1082.68725744</v>
      </c>
      <c r="J21553" s="25" t="n">
        <f aca="false">J21552*(1-J21549)</f>
        <v>1071.8603848656</v>
      </c>
      <c r="K21553" s="25" t="n">
        <f aca="false">K21552*(1-K21549)</f>
        <v>1061.14178101694</v>
      </c>
    </row>
    <row r="21554" customFormat="false" ht="15" hidden="false" customHeight="false" outlineLevel="0" collapsed="false">
      <c r="A21554" s="2" t="s">
        <v>218</v>
      </c>
      <c r="G21554" s="16" t="n">
        <f aca="false">G21552-G21553</f>
        <v>560.712</v>
      </c>
      <c r="H21554" s="16" t="n">
        <f aca="false">H21552-H21553</f>
        <v>487.81944</v>
      </c>
      <c r="I21554" s="16" t="n">
        <f aca="false">I21552-I21553</f>
        <v>475.13613456</v>
      </c>
      <c r="J21554" s="16" t="n">
        <f aca="false">J21552-J21553</f>
        <v>470.3847732144</v>
      </c>
      <c r="K21554" s="16" t="n">
        <f aca="false">K21552-K21553</f>
        <v>465.680925482256</v>
      </c>
    </row>
    <row r="21555" customFormat="false" ht="15" hidden="false" customHeight="false" outlineLevel="0" collapsed="false">
      <c r="A21555" s="5" t="s">
        <v>241</v>
      </c>
      <c r="G21555" s="25" t="n">
        <f aca="false">G21554-G21556</f>
        <v>542.328</v>
      </c>
      <c r="H21555" s="25" t="n">
        <f aca="false">H21554-H21556</f>
        <v>471.82536</v>
      </c>
      <c r="I21555" s="25" t="n">
        <f aca="false">I21554-I21556</f>
        <v>459.55790064</v>
      </c>
      <c r="J21555" s="25" t="n">
        <f aca="false">J21554-J21556</f>
        <v>454.9623216336</v>
      </c>
      <c r="K21555" s="25" t="n">
        <f aca="false">K21554-K21556</f>
        <v>450.412698417264</v>
      </c>
    </row>
    <row r="21556" customFormat="false" ht="15" hidden="false" customHeight="false" outlineLevel="0" collapsed="false">
      <c r="A21556" s="2" t="s">
        <v>242</v>
      </c>
      <c r="G21556" s="16" t="n">
        <f aca="false">G21552*G21550</f>
        <v>18.384</v>
      </c>
      <c r="H21556" s="16" t="n">
        <f aca="false">H21552*H21550</f>
        <v>15.99408</v>
      </c>
      <c r="I21556" s="16" t="n">
        <f aca="false">I21552*I21550</f>
        <v>15.57823392</v>
      </c>
      <c r="J21556" s="16" t="n">
        <f aca="false">J21552*J21550</f>
        <v>15.4224515808</v>
      </c>
      <c r="K21556" s="16" t="n">
        <f aca="false">K21552*K21550</f>
        <v>15.268227064992</v>
      </c>
    </row>
    <row r="21557" customFormat="false" ht="15" hidden="false" customHeight="false" outlineLevel="0" collapsed="false">
      <c r="A21557" s="5" t="s">
        <v>243</v>
      </c>
      <c r="G21557" s="25" t="n">
        <f aca="false">G21552*'Historical Financials'!E22/'Historical Financials'!E17</f>
        <v>40.4448</v>
      </c>
      <c r="H21557" s="25" t="n">
        <f aca="false">H21552*'Historical Financials'!E22/'Historical Financials'!E17</f>
        <v>35.186976</v>
      </c>
      <c r="I21557" s="25" t="n">
        <f aca="false">I21552*'Historical Financials'!E22/'Historical Financials'!E17</f>
        <v>34.272114624</v>
      </c>
      <c r="J21557" s="25" t="n">
        <f aca="false">J21552*'Historical Financials'!E22/'Historical Financials'!E17</f>
        <v>33.92939347776</v>
      </c>
      <c r="K21557" s="25" t="n">
        <f aca="false">K21552*'Historical Financials'!E22/'Historical Financials'!E17</f>
        <v>33.5900995429824</v>
      </c>
    </row>
    <row r="21558" customFormat="false" ht="15" hidden="false" customHeight="false" outlineLevel="0" collapsed="false">
      <c r="A21558" s="5" t="s">
        <v>244</v>
      </c>
      <c r="G21558" s="25" t="n">
        <f aca="false">G21552*'Historical Financials'!E23/'Historical Financials'!E17</f>
        <v>0</v>
      </c>
      <c r="H21558" s="25" t="n">
        <f aca="false">H21552*'Historical Financials'!E23/'Historical Financials'!E17</f>
        <v>0</v>
      </c>
      <c r="I21558" s="25" t="n">
        <f aca="false">I21552*'Historical Financials'!E23/'Historical Financials'!E17</f>
        <v>0</v>
      </c>
      <c r="J21558" s="25" t="n">
        <f aca="false">J21552*'Historical Financials'!E23/'Historical Financials'!E17</f>
        <v>0</v>
      </c>
      <c r="K21558" s="25" t="n">
        <f aca="false">K21552*'Historical Financials'!E23/'Historical Financials'!E17</f>
        <v>0</v>
      </c>
    </row>
    <row r="21559" customFormat="false" ht="15" hidden="false" customHeight="false" outlineLevel="0" collapsed="false">
      <c r="A21559" s="2" t="s">
        <v>245</v>
      </c>
      <c r="G21559" s="16" t="n">
        <f aca="false">G21556-G21557-G21558</f>
        <v>-22.0608</v>
      </c>
      <c r="H21559" s="16" t="n">
        <f aca="false">H21556-H21557-H21558</f>
        <v>-19.192896</v>
      </c>
      <c r="I21559" s="16" t="n">
        <f aca="false">I21556-I21557-I21558</f>
        <v>-18.693880704</v>
      </c>
      <c r="J21559" s="16" t="n">
        <f aca="false">J21556-J21557-J21558</f>
        <v>-18.50694189696</v>
      </c>
      <c r="K21559" s="16" t="n">
        <f aca="false">K21556-K21557-K21558</f>
        <v>-18.3218724779904</v>
      </c>
    </row>
    <row r="21560" customFormat="false" ht="15" hidden="false" customHeight="false" outlineLevel="0" collapsed="false">
      <c r="A21560" s="5" t="s">
        <v>246</v>
      </c>
      <c r="G21560" s="25" t="n">
        <f aca="false">G21586+G21599+G21612+G21625</f>
        <v>140.04</v>
      </c>
      <c r="H21560" s="25" t="n">
        <f aca="false">H21586+H21599+H21612+H21625</f>
        <v>143.8435488</v>
      </c>
      <c r="I21560" s="25" t="n">
        <f aca="false">I21586+I21599+I21612+I21625</f>
        <v>141.3036768</v>
      </c>
      <c r="J21560" s="25" t="n">
        <f aca="false">J21586+J21599+J21612+J21625</f>
        <v>140.6380768</v>
      </c>
      <c r="K21560" s="25" t="n">
        <f aca="false">K21586+K21599+K21612+K21625</f>
        <v>139.9724768</v>
      </c>
    </row>
    <row r="21561" customFormat="false" ht="15" hidden="false" customHeight="false" outlineLevel="0" collapsed="false">
      <c r="A21561" s="5" t="s">
        <v>247</v>
      </c>
      <c r="G21561" s="25" t="n">
        <f aca="false">G21587+G21600+G21613+G21626</f>
        <v>0</v>
      </c>
      <c r="H21561" s="25" t="n">
        <f aca="false">H21587+H21600+H21613+H21626</f>
        <v>0</v>
      </c>
      <c r="I21561" s="25" t="n">
        <f aca="false">I21587+I21600+I21613+I21626</f>
        <v>0</v>
      </c>
      <c r="J21561" s="25" t="n">
        <f aca="false">J21587+J21600+J21613+J21626</f>
        <v>0</v>
      </c>
      <c r="K21561" s="25" t="n">
        <f aca="false">K21587+K21600+K21613+K21626</f>
        <v>0</v>
      </c>
    </row>
    <row r="21562" customFormat="false" ht="15" hidden="false" customHeight="false" outlineLevel="0" collapsed="false">
      <c r="A21562" s="5" t="s">
        <v>212</v>
      </c>
      <c r="G21562" s="25" t="n">
        <f aca="false">G21560+G21561</f>
        <v>140.04</v>
      </c>
      <c r="H21562" s="25" t="n">
        <f aca="false">H21560+H21561</f>
        <v>143.8435488</v>
      </c>
      <c r="I21562" s="25" t="n">
        <f aca="false">I21560+I21561</f>
        <v>141.3036768</v>
      </c>
      <c r="J21562" s="25" t="n">
        <f aca="false">J21560+J21561</f>
        <v>140.6380768</v>
      </c>
      <c r="K21562" s="25" t="n">
        <f aca="false">K21560+K21561</f>
        <v>139.9724768</v>
      </c>
    </row>
    <row r="21563" customFormat="false" ht="15" hidden="false" customHeight="false" outlineLevel="0" collapsed="false">
      <c r="A21563" s="2" t="s">
        <v>223</v>
      </c>
      <c r="G21563" s="16" t="n">
        <f aca="false">G21559-G21562</f>
        <v>-162.1008</v>
      </c>
      <c r="H21563" s="16" t="n">
        <f aca="false">H21559-H21562</f>
        <v>-163.0364448</v>
      </c>
      <c r="I21563" s="16" t="n">
        <f aca="false">I21559-I21562</f>
        <v>-159.997557504</v>
      </c>
      <c r="J21563" s="16" t="n">
        <f aca="false">J21559-J21562</f>
        <v>-159.14501869696</v>
      </c>
      <c r="K21563" s="16" t="n">
        <f aca="false">K21559-K21562</f>
        <v>-158.29434927799</v>
      </c>
    </row>
    <row r="21564" customFormat="false" ht="15" hidden="false" customHeight="false" outlineLevel="0" collapsed="false">
      <c r="A21564" s="5" t="s">
        <v>213</v>
      </c>
      <c r="G21564" s="25" t="n">
        <f aca="false">MAX(0,G21563)*Assumptions!$C$9</f>
        <v>0</v>
      </c>
      <c r="H21564" s="25" t="n">
        <f aca="false">MAX(0,H21563)*Assumptions!$C$9</f>
        <v>0</v>
      </c>
      <c r="I21564" s="25" t="n">
        <f aca="false">MAX(0,I21563)*Assumptions!$C$9</f>
        <v>0</v>
      </c>
      <c r="J21564" s="25" t="n">
        <f aca="false">MAX(0,J21563)*Assumptions!$C$9</f>
        <v>0</v>
      </c>
      <c r="K21564" s="25" t="n">
        <f aca="false">MAX(0,K21563)*Assumptions!$C$9</f>
        <v>0</v>
      </c>
    </row>
    <row r="21565" customFormat="false" ht="15" hidden="false" customHeight="false" outlineLevel="0" collapsed="false">
      <c r="A21565" s="2" t="s">
        <v>248</v>
      </c>
      <c r="G21565" s="16" t="n">
        <f aca="false">G21563-G21564</f>
        <v>-162.1008</v>
      </c>
      <c r="H21565" s="16" t="n">
        <f aca="false">H21563-H21564</f>
        <v>-163.0364448</v>
      </c>
      <c r="I21565" s="16" t="n">
        <f aca="false">I21563-I21564</f>
        <v>-159.997557504</v>
      </c>
      <c r="J21565" s="16" t="n">
        <f aca="false">J21563-J21564</f>
        <v>-159.14501869696</v>
      </c>
      <c r="K21565" s="16" t="n">
        <f aca="false">K21563-K21564</f>
        <v>-158.29434927799</v>
      </c>
    </row>
    <row r="21566" customFormat="false" ht="15" hidden="false" customHeight="false" outlineLevel="0" collapsed="false">
      <c r="A21566" s="23" t="s">
        <v>249</v>
      </c>
      <c r="B21566" s="24"/>
      <c r="C21566" s="24"/>
      <c r="D21566" s="24"/>
      <c r="E21566" s="24"/>
      <c r="F21566" s="24"/>
      <c r="G21566" s="24"/>
      <c r="H21566" s="24"/>
      <c r="I21566" s="24"/>
      <c r="J21566" s="24"/>
      <c r="K21566" s="24"/>
    </row>
    <row r="21567" customFormat="false" ht="15" hidden="false" customHeight="false" outlineLevel="0" collapsed="false">
      <c r="A21567" s="5" t="s">
        <v>153</v>
      </c>
      <c r="G21567" s="25" t="n">
        <f aca="false">G21552*CHOOSE($C$21539,Assumptions!$C$69,Assumptions!$C$88,Assumptions!$C$107)</f>
        <v>29.4144</v>
      </c>
      <c r="H21567" s="25" t="n">
        <f aca="false">H21552*CHOOSE($C$21539,Assumptions!$C$69,Assumptions!$C$88,Assumptions!$C$107)</f>
        <v>25.590528</v>
      </c>
      <c r="I21567" s="25" t="n">
        <f aca="false">I21552*CHOOSE($C$21539,Assumptions!$C$69,Assumptions!$C$88,Assumptions!$C$107)</f>
        <v>24.925174272</v>
      </c>
      <c r="J21567" s="25" t="n">
        <f aca="false">J21552*CHOOSE($C$21539,Assumptions!$C$69,Assumptions!$C$88,Assumptions!$C$107)</f>
        <v>24.67592252928</v>
      </c>
      <c r="K21567" s="25" t="n">
        <f aca="false">K21552*CHOOSE($C$21539,Assumptions!$C$69,Assumptions!$C$88,Assumptions!$C$107)</f>
        <v>24.4291633039872</v>
      </c>
    </row>
    <row r="21568" customFormat="false" ht="15" hidden="false" customHeight="false" outlineLevel="0" collapsed="false">
      <c r="A21568" s="5" t="s">
        <v>250</v>
      </c>
      <c r="G21568" s="25" t="n">
        <f aca="false">CHOOSE($C$21539,Assumptions!$C$70,Assumptions!$C$89,Assumptions!$C$108)*(G21552-F21552)+CHOOSE($C$21539,Assumptions!$C$71,Assumptions!$C$90,Assumptions!$C$109)*G21552</f>
        <v>-56.3616</v>
      </c>
      <c r="H21568" s="25" t="n">
        <f aca="false">CHOOSE($C$21539,Assumptions!$C$70,Assumptions!$C$89,Assumptions!$C$108)*(H21552-G21552)+CHOOSE($C$21539,Assumptions!$C$71,Assumptions!$C$90,Assumptions!$C$109)*H21552</f>
        <v>-19.082592</v>
      </c>
      <c r="I21568" s="25" t="n">
        <f aca="false">CHOOSE($C$21539,Assumptions!$C$70,Assumptions!$C$89,Assumptions!$C$108)*(I21552-H21552)+CHOOSE($C$21539,Assumptions!$C$71,Assumptions!$C$90,Assumptions!$C$109)*I21552</f>
        <v>4.35678739199999</v>
      </c>
      <c r="J21568" s="25" t="n">
        <f aca="false">CHOOSE($C$21539,Assumptions!$C$70,Assumptions!$C$89,Assumptions!$C$108)*(J21552-I21552)+CHOOSE($C$21539,Assumptions!$C$71,Assumptions!$C$90,Assumptions!$C$109)*J21552</f>
        <v>7.38408287808</v>
      </c>
      <c r="K21568" s="25" t="n">
        <f aca="false">CHOOSE($C$21539,Assumptions!$C$70,Assumptions!$C$89,Assumptions!$C$108)*(K21552-J21552)+CHOOSE($C$21539,Assumptions!$C$71,Assumptions!$C$90,Assumptions!$C$109)*K21552</f>
        <v>7.3102420492992</v>
      </c>
    </row>
    <row r="21569" customFormat="false" ht="15" hidden="false" customHeight="false" outlineLevel="0" collapsed="false">
      <c r="A21569" s="2" t="s">
        <v>251</v>
      </c>
      <c r="G21569" s="16" t="n">
        <f aca="false">G21565+G21557+G21558+G21561-G21567-G21568</f>
        <v>-94.7088</v>
      </c>
      <c r="H21569" s="16" t="n">
        <f aca="false">H21565+H21557+H21558+H21561-H21567-H21568</f>
        <v>-134.3574048</v>
      </c>
      <c r="I21569" s="16" t="n">
        <f aca="false">I21565+I21557+I21558+I21561-I21567-I21568</f>
        <v>-155.007404544</v>
      </c>
      <c r="J21569" s="16" t="n">
        <f aca="false">J21565+J21557+J21558+J21561-J21567-J21568</f>
        <v>-157.27563062656</v>
      </c>
      <c r="K21569" s="16" t="n">
        <f aca="false">K21565+K21557+K21558+K21561-K21567-K21568</f>
        <v>-156.443655088294</v>
      </c>
    </row>
    <row r="21571" customFormat="false" ht="15" hidden="false" customHeight="false" outlineLevel="0" collapsed="false">
      <c r="A21571" s="23" t="s">
        <v>253</v>
      </c>
      <c r="B21571" s="24"/>
      <c r="C21571" s="24"/>
      <c r="D21571" s="24"/>
      <c r="E21571" s="24"/>
      <c r="F21571" s="24"/>
      <c r="G21571" s="24"/>
      <c r="H21571" s="24"/>
      <c r="I21571" s="24"/>
      <c r="J21571" s="24"/>
      <c r="K21571" s="24"/>
    </row>
    <row r="21572" customFormat="false" ht="15" hidden="false" customHeight="false" outlineLevel="0" collapsed="false">
      <c r="A21572" s="5" t="s">
        <v>254</v>
      </c>
      <c r="G21572" s="29" t="n">
        <f aca="false">Assumptions!$G$49</f>
        <v>0.0425</v>
      </c>
      <c r="H21572" s="29" t="n">
        <f aca="false">Assumptions!$H$49</f>
        <v>0.04</v>
      </c>
      <c r="I21572" s="29" t="n">
        <f aca="false">Assumptions!$I$49</f>
        <v>0.0375</v>
      </c>
      <c r="J21572" s="29" t="n">
        <f aca="false">Assumptions!$J$49</f>
        <v>0.0375</v>
      </c>
      <c r="K21572" s="29" t="n">
        <f aca="false">Assumptions!$K$49</f>
        <v>0.0375</v>
      </c>
    </row>
    <row r="21573" customFormat="false" ht="15" hidden="false" customHeight="false" outlineLevel="0" collapsed="false">
      <c r="A21573" s="5" t="s">
        <v>255</v>
      </c>
      <c r="C21573" s="30" t="n">
        <f aca="false">CHOOSE($C$21539,Assumptions!$C$72,Assumptions!$C$91,Assumptions!$C$110)+$C$21542</f>
        <v>0.03</v>
      </c>
    </row>
    <row r="21574" customFormat="false" ht="15" hidden="false" customHeight="false" outlineLevel="0" collapsed="false">
      <c r="A21574" s="5" t="s">
        <v>256</v>
      </c>
      <c r="C21574" s="30" t="n">
        <f aca="false">CHOOSE($C$21539,Assumptions!$C$73,Assumptions!$C$92,Assumptions!$C$111)</f>
        <v>0.16</v>
      </c>
    </row>
    <row r="21575" customFormat="false" ht="15" hidden="false" customHeight="false" outlineLevel="0" collapsed="false">
      <c r="A21575" s="5" t="s">
        <v>257</v>
      </c>
      <c r="C21575" s="31" t="n">
        <f aca="false">CHOOSE($C$21539,Assumptions!$C$74,Assumptions!$C$93,Assumptions!$C$112)</f>
        <v>5</v>
      </c>
    </row>
    <row r="21576" customFormat="false" ht="15" hidden="false" customHeight="false" outlineLevel="0" collapsed="false">
      <c r="A21576" s="5" t="s">
        <v>258</v>
      </c>
      <c r="C21576" s="31" t="n">
        <f aca="false">CHOOSE($C$21539,Assumptions!$C$75,Assumptions!$C$94,Assumptions!$C$113)</f>
        <v>2</v>
      </c>
    </row>
    <row r="21577" customFormat="false" ht="15" hidden="false" customHeight="false" outlineLevel="0" collapsed="false">
      <c r="A21577" s="5" t="s">
        <v>259</v>
      </c>
      <c r="G21577" s="25" t="n">
        <f aca="false">G21582+G21595+G21608+G21621</f>
        <v>1250</v>
      </c>
      <c r="H21577" s="25" t="n">
        <f aca="false">H21582+H21595+H21608+H21621</f>
        <v>1299.7088</v>
      </c>
      <c r="I21577" s="25" t="n">
        <f aca="false">I21582+I21595+I21608+I21621</f>
        <v>1294.5088</v>
      </c>
      <c r="J21577" s="25" t="n">
        <f aca="false">J21582+J21595+J21608+J21621</f>
        <v>1289.3088</v>
      </c>
      <c r="K21577" s="25" t="n">
        <f aca="false">K21582+K21595+K21608+K21621</f>
        <v>1284.1088</v>
      </c>
    </row>
    <row r="21578" customFormat="false" ht="15" hidden="false" customHeight="false" outlineLevel="0" collapsed="false">
      <c r="A21578" s="5" t="s">
        <v>260</v>
      </c>
      <c r="G21578" s="25" t="n">
        <f aca="false">F21668</f>
        <v>45</v>
      </c>
      <c r="H21578" s="25" t="n">
        <f aca="false">G21668</f>
        <v>0</v>
      </c>
      <c r="I21578" s="25" t="n">
        <f aca="false">H21668</f>
        <v>-139.5574048</v>
      </c>
      <c r="J21578" s="25" t="n">
        <f aca="false">I21668</f>
        <v>-299.764809344</v>
      </c>
      <c r="K21578" s="25" t="n">
        <f aca="false">J21668</f>
        <v>-462.24043997056</v>
      </c>
    </row>
    <row r="21579" customFormat="false" ht="15" hidden="false" customHeight="false" outlineLevel="0" collapsed="false">
      <c r="A21579" s="5" t="s">
        <v>261</v>
      </c>
      <c r="G21579" s="25" t="n">
        <f aca="false">G21582*IF(G21583=1,$C$21574,IF(Assumptions!$I$53=1,MAX(G21572,Assumptions!$G$53)+Assumptions!$F$53+$C$21573,Assumptions!$E$53))+G21595*IF(G21596=1,$C$21574,IF(Assumptions!$I$54=1,MAX(G21572,Assumptions!$G$54)+Assumptions!$F$54+$C$21573,Assumptions!$E$54))+G21608*IF(G21609=1,$C$21574,IF(Assumptions!$I$55=1,MAX(G21572,Assumptions!$G$55)+Assumptions!$F$55+$C$21573,Assumptions!$E$55))+G21621*IF(G21622=1,$C$21574,IF(Assumptions!$I$56=1,MAX(G21572,Assumptions!$G$56)+Assumptions!$F$56+$C$21573,Assumptions!$E$56))</f>
        <v>140.04</v>
      </c>
      <c r="H21579" s="25" t="n">
        <f aca="false">H21582*IF(OR(H21583=1,G21734=1),$C$21574,IF(Assumptions!$I$53=1,MAX(H21572,Assumptions!$G$53)+Assumptions!$F$53+$C$21573,Assumptions!$E$53))+H21595*IF(OR(H21596=1,G21735=1),$C$21574,IF(Assumptions!$I$54=1,MAX(H21572,Assumptions!$G$54)+Assumptions!$F$54+$C$21573,Assumptions!$E$54))+H21608*IF(OR(H21609=1,G21736=1),$C$21574,IF(Assumptions!$I$55=1,MAX(H21572,Assumptions!$G$55)+Assumptions!$F$55+$C$21573,Assumptions!$E$55))+H21621*IF(OR(H21622=1,G21737=1),$C$21574,IF(Assumptions!$I$56=1,MAX(H21572,Assumptions!$G$56)+Assumptions!$F$56+$C$21573,Assumptions!$E$56))</f>
        <v>180.266808</v>
      </c>
      <c r="I21579" s="25" t="n">
        <f aca="false">I21582*IF(OR(I21583=1,H21734=1),$C$21574,IF(Assumptions!$I$53=1,MAX(I21572,Assumptions!$G$53)+Assumptions!$F$53+$C$21573,Assumptions!$E$53))+I21595*IF(OR(I21596=1,H21735=1),$C$21574,IF(Assumptions!$I$54=1,MAX(I21572,Assumptions!$G$54)+Assumptions!$F$54+$C$21573,Assumptions!$E$54))+I21608*IF(OR(I21609=1,H21736=1),$C$21574,IF(Assumptions!$I$55=1,MAX(I21572,Assumptions!$G$55)+Assumptions!$F$55+$C$21573,Assumptions!$E$55))+I21621*IF(OR(I21622=1,H21737=1),$C$21574,IF(Assumptions!$I$56=1,MAX(I21572,Assumptions!$G$56)+Assumptions!$F$56+$C$21573,Assumptions!$E$56))</f>
        <v>157.6108768</v>
      </c>
      <c r="J21579" s="25" t="n">
        <f aca="false">J21582*IF(OR(J21583=1,I21734=1),$C$21574,IF(Assumptions!$I$53=1,MAX(J21572,Assumptions!$G$53)+Assumptions!$F$53+$C$21573,Assumptions!$E$53))+J21595*IF(OR(J21596=1,I21735=1),$C$21574,IF(Assumptions!$I$54=1,MAX(J21572,Assumptions!$G$54)+Assumptions!$F$54+$C$21573,Assumptions!$E$54))+J21608*IF(OR(J21609=1,I21736=1),$C$21574,IF(Assumptions!$I$55=1,MAX(J21572,Assumptions!$G$55)+Assumptions!$F$55+$C$21573,Assumptions!$E$55))+J21621*IF(OR(J21622=1,I21737=1),$C$21574,IF(Assumptions!$I$56=1,MAX(J21572,Assumptions!$G$56)+Assumptions!$F$56+$C$21573,Assumptions!$E$56))</f>
        <v>153.1380768</v>
      </c>
      <c r="K21579" s="25" t="n">
        <f aca="false">K21582*IF(OR(K21583=1,J21734=1),$C$21574,IF(Assumptions!$I$53=1,MAX(K21572,Assumptions!$G$53)+Assumptions!$F$53+$C$21573,Assumptions!$E$53))+K21595*IF(OR(K21596=1,J21735=1),$C$21574,IF(Assumptions!$I$54=1,MAX(K21572,Assumptions!$G$54)+Assumptions!$F$54+$C$21573,Assumptions!$E$54))+K21608*IF(OR(K21609=1,J21736=1),$C$21574,IF(Assumptions!$I$55=1,MAX(K21572,Assumptions!$G$55)+Assumptions!$F$55+$C$21573,Assumptions!$E$55))+K21621*IF(OR(K21622=1,J21737=1),$C$21574,IF(Assumptions!$I$56=1,MAX(K21572,Assumptions!$G$56)+Assumptions!$F$56+$C$21573,Assumptions!$E$56))</f>
        <v>139.9724768</v>
      </c>
    </row>
    <row r="21580" customFormat="false" ht="15" hidden="false" customHeight="false" outlineLevel="0" collapsed="false">
      <c r="A21580" s="5" t="s">
        <v>262</v>
      </c>
      <c r="G21580" s="20" t="n">
        <f aca="false">IF(G21556&lt;=0,0,IF(AND((G21577-G21578)/G21556&lt;=$C$21575,G21556/G21579&gt;=$C$21576),1,0))</f>
        <v>0</v>
      </c>
      <c r="H21580" s="20" t="n">
        <f aca="false">IF(H21556&lt;=0,0,IF(AND((H21577-H21578)/H21556&lt;=$C$21575,H21556/H21579&gt;=$C$21576),1,0))</f>
        <v>0</v>
      </c>
      <c r="I21580" s="20" t="n">
        <f aca="false">IF(I21556&lt;=0,0,IF(AND((I21577-I21578)/I21556&lt;=$C$21575,I21556/I21579&gt;=$C$21576),1,0))</f>
        <v>0</v>
      </c>
      <c r="J21580" s="20" t="n">
        <f aca="false">IF(J21556&lt;=0,0,IF(AND((J21577-J21578)/J21556&lt;=$C$21575,J21556/J21579&gt;=$C$21576),1,0))</f>
        <v>0</v>
      </c>
      <c r="K21580" s="20" t="n">
        <f aca="false">IF(K21556&lt;=0,0,IF(AND((K21577-K21578)/K21556&lt;=$C$21575,K21556/K21579&gt;=$C$21576),1,0))</f>
        <v>0</v>
      </c>
    </row>
    <row r="21581" customFormat="false" ht="15" hidden="false" customHeight="false" outlineLevel="0" collapsed="false">
      <c r="A21581" s="23" t="s">
        <v>263</v>
      </c>
      <c r="B21581" s="24"/>
      <c r="C21581" s="24"/>
      <c r="D21581" s="24"/>
      <c r="E21581" s="24"/>
      <c r="F21581" s="24"/>
      <c r="G21581" s="24"/>
      <c r="H21581" s="24"/>
      <c r="I21581" s="24"/>
      <c r="J21581" s="24"/>
      <c r="K21581" s="24"/>
    </row>
    <row r="21582" customFormat="false" ht="15" hidden="false" customHeight="false" outlineLevel="0" collapsed="false">
      <c r="A21582" s="5" t="s">
        <v>264</v>
      </c>
      <c r="G21582" s="25" t="n">
        <f aca="false">F21593</f>
        <v>180</v>
      </c>
      <c r="H21582" s="25" t="n">
        <f aca="false">G21593</f>
        <v>234.9088</v>
      </c>
      <c r="I21582" s="25" t="n">
        <f aca="false">H21593</f>
        <v>234.9088</v>
      </c>
      <c r="J21582" s="25" t="n">
        <f aca="false">I21593</f>
        <v>234.9088</v>
      </c>
      <c r="K21582" s="25" t="n">
        <f aca="false">J21593</f>
        <v>234.9088</v>
      </c>
    </row>
    <row r="21583" customFormat="false" ht="15" hidden="false" customHeight="false" outlineLevel="0" collapsed="false">
      <c r="A21583" s="5" t="s">
        <v>265</v>
      </c>
      <c r="G21583" s="20" t="n">
        <f aca="false">IF(G21546=Assumptions!$K$53,1,0)</f>
        <v>0</v>
      </c>
      <c r="H21583" s="20" t="n">
        <f aca="false">IF(H21546=Assumptions!$K$53,1,0)</f>
        <v>1</v>
      </c>
      <c r="I21583" s="20" t="n">
        <f aca="false">IF(I21546=Assumptions!$K$53,1,0)</f>
        <v>0</v>
      </c>
      <c r="J21583" s="20" t="n">
        <f aca="false">IF(J21546=Assumptions!$K$53,1,0)</f>
        <v>0</v>
      </c>
      <c r="K21583" s="20" t="n">
        <f aca="false">IF(K21546=Assumptions!$K$53,1,0)</f>
        <v>0</v>
      </c>
    </row>
    <row r="21585" customFormat="false" ht="15" hidden="false" customHeight="false" outlineLevel="0" collapsed="false">
      <c r="A21585" s="5" t="s">
        <v>266</v>
      </c>
      <c r="G21585" s="30" t="n">
        <f aca="false">IF(Assumptions!$I$53=1,MAX(G21572,Assumptions!$G$53)+Assumptions!$F$53+$C$21573,Assumptions!$E$53)</f>
        <v>0.116</v>
      </c>
      <c r="H21585" s="30" t="n">
        <f aca="false">IF(G21734=1,$C$21574,IF(Assumptions!$I$53=1,MAX(H21572,Assumptions!$G$53)+Assumptions!$F$53+$C$21573,Assumptions!$E$53))</f>
        <v>0.1135</v>
      </c>
      <c r="I21585" s="30" t="n">
        <f aca="false">IF(H21734=1,$C$21574,IF(Assumptions!$I$53=1,MAX(I21572,Assumptions!$G$53)+Assumptions!$F$53+$C$21573,Assumptions!$E$53))</f>
        <v>0.111</v>
      </c>
      <c r="J21585" s="30" t="n">
        <f aca="false">IF(I21734=1,$C$21574,IF(Assumptions!$I$53=1,MAX(J21572,Assumptions!$G$53)+Assumptions!$F$53+$C$21573,Assumptions!$E$53))</f>
        <v>0.111</v>
      </c>
      <c r="K21585" s="30" t="n">
        <f aca="false">IF(J21734=1,$C$21574,IF(Assumptions!$I$53=1,MAX(K21572,Assumptions!$G$53)+Assumptions!$F$53+$C$21573,Assumptions!$E$53))</f>
        <v>0.111</v>
      </c>
    </row>
    <row r="21586" customFormat="false" ht="15" hidden="false" customHeight="false" outlineLevel="0" collapsed="false">
      <c r="A21586" s="5" t="s">
        <v>267</v>
      </c>
      <c r="G21586" s="25" t="n">
        <f aca="false">G21582*G21585</f>
        <v>20.88</v>
      </c>
      <c r="H21586" s="25" t="n">
        <f aca="false">H21582*H21585</f>
        <v>26.6621488</v>
      </c>
      <c r="I21586" s="25" t="n">
        <f aca="false">I21582*I21585</f>
        <v>26.0748768</v>
      </c>
      <c r="J21586" s="25" t="n">
        <f aca="false">J21582*J21585</f>
        <v>26.0748768</v>
      </c>
      <c r="K21586" s="25" t="n">
        <f aca="false">K21582*K21585</f>
        <v>26.0748768</v>
      </c>
    </row>
    <row r="21587" customFormat="false" ht="15" hidden="false" customHeight="false" outlineLevel="0" collapsed="false">
      <c r="A21587" s="5" t="s">
        <v>268</v>
      </c>
      <c r="G21587" s="25" t="n">
        <f aca="false">G21582*Assumptions!$H$53</f>
        <v>0</v>
      </c>
      <c r="H21587" s="25" t="n">
        <f aca="false">H21582*Assumptions!$H$53</f>
        <v>0</v>
      </c>
      <c r="I21587" s="25" t="n">
        <f aca="false">I21582*Assumptions!$H$53</f>
        <v>0</v>
      </c>
      <c r="J21587" s="25" t="n">
        <f aca="false">J21582*Assumptions!$H$53</f>
        <v>0</v>
      </c>
      <c r="K21587" s="25" t="n">
        <f aca="false">K21582*Assumptions!$H$53</f>
        <v>0</v>
      </c>
    </row>
    <row r="21588" customFormat="false" ht="15" hidden="false" customHeight="false" outlineLevel="0" collapsed="false">
      <c r="A21588" s="5" t="s">
        <v>269</v>
      </c>
      <c r="G21588" s="25" t="n">
        <f aca="false">MIN(G21582,Assumptions!$L$53*Assumptions!$C$53)</f>
        <v>0</v>
      </c>
      <c r="H21588" s="25" t="n">
        <f aca="false">MIN(H21582,Assumptions!$L$53*Assumptions!$C$53)</f>
        <v>0</v>
      </c>
      <c r="I21588" s="25" t="n">
        <f aca="false">MIN(I21582,Assumptions!$L$53*Assumptions!$C$53)</f>
        <v>0</v>
      </c>
      <c r="J21588" s="25" t="n">
        <f aca="false">MIN(J21582,Assumptions!$L$53*Assumptions!$C$53)</f>
        <v>0</v>
      </c>
      <c r="K21588" s="25" t="n">
        <f aca="false">MIN(K21582,Assumptions!$L$53*Assumptions!$C$53)</f>
        <v>0</v>
      </c>
    </row>
    <row r="21589" customFormat="false" ht="15" hidden="false" customHeight="false" outlineLevel="0" collapsed="false">
      <c r="A21589" s="5" t="s">
        <v>270</v>
      </c>
      <c r="G21589" s="25" t="n">
        <f aca="false">IF(AND(Assumptions!$P$53=1,G21546&lt;Assumptions!$K$53),MIN(MAX(0,-G21660),MAX(0,Assumptions!$D$53-G21582)),0)</f>
        <v>54.9088</v>
      </c>
      <c r="H21589" s="25" t="n">
        <f aca="false">IF(AND(Assumptions!$P$53=1,OR(H21546&lt;Assumptions!$K$53,G21734=1)),MIN(MAX(0,-H21660),MAX(0,Assumptions!$D$53-H21582)),0)</f>
        <v>0</v>
      </c>
      <c r="I21589" s="25" t="n">
        <f aca="false">IF(AND(Assumptions!$P$53=1,OR(I21546&lt;Assumptions!$K$53,H21734=1)),MIN(MAX(0,-I21660),MAX(0,Assumptions!$D$53-I21582)),0)</f>
        <v>0</v>
      </c>
      <c r="J21589" s="25" t="n">
        <f aca="false">IF(AND(Assumptions!$P$53=1,OR(J21546&lt;Assumptions!$K$53,I21734=1)),MIN(MAX(0,-J21660),MAX(0,Assumptions!$D$53-J21582)),0)</f>
        <v>0</v>
      </c>
      <c r="K21589" s="25" t="n">
        <f aca="false">IF(AND(Assumptions!$P$53=1,OR(K21546&lt;Assumptions!$K$53,J21734=1)),MIN(MAX(0,-K21660),MAX(0,Assumptions!$D$53-K21582)),0)</f>
        <v>0</v>
      </c>
    </row>
    <row r="21590" customFormat="false" ht="15" hidden="false" customHeight="false" outlineLevel="0" collapsed="false">
      <c r="A21590" s="5" t="s">
        <v>271</v>
      </c>
      <c r="G21590" s="25" t="n">
        <f aca="false">G21583*MIN(G21582-G21588+G21587,MAX(0,G21662-Assumptions!$C$12*G21580))</f>
        <v>0</v>
      </c>
      <c r="H21590" s="25" t="n">
        <f aca="false">H21583*MIN(H21582-H21588+H21587,MAX(0,H21662-Assumptions!$C$12*H21580))</f>
        <v>0</v>
      </c>
      <c r="I21590" s="25" t="n">
        <f aca="false">I21583*MIN(I21582-I21588+I21587,MAX(0,I21662-Assumptions!$C$12*I21580))</f>
        <v>0</v>
      </c>
      <c r="J21590" s="25" t="n">
        <f aca="false">J21583*MIN(J21582-J21588+J21587,MAX(0,J21662-Assumptions!$C$12*J21580))</f>
        <v>0</v>
      </c>
      <c r="K21590" s="25" t="n">
        <f aca="false">K21583*MIN(K21582-K21588+K21587,MAX(0,K21662-Assumptions!$C$12*K21580))</f>
        <v>0</v>
      </c>
    </row>
    <row r="21591" customFormat="false" ht="15" hidden="false" customHeight="false" outlineLevel="0" collapsed="false">
      <c r="A21591" s="5" t="s">
        <v>272</v>
      </c>
      <c r="G21591" s="25" t="n">
        <f aca="false">Assumptions!$N$53*MIN(G21582+G21589+G21587-G21588-G21590,MAX(0,G21666))</f>
        <v>0</v>
      </c>
      <c r="H21591" s="25" t="n">
        <f aca="false">Assumptions!$N$53*MIN(H21582+H21589+H21587-H21588-H21590,MAX(0,H21666))</f>
        <v>0</v>
      </c>
      <c r="I21591" s="25" t="n">
        <f aca="false">Assumptions!$N$53*MIN(I21582+I21589+I21587-I21588-I21590,MAX(0,I21666))</f>
        <v>0</v>
      </c>
      <c r="J21591" s="25" t="n">
        <f aca="false">Assumptions!$N$53*MIN(J21582+J21589+J21587-J21588-J21590,MAX(0,J21666))</f>
        <v>0</v>
      </c>
      <c r="K21591" s="25" t="n">
        <f aca="false">Assumptions!$N$53*MIN(K21582+K21589+K21587-K21588-K21590,MAX(0,K21666))</f>
        <v>0</v>
      </c>
    </row>
    <row r="21592" customFormat="false" ht="15" hidden="false" customHeight="false" outlineLevel="0" collapsed="false">
      <c r="A21592" s="5" t="s">
        <v>273</v>
      </c>
      <c r="G21592" s="25" t="n">
        <f aca="false">G21583*(1-G21580)*(G21582-G21588+G21587-G21590)</f>
        <v>0</v>
      </c>
      <c r="H21592" s="25" t="n">
        <f aca="false">H21583*(1-H21580)*(H21582-H21588+H21587-H21590)</f>
        <v>234.9088</v>
      </c>
      <c r="I21592" s="25" t="n">
        <f aca="false">I21583*(1-I21580)*(I21582-I21588+I21587-I21590)</f>
        <v>0</v>
      </c>
      <c r="J21592" s="25" t="n">
        <f aca="false">J21583*(1-J21580)*(J21582-J21588+J21587-J21590)</f>
        <v>0</v>
      </c>
      <c r="K21592" s="25" t="n">
        <f aca="false">K21583*(1-K21580)*(K21582-K21588+K21587-K21590)</f>
        <v>0</v>
      </c>
    </row>
    <row r="21593" customFormat="false" ht="15" hidden="false" customHeight="false" outlineLevel="0" collapsed="false">
      <c r="A21593" s="2" t="s">
        <v>274</v>
      </c>
      <c r="F21593" s="27" t="n">
        <f aca="false">Assumptions!$C$53</f>
        <v>180</v>
      </c>
      <c r="G21593" s="16" t="n">
        <f aca="false">G21582+G21589+G21587-G21588-G21590-G21591</f>
        <v>234.9088</v>
      </c>
      <c r="H21593" s="16" t="n">
        <f aca="false">H21582+H21589+H21587-H21588-H21590-H21591</f>
        <v>234.9088</v>
      </c>
      <c r="I21593" s="16" t="n">
        <f aca="false">I21582+I21589+I21587-I21588-I21590-I21591</f>
        <v>234.9088</v>
      </c>
      <c r="J21593" s="16" t="n">
        <f aca="false">J21582+J21589+J21587-J21588-J21590-J21591</f>
        <v>234.9088</v>
      </c>
      <c r="K21593" s="16" t="n">
        <f aca="false">K21582+K21589+K21587-K21588-K21590-K21591</f>
        <v>234.9088</v>
      </c>
    </row>
    <row r="21594" customFormat="false" ht="15" hidden="false" customHeight="false" outlineLevel="0" collapsed="false">
      <c r="A21594" s="23" t="s">
        <v>275</v>
      </c>
      <c r="B21594" s="24"/>
      <c r="C21594" s="24"/>
      <c r="D21594" s="24"/>
      <c r="E21594" s="24"/>
      <c r="F21594" s="24"/>
      <c r="G21594" s="24"/>
      <c r="H21594" s="24"/>
      <c r="I21594" s="24"/>
      <c r="J21594" s="24"/>
      <c r="K21594" s="24"/>
    </row>
    <row r="21595" customFormat="false" ht="15" hidden="false" customHeight="false" outlineLevel="0" collapsed="false">
      <c r="A21595" s="5" t="s">
        <v>264</v>
      </c>
      <c r="G21595" s="25" t="n">
        <f aca="false">F21606</f>
        <v>520</v>
      </c>
      <c r="H21595" s="25" t="n">
        <f aca="false">G21606</f>
        <v>514.8</v>
      </c>
      <c r="I21595" s="25" t="n">
        <f aca="false">H21606</f>
        <v>509.6</v>
      </c>
      <c r="J21595" s="25" t="n">
        <f aca="false">I21606</f>
        <v>504.4</v>
      </c>
      <c r="K21595" s="25" t="n">
        <f aca="false">J21606</f>
        <v>499.2</v>
      </c>
    </row>
    <row r="21596" customFormat="false" ht="15" hidden="false" customHeight="false" outlineLevel="0" collapsed="false">
      <c r="A21596" s="5" t="s">
        <v>265</v>
      </c>
      <c r="G21596" s="20" t="n">
        <f aca="false">IF(G21546=Assumptions!$K$54,1,0)</f>
        <v>0</v>
      </c>
      <c r="H21596" s="20" t="n">
        <f aca="false">IF(H21546=Assumptions!$K$54,1,0)</f>
        <v>0</v>
      </c>
      <c r="I21596" s="20" t="n">
        <f aca="false">IF(I21546=Assumptions!$K$54,1,0)</f>
        <v>1</v>
      </c>
      <c r="J21596" s="20" t="n">
        <f aca="false">IF(J21546=Assumptions!$K$54,1,0)</f>
        <v>0</v>
      </c>
      <c r="K21596" s="20" t="n">
        <f aca="false">IF(K21546=Assumptions!$K$54,1,0)</f>
        <v>0</v>
      </c>
    </row>
    <row r="21598" customFormat="false" ht="15" hidden="false" customHeight="false" outlineLevel="0" collapsed="false">
      <c r="A21598" s="5" t="s">
        <v>266</v>
      </c>
      <c r="G21598" s="30" t="n">
        <f aca="false">IF(Assumptions!$I$54=1,MAX(G21572,Assumptions!$G$54)+Assumptions!$F$54+$C$21573,Assumptions!$E$54)</f>
        <v>0.133</v>
      </c>
      <c r="H21598" s="30" t="n">
        <f aca="false">IF(G21735=1,$C$21574,IF(Assumptions!$I$54=1,MAX(H21572,Assumptions!$G$54)+Assumptions!$F$54+$C$21573,Assumptions!$E$54))</f>
        <v>0.1305</v>
      </c>
      <c r="I21598" s="30" t="n">
        <f aca="false">IF(H21735=1,$C$21574,IF(Assumptions!$I$54=1,MAX(I21572,Assumptions!$G$54)+Assumptions!$F$54+$C$21573,Assumptions!$E$54))</f>
        <v>0.128</v>
      </c>
      <c r="J21598" s="30" t="n">
        <f aca="false">IF(I21735=1,$C$21574,IF(Assumptions!$I$54=1,MAX(J21572,Assumptions!$G$54)+Assumptions!$F$54+$C$21573,Assumptions!$E$54))</f>
        <v>0.128</v>
      </c>
      <c r="K21598" s="30" t="n">
        <f aca="false">IF(J21735=1,$C$21574,IF(Assumptions!$I$54=1,MAX(K21572,Assumptions!$G$54)+Assumptions!$F$54+$C$21573,Assumptions!$E$54))</f>
        <v>0.128</v>
      </c>
    </row>
    <row r="21599" customFormat="false" ht="15" hidden="false" customHeight="false" outlineLevel="0" collapsed="false">
      <c r="A21599" s="5" t="s">
        <v>267</v>
      </c>
      <c r="G21599" s="25" t="n">
        <f aca="false">G21595*G21598</f>
        <v>69.16</v>
      </c>
      <c r="H21599" s="25" t="n">
        <f aca="false">H21595*H21598</f>
        <v>67.1814</v>
      </c>
      <c r="I21599" s="25" t="n">
        <f aca="false">I21595*I21598</f>
        <v>65.2288</v>
      </c>
      <c r="J21599" s="25" t="n">
        <f aca="false">J21595*J21598</f>
        <v>64.5632</v>
      </c>
      <c r="K21599" s="25" t="n">
        <f aca="false">K21595*K21598</f>
        <v>63.8976</v>
      </c>
    </row>
    <row r="21600" customFormat="false" ht="15" hidden="false" customHeight="false" outlineLevel="0" collapsed="false">
      <c r="A21600" s="5" t="s">
        <v>268</v>
      </c>
      <c r="G21600" s="25" t="n">
        <f aca="false">G21595*Assumptions!$H$54</f>
        <v>0</v>
      </c>
      <c r="H21600" s="25" t="n">
        <f aca="false">H21595*Assumptions!$H$54</f>
        <v>0</v>
      </c>
      <c r="I21600" s="25" t="n">
        <f aca="false">I21595*Assumptions!$H$54</f>
        <v>0</v>
      </c>
      <c r="J21600" s="25" t="n">
        <f aca="false">J21595*Assumptions!$H$54</f>
        <v>0</v>
      </c>
      <c r="K21600" s="25" t="n">
        <f aca="false">K21595*Assumptions!$H$54</f>
        <v>0</v>
      </c>
    </row>
    <row r="21601" customFormat="false" ht="15" hidden="false" customHeight="false" outlineLevel="0" collapsed="false">
      <c r="A21601" s="5" t="s">
        <v>269</v>
      </c>
      <c r="G21601" s="25" t="n">
        <f aca="false">MIN(G21595,Assumptions!$L$54*Assumptions!$C$54)</f>
        <v>5.2</v>
      </c>
      <c r="H21601" s="25" t="n">
        <f aca="false">MIN(H21595,Assumptions!$L$54*Assumptions!$C$54)</f>
        <v>5.2</v>
      </c>
      <c r="I21601" s="25" t="n">
        <f aca="false">MIN(I21595,Assumptions!$L$54*Assumptions!$C$54)</f>
        <v>5.2</v>
      </c>
      <c r="J21601" s="25" t="n">
        <f aca="false">MIN(J21595,Assumptions!$L$54*Assumptions!$C$54)</f>
        <v>5.2</v>
      </c>
      <c r="K21601" s="25" t="n">
        <f aca="false">MIN(K21595,Assumptions!$L$54*Assumptions!$C$54)</f>
        <v>5.2</v>
      </c>
    </row>
    <row r="21602" customFormat="false" ht="15" hidden="false" customHeight="false" outlineLevel="0" collapsed="false">
      <c r="A21602" s="5" t="s">
        <v>270</v>
      </c>
      <c r="G21602" s="25" t="n">
        <f aca="false">IF(AND(Assumptions!$P$54=1,G21546&lt;Assumptions!$K$54),MIN(MAX(0,-G21660),MAX(0,Assumptions!$D$54-G21595)),0)</f>
        <v>0</v>
      </c>
      <c r="H21602" s="25" t="n">
        <f aca="false">IF(AND(Assumptions!$P$54=1,OR(H21546&lt;Assumptions!$K$54,G21735=1)),MIN(MAX(0,-H21660),MAX(0,Assumptions!$D$54-H21595)),0)</f>
        <v>0</v>
      </c>
      <c r="I21602" s="25" t="n">
        <f aca="false">IF(AND(Assumptions!$P$54=1,OR(I21546&lt;Assumptions!$K$54,H21735=1)),MIN(MAX(0,-I21660),MAX(0,Assumptions!$D$54-I21595)),0)</f>
        <v>0</v>
      </c>
      <c r="J21602" s="25" t="n">
        <f aca="false">IF(AND(Assumptions!$P$54=1,OR(J21546&lt;Assumptions!$K$54,I21735=1)),MIN(MAX(0,-J21660),MAX(0,Assumptions!$D$54-J21595)),0)</f>
        <v>0</v>
      </c>
      <c r="K21602" s="25" t="n">
        <f aca="false">IF(AND(Assumptions!$P$54=1,OR(K21546&lt;Assumptions!$K$54,J21735=1)),MIN(MAX(0,-K21660),MAX(0,Assumptions!$D$54-K21595)),0)</f>
        <v>0</v>
      </c>
    </row>
    <row r="21603" customFormat="false" ht="15" hidden="false" customHeight="false" outlineLevel="0" collapsed="false">
      <c r="A21603" s="5" t="s">
        <v>271</v>
      </c>
      <c r="G21603" s="25" t="n">
        <f aca="false">G21596*MIN(G21595-G21601+G21600,MAX(0,G21662-Assumptions!$C$12*G21580-G21590))</f>
        <v>0</v>
      </c>
      <c r="H21603" s="25" t="n">
        <f aca="false">H21596*MIN(H21595-H21601+H21600,MAX(0,H21662-Assumptions!$C$12*H21580-H21590))</f>
        <v>0</v>
      </c>
      <c r="I21603" s="25" t="n">
        <f aca="false">I21596*MIN(I21595-I21601+I21600,MAX(0,I21662-Assumptions!$C$12*I21580-I21590))</f>
        <v>0</v>
      </c>
      <c r="J21603" s="25" t="n">
        <f aca="false">J21596*MIN(J21595-J21601+J21600,MAX(0,J21662-Assumptions!$C$12*J21580-J21590))</f>
        <v>0</v>
      </c>
      <c r="K21603" s="25" t="n">
        <f aca="false">K21596*MIN(K21595-K21601+K21600,MAX(0,K21662-Assumptions!$C$12*K21580-K21590))</f>
        <v>0</v>
      </c>
    </row>
    <row r="21604" customFormat="false" ht="15" hidden="false" customHeight="false" outlineLevel="0" collapsed="false">
      <c r="A21604" s="5" t="s">
        <v>272</v>
      </c>
      <c r="G21604" s="25" t="n">
        <f aca="false">Assumptions!$N$54*MIN(G21595+G21602+G21600-G21601-G21603,MAX(0,G21666-G21591))</f>
        <v>0</v>
      </c>
      <c r="H21604" s="25" t="n">
        <f aca="false">Assumptions!$N$54*MIN(H21595+H21602+H21600-H21601-H21603,MAX(0,H21666-H21591))</f>
        <v>0</v>
      </c>
      <c r="I21604" s="25" t="n">
        <f aca="false">Assumptions!$N$54*MIN(I21595+I21602+I21600-I21601-I21603,MAX(0,I21666-I21591))</f>
        <v>0</v>
      </c>
      <c r="J21604" s="25" t="n">
        <f aca="false">Assumptions!$N$54*MIN(J21595+J21602+J21600-J21601-J21603,MAX(0,J21666-J21591))</f>
        <v>0</v>
      </c>
      <c r="K21604" s="25" t="n">
        <f aca="false">Assumptions!$N$54*MIN(K21595+K21602+K21600-K21601-K21603,MAX(0,K21666-K21591))</f>
        <v>0</v>
      </c>
    </row>
    <row r="21605" customFormat="false" ht="15" hidden="false" customHeight="false" outlineLevel="0" collapsed="false">
      <c r="A21605" s="5" t="s">
        <v>273</v>
      </c>
      <c r="G21605" s="25" t="n">
        <f aca="false">G21596*(1-G21580)*(G21595-G21601+G21600-G21603)</f>
        <v>0</v>
      </c>
      <c r="H21605" s="25" t="n">
        <f aca="false">H21596*(1-H21580)*(H21595-H21601+H21600-H21603)</f>
        <v>0</v>
      </c>
      <c r="I21605" s="25" t="n">
        <f aca="false">I21596*(1-I21580)*(I21595-I21601+I21600-I21603)</f>
        <v>504.4</v>
      </c>
      <c r="J21605" s="25" t="n">
        <f aca="false">J21596*(1-J21580)*(J21595-J21601+J21600-J21603)</f>
        <v>0</v>
      </c>
      <c r="K21605" s="25" t="n">
        <f aca="false">K21596*(1-K21580)*(K21595-K21601+K21600-K21603)</f>
        <v>0</v>
      </c>
    </row>
    <row r="21606" customFormat="false" ht="15" hidden="false" customHeight="false" outlineLevel="0" collapsed="false">
      <c r="A21606" s="2" t="s">
        <v>274</v>
      </c>
      <c r="F21606" s="27" t="n">
        <f aca="false">Assumptions!$C$54</f>
        <v>520</v>
      </c>
      <c r="G21606" s="16" t="n">
        <f aca="false">G21595+G21602+G21600-G21601-G21603-G21604</f>
        <v>514.8</v>
      </c>
      <c r="H21606" s="16" t="n">
        <f aca="false">H21595+H21602+H21600-H21601-H21603-H21604</f>
        <v>509.6</v>
      </c>
      <c r="I21606" s="16" t="n">
        <f aca="false">I21595+I21602+I21600-I21601-I21603-I21604</f>
        <v>504.4</v>
      </c>
      <c r="J21606" s="16" t="n">
        <f aca="false">J21595+J21602+J21600-J21601-J21603-J21604</f>
        <v>499.2</v>
      </c>
      <c r="K21606" s="16" t="n">
        <f aca="false">K21595+K21602+K21600-K21601-K21603-K21604</f>
        <v>494</v>
      </c>
    </row>
    <row r="21607" customFormat="false" ht="15" hidden="false" customHeight="false" outlineLevel="0" collapsed="false">
      <c r="A21607" s="23" t="s">
        <v>276</v>
      </c>
      <c r="B21607" s="24"/>
      <c r="C21607" s="24"/>
      <c r="D21607" s="24"/>
      <c r="E21607" s="24"/>
      <c r="F21607" s="24"/>
      <c r="G21607" s="24"/>
      <c r="H21607" s="24"/>
      <c r="I21607" s="24"/>
      <c r="J21607" s="24"/>
      <c r="K21607" s="24"/>
    </row>
    <row r="21608" customFormat="false" ht="15" hidden="false" customHeight="false" outlineLevel="0" collapsed="false">
      <c r="A21608" s="5" t="s">
        <v>264</v>
      </c>
      <c r="G21608" s="25" t="n">
        <f aca="false">F21619</f>
        <v>250</v>
      </c>
      <c r="H21608" s="25" t="n">
        <f aca="false">G21619</f>
        <v>250</v>
      </c>
      <c r="I21608" s="25" t="n">
        <f aca="false">H21619</f>
        <v>250</v>
      </c>
      <c r="J21608" s="25" t="n">
        <f aca="false">I21619</f>
        <v>250</v>
      </c>
      <c r="K21608" s="25" t="n">
        <f aca="false">J21619</f>
        <v>250</v>
      </c>
    </row>
    <row r="21609" customFormat="false" ht="15" hidden="false" customHeight="false" outlineLevel="0" collapsed="false">
      <c r="A21609" s="5" t="s">
        <v>265</v>
      </c>
      <c r="G21609" s="20" t="n">
        <f aca="false">IF(G21546=Assumptions!$K$55,1,0)</f>
        <v>0</v>
      </c>
      <c r="H21609" s="20" t="n">
        <f aca="false">IF(H21546=Assumptions!$K$55,1,0)</f>
        <v>0</v>
      </c>
      <c r="I21609" s="20" t="n">
        <f aca="false">IF(I21546=Assumptions!$K$55,1,0)</f>
        <v>0</v>
      </c>
      <c r="J21609" s="20" t="n">
        <f aca="false">IF(J21546=Assumptions!$K$55,1,0)</f>
        <v>1</v>
      </c>
      <c r="K21609" s="20" t="n">
        <f aca="false">IF(K21546=Assumptions!$K$55,1,0)</f>
        <v>0</v>
      </c>
    </row>
    <row r="21611" customFormat="false" ht="15" hidden="false" customHeight="false" outlineLevel="0" collapsed="false">
      <c r="A21611" s="5" t="s">
        <v>266</v>
      </c>
      <c r="G21611" s="30" t="n">
        <f aca="false">IF(Assumptions!$I$55=1,MAX(G21572,Assumptions!$G$55)+Assumptions!$F$55+$C$21573,Assumptions!$E$55)</f>
        <v>0.11</v>
      </c>
      <c r="H21611" s="30" t="n">
        <f aca="false">IF(G21736=1,$C$21574,IF(Assumptions!$I$55=1,MAX(H21572,Assumptions!$G$55)+Assumptions!$F$55+$C$21573,Assumptions!$E$55))</f>
        <v>0.11</v>
      </c>
      <c r="I21611" s="30" t="n">
        <f aca="false">IF(H21736=1,$C$21574,IF(Assumptions!$I$55=1,MAX(I21572,Assumptions!$G$55)+Assumptions!$F$55+$C$21573,Assumptions!$E$55))</f>
        <v>0.11</v>
      </c>
      <c r="J21611" s="30" t="n">
        <f aca="false">IF(I21736=1,$C$21574,IF(Assumptions!$I$55=1,MAX(J21572,Assumptions!$G$55)+Assumptions!$F$55+$C$21573,Assumptions!$E$55))</f>
        <v>0.11</v>
      </c>
      <c r="K21611" s="30" t="n">
        <f aca="false">IF(J21736=1,$C$21574,IF(Assumptions!$I$55=1,MAX(K21572,Assumptions!$G$55)+Assumptions!$F$55+$C$21573,Assumptions!$E$55))</f>
        <v>0.11</v>
      </c>
    </row>
    <row r="21612" customFormat="false" ht="15" hidden="false" customHeight="false" outlineLevel="0" collapsed="false">
      <c r="A21612" s="5" t="s">
        <v>267</v>
      </c>
      <c r="G21612" s="25" t="n">
        <f aca="false">G21608*G21611</f>
        <v>27.5</v>
      </c>
      <c r="H21612" s="25" t="n">
        <f aca="false">H21608*H21611</f>
        <v>27.5</v>
      </c>
      <c r="I21612" s="25" t="n">
        <f aca="false">I21608*I21611</f>
        <v>27.5</v>
      </c>
      <c r="J21612" s="25" t="n">
        <f aca="false">J21608*J21611</f>
        <v>27.5</v>
      </c>
      <c r="K21612" s="25" t="n">
        <f aca="false">K21608*K21611</f>
        <v>27.5</v>
      </c>
    </row>
    <row r="21613" customFormat="false" ht="15" hidden="false" customHeight="false" outlineLevel="0" collapsed="false">
      <c r="A21613" s="5" t="s">
        <v>268</v>
      </c>
      <c r="G21613" s="25" t="n">
        <f aca="false">G21608*Assumptions!$H$55</f>
        <v>0</v>
      </c>
      <c r="H21613" s="25" t="n">
        <f aca="false">H21608*Assumptions!$H$55</f>
        <v>0</v>
      </c>
      <c r="I21613" s="25" t="n">
        <f aca="false">I21608*Assumptions!$H$55</f>
        <v>0</v>
      </c>
      <c r="J21613" s="25" t="n">
        <f aca="false">J21608*Assumptions!$H$55</f>
        <v>0</v>
      </c>
      <c r="K21613" s="25" t="n">
        <f aca="false">K21608*Assumptions!$H$55</f>
        <v>0</v>
      </c>
    </row>
    <row r="21614" customFormat="false" ht="15" hidden="false" customHeight="false" outlineLevel="0" collapsed="false">
      <c r="A21614" s="5" t="s">
        <v>269</v>
      </c>
      <c r="G21614" s="25" t="n">
        <f aca="false">MIN(G21608,Assumptions!$L$55*Assumptions!$C$55)</f>
        <v>0</v>
      </c>
      <c r="H21614" s="25" t="n">
        <f aca="false">MIN(H21608,Assumptions!$L$55*Assumptions!$C$55)</f>
        <v>0</v>
      </c>
      <c r="I21614" s="25" t="n">
        <f aca="false">MIN(I21608,Assumptions!$L$55*Assumptions!$C$55)</f>
        <v>0</v>
      </c>
      <c r="J21614" s="25" t="n">
        <f aca="false">MIN(J21608,Assumptions!$L$55*Assumptions!$C$55)</f>
        <v>0</v>
      </c>
      <c r="K21614" s="25" t="n">
        <f aca="false">MIN(K21608,Assumptions!$L$55*Assumptions!$C$55)</f>
        <v>0</v>
      </c>
    </row>
    <row r="21615" customFormat="false" ht="15" hidden="false" customHeight="false" outlineLevel="0" collapsed="false">
      <c r="A21615" s="5" t="s">
        <v>270</v>
      </c>
      <c r="G21615" s="25" t="n">
        <f aca="false">IF(AND(Assumptions!$P$55=1,G21546&lt;Assumptions!$K$55),MIN(MAX(0,-G21660),MAX(0,Assumptions!$D$55-G21608)),0)</f>
        <v>0</v>
      </c>
      <c r="H21615" s="25" t="n">
        <f aca="false">IF(AND(Assumptions!$P$55=1,OR(H21546&lt;Assumptions!$K$55,G21736=1)),MIN(MAX(0,-H21660),MAX(0,Assumptions!$D$55-H21608)),0)</f>
        <v>0</v>
      </c>
      <c r="I21615" s="25" t="n">
        <f aca="false">IF(AND(Assumptions!$P$55=1,OR(I21546&lt;Assumptions!$K$55,H21736=1)),MIN(MAX(0,-I21660),MAX(0,Assumptions!$D$55-I21608)),0)</f>
        <v>0</v>
      </c>
      <c r="J21615" s="25" t="n">
        <f aca="false">IF(AND(Assumptions!$P$55=1,OR(J21546&lt;Assumptions!$K$55,I21736=1)),MIN(MAX(0,-J21660),MAX(0,Assumptions!$D$55-J21608)),0)</f>
        <v>0</v>
      </c>
      <c r="K21615" s="25" t="n">
        <f aca="false">IF(AND(Assumptions!$P$55=1,OR(K21546&lt;Assumptions!$K$55,J21736=1)),MIN(MAX(0,-K21660),MAX(0,Assumptions!$D$55-K21608)),0)</f>
        <v>0</v>
      </c>
    </row>
    <row r="21616" customFormat="false" ht="15" hidden="false" customHeight="false" outlineLevel="0" collapsed="false">
      <c r="A21616" s="5" t="s">
        <v>271</v>
      </c>
      <c r="G21616" s="25" t="n">
        <f aca="false">G21609*MIN(G21608-G21614+G21613,MAX(0,G21662-Assumptions!$C$12*G21580-G21590-G21603))</f>
        <v>0</v>
      </c>
      <c r="H21616" s="25" t="n">
        <f aca="false">H21609*MIN(H21608-H21614+H21613,MAX(0,H21662-Assumptions!$C$12*H21580-H21590-H21603))</f>
        <v>0</v>
      </c>
      <c r="I21616" s="25" t="n">
        <f aca="false">I21609*MIN(I21608-I21614+I21613,MAX(0,I21662-Assumptions!$C$12*I21580-I21590-I21603))</f>
        <v>0</v>
      </c>
      <c r="J21616" s="25" t="n">
        <f aca="false">J21609*MIN(J21608-J21614+J21613,MAX(0,J21662-Assumptions!$C$12*J21580-J21590-J21603))</f>
        <v>0</v>
      </c>
      <c r="K21616" s="25" t="n">
        <f aca="false">K21609*MIN(K21608-K21614+K21613,MAX(0,K21662-Assumptions!$C$12*K21580-K21590-K21603))</f>
        <v>0</v>
      </c>
    </row>
    <row r="21617" customFormat="false" ht="15" hidden="false" customHeight="false" outlineLevel="0" collapsed="false">
      <c r="A21617" s="5" t="s">
        <v>272</v>
      </c>
      <c r="G21617" s="25" t="n">
        <f aca="false">Assumptions!$N$55*MIN(G21608+G21615+G21613-G21614-G21616,MAX(0,G21666-G21591-G21604))</f>
        <v>0</v>
      </c>
      <c r="H21617" s="25" t="n">
        <f aca="false">Assumptions!$N$55*MIN(H21608+H21615+H21613-H21614-H21616,MAX(0,H21666-H21591-H21604))</f>
        <v>0</v>
      </c>
      <c r="I21617" s="25" t="n">
        <f aca="false">Assumptions!$N$55*MIN(I21608+I21615+I21613-I21614-I21616,MAX(0,I21666-I21591-I21604))</f>
        <v>0</v>
      </c>
      <c r="J21617" s="25" t="n">
        <f aca="false">Assumptions!$N$55*MIN(J21608+J21615+J21613-J21614-J21616,MAX(0,J21666-J21591-J21604))</f>
        <v>0</v>
      </c>
      <c r="K21617" s="25" t="n">
        <f aca="false">Assumptions!$N$55*MIN(K21608+K21615+K21613-K21614-K21616,MAX(0,K21666-K21591-K21604))</f>
        <v>0</v>
      </c>
    </row>
    <row r="21618" customFormat="false" ht="15" hidden="false" customHeight="false" outlineLevel="0" collapsed="false">
      <c r="A21618" s="5" t="s">
        <v>273</v>
      </c>
      <c r="G21618" s="25" t="n">
        <f aca="false">G21609*(1-G21580)*(G21608-G21614+G21613-G21616)</f>
        <v>0</v>
      </c>
      <c r="H21618" s="25" t="n">
        <f aca="false">H21609*(1-H21580)*(H21608-H21614+H21613-H21616)</f>
        <v>0</v>
      </c>
      <c r="I21618" s="25" t="n">
        <f aca="false">I21609*(1-I21580)*(I21608-I21614+I21613-I21616)</f>
        <v>0</v>
      </c>
      <c r="J21618" s="25" t="n">
        <f aca="false">J21609*(1-J21580)*(J21608-J21614+J21613-J21616)</f>
        <v>250</v>
      </c>
      <c r="K21618" s="25" t="n">
        <f aca="false">K21609*(1-K21580)*(K21608-K21614+K21613-K21616)</f>
        <v>0</v>
      </c>
    </row>
    <row r="21619" customFormat="false" ht="15" hidden="false" customHeight="false" outlineLevel="0" collapsed="false">
      <c r="A21619" s="2" t="s">
        <v>274</v>
      </c>
      <c r="F21619" s="27" t="n">
        <f aca="false">Assumptions!$C$55</f>
        <v>250</v>
      </c>
      <c r="G21619" s="16" t="n">
        <f aca="false">G21608+G21615+G21613-G21614-G21616-G21617</f>
        <v>250</v>
      </c>
      <c r="H21619" s="16" t="n">
        <f aca="false">H21608+H21615+H21613-H21614-H21616-H21617</f>
        <v>250</v>
      </c>
      <c r="I21619" s="16" t="n">
        <f aca="false">I21608+I21615+I21613-I21614-I21616-I21617</f>
        <v>250</v>
      </c>
      <c r="J21619" s="16" t="n">
        <f aca="false">J21608+J21615+J21613-J21614-J21616-J21617</f>
        <v>250</v>
      </c>
      <c r="K21619" s="16" t="n">
        <f aca="false">K21608+K21615+K21613-K21614-K21616-K21617</f>
        <v>250</v>
      </c>
    </row>
    <row r="21620" customFormat="false" ht="15" hidden="false" customHeight="false" outlineLevel="0" collapsed="false">
      <c r="A21620" s="23" t="s">
        <v>277</v>
      </c>
      <c r="B21620" s="24"/>
      <c r="C21620" s="24"/>
      <c r="D21620" s="24"/>
      <c r="E21620" s="24"/>
      <c r="F21620" s="24"/>
      <c r="G21620" s="24"/>
      <c r="H21620" s="24"/>
      <c r="I21620" s="24"/>
      <c r="J21620" s="24"/>
      <c r="K21620" s="24"/>
    </row>
    <row r="21621" customFormat="false" ht="15" hidden="false" customHeight="false" outlineLevel="0" collapsed="false">
      <c r="A21621" s="5" t="s">
        <v>264</v>
      </c>
      <c r="G21621" s="25" t="n">
        <f aca="false">F21632</f>
        <v>300</v>
      </c>
      <c r="H21621" s="25" t="n">
        <f aca="false">G21632</f>
        <v>300</v>
      </c>
      <c r="I21621" s="25" t="n">
        <f aca="false">H21632</f>
        <v>300</v>
      </c>
      <c r="J21621" s="25" t="n">
        <f aca="false">I21632</f>
        <v>300</v>
      </c>
      <c r="K21621" s="25" t="n">
        <f aca="false">J21632</f>
        <v>300</v>
      </c>
    </row>
    <row r="21622" customFormat="false" ht="15" hidden="false" customHeight="false" outlineLevel="0" collapsed="false">
      <c r="A21622" s="5" t="s">
        <v>265</v>
      </c>
      <c r="G21622" s="20" t="n">
        <f aca="false">IF(G21546=Assumptions!$K$56,1,0)</f>
        <v>0</v>
      </c>
      <c r="H21622" s="20" t="n">
        <f aca="false">IF(H21546=Assumptions!$K$56,1,0)</f>
        <v>1</v>
      </c>
      <c r="I21622" s="20" t="n">
        <f aca="false">IF(I21546=Assumptions!$K$56,1,0)</f>
        <v>0</v>
      </c>
      <c r="J21622" s="20" t="n">
        <f aca="false">IF(J21546=Assumptions!$K$56,1,0)</f>
        <v>0</v>
      </c>
      <c r="K21622" s="20" t="n">
        <f aca="false">IF(K21546=Assumptions!$K$56,1,0)</f>
        <v>0</v>
      </c>
    </row>
    <row r="21624" customFormat="false" ht="15" hidden="false" customHeight="false" outlineLevel="0" collapsed="false">
      <c r="A21624" s="5" t="s">
        <v>266</v>
      </c>
      <c r="G21624" s="30" t="n">
        <f aca="false">IF(Assumptions!$I$56=1,MAX(G21572,Assumptions!$G$56)+Assumptions!$F$56+$C$21573,Assumptions!$E$56)</f>
        <v>0.075</v>
      </c>
      <c r="H21624" s="30" t="n">
        <f aca="false">IF(G21737=1,$C$21574,IF(Assumptions!$I$56=1,MAX(H21572,Assumptions!$G$56)+Assumptions!$F$56+$C$21573,Assumptions!$E$56))</f>
        <v>0.075</v>
      </c>
      <c r="I21624" s="30" t="n">
        <f aca="false">IF(H21737=1,$C$21574,IF(Assumptions!$I$56=1,MAX(I21572,Assumptions!$G$56)+Assumptions!$F$56+$C$21573,Assumptions!$E$56))</f>
        <v>0.075</v>
      </c>
      <c r="J21624" s="30" t="n">
        <f aca="false">IF(I21737=1,$C$21574,IF(Assumptions!$I$56=1,MAX(J21572,Assumptions!$G$56)+Assumptions!$F$56+$C$21573,Assumptions!$E$56))</f>
        <v>0.075</v>
      </c>
      <c r="K21624" s="30" t="n">
        <f aca="false">IF(J21737=1,$C$21574,IF(Assumptions!$I$56=1,MAX(K21572,Assumptions!$G$56)+Assumptions!$F$56+$C$21573,Assumptions!$E$56))</f>
        <v>0.075</v>
      </c>
    </row>
    <row r="21625" customFormat="false" ht="15" hidden="false" customHeight="false" outlineLevel="0" collapsed="false">
      <c r="A21625" s="5" t="s">
        <v>267</v>
      </c>
      <c r="G21625" s="25" t="n">
        <f aca="false">G21621*G21624</f>
        <v>22.5</v>
      </c>
      <c r="H21625" s="25" t="n">
        <f aca="false">H21621*H21624</f>
        <v>22.5</v>
      </c>
      <c r="I21625" s="25" t="n">
        <f aca="false">I21621*I21624</f>
        <v>22.5</v>
      </c>
      <c r="J21625" s="25" t="n">
        <f aca="false">J21621*J21624</f>
        <v>22.5</v>
      </c>
      <c r="K21625" s="25" t="n">
        <f aca="false">K21621*K21624</f>
        <v>22.5</v>
      </c>
    </row>
    <row r="21626" customFormat="false" ht="15" hidden="false" customHeight="false" outlineLevel="0" collapsed="false">
      <c r="A21626" s="5" t="s">
        <v>268</v>
      </c>
      <c r="G21626" s="25" t="n">
        <f aca="false">G21621*Assumptions!$H$56</f>
        <v>0</v>
      </c>
      <c r="H21626" s="25" t="n">
        <f aca="false">H21621*Assumptions!$H$56</f>
        <v>0</v>
      </c>
      <c r="I21626" s="25" t="n">
        <f aca="false">I21621*Assumptions!$H$56</f>
        <v>0</v>
      </c>
      <c r="J21626" s="25" t="n">
        <f aca="false">J21621*Assumptions!$H$56</f>
        <v>0</v>
      </c>
      <c r="K21626" s="25" t="n">
        <f aca="false">K21621*Assumptions!$H$56</f>
        <v>0</v>
      </c>
    </row>
    <row r="21627" customFormat="false" ht="15" hidden="false" customHeight="false" outlineLevel="0" collapsed="false">
      <c r="A21627" s="5" t="s">
        <v>269</v>
      </c>
      <c r="G21627" s="25" t="n">
        <f aca="false">MIN(G21621,Assumptions!$L$56*Assumptions!$C$56)</f>
        <v>0</v>
      </c>
      <c r="H21627" s="25" t="n">
        <f aca="false">MIN(H21621,Assumptions!$L$56*Assumptions!$C$56)</f>
        <v>0</v>
      </c>
      <c r="I21627" s="25" t="n">
        <f aca="false">MIN(I21621,Assumptions!$L$56*Assumptions!$C$56)</f>
        <v>0</v>
      </c>
      <c r="J21627" s="25" t="n">
        <f aca="false">MIN(J21621,Assumptions!$L$56*Assumptions!$C$56)</f>
        <v>0</v>
      </c>
      <c r="K21627" s="25" t="n">
        <f aca="false">MIN(K21621,Assumptions!$L$56*Assumptions!$C$56)</f>
        <v>0</v>
      </c>
    </row>
    <row r="21628" customFormat="false" ht="15" hidden="false" customHeight="false" outlineLevel="0" collapsed="false">
      <c r="A21628" s="5" t="s">
        <v>270</v>
      </c>
      <c r="G21628" s="25" t="n">
        <f aca="false">IF(AND(Assumptions!$P$56=1,G21546&lt;Assumptions!$K$56),MIN(MAX(0,-G21660),MAX(0,Assumptions!$D$56-G21621)),0)</f>
        <v>0</v>
      </c>
      <c r="H21628" s="25" t="n">
        <f aca="false">IF(AND(Assumptions!$P$56=1,OR(H21546&lt;Assumptions!$K$56,G21737=1)),MIN(MAX(0,-H21660),MAX(0,Assumptions!$D$56-H21621)),0)</f>
        <v>0</v>
      </c>
      <c r="I21628" s="25" t="n">
        <f aca="false">IF(AND(Assumptions!$P$56=1,OR(I21546&lt;Assumptions!$K$56,H21737=1)),MIN(MAX(0,-I21660),MAX(0,Assumptions!$D$56-I21621)),0)</f>
        <v>0</v>
      </c>
      <c r="J21628" s="25" t="n">
        <f aca="false">IF(AND(Assumptions!$P$56=1,OR(J21546&lt;Assumptions!$K$56,I21737=1)),MIN(MAX(0,-J21660),MAX(0,Assumptions!$D$56-J21621)),0)</f>
        <v>0</v>
      </c>
      <c r="K21628" s="25" t="n">
        <f aca="false">IF(AND(Assumptions!$P$56=1,OR(K21546&lt;Assumptions!$K$56,J21737=1)),MIN(MAX(0,-K21660),MAX(0,Assumptions!$D$56-K21621)),0)</f>
        <v>0</v>
      </c>
    </row>
    <row r="21629" customFormat="false" ht="15" hidden="false" customHeight="false" outlineLevel="0" collapsed="false">
      <c r="A21629" s="5" t="s">
        <v>271</v>
      </c>
      <c r="G21629" s="25" t="n">
        <f aca="false">G21622*MIN(G21621-G21627+G21626,MAX(0,G21662-Assumptions!$C$12*G21580-G21590-G21603-G21616))</f>
        <v>0</v>
      </c>
      <c r="H21629" s="25" t="n">
        <f aca="false">H21622*MIN(H21621-H21627+H21626,MAX(0,H21662-Assumptions!$C$12*H21580-H21590-H21603-H21616))</f>
        <v>0</v>
      </c>
      <c r="I21629" s="25" t="n">
        <f aca="false">I21622*MIN(I21621-I21627+I21626,MAX(0,I21662-Assumptions!$C$12*I21580-I21590-I21603-I21616))</f>
        <v>0</v>
      </c>
      <c r="J21629" s="25" t="n">
        <f aca="false">J21622*MIN(J21621-J21627+J21626,MAX(0,J21662-Assumptions!$C$12*J21580-J21590-J21603-J21616))</f>
        <v>0</v>
      </c>
      <c r="K21629" s="25" t="n">
        <f aca="false">K21622*MIN(K21621-K21627+K21626,MAX(0,K21662-Assumptions!$C$12*K21580-K21590-K21603-K21616))</f>
        <v>0</v>
      </c>
    </row>
    <row r="21630" customFormat="false" ht="15" hidden="false" customHeight="false" outlineLevel="0" collapsed="false">
      <c r="A21630" s="5" t="s">
        <v>272</v>
      </c>
      <c r="G21630" s="25" t="n">
        <f aca="false">Assumptions!$N$56*MIN(G21621+G21628+G21626-G21627-G21629,MAX(0,G21666-G21591-G21604-G21617))</f>
        <v>0</v>
      </c>
      <c r="H21630" s="25" t="n">
        <f aca="false">Assumptions!$N$56*MIN(H21621+H21628+H21626-H21627-H21629,MAX(0,H21666-H21591-H21604-H21617))</f>
        <v>0</v>
      </c>
      <c r="I21630" s="25" t="n">
        <f aca="false">Assumptions!$N$56*MIN(I21621+I21628+I21626-I21627-I21629,MAX(0,I21666-I21591-I21604-I21617))</f>
        <v>0</v>
      </c>
      <c r="J21630" s="25" t="n">
        <f aca="false">Assumptions!$N$56*MIN(J21621+J21628+J21626-J21627-J21629,MAX(0,J21666-J21591-J21604-J21617))</f>
        <v>0</v>
      </c>
      <c r="K21630" s="25" t="n">
        <f aca="false">Assumptions!$N$56*MIN(K21621+K21628+K21626-K21627-K21629,MAX(0,K21666-K21591-K21604-K21617))</f>
        <v>0</v>
      </c>
    </row>
    <row r="21631" customFormat="false" ht="15" hidden="false" customHeight="false" outlineLevel="0" collapsed="false">
      <c r="A21631" s="5" t="s">
        <v>273</v>
      </c>
      <c r="G21631" s="25" t="n">
        <f aca="false">G21622*(1-G21580)*(G21621-G21627+G21626-G21629)</f>
        <v>0</v>
      </c>
      <c r="H21631" s="25" t="n">
        <f aca="false">H21622*(1-H21580)*(H21621-H21627+H21626-H21629)</f>
        <v>300</v>
      </c>
      <c r="I21631" s="25" t="n">
        <f aca="false">I21622*(1-I21580)*(I21621-I21627+I21626-I21629)</f>
        <v>0</v>
      </c>
      <c r="J21631" s="25" t="n">
        <f aca="false">J21622*(1-J21580)*(J21621-J21627+J21626-J21629)</f>
        <v>0</v>
      </c>
      <c r="K21631" s="25" t="n">
        <f aca="false">K21622*(1-K21580)*(K21621-K21627+K21626-K21629)</f>
        <v>0</v>
      </c>
    </row>
    <row r="21632" customFormat="false" ht="15" hidden="false" customHeight="false" outlineLevel="0" collapsed="false">
      <c r="A21632" s="2" t="s">
        <v>274</v>
      </c>
      <c r="F21632" s="27" t="n">
        <f aca="false">Assumptions!$C$56</f>
        <v>300</v>
      </c>
      <c r="G21632" s="16" t="n">
        <f aca="false">G21621+G21628+G21626-G21627-G21629-G21630</f>
        <v>300</v>
      </c>
      <c r="H21632" s="16" t="n">
        <f aca="false">H21621+H21628+H21626-H21627-H21629-H21630</f>
        <v>300</v>
      </c>
      <c r="I21632" s="16" t="n">
        <f aca="false">I21621+I21628+I21626-I21627-I21629-I21630</f>
        <v>300</v>
      </c>
      <c r="J21632" s="16" t="n">
        <f aca="false">J21621+J21628+J21626-J21627-J21629-J21630</f>
        <v>300</v>
      </c>
      <c r="K21632" s="16" t="n">
        <f aca="false">K21621+K21628+K21626-K21627-K21629-K21630</f>
        <v>300</v>
      </c>
    </row>
    <row r="21633" customFormat="false" ht="15" hidden="false" customHeight="false" outlineLevel="0" collapsed="false">
      <c r="A21633" s="23" t="s">
        <v>278</v>
      </c>
      <c r="B21633" s="24"/>
      <c r="C21633" s="24"/>
      <c r="D21633" s="24"/>
      <c r="E21633" s="24"/>
      <c r="F21633" s="24"/>
      <c r="G21633" s="24"/>
      <c r="H21633" s="24"/>
      <c r="I21633" s="24"/>
      <c r="J21633" s="24"/>
      <c r="K21633" s="24"/>
    </row>
    <row r="21634" customFormat="false" ht="15" hidden="false" customHeight="false" outlineLevel="0" collapsed="false">
      <c r="A21634" s="2" t="s">
        <v>279</v>
      </c>
      <c r="F21634" s="16" t="n">
        <f aca="false">F21593+F21606+F21619+F21632</f>
        <v>1250</v>
      </c>
      <c r="G21634" s="16" t="n">
        <f aca="false">G21593+G21606+G21619+G21632</f>
        <v>1299.7088</v>
      </c>
      <c r="H21634" s="16" t="n">
        <f aca="false">H21593+H21606+H21619+H21632</f>
        <v>1294.5088</v>
      </c>
      <c r="I21634" s="16" t="n">
        <f aca="false">I21593+I21606+I21619+I21632</f>
        <v>1289.3088</v>
      </c>
      <c r="J21634" s="16" t="n">
        <f aca="false">J21593+J21606+J21619+J21632</f>
        <v>1284.1088</v>
      </c>
      <c r="K21634" s="16" t="n">
        <f aca="false">K21593+K21606+K21619+K21632</f>
        <v>1278.9088</v>
      </c>
    </row>
    <row r="21635" customFormat="false" ht="15" hidden="false" customHeight="false" outlineLevel="0" collapsed="false">
      <c r="A21635" s="5" t="s">
        <v>280</v>
      </c>
      <c r="G21635" s="25" t="n">
        <f aca="false">G21583*Assumptions!$C$53+G21596*Assumptions!$C$54+G21609*Assumptions!$C$55+G21622*Assumptions!$C$56</f>
        <v>0</v>
      </c>
      <c r="H21635" s="25" t="n">
        <f aca="false">H21583*Assumptions!$C$53+H21596*Assumptions!$C$54+H21609*Assumptions!$C$55+H21622*Assumptions!$C$56</f>
        <v>480</v>
      </c>
      <c r="I21635" s="25" t="n">
        <f aca="false">I21583*Assumptions!$C$53+I21596*Assumptions!$C$54+I21609*Assumptions!$C$55+I21622*Assumptions!$C$56</f>
        <v>520</v>
      </c>
      <c r="J21635" s="25" t="n">
        <f aca="false">J21583*Assumptions!$C$53+J21596*Assumptions!$C$54+J21609*Assumptions!$C$55+J21622*Assumptions!$C$56</f>
        <v>250</v>
      </c>
      <c r="K21635" s="25" t="n">
        <f aca="false">K21583*Assumptions!$C$53+K21596*Assumptions!$C$54+K21609*Assumptions!$C$55+K21622*Assumptions!$C$56</f>
        <v>0</v>
      </c>
    </row>
    <row r="21636" customFormat="false" ht="15" hidden="false" customHeight="false" outlineLevel="0" collapsed="false">
      <c r="A21636" s="23" t="s">
        <v>281</v>
      </c>
      <c r="B21636" s="24"/>
      <c r="C21636" s="24"/>
      <c r="D21636" s="24"/>
      <c r="E21636" s="24"/>
      <c r="F21636" s="24"/>
      <c r="G21636" s="24"/>
      <c r="H21636" s="24"/>
      <c r="I21636" s="24"/>
      <c r="J21636" s="24"/>
      <c r="K21636" s="24"/>
    </row>
    <row r="21637" customFormat="false" ht="15" hidden="false" customHeight="false" outlineLevel="0" collapsed="false">
      <c r="A21637" s="5" t="s">
        <v>282</v>
      </c>
      <c r="C21637" s="25" t="n">
        <f aca="false">SUMPRODUCT($G$21583:$K$21583,$G$21582:$K$21582-$G$21588:$K$21588+$G$21587:$K$21587)</f>
        <v>234.9088</v>
      </c>
    </row>
    <row r="21638" customFormat="false" ht="15" hidden="false" customHeight="false" outlineLevel="0" collapsed="false">
      <c r="A21638" s="5" t="s">
        <v>283</v>
      </c>
      <c r="C21638" s="25" t="n">
        <f aca="false">SUMPRODUCT($G$21583:$K$21583,$G$21590:$K$21590)</f>
        <v>0</v>
      </c>
    </row>
    <row r="21639" customFormat="false" ht="15" hidden="false" customHeight="false" outlineLevel="0" collapsed="false">
      <c r="A21639" s="5" t="s">
        <v>284</v>
      </c>
      <c r="C21639" s="5" t="str">
        <f aca="false">IF(SUM($G$21583:$K$21583)=0,"n/a (beyond horizon)",IF(SUMPRODUCT($G$21583:$K$21583,$G$21580:$K$21580)&gt;0,"REFINANCING PASS","REFINANCING FAILURE"))</f>
        <v>REFINANCING FAILURE</v>
      </c>
    </row>
    <row r="21640" customFormat="false" ht="15" hidden="false" customHeight="false" outlineLevel="0" collapsed="false">
      <c r="A21640" s="5" t="s">
        <v>285</v>
      </c>
      <c r="C21640" s="5" t="str">
        <f aca="false">IF(SUM($G$21583:$K$21583)=0,"n/a",IF(C21638&gt;=C21637-0.001,"Repaid from cash",IF(SUMPRODUCT($G$21583:$K$21583,$G$21580:$K$21580)&gt;0,IF(C21638&gt;0,"Partly repaid; remainder refinanced","Refinanced"),IF(SUM($G$21592:$K$21592)&gt;0.001,IF(C21638&gt;0,"Partial repayment; PAYMENT DEFAULT","PAYMENT DEFAULT"),"Repaid from cash"))))</f>
        <v>PAYMENT DEFAULT</v>
      </c>
    </row>
    <row r="21641" customFormat="false" ht="15" hidden="false" customHeight="false" outlineLevel="0" collapsed="false">
      <c r="A21641" s="5" t="s">
        <v>286</v>
      </c>
      <c r="C21641" s="25" t="n">
        <f aca="false">SUMPRODUCT($G$21596:$K$21596,$G$21595:$K$21595-$G$21601:$K$21601+$G$21600:$K$21600)</f>
        <v>504.4</v>
      </c>
    </row>
    <row r="21642" customFormat="false" ht="15" hidden="false" customHeight="false" outlineLevel="0" collapsed="false">
      <c r="A21642" s="5" t="s">
        <v>287</v>
      </c>
      <c r="C21642" s="25" t="n">
        <f aca="false">SUMPRODUCT($G$21596:$K$21596,$G$21603:$K$21603)</f>
        <v>0</v>
      </c>
    </row>
    <row r="21643" customFormat="false" ht="15" hidden="false" customHeight="false" outlineLevel="0" collapsed="false">
      <c r="A21643" s="5" t="s">
        <v>288</v>
      </c>
      <c r="C21643" s="5" t="str">
        <f aca="false">IF(SUM($G$21596:$K$21596)=0,"n/a (beyond horizon)",IF(SUMPRODUCT($G$21596:$K$21596,$G$21580:$K$21580)&gt;0,"REFINANCING PASS","REFINANCING FAILURE"))</f>
        <v>REFINANCING FAILURE</v>
      </c>
    </row>
    <row r="21644" customFormat="false" ht="15" hidden="false" customHeight="false" outlineLevel="0" collapsed="false">
      <c r="A21644" s="5" t="s">
        <v>289</v>
      </c>
      <c r="C21644" s="5" t="str">
        <f aca="false">IF(SUM($G$21596:$K$21596)=0,"n/a",IF(C21642&gt;=C21641-0.001,"Repaid from cash",IF(SUMPRODUCT($G$21596:$K$21596,$G$21580:$K$21580)&gt;0,IF(C21642&gt;0,"Partly repaid; remainder refinanced","Refinanced"),IF(SUM($G$21605:$K$21605)&gt;0.001,IF(C21642&gt;0,"Partial repayment; PAYMENT DEFAULT","PAYMENT DEFAULT"),"Repaid from cash"))))</f>
        <v>PAYMENT DEFAULT</v>
      </c>
    </row>
    <row r="21645" customFormat="false" ht="15" hidden="false" customHeight="false" outlineLevel="0" collapsed="false">
      <c r="A21645" s="5" t="s">
        <v>290</v>
      </c>
      <c r="C21645" s="25" t="n">
        <f aca="false">SUMPRODUCT($G$21609:$K$21609,$G$21608:$K$21608-$G$21614:$K$21614+$G$21613:$K$21613)</f>
        <v>250</v>
      </c>
    </row>
    <row r="21646" customFormat="false" ht="15" hidden="false" customHeight="false" outlineLevel="0" collapsed="false">
      <c r="A21646" s="5" t="s">
        <v>291</v>
      </c>
      <c r="C21646" s="25" t="n">
        <f aca="false">SUMPRODUCT($G$21609:$K$21609,$G$21616:$K$21616)</f>
        <v>0</v>
      </c>
    </row>
    <row r="21647" customFormat="false" ht="15" hidden="false" customHeight="false" outlineLevel="0" collapsed="false">
      <c r="A21647" s="5" t="s">
        <v>292</v>
      </c>
      <c r="C21647" s="5" t="str">
        <f aca="false">IF(SUM($G$21609:$K$21609)=0,"n/a (beyond horizon)",IF(SUMPRODUCT($G$21609:$K$21609,$G$21580:$K$21580)&gt;0,"REFINANCING PASS","REFINANCING FAILURE"))</f>
        <v>REFINANCING FAILURE</v>
      </c>
    </row>
    <row r="21648" customFormat="false" ht="15" hidden="false" customHeight="false" outlineLevel="0" collapsed="false">
      <c r="A21648" s="5" t="s">
        <v>293</v>
      </c>
      <c r="C21648" s="5" t="str">
        <f aca="false">IF(SUM($G$21609:$K$21609)=0,"n/a",IF(C21646&gt;=C21645-0.001,"Repaid from cash",IF(SUMPRODUCT($G$21609:$K$21609,$G$21580:$K$21580)&gt;0,IF(C21646&gt;0,"Partly repaid; remainder refinanced","Refinanced"),IF(SUM($G$21618:$K$21618)&gt;0.001,IF(C21646&gt;0,"Partial repayment; PAYMENT DEFAULT","PAYMENT DEFAULT"),"Repaid from cash"))))</f>
        <v>PAYMENT DEFAULT</v>
      </c>
    </row>
    <row r="21649" customFormat="false" ht="15" hidden="false" customHeight="false" outlineLevel="0" collapsed="false">
      <c r="A21649" s="5" t="s">
        <v>294</v>
      </c>
      <c r="C21649" s="25" t="n">
        <f aca="false">SUMPRODUCT($G$21622:$K$21622,$G$21621:$K$21621-$G$21627:$K$21627+$G$21626:$K$21626)</f>
        <v>300</v>
      </c>
    </row>
    <row r="21650" customFormat="false" ht="15" hidden="false" customHeight="false" outlineLevel="0" collapsed="false">
      <c r="A21650" s="5" t="s">
        <v>295</v>
      </c>
      <c r="C21650" s="25" t="n">
        <f aca="false">SUMPRODUCT($G$21622:$K$21622,$G$21629:$K$21629)</f>
        <v>0</v>
      </c>
    </row>
    <row r="21651" customFormat="false" ht="15" hidden="false" customHeight="false" outlineLevel="0" collapsed="false">
      <c r="A21651" s="5" t="s">
        <v>296</v>
      </c>
      <c r="C21651" s="5" t="str">
        <f aca="false">IF(SUM($G$21622:$K$21622)=0,"n/a (beyond horizon)",IF(SUMPRODUCT($G$21622:$K$21622,$G$21580:$K$21580)&gt;0,"REFINANCING PASS","REFINANCING FAILURE"))</f>
        <v>REFINANCING FAILURE</v>
      </c>
    </row>
    <row r="21652" customFormat="false" ht="15" hidden="false" customHeight="false" outlineLevel="0" collapsed="false">
      <c r="A21652" s="5" t="s">
        <v>297</v>
      </c>
      <c r="C21652" s="5" t="str">
        <f aca="false">IF(SUM($G$21622:$K$21622)=0,"n/a",IF(C21650&gt;=C21649-0.001,"Repaid from cash",IF(SUMPRODUCT($G$21622:$K$21622,$G$21580:$K$21580)&gt;0,IF(C21650&gt;0,"Partly repaid; remainder refinanced","Refinanced"),IF(SUM($G$21631:$K$21631)&gt;0.001,IF(C21650&gt;0,"Partial repayment; PAYMENT DEFAULT","PAYMENT DEFAULT"),"Repaid from cash"))))</f>
        <v>PAYMENT DEFAULT</v>
      </c>
    </row>
    <row r="21653" customFormat="false" ht="15" hidden="false" customHeight="false" outlineLevel="0" collapsed="false">
      <c r="A21653" s="5" t="s">
        <v>298</v>
      </c>
      <c r="C21653" s="20" t="n">
        <f aca="false">IF(C21639="REFINANCING FAILURE",1,0)+IF(C21643="REFINANCING FAILURE",1,0)+IF(C21647="REFINANCING FAILURE",1,0)+IF(C21651="REFINANCING FAILURE",1,0)</f>
        <v>4</v>
      </c>
    </row>
    <row r="21655" customFormat="false" ht="15" hidden="false" customHeight="false" outlineLevel="0" collapsed="false">
      <c r="A21655" s="23" t="s">
        <v>300</v>
      </c>
      <c r="B21655" s="24"/>
      <c r="C21655" s="24"/>
      <c r="D21655" s="24"/>
      <c r="E21655" s="24"/>
      <c r="F21655" s="24"/>
      <c r="G21655" s="24"/>
      <c r="H21655" s="24"/>
      <c r="I21655" s="24"/>
      <c r="J21655" s="24"/>
      <c r="K21655" s="24"/>
    </row>
    <row r="21656" customFormat="false" ht="15" hidden="false" customHeight="false" outlineLevel="0" collapsed="false">
      <c r="A21656" s="5" t="s">
        <v>260</v>
      </c>
      <c r="G21656" s="25" t="n">
        <f aca="false">F21668</f>
        <v>45</v>
      </c>
      <c r="H21656" s="25" t="n">
        <f aca="false">G21668</f>
        <v>0</v>
      </c>
      <c r="I21656" s="25" t="n">
        <f aca="false">H21668</f>
        <v>-139.5574048</v>
      </c>
      <c r="J21656" s="25" t="n">
        <f aca="false">I21668</f>
        <v>-299.764809344</v>
      </c>
      <c r="K21656" s="25" t="n">
        <f aca="false">J21668</f>
        <v>-462.24043997056</v>
      </c>
    </row>
    <row r="21657" customFormat="false" ht="15" hidden="false" customHeight="false" outlineLevel="0" collapsed="false">
      <c r="A21657" s="5" t="s">
        <v>301</v>
      </c>
      <c r="G21657" s="25" t="n">
        <f aca="false">G21569</f>
        <v>-94.7088</v>
      </c>
      <c r="H21657" s="25" t="n">
        <f aca="false">H21569</f>
        <v>-134.3574048</v>
      </c>
      <c r="I21657" s="25" t="n">
        <f aca="false">I21569</f>
        <v>-155.007404544</v>
      </c>
      <c r="J21657" s="25" t="n">
        <f aca="false">J21569</f>
        <v>-157.27563062656</v>
      </c>
      <c r="K21657" s="25" t="n">
        <f aca="false">K21569</f>
        <v>-156.443655088294</v>
      </c>
    </row>
    <row r="21658" customFormat="false" ht="15" hidden="false" customHeight="false" outlineLevel="0" collapsed="false">
      <c r="A21658" s="5" t="s">
        <v>302</v>
      </c>
      <c r="G21658" s="25" t="n">
        <f aca="false">CHOOSE($C$21539,Assumptions!$G$68,Assumptions!$G$87,Assumptions!$G$106)</f>
        <v>0</v>
      </c>
      <c r="H21658" s="25" t="n">
        <f aca="false">CHOOSE($C$21539,Assumptions!$H$68,Assumptions!$H$87,Assumptions!$H$106)</f>
        <v>0</v>
      </c>
      <c r="I21658" s="25" t="n">
        <f aca="false">CHOOSE($C$21539,Assumptions!$I$68,Assumptions!$I$87,Assumptions!$I$106)</f>
        <v>0</v>
      </c>
      <c r="J21658" s="25" t="n">
        <f aca="false">CHOOSE($C$21539,Assumptions!$J$68,Assumptions!$J$87,Assumptions!$J$106)</f>
        <v>0</v>
      </c>
      <c r="K21658" s="25" t="n">
        <f aca="false">CHOOSE($C$21539,Assumptions!$K$68,Assumptions!$K$87,Assumptions!$K$106)</f>
        <v>0</v>
      </c>
    </row>
    <row r="21659" customFormat="false" ht="15" hidden="false" customHeight="false" outlineLevel="0" collapsed="false">
      <c r="A21659" s="5" t="s">
        <v>303</v>
      </c>
      <c r="G21659" s="25" t="n">
        <f aca="false">G21588+G21601+G21614+G21627</f>
        <v>5.2</v>
      </c>
      <c r="H21659" s="25" t="n">
        <f aca="false">H21588+H21601+H21614+H21627</f>
        <v>5.2</v>
      </c>
      <c r="I21659" s="25" t="n">
        <f aca="false">I21588+I21601+I21614+I21627</f>
        <v>5.2</v>
      </c>
      <c r="J21659" s="25" t="n">
        <f aca="false">J21588+J21601+J21614+J21627</f>
        <v>5.2</v>
      </c>
      <c r="K21659" s="25" t="n">
        <f aca="false">K21588+K21601+K21614+K21627</f>
        <v>5.2</v>
      </c>
    </row>
    <row r="21660" customFormat="false" ht="15" hidden="false" customHeight="false" outlineLevel="0" collapsed="false">
      <c r="A21660" s="2" t="s">
        <v>304</v>
      </c>
      <c r="G21660" s="16" t="n">
        <f aca="false">G21656+G21657+G21658-G21659</f>
        <v>-54.9088</v>
      </c>
      <c r="H21660" s="16" t="n">
        <f aca="false">H21656+H21657+H21658-H21659</f>
        <v>-139.5574048</v>
      </c>
      <c r="I21660" s="16" t="n">
        <f aca="false">I21656+I21657+I21658-I21659</f>
        <v>-299.764809344</v>
      </c>
      <c r="J21660" s="16" t="n">
        <f aca="false">J21656+J21657+J21658-J21659</f>
        <v>-462.24043997056</v>
      </c>
      <c r="K21660" s="16" t="n">
        <f aca="false">K21656+K21657+K21658-K21659</f>
        <v>-623.884095058854</v>
      </c>
    </row>
    <row r="21661" customFormat="false" ht="15" hidden="false" customHeight="false" outlineLevel="0" collapsed="false">
      <c r="A21661" s="5" t="s">
        <v>305</v>
      </c>
      <c r="G21661" s="25" t="n">
        <f aca="false">G21589+G21602+G21615+G21628</f>
        <v>54.9088</v>
      </c>
      <c r="H21661" s="25" t="n">
        <f aca="false">H21589+H21602+H21615+H21628</f>
        <v>0</v>
      </c>
      <c r="I21661" s="25" t="n">
        <f aca="false">I21589+I21602+I21615+I21628</f>
        <v>0</v>
      </c>
      <c r="J21661" s="25" t="n">
        <f aca="false">J21589+J21602+J21615+J21628</f>
        <v>0</v>
      </c>
      <c r="K21661" s="25" t="n">
        <f aca="false">K21589+K21602+K21615+K21628</f>
        <v>0</v>
      </c>
    </row>
    <row r="21662" customFormat="false" ht="15" hidden="false" customHeight="false" outlineLevel="0" collapsed="false">
      <c r="A21662" s="2" t="s">
        <v>306</v>
      </c>
      <c r="G21662" s="16" t="n">
        <f aca="false">G21660+G21661</f>
        <v>0</v>
      </c>
      <c r="H21662" s="16" t="n">
        <f aca="false">H21660+H21661</f>
        <v>-139.5574048</v>
      </c>
      <c r="I21662" s="16" t="n">
        <f aca="false">I21660+I21661</f>
        <v>-299.764809344</v>
      </c>
      <c r="J21662" s="16" t="n">
        <f aca="false">J21660+J21661</f>
        <v>-462.24043997056</v>
      </c>
      <c r="K21662" s="16" t="n">
        <f aca="false">K21660+K21661</f>
        <v>-623.884095058854</v>
      </c>
    </row>
    <row r="21663" customFormat="false" ht="15" hidden="false" customHeight="false" outlineLevel="0" collapsed="false">
      <c r="A21663" s="5" t="s">
        <v>307</v>
      </c>
      <c r="G21663" s="25" t="n">
        <f aca="false">G21590+G21603+G21616+G21629</f>
        <v>0</v>
      </c>
      <c r="H21663" s="25" t="n">
        <f aca="false">H21590+H21603+H21616+H21629</f>
        <v>0</v>
      </c>
      <c r="I21663" s="25" t="n">
        <f aca="false">I21590+I21603+I21616+I21629</f>
        <v>0</v>
      </c>
      <c r="J21663" s="25" t="n">
        <f aca="false">J21590+J21603+J21616+J21629</f>
        <v>0</v>
      </c>
      <c r="K21663" s="25" t="n">
        <f aca="false">K21590+K21603+K21616+K21629</f>
        <v>0</v>
      </c>
    </row>
    <row r="21664" customFormat="false" ht="15" hidden="false" customHeight="false" outlineLevel="0" collapsed="false">
      <c r="A21664" s="2" t="s">
        <v>308</v>
      </c>
      <c r="G21664" s="16" t="n">
        <f aca="false">G21662-G21663</f>
        <v>0</v>
      </c>
      <c r="H21664" s="16" t="n">
        <f aca="false">H21662-H21663</f>
        <v>-139.5574048</v>
      </c>
      <c r="I21664" s="16" t="n">
        <f aca="false">I21662-I21663</f>
        <v>-299.764809344</v>
      </c>
      <c r="J21664" s="16" t="n">
        <f aca="false">J21662-J21663</f>
        <v>-462.24043997056</v>
      </c>
      <c r="K21664" s="16" t="n">
        <f aca="false">K21662-K21663</f>
        <v>-623.884095058854</v>
      </c>
    </row>
    <row r="21665" customFormat="false" ht="15" hidden="false" customHeight="false" outlineLevel="0" collapsed="false">
      <c r="A21665" s="5" t="s">
        <v>309</v>
      </c>
      <c r="G21665" s="25" t="n">
        <f aca="false">MAX(0,-G21664)</f>
        <v>-0</v>
      </c>
      <c r="H21665" s="25" t="n">
        <f aca="false">MAX(0,-H21664)</f>
        <v>139.5574048</v>
      </c>
      <c r="I21665" s="25" t="n">
        <f aca="false">MAX(0,-I21664)</f>
        <v>299.764809344</v>
      </c>
      <c r="J21665" s="25" t="n">
        <f aca="false">MAX(0,-J21664)</f>
        <v>462.24043997056</v>
      </c>
      <c r="K21665" s="25" t="n">
        <f aca="false">MAX(0,-K21664)</f>
        <v>623.884095058854</v>
      </c>
    </row>
    <row r="21666" customFormat="false" ht="15" hidden="false" customHeight="false" outlineLevel="0" collapsed="false">
      <c r="A21666" s="5" t="s">
        <v>310</v>
      </c>
      <c r="G21666" s="25" t="n">
        <f aca="false">MAX(0,G21664-Assumptions!$C$12)*Assumptions!$C$13</f>
        <v>0</v>
      </c>
      <c r="H21666" s="25" t="n">
        <f aca="false">MAX(0,H21664-Assumptions!$C$12)*Assumptions!$C$13</f>
        <v>0</v>
      </c>
      <c r="I21666" s="25" t="n">
        <f aca="false">MAX(0,I21664-Assumptions!$C$12)*Assumptions!$C$13</f>
        <v>0</v>
      </c>
      <c r="J21666" s="25" t="n">
        <f aca="false">MAX(0,J21664-Assumptions!$C$12)*Assumptions!$C$13</f>
        <v>0</v>
      </c>
      <c r="K21666" s="25" t="n">
        <f aca="false">MAX(0,K21664-Assumptions!$C$12)*Assumptions!$C$13</f>
        <v>0</v>
      </c>
    </row>
    <row r="21667" customFormat="false" ht="15" hidden="false" customHeight="false" outlineLevel="0" collapsed="false">
      <c r="A21667" s="5" t="s">
        <v>311</v>
      </c>
      <c r="G21667" s="25" t="n">
        <f aca="false">G21591+G21604+G21617+G21630</f>
        <v>0</v>
      </c>
      <c r="H21667" s="25" t="n">
        <f aca="false">H21591+H21604+H21617+H21630</f>
        <v>0</v>
      </c>
      <c r="I21667" s="25" t="n">
        <f aca="false">I21591+I21604+I21617+I21630</f>
        <v>0</v>
      </c>
      <c r="J21667" s="25" t="n">
        <f aca="false">J21591+J21604+J21617+J21630</f>
        <v>0</v>
      </c>
      <c r="K21667" s="25" t="n">
        <f aca="false">K21591+K21604+K21617+K21630</f>
        <v>0</v>
      </c>
    </row>
    <row r="21668" customFormat="false" ht="15" hidden="false" customHeight="false" outlineLevel="0" collapsed="false">
      <c r="A21668" s="2" t="s">
        <v>312</v>
      </c>
      <c r="F21668" s="27" t="n">
        <f aca="false">Assumptions!$C$11</f>
        <v>45</v>
      </c>
      <c r="G21668" s="16" t="n">
        <f aca="false">G21664-G21667</f>
        <v>0</v>
      </c>
      <c r="H21668" s="16" t="n">
        <f aca="false">H21664-H21667</f>
        <v>-139.5574048</v>
      </c>
      <c r="I21668" s="16" t="n">
        <f aca="false">I21664-I21667</f>
        <v>-299.764809344</v>
      </c>
      <c r="J21668" s="16" t="n">
        <f aca="false">J21664-J21667</f>
        <v>-462.24043997056</v>
      </c>
      <c r="K21668" s="16" t="n">
        <f aca="false">K21664-K21667</f>
        <v>-623.884095058854</v>
      </c>
    </row>
    <row r="21669" customFormat="false" ht="15" hidden="false" customHeight="false" outlineLevel="0" collapsed="false">
      <c r="A21669" s="5" t="s">
        <v>313</v>
      </c>
      <c r="G21669" s="25" t="n">
        <f aca="false">G21592+G21605+G21618+G21631</f>
        <v>0</v>
      </c>
      <c r="H21669" s="25" t="n">
        <f aca="false">H21592+H21605+H21618+H21631</f>
        <v>534.9088</v>
      </c>
      <c r="I21669" s="25" t="n">
        <f aca="false">I21592+I21605+I21618+I21631</f>
        <v>504.4</v>
      </c>
      <c r="J21669" s="25" t="n">
        <f aca="false">J21592+J21605+J21618+J21631</f>
        <v>250</v>
      </c>
      <c r="K21669" s="25" t="n">
        <f aca="false">K21592+K21605+K21618+K21631</f>
        <v>0</v>
      </c>
    </row>
    <row r="21670" customFormat="false" ht="15" hidden="false" customHeight="false" outlineLevel="0" collapsed="false">
      <c r="A21670" s="5" t="s">
        <v>314</v>
      </c>
      <c r="G21670" s="20" t="n">
        <f aca="false">IF(OR(G21665&gt;0.001,G21669&gt;0.001),1,0)</f>
        <v>0</v>
      </c>
      <c r="H21670" s="20" t="n">
        <f aca="false">IF(OR(H21665&gt;0.001,H21669&gt;0.001),1,0)</f>
        <v>1</v>
      </c>
      <c r="I21670" s="20" t="n">
        <f aca="false">IF(OR(I21665&gt;0.001,I21669&gt;0.001),1,0)</f>
        <v>1</v>
      </c>
      <c r="J21670" s="20" t="n">
        <f aca="false">IF(OR(J21665&gt;0.001,J21669&gt;0.001),1,0)</f>
        <v>1</v>
      </c>
      <c r="K21670" s="20" t="n">
        <f aca="false">IF(OR(K21665&gt;0.001,K21669&gt;0.001),1,0)</f>
        <v>1</v>
      </c>
    </row>
    <row r="21671" customFormat="false" ht="15" hidden="false" customHeight="false" outlineLevel="0" collapsed="false">
      <c r="A21671" s="5" t="s">
        <v>315</v>
      </c>
      <c r="G21671" s="20" t="n">
        <f aca="false">IF(G21670=1,1,0)</f>
        <v>0</v>
      </c>
      <c r="H21671" s="20" t="n">
        <f aca="false">IF(AND(H21670=1,SUM($G$21670:G21670)=0),1,0)</f>
        <v>1</v>
      </c>
      <c r="I21671" s="20" t="n">
        <f aca="false">IF(AND(I21670=1,SUM($G$21670:H21670)=0),1,0)</f>
        <v>0</v>
      </c>
      <c r="J21671" s="20" t="n">
        <f aca="false">IF(AND(J21670=1,SUM($G$21670:I21670)=0),1,0)</f>
        <v>0</v>
      </c>
      <c r="K21671" s="20" t="n">
        <f aca="false">IF(AND(K21670=1,SUM($G$21670:J21670)=0),1,0)</f>
        <v>0</v>
      </c>
    </row>
    <row r="21672" customFormat="false" ht="15" hidden="false" customHeight="false" outlineLevel="0" collapsed="false">
      <c r="A21672" s="5" t="s">
        <v>316</v>
      </c>
      <c r="G21672" s="25" t="n">
        <f aca="false">(G21634-F21634)-(G21661+G21561-G21659-G21663-G21667)</f>
        <v>0</v>
      </c>
      <c r="H21672" s="25" t="n">
        <f aca="false">(H21634-G21634)-(H21661+H21561-H21659-H21663-H21667)</f>
        <v>1.82076576038526E-013</v>
      </c>
      <c r="I21672" s="25" t="n">
        <f aca="false">(I21634-H21634)-(I21661+I21561-I21659-I21663-I21667)</f>
        <v>-4.52970994047064E-014</v>
      </c>
      <c r="J21672" s="25" t="n">
        <f aca="false">(J21634-I21634)-(J21661+J21561-J21659-J21663-J21667)</f>
        <v>-4.52970994047064E-014</v>
      </c>
      <c r="K21672" s="25" t="n">
        <f aca="false">(K21634-J21634)-(K21661+K21561-K21659-K21663-K21667)</f>
        <v>1.82076576038526E-013</v>
      </c>
    </row>
    <row r="21674" customFormat="false" ht="15" hidden="false" customHeight="false" outlineLevel="0" collapsed="false">
      <c r="A21674" s="23" t="s">
        <v>318</v>
      </c>
      <c r="B21674" s="24"/>
      <c r="C21674" s="24"/>
      <c r="D21674" s="24"/>
      <c r="E21674" s="24"/>
      <c r="F21674" s="24"/>
      <c r="G21674" s="24"/>
      <c r="H21674" s="24"/>
      <c r="I21674" s="24"/>
      <c r="J21674" s="24"/>
      <c r="K21674" s="24"/>
    </row>
    <row r="21675" customFormat="false" ht="15" hidden="false" customHeight="false" outlineLevel="0" collapsed="false">
      <c r="A21675" s="5" t="s">
        <v>319</v>
      </c>
      <c r="G21675" s="25" t="n">
        <f aca="false">G21634</f>
        <v>1299.7088</v>
      </c>
      <c r="H21675" s="25" t="n">
        <f aca="false">H21634</f>
        <v>1294.5088</v>
      </c>
      <c r="I21675" s="25" t="n">
        <f aca="false">I21634</f>
        <v>1289.3088</v>
      </c>
      <c r="J21675" s="25" t="n">
        <f aca="false">J21634</f>
        <v>1284.1088</v>
      </c>
      <c r="K21675" s="25" t="n">
        <f aca="false">K21634</f>
        <v>1278.9088</v>
      </c>
    </row>
    <row r="21676" customFormat="false" ht="15" hidden="false" customHeight="false" outlineLevel="0" collapsed="false">
      <c r="A21676" s="5" t="s">
        <v>320</v>
      </c>
      <c r="G21676" s="25" t="n">
        <f aca="false">Assumptions!$O$53*G21593+Assumptions!$O$54*G21606+Assumptions!$O$55*G21619+Assumptions!$O$56*G21632</f>
        <v>999.7088</v>
      </c>
      <c r="H21676" s="25" t="n">
        <f aca="false">Assumptions!$O$53*H21593+Assumptions!$O$54*H21606+Assumptions!$O$55*H21619+Assumptions!$O$56*H21632</f>
        <v>994.5088</v>
      </c>
      <c r="I21676" s="25" t="n">
        <f aca="false">Assumptions!$O$53*I21593+Assumptions!$O$54*I21606+Assumptions!$O$55*I21619+Assumptions!$O$56*I21632</f>
        <v>989.3088</v>
      </c>
      <c r="J21676" s="25" t="n">
        <f aca="false">Assumptions!$O$53*J21593+Assumptions!$O$54*J21606+Assumptions!$O$55*J21619+Assumptions!$O$56*J21632</f>
        <v>984.1088</v>
      </c>
      <c r="K21676" s="25" t="n">
        <f aca="false">Assumptions!$O$53*K21593+Assumptions!$O$54*K21606+Assumptions!$O$55*K21619+Assumptions!$O$56*K21632</f>
        <v>978.9088</v>
      </c>
    </row>
    <row r="21677" customFormat="false" ht="15" hidden="false" customHeight="false" outlineLevel="0" collapsed="false">
      <c r="A21677" s="5" t="s">
        <v>321</v>
      </c>
      <c r="G21677" s="25" t="n">
        <f aca="false">G21675-G21668</f>
        <v>1299.7088</v>
      </c>
      <c r="H21677" s="25" t="n">
        <f aca="false">H21675-H21668</f>
        <v>1434.0662048</v>
      </c>
      <c r="I21677" s="25" t="n">
        <f aca="false">I21675-I21668</f>
        <v>1589.073609344</v>
      </c>
      <c r="J21677" s="25" t="n">
        <f aca="false">J21675-J21668</f>
        <v>1746.34923997056</v>
      </c>
      <c r="K21677" s="25" t="n">
        <f aca="false">K21675-K21668</f>
        <v>1902.79289505885</v>
      </c>
    </row>
    <row r="21678" customFormat="false" ht="15" hidden="false" customHeight="false" outlineLevel="0" collapsed="false">
      <c r="A21678" s="5" t="s">
        <v>322</v>
      </c>
      <c r="G21678" s="31" t="n">
        <f aca="false">IF(G21556&gt;0,G21675/G21556,0)</f>
        <v>70.6978241949521</v>
      </c>
      <c r="H21678" s="31" t="n">
        <f aca="false">IF(H21556&gt;0,H21675/H21556,0)</f>
        <v>80.9367465962406</v>
      </c>
      <c r="I21678" s="31" t="n">
        <f aca="false">IF(I21556&gt;0,I21675/I21556,0)</f>
        <v>82.763476695823</v>
      </c>
      <c r="J21678" s="31" t="n">
        <f aca="false">IF(J21556&gt;0,J21675/J21556,0)</f>
        <v>83.2623006318033</v>
      </c>
      <c r="K21678" s="31" t="n">
        <f aca="false">IF(K21556&gt;0,K21675/K21556,0)</f>
        <v>83.762757427964</v>
      </c>
    </row>
    <row r="21679" customFormat="false" ht="15" hidden="false" customHeight="false" outlineLevel="0" collapsed="false">
      <c r="A21679" s="5" t="s">
        <v>323</v>
      </c>
      <c r="G21679" s="31" t="n">
        <f aca="false">IF(G21556&gt;0,G21677/G21556,0)</f>
        <v>70.6978241949521</v>
      </c>
      <c r="H21679" s="31" t="n">
        <f aca="false">IF(H21556&gt;0,H21677/H21556,0)</f>
        <v>89.6623128557566</v>
      </c>
      <c r="I21679" s="31" t="n">
        <f aca="false">IF(I21556&gt;0,I21677/I21556,0)</f>
        <v>102.006017980246</v>
      </c>
      <c r="J21679" s="31" t="n">
        <f aca="false">IF(J21556&gt;0,J21677/J21556,0)</f>
        <v>113.234217713133</v>
      </c>
      <c r="K21679" s="31" t="n">
        <f aca="false">IF(K21556&gt;0,K21677/K21556,0)</f>
        <v>124.624351403687</v>
      </c>
    </row>
    <row r="21680" customFormat="false" ht="15" hidden="false" customHeight="false" outlineLevel="0" collapsed="false">
      <c r="A21680" s="5" t="s">
        <v>324</v>
      </c>
      <c r="G21680" s="31" t="n">
        <f aca="false">IF(G21560&gt;0,G21556/G21560,0)</f>
        <v>0.13127677806341</v>
      </c>
      <c r="H21680" s="31" t="n">
        <f aca="false">IF(H21560&gt;0,H21556/H21560,0)</f>
        <v>0.111190805103385</v>
      </c>
      <c r="I21680" s="31" t="n">
        <f aca="false">IF(I21560&gt;0,I21556/I21560,0)</f>
        <v>0.11024648666467</v>
      </c>
      <c r="J21680" s="31" t="n">
        <f aca="false">IF(J21560&gt;0,J21556/J21560,0)</f>
        <v>0.109660569397092</v>
      </c>
      <c r="K21680" s="31" t="n">
        <f aca="false">IF(K21560&gt;0,K21556/K21560,0)</f>
        <v>0.109080209295775</v>
      </c>
    </row>
    <row r="21681" customFormat="false" ht="15" hidden="false" customHeight="false" outlineLevel="0" collapsed="false">
      <c r="A21681" s="5" t="s">
        <v>325</v>
      </c>
      <c r="G21681" s="31" t="n">
        <f aca="false">IF(G21560&gt;0,G21559/G21560,0)</f>
        <v>-0.157532133676093</v>
      </c>
      <c r="H21681" s="31" t="n">
        <f aca="false">IF(H21560&gt;0,H21559/H21560,0)</f>
        <v>-0.133428966124062</v>
      </c>
      <c r="I21681" s="31" t="n">
        <f aca="false">IF(I21560&gt;0,I21559/I21560,0)</f>
        <v>-0.132295783997604</v>
      </c>
      <c r="J21681" s="31" t="n">
        <f aca="false">IF(J21560&gt;0,J21559/J21560,0)</f>
        <v>-0.131592683276511</v>
      </c>
      <c r="K21681" s="31" t="n">
        <f aca="false">IF(K21560&gt;0,K21559/K21560,0)</f>
        <v>-0.13089625115493</v>
      </c>
    </row>
    <row r="21682" customFormat="false" ht="15" hidden="false" customHeight="false" outlineLevel="0" collapsed="false">
      <c r="A21682" s="5" t="s">
        <v>182</v>
      </c>
      <c r="G21682" s="21" t="n">
        <f aca="false">IF(G21675&gt;0,G21569/G21675,0)</f>
        <v>-0.0728692457879796</v>
      </c>
      <c r="H21682" s="21" t="n">
        <f aca="false">IF(H21675&gt;0,H21569/H21675,0)</f>
        <v>-0.103790259903988</v>
      </c>
      <c r="I21682" s="21" t="n">
        <f aca="false">IF(I21675&gt;0,I21569/I21675,0)</f>
        <v>-0.120225197054422</v>
      </c>
      <c r="J21682" s="21" t="n">
        <f aca="false">IF(J21675&gt;0,J21569/J21675,0)</f>
        <v>-0.122478430664567</v>
      </c>
      <c r="K21682" s="21" t="n">
        <f aca="false">IF(K21675&gt;0,K21569/K21675,0)</f>
        <v>-0.122325888357555</v>
      </c>
    </row>
    <row r="21683" customFormat="false" ht="15" hidden="false" customHeight="false" outlineLevel="0" collapsed="false">
      <c r="A21683" s="5" t="s">
        <v>326</v>
      </c>
      <c r="G21683" s="31" t="n">
        <f aca="false">IF(G21560+G21659&gt;0,(G21556-G21567-G21564)/(G21560+G21659),0)</f>
        <v>-0.0759460203800606</v>
      </c>
      <c r="H21683" s="31" t="n">
        <f aca="false">IF(H21560+H21659&gt;0,(H21556-H21567-H21564)/(H21560+H21659),0)</f>
        <v>-0.0643868726775781</v>
      </c>
      <c r="I21683" s="31" t="n">
        <f aca="false">IF(I21560+I21659&gt;0,(I21556-I21567-I21564)/(I21560+I21659),0)</f>
        <v>-0.0638000393994207</v>
      </c>
      <c r="J21683" s="31" t="n">
        <f aca="false">IF(J21560+J21659&gt;0,(J21556-J21567-J21564)/(J21560+J21659),0)</f>
        <v>-0.0634503083935347</v>
      </c>
      <c r="K21683" s="31" t="n">
        <f aca="false">IF(K21560+K21659&gt;0,(K21556-K21567-K21564)/(K21560+K21659),0)</f>
        <v>-0.0631038089376677</v>
      </c>
    </row>
    <row r="21684" customFormat="false" ht="15" hidden="false" customHeight="false" outlineLevel="0" collapsed="false">
      <c r="A21684" s="5" t="s">
        <v>327</v>
      </c>
      <c r="G21684" s="25" t="n">
        <f aca="false">MAX(0,G21668)+Assumptions!$P$53*MAX(0,Assumptions!$D$53-G21593)+Assumptions!$P$54*MAX(0,Assumptions!$D$54-G21606)+Assumptions!$P$55*MAX(0,Assumptions!$D$55-G21619)+Assumptions!$P$56*MAX(0,Assumptions!$D$56-G21632)</f>
        <v>65.0912</v>
      </c>
      <c r="H21684" s="25" t="n">
        <f aca="false">MAX(0,H21668)+Assumptions!$P$53*MAX(0,Assumptions!$D$53-H21593)+Assumptions!$P$54*MAX(0,Assumptions!$D$54-H21606)+Assumptions!$P$55*MAX(0,Assumptions!$D$55-H21619)+Assumptions!$P$56*MAX(0,Assumptions!$D$56-H21632)</f>
        <v>65.0912</v>
      </c>
      <c r="I21684" s="25" t="n">
        <f aca="false">MAX(0,I21668)+Assumptions!$P$53*MAX(0,Assumptions!$D$53-I21593)+Assumptions!$P$54*MAX(0,Assumptions!$D$54-I21606)+Assumptions!$P$55*MAX(0,Assumptions!$D$55-I21619)+Assumptions!$P$56*MAX(0,Assumptions!$D$56-I21632)</f>
        <v>65.0912</v>
      </c>
      <c r="J21684" s="25" t="n">
        <f aca="false">MAX(0,J21668)+Assumptions!$P$53*MAX(0,Assumptions!$D$53-J21593)+Assumptions!$P$54*MAX(0,Assumptions!$D$54-J21606)+Assumptions!$P$55*MAX(0,Assumptions!$D$55-J21619)+Assumptions!$P$56*MAX(0,Assumptions!$D$56-J21632)</f>
        <v>65.0912</v>
      </c>
      <c r="K21684" s="25" t="n">
        <f aca="false">MAX(0,K21668)+Assumptions!$P$53*MAX(0,Assumptions!$D$53-K21593)+Assumptions!$P$54*MAX(0,Assumptions!$D$54-K21606)+Assumptions!$P$55*MAX(0,Assumptions!$D$55-K21619)+Assumptions!$P$56*MAX(0,Assumptions!$D$56-K21632)</f>
        <v>65.0912</v>
      </c>
    </row>
    <row r="21685" customFormat="false" ht="15" hidden="false" customHeight="false" outlineLevel="0" collapsed="false">
      <c r="A21685" s="5" t="s">
        <v>328</v>
      </c>
      <c r="G21685" s="21" t="n">
        <f aca="false">IF(G21675&gt;0,G21675/(G21675+MAX(0,G21556*CHOOSE($C$21539,Assumptions!$C$76,Assumptions!$C$95,Assumptions!$C$114)-G21677)),0)</f>
        <v>1</v>
      </c>
      <c r="H21685" s="21" t="n">
        <f aca="false">IF(H21675&gt;0,H21675/(H21675+MAX(0,H21556*CHOOSE($C$21539,Assumptions!$C$76,Assumptions!$C$95,Assumptions!$C$114)-H21677)),0)</f>
        <v>1</v>
      </c>
      <c r="I21685" s="21" t="n">
        <f aca="false">IF(I21675&gt;0,I21675/(I21675+MAX(0,I21556*CHOOSE($C$21539,Assumptions!$C$76,Assumptions!$C$95,Assumptions!$C$114)-I21677)),0)</f>
        <v>1</v>
      </c>
      <c r="J21685" s="21" t="n">
        <f aca="false">IF(J21675&gt;0,J21675/(J21675+MAX(0,J21556*CHOOSE($C$21539,Assumptions!$C$76,Assumptions!$C$95,Assumptions!$C$114)-J21677)),0)</f>
        <v>1</v>
      </c>
      <c r="K21685" s="21" t="n">
        <f aca="false">IF(K21675&gt;0,K21675/(K21675+MAX(0,K21556*CHOOSE($C$21539,Assumptions!$C$76,Assumptions!$C$95,Assumptions!$C$114)-K21677)),0)</f>
        <v>1</v>
      </c>
    </row>
    <row r="21686" customFormat="false" ht="15" hidden="false" customHeight="false" outlineLevel="0" collapsed="false">
      <c r="A21686" s="5" t="s">
        <v>329</v>
      </c>
      <c r="G21686" s="21" t="n">
        <f aca="false">IF(G21675&gt;0,MAX(0,G21668)/G21675,0)</f>
        <v>0</v>
      </c>
      <c r="H21686" s="21" t="n">
        <f aca="false">IF(H21675&gt;0,MAX(0,H21668)/H21675,0)</f>
        <v>0</v>
      </c>
      <c r="I21686" s="21" t="n">
        <f aca="false">IF(I21675&gt;0,MAX(0,I21668)/I21675,0)</f>
        <v>0</v>
      </c>
      <c r="J21686" s="21" t="n">
        <f aca="false">IF(J21675&gt;0,MAX(0,J21668)/J21675,0)</f>
        <v>0</v>
      </c>
      <c r="K21686" s="21" t="n">
        <f aca="false">IF(K21675&gt;0,MAX(0,K21668)/K21675,0)</f>
        <v>0</v>
      </c>
    </row>
    <row r="21687" customFormat="false" ht="15" hidden="false" customHeight="false" outlineLevel="0" collapsed="false">
      <c r="A21687" s="5" t="s">
        <v>330</v>
      </c>
      <c r="G21687" s="25" t="n">
        <f aca="false">Assumptions!$C$27*(1-CHOOSE($C$21539,Assumptions!$C$79,Assumptions!$C$98,Assumptions!$C$117))</f>
        <v>676</v>
      </c>
      <c r="H21687" s="25" t="n">
        <f aca="false">Assumptions!$C$27*(1-CHOOSE($C$21539,Assumptions!$C$79,Assumptions!$C$98,Assumptions!$C$117))</f>
        <v>676</v>
      </c>
      <c r="I21687" s="25" t="n">
        <f aca="false">Assumptions!$C$27*(1-CHOOSE($C$21539,Assumptions!$C$79,Assumptions!$C$98,Assumptions!$C$117))</f>
        <v>676</v>
      </c>
      <c r="J21687" s="25" t="n">
        <f aca="false">Assumptions!$C$27*(1-CHOOSE($C$21539,Assumptions!$C$79,Assumptions!$C$98,Assumptions!$C$117))</f>
        <v>676</v>
      </c>
      <c r="K21687" s="25" t="n">
        <f aca="false">Assumptions!$C$27*(1-CHOOSE($C$21539,Assumptions!$C$79,Assumptions!$C$98,Assumptions!$C$117))</f>
        <v>676</v>
      </c>
    </row>
    <row r="21688" customFormat="false" ht="15" hidden="false" customHeight="false" outlineLevel="0" collapsed="false">
      <c r="A21688" s="23" t="s">
        <v>331</v>
      </c>
      <c r="B21688" s="24"/>
      <c r="C21688" s="24"/>
      <c r="D21688" s="24"/>
      <c r="E21688" s="24"/>
      <c r="F21688" s="24"/>
      <c r="G21688" s="24"/>
      <c r="H21688" s="24"/>
      <c r="I21688" s="24"/>
      <c r="J21688" s="24"/>
      <c r="K21688" s="24"/>
    </row>
    <row r="21689" customFormat="false" ht="15" hidden="false" customHeight="false" outlineLevel="0" collapsed="false">
      <c r="A21689" s="23" t="s">
        <v>332</v>
      </c>
      <c r="B21689" s="24"/>
      <c r="C21689" s="24"/>
      <c r="D21689" s="24"/>
      <c r="E21689" s="24"/>
      <c r="F21689" s="24"/>
      <c r="G21689" s="24"/>
      <c r="H21689" s="24"/>
      <c r="I21689" s="24"/>
      <c r="J21689" s="24"/>
      <c r="K21689" s="24"/>
    </row>
    <row r="21690" customFormat="false" ht="15" hidden="false" customHeight="false" outlineLevel="0" collapsed="false">
      <c r="A21690" s="5" t="s">
        <v>333</v>
      </c>
      <c r="G21690" s="31" t="n">
        <f aca="false">IF(G21556&gt;0,G21677/G21556,99)</f>
        <v>70.6978241949521</v>
      </c>
      <c r="H21690" s="31" t="n">
        <f aca="false">IF(H21556&gt;0,H21677/H21556,99)</f>
        <v>89.6623128557566</v>
      </c>
      <c r="I21690" s="31" t="n">
        <f aca="false">IF(I21556&gt;0,I21677/I21556,99)</f>
        <v>102.006017980246</v>
      </c>
      <c r="J21690" s="31" t="n">
        <f aca="false">IF(J21556&gt;0,J21677/J21556,99)</f>
        <v>113.234217713133</v>
      </c>
      <c r="K21690" s="31" t="n">
        <f aca="false">IF(K21556&gt;0,K21677/K21556,99)</f>
        <v>124.624351403687</v>
      </c>
    </row>
    <row r="21691" customFormat="false" ht="15" hidden="false" customHeight="false" outlineLevel="0" collapsed="false">
      <c r="A21691" s="5" t="s">
        <v>334</v>
      </c>
      <c r="G21691" s="32" t="n">
        <f aca="false">Assumptions!$G$61</f>
        <v>8.5</v>
      </c>
      <c r="H21691" s="32" t="n">
        <f aca="false">Assumptions!$H$61</f>
        <v>8.5</v>
      </c>
      <c r="I21691" s="32" t="n">
        <f aca="false">Assumptions!$I$61</f>
        <v>8.5</v>
      </c>
      <c r="J21691" s="32" t="n">
        <f aca="false">Assumptions!$J$61</f>
        <v>8.5</v>
      </c>
      <c r="K21691" s="32" t="n">
        <f aca="false">Assumptions!$K$61</f>
        <v>8.5</v>
      </c>
    </row>
    <row r="21692" customFormat="false" ht="15" hidden="false" customHeight="false" outlineLevel="0" collapsed="false">
      <c r="A21692" s="5" t="s">
        <v>335</v>
      </c>
      <c r="G21692" s="31" t="n">
        <f aca="false">G21691-G21690</f>
        <v>-62.1978241949521</v>
      </c>
      <c r="H21692" s="31" t="n">
        <f aca="false">H21691-H21690</f>
        <v>-81.1623128557566</v>
      </c>
      <c r="I21692" s="31" t="n">
        <f aca="false">I21691-I21690</f>
        <v>-93.5060179802461</v>
      </c>
      <c r="J21692" s="31" t="n">
        <f aca="false">J21691-J21690</f>
        <v>-104.734217713133</v>
      </c>
      <c r="K21692" s="31" t="n">
        <f aca="false">K21691-K21690</f>
        <v>-116.124351403687</v>
      </c>
    </row>
    <row r="21693" customFormat="false" ht="15" hidden="false" customHeight="false" outlineLevel="0" collapsed="false">
      <c r="A21693" s="5" t="s">
        <v>336</v>
      </c>
      <c r="G21693" s="21" t="n">
        <f aca="false">IF(G21691=0,0,G21692/ABS(G21691))</f>
        <v>-7.31739108175907</v>
      </c>
      <c r="H21693" s="21" t="n">
        <f aca="false">IF(H21691=0,0,H21692/ABS(H21691))</f>
        <v>-9.5485073947949</v>
      </c>
      <c r="I21693" s="21" t="n">
        <f aca="false">IF(I21691=0,0,I21692/ABS(I21691))</f>
        <v>-11.000707997676</v>
      </c>
      <c r="J21693" s="21" t="n">
        <f aca="false">IF(J21691=0,0,J21692/ABS(J21691))</f>
        <v>-12.3216726721333</v>
      </c>
      <c r="K21693" s="21" t="n">
        <f aca="false">IF(K21691=0,0,K21692/ABS(K21691))</f>
        <v>-13.6616884004338</v>
      </c>
    </row>
    <row r="21694" customFormat="false" ht="15" hidden="false" customHeight="false" outlineLevel="0" collapsed="false">
      <c r="A21694" s="5" t="s">
        <v>337</v>
      </c>
      <c r="G21694" s="20" t="n">
        <f aca="false">IF(G21692&lt;0,1,0)</f>
        <v>1</v>
      </c>
      <c r="H21694" s="20" t="n">
        <f aca="false">IF(H21692&lt;0,1,0)</f>
        <v>1</v>
      </c>
      <c r="I21694" s="20" t="n">
        <f aca="false">IF(I21692&lt;0,1,0)</f>
        <v>1</v>
      </c>
      <c r="J21694" s="20" t="n">
        <f aca="false">IF(J21692&lt;0,1,0)</f>
        <v>1</v>
      </c>
      <c r="K21694" s="20" t="n">
        <f aca="false">IF(K21692&lt;0,1,0)</f>
        <v>1</v>
      </c>
    </row>
    <row r="21695" customFormat="false" ht="15" hidden="false" customHeight="false" outlineLevel="0" collapsed="false">
      <c r="A21695" s="5" t="s">
        <v>338</v>
      </c>
      <c r="C21695" s="20" t="n">
        <f aca="false">IFERROR(INDEX($G$21546:$K$21546,MATCH(1,$G$21694:$K$21694,0)),0)</f>
        <v>2026</v>
      </c>
    </row>
    <row r="21696" customFormat="false" ht="15" hidden="false" customHeight="false" outlineLevel="0" collapsed="false">
      <c r="A21696" s="5" t="s">
        <v>339</v>
      </c>
      <c r="C21696" s="21" t="n">
        <f aca="false">MIN($G$21693:$K$21693)</f>
        <v>-13.6616884004338</v>
      </c>
    </row>
    <row r="21697" customFormat="false" ht="15" hidden="false" customHeight="false" outlineLevel="0" collapsed="false">
      <c r="A21697" s="5" t="s">
        <v>340</v>
      </c>
      <c r="G21697" s="20" t="n">
        <f aca="false">G21694</f>
        <v>1</v>
      </c>
      <c r="H21697" s="20" t="n">
        <f aca="false">H21694</f>
        <v>1</v>
      </c>
      <c r="I21697" s="20" t="n">
        <f aca="false">I21694</f>
        <v>1</v>
      </c>
      <c r="J21697" s="20" t="n">
        <f aca="false">J21694</f>
        <v>1</v>
      </c>
      <c r="K21697" s="20" t="n">
        <f aca="false">K21694</f>
        <v>1</v>
      </c>
    </row>
    <row r="21698" customFormat="false" ht="15" hidden="false" customHeight="false" outlineLevel="0" collapsed="false">
      <c r="A21698" s="5" t="s">
        <v>341</v>
      </c>
      <c r="C21698" s="20" t="n">
        <f aca="false">SUM($G$21697:$K$21697)</f>
        <v>5</v>
      </c>
    </row>
    <row r="21699" customFormat="false" ht="15" hidden="false" customHeight="false" outlineLevel="0" collapsed="false">
      <c r="A21699" s="5" t="s">
        <v>342</v>
      </c>
      <c r="C21699" s="21" t="n">
        <f aca="false">MIN(C21696)</f>
        <v>-13.6616884004338</v>
      </c>
    </row>
    <row r="21701" customFormat="false" ht="15" hidden="false" customHeight="false" outlineLevel="0" collapsed="false">
      <c r="A21701" s="23" t="s">
        <v>444</v>
      </c>
      <c r="B21701" s="24"/>
      <c r="C21701" s="24"/>
      <c r="D21701" s="24"/>
      <c r="E21701" s="24"/>
      <c r="F21701" s="24"/>
      <c r="G21701" s="24"/>
      <c r="H21701" s="24"/>
      <c r="I21701" s="24"/>
      <c r="J21701" s="24"/>
      <c r="K21701" s="24"/>
    </row>
    <row r="21702" customFormat="false" ht="15" hidden="false" customHeight="false" outlineLevel="0" collapsed="false">
      <c r="A21702" s="5" t="s">
        <v>445</v>
      </c>
      <c r="G21702" s="20" t="n">
        <f aca="false">IF($C$21703=1,G21671,IF(G21556=MIN($G$21556:$K$21556),1,0))</f>
        <v>0</v>
      </c>
      <c r="H21702" s="20" t="n">
        <f aca="false">IF($C$21703=1,H21671,IF(AND(H21556=MIN($G$21556:$K$21556),SUM($G$21702:G21702)=0),1,0))</f>
        <v>1</v>
      </c>
      <c r="I21702" s="20" t="n">
        <f aca="false">IF($C$21703=1,I21671,IF(AND(I21556=MIN($G$21556:$K$21556),SUM($G$21702:H21702)=0),1,0))</f>
        <v>0</v>
      </c>
      <c r="J21702" s="20" t="n">
        <f aca="false">IF($C$21703=1,J21671,IF(AND(J21556=MIN($G$21556:$K$21556),SUM($G$21702:I21702)=0),1,0))</f>
        <v>0</v>
      </c>
      <c r="K21702" s="20" t="n">
        <f aca="false">IF($C$21703=1,K21671,IF(AND(K21556=MIN($G$21556:$K$21556),SUM($G$21702:J21702)=0),1,0))</f>
        <v>0</v>
      </c>
    </row>
    <row r="21703" customFormat="false" ht="15" hidden="false" customHeight="false" outlineLevel="0" collapsed="false">
      <c r="A21703" s="5" t="s">
        <v>446</v>
      </c>
      <c r="C21703" s="20" t="n">
        <f aca="false">IF(SUM($G$21671:$K$21671)&gt;0,1,0)</f>
        <v>1</v>
      </c>
    </row>
    <row r="21704" customFormat="false" ht="15" hidden="false" customHeight="false" outlineLevel="0" collapsed="false">
      <c r="A21704" s="5" t="s">
        <v>447</v>
      </c>
      <c r="C21704" s="20" t="n">
        <f aca="false">SUMPRODUCT($G$21702:$K$21702,$G$21546:$K$21546)</f>
        <v>2027</v>
      </c>
    </row>
    <row r="21705" customFormat="false" ht="15" hidden="false" customHeight="false" outlineLevel="0" collapsed="false">
      <c r="A21705" s="5" t="s">
        <v>448</v>
      </c>
      <c r="C21705" s="25" t="n">
        <f aca="false">SUMPRODUCT($G$21702:$K$21702,$G$21556:$K$21556)</f>
        <v>15.99408</v>
      </c>
    </row>
    <row r="21706" customFormat="false" ht="15" hidden="false" customHeight="false" outlineLevel="0" collapsed="false">
      <c r="A21706" s="5" t="s">
        <v>449</v>
      </c>
      <c r="C21706" s="25" t="n">
        <f aca="false">MAX(0,SUMPRODUCT($G$21702:$K$21702,$G$21668:$K$21668))</f>
        <v>0</v>
      </c>
    </row>
    <row r="21707" customFormat="false" ht="15" hidden="false" customHeight="false" outlineLevel="0" collapsed="false">
      <c r="A21707" s="5" t="s">
        <v>450</v>
      </c>
      <c r="C21707" s="25" t="n">
        <f aca="false">(CHOOSE($C$21539,Assumptions!$C$78,Assumptions!$C$97,Assumptions!$C$116)+$C$21543)*C21705</f>
        <v>79.9704</v>
      </c>
    </row>
    <row r="21708" customFormat="false" ht="15" hidden="false" customHeight="false" outlineLevel="0" collapsed="false">
      <c r="A21708" s="5" t="s">
        <v>451</v>
      </c>
      <c r="C21708" s="25" t="n">
        <f aca="false">Assumptions!$C$27*(1-CHOOSE($C$21539,Assumptions!$C$79,Assumptions!$C$98,Assumptions!$C$117))*CHOOSE($C$21539,Assumptions!$C$80,Assumptions!$C$99,Assumptions!$C$118)</f>
        <v>405.6</v>
      </c>
    </row>
    <row r="21709" customFormat="false" ht="15" hidden="false" customHeight="false" outlineLevel="0" collapsed="false">
      <c r="A21709" s="5" t="s">
        <v>452</v>
      </c>
      <c r="C21709" s="25" t="n">
        <f aca="false">MAX(C21707,C21708)+C21706</f>
        <v>405.6</v>
      </c>
    </row>
    <row r="21710" customFormat="false" ht="15" hidden="false" customHeight="false" outlineLevel="0" collapsed="false">
      <c r="A21710" s="2" t="s">
        <v>453</v>
      </c>
      <c r="C21710" s="16" t="n">
        <f aca="false">IF(ISNUMBER(Assumptions!$C$14),Assumptions!$C$14,C21709)</f>
        <v>405.6</v>
      </c>
    </row>
    <row r="21711" customFormat="false" ht="15" hidden="false" customHeight="false" outlineLevel="0" collapsed="false">
      <c r="A21711" s="5" t="s">
        <v>454</v>
      </c>
      <c r="C21711" s="25" t="n">
        <f aca="false">C21710*Assumptions!$C$15</f>
        <v>16.224</v>
      </c>
    </row>
    <row r="21712" customFormat="false" ht="15" hidden="false" customHeight="false" outlineLevel="0" collapsed="false">
      <c r="A21712" s="2" t="s">
        <v>455</v>
      </c>
      <c r="C21712" s="16" t="n">
        <f aca="false">C21710-C21711</f>
        <v>389.376</v>
      </c>
    </row>
    <row r="21713" customFormat="false" ht="15" hidden="false" customHeight="false" outlineLevel="0" collapsed="false">
      <c r="A21713" s="23" t="s">
        <v>456</v>
      </c>
      <c r="B21713" s="24"/>
      <c r="C21713" s="24"/>
      <c r="D21713" s="24"/>
      <c r="E21713" s="24"/>
      <c r="F21713" s="24"/>
      <c r="G21713" s="24"/>
      <c r="H21713" s="24"/>
      <c r="I21713" s="24"/>
      <c r="J21713" s="24"/>
      <c r="K21713" s="24"/>
    </row>
    <row r="21714" customFormat="false" ht="15" hidden="false" customHeight="false" outlineLevel="0" collapsed="false">
      <c r="A21714" s="5" t="s">
        <v>457</v>
      </c>
      <c r="C21714" s="25" t="n">
        <f aca="false">SUMPRODUCT($G$21702:$K$21702,$G$21593:$K$21593)*(1+SUMPRODUCT($G$21702:$K$21702,$G$21585:$K$21585)*Assumptions!$C$16/12)</f>
        <v>241.5743372</v>
      </c>
    </row>
    <row r="21715" customFormat="false" ht="15" hidden="false" customHeight="false" outlineLevel="0" collapsed="false">
      <c r="A21715" s="5" t="s">
        <v>458</v>
      </c>
      <c r="C21715" s="25" t="n">
        <f aca="false">SUMPRODUCT($G$21702:$K$21702,$G$21606:$K$21606)*(1+SUMPRODUCT($G$21702:$K$21702,$G$21598:$K$21598)*Assumptions!$C$16/12)</f>
        <v>526.2257</v>
      </c>
    </row>
    <row r="21716" customFormat="false" ht="15" hidden="false" customHeight="false" outlineLevel="0" collapsed="false">
      <c r="A21716" s="5" t="s">
        <v>459</v>
      </c>
      <c r="C21716" s="25" t="n">
        <f aca="false">SUMPRODUCT($G$21702:$K$21702,$G$21619:$K$21619)*(1+SUMPRODUCT($G$21702:$K$21702,$G$21611:$K$21611)*Assumptions!$C$16/12)</f>
        <v>256.875</v>
      </c>
    </row>
    <row r="21717" customFormat="false" ht="15" hidden="false" customHeight="false" outlineLevel="0" collapsed="false">
      <c r="A21717" s="5" t="s">
        <v>460</v>
      </c>
      <c r="C21717" s="25" t="n">
        <f aca="false">SUMPRODUCT($G$21702:$K$21702,$G$21632:$K$21632)*(1+SUMPRODUCT($G$21702:$K$21702,$G$21624:$K$21624)*Assumptions!$C$16/12)</f>
        <v>305.625</v>
      </c>
    </row>
    <row r="21718" customFormat="false" ht="15" hidden="false" customHeight="false" outlineLevel="0" collapsed="false">
      <c r="A21718" s="23" t="s">
        <v>461</v>
      </c>
      <c r="B21718" s="24"/>
      <c r="C21718" s="24"/>
      <c r="D21718" s="24"/>
      <c r="E21718" s="24"/>
      <c r="F21718" s="24"/>
      <c r="G21718" s="24"/>
      <c r="H21718" s="24"/>
      <c r="I21718" s="24"/>
      <c r="J21718" s="24"/>
      <c r="K21718" s="24"/>
    </row>
    <row r="21719" customFormat="false" ht="15" hidden="false" customHeight="false" outlineLevel="0" collapsed="false">
      <c r="A21719" s="5" t="s">
        <v>457</v>
      </c>
      <c r="C21719" s="26" t="n">
        <f aca="false">Assumptions!$M$53</f>
        <v>1</v>
      </c>
    </row>
    <row r="21720" customFormat="false" ht="15" hidden="false" customHeight="false" outlineLevel="0" collapsed="false">
      <c r="A21720" s="5" t="s">
        <v>458</v>
      </c>
      <c r="C21720" s="26" t="n">
        <f aca="false">Assumptions!$M$54</f>
        <v>2</v>
      </c>
    </row>
    <row r="21721" customFormat="false" ht="15" hidden="false" customHeight="false" outlineLevel="0" collapsed="false">
      <c r="A21721" s="5" t="s">
        <v>459</v>
      </c>
      <c r="C21721" s="26" t="n">
        <f aca="false">Assumptions!$M$55</f>
        <v>3</v>
      </c>
    </row>
    <row r="21722" customFormat="false" ht="15" hidden="false" customHeight="false" outlineLevel="0" collapsed="false">
      <c r="A21722" s="5" t="s">
        <v>460</v>
      </c>
      <c r="C21722" s="26" t="n">
        <f aca="false">Assumptions!$M$56</f>
        <v>4</v>
      </c>
    </row>
    <row r="21723" customFormat="false" ht="15" hidden="false" customHeight="false" outlineLevel="0" collapsed="false">
      <c r="A21723" s="23" t="s">
        <v>462</v>
      </c>
      <c r="B21723" s="24"/>
      <c r="C21723" s="24"/>
      <c r="D21723" s="24"/>
      <c r="E21723" s="24"/>
      <c r="F21723" s="24"/>
      <c r="G21723" s="24"/>
      <c r="H21723" s="24"/>
      <c r="I21723" s="24"/>
      <c r="J21723" s="24"/>
      <c r="K21723" s="24"/>
    </row>
    <row r="21724" customFormat="false" ht="15" hidden="false" customHeight="false" outlineLevel="0" collapsed="false">
      <c r="A21724" s="5" t="s">
        <v>457</v>
      </c>
      <c r="C21724" s="34" t="n">
        <f aca="false">Assumptions!$Q$53</f>
        <v>0</v>
      </c>
    </row>
    <row r="21725" customFormat="false" ht="15" hidden="false" customHeight="false" outlineLevel="0" collapsed="false">
      <c r="A21725" s="5" t="s">
        <v>458</v>
      </c>
      <c r="C21725" s="34" t="n">
        <f aca="false">Assumptions!$Q$54</f>
        <v>0</v>
      </c>
    </row>
    <row r="21726" customFormat="false" ht="15" hidden="false" customHeight="false" outlineLevel="0" collapsed="false">
      <c r="A21726" s="5" t="s">
        <v>459</v>
      </c>
      <c r="C21726" s="34" t="n">
        <f aca="false">Assumptions!$Q$55</f>
        <v>0</v>
      </c>
    </row>
    <row r="21727" customFormat="false" ht="15" hidden="false" customHeight="false" outlineLevel="0" collapsed="false">
      <c r="A21727" s="5" t="s">
        <v>460</v>
      </c>
      <c r="C21727" s="34" t="n">
        <f aca="false">Assumptions!$Q$56</f>
        <v>0</v>
      </c>
    </row>
    <row r="21728" customFormat="false" ht="15" hidden="false" customHeight="false" outlineLevel="0" collapsed="false">
      <c r="A21728" s="23" t="s">
        <v>463</v>
      </c>
      <c r="B21728" s="24"/>
      <c r="C21728" s="24"/>
      <c r="D21728" s="24"/>
      <c r="E21728" s="24"/>
      <c r="F21728" s="24"/>
      <c r="G21728" s="24"/>
      <c r="H21728" s="24"/>
      <c r="I21728" s="24"/>
      <c r="J21728" s="24"/>
      <c r="K21728" s="24"/>
    </row>
    <row r="21729" customFormat="false" ht="15" hidden="false" customHeight="false" outlineLevel="0" collapsed="false">
      <c r="A21729" s="5" t="s">
        <v>457</v>
      </c>
      <c r="C21729" s="25" t="n">
        <f aca="false">IF(C21724&gt;0,MIN(C21714,C21724*$C$21712),0)</f>
        <v>0</v>
      </c>
    </row>
    <row r="21730" customFormat="false" ht="15" hidden="false" customHeight="false" outlineLevel="0" collapsed="false">
      <c r="A21730" s="5" t="s">
        <v>458</v>
      </c>
      <c r="C21730" s="25" t="n">
        <f aca="false">IF(C21725&gt;0,MIN(C21715,C21725*$C$21712),0)</f>
        <v>0</v>
      </c>
    </row>
    <row r="21731" customFormat="false" ht="15" hidden="false" customHeight="false" outlineLevel="0" collapsed="false">
      <c r="A21731" s="5" t="s">
        <v>459</v>
      </c>
      <c r="C21731" s="25" t="n">
        <f aca="false">IF(C21726&gt;0,MIN(C21716,C21726*$C$21712),0)</f>
        <v>0</v>
      </c>
    </row>
    <row r="21732" customFormat="false" ht="15" hidden="false" customHeight="false" outlineLevel="0" collapsed="false">
      <c r="A21732" s="5" t="s">
        <v>460</v>
      </c>
      <c r="C21732" s="25" t="n">
        <f aca="false">IF(C21727&gt;0,MIN(C21717,C21727*$C$21712),0)</f>
        <v>0</v>
      </c>
    </row>
    <row r="21733" customFormat="false" ht="15" hidden="false" customHeight="false" outlineLevel="0" collapsed="false">
      <c r="A21733" s="23" t="s">
        <v>464</v>
      </c>
      <c r="B21733" s="24"/>
      <c r="C21733" s="24"/>
      <c r="D21733" s="24"/>
      <c r="E21733" s="24"/>
      <c r="F21733" s="24"/>
      <c r="G21733" s="24"/>
      <c r="H21733" s="24"/>
      <c r="I21733" s="24"/>
      <c r="J21733" s="24"/>
      <c r="K21733" s="24"/>
    </row>
    <row r="21734" customFormat="false" ht="15" hidden="false" customHeight="false" outlineLevel="0" collapsed="false">
      <c r="A21734" s="5" t="s">
        <v>457</v>
      </c>
      <c r="C21734" s="25" t="n">
        <f aca="false">IF(C21724&gt;0,C21714-C21729,0)</f>
        <v>0</v>
      </c>
      <c r="G21734" s="20" t="n">
        <f aca="false">IF(AND(G21583=1,G21580=1),1,0)</f>
        <v>0</v>
      </c>
      <c r="H21734" s="20" t="n">
        <f aca="false">IF(G21734=1,1,IF(AND(H21583=1,H21580=1),1,0))</f>
        <v>0</v>
      </c>
      <c r="I21734" s="20" t="n">
        <f aca="false">IF(H21734=1,1,IF(AND(I21583=1,I21580=1),1,0))</f>
        <v>0</v>
      </c>
      <c r="J21734" s="20" t="n">
        <f aca="false">IF(I21734=1,1,IF(AND(J21583=1,J21580=1),1,0))</f>
        <v>0</v>
      </c>
      <c r="K21734" s="20" t="n">
        <f aca="false">IF(J21734=1,1,IF(AND(K21583=1,K21580=1),1,0))</f>
        <v>0</v>
      </c>
    </row>
    <row r="21735" customFormat="false" ht="15" hidden="false" customHeight="false" outlineLevel="0" collapsed="false">
      <c r="A21735" s="5" t="s">
        <v>458</v>
      </c>
      <c r="C21735" s="25" t="n">
        <f aca="false">IF(C21725&gt;0,C21715-C21730,0)</f>
        <v>0</v>
      </c>
      <c r="G21735" s="20" t="n">
        <f aca="false">IF(AND(G21596=1,G21580=1),1,0)</f>
        <v>0</v>
      </c>
      <c r="H21735" s="20" t="n">
        <f aca="false">IF(G21735=1,1,IF(AND(H21596=1,H21580=1),1,0))</f>
        <v>0</v>
      </c>
      <c r="I21735" s="20" t="n">
        <f aca="false">IF(H21735=1,1,IF(AND(I21596=1,I21580=1),1,0))</f>
        <v>0</v>
      </c>
      <c r="J21735" s="20" t="n">
        <f aca="false">IF(I21735=1,1,IF(AND(J21596=1,J21580=1),1,0))</f>
        <v>0</v>
      </c>
      <c r="K21735" s="20" t="n">
        <f aca="false">IF(J21735=1,1,IF(AND(K21596=1,K21580=1),1,0))</f>
        <v>0</v>
      </c>
    </row>
    <row r="21736" customFormat="false" ht="15" hidden="false" customHeight="false" outlineLevel="0" collapsed="false">
      <c r="A21736" s="5" t="s">
        <v>459</v>
      </c>
      <c r="C21736" s="25" t="n">
        <f aca="false">IF(C21726&gt;0,C21716-C21731,0)</f>
        <v>0</v>
      </c>
      <c r="G21736" s="20" t="n">
        <f aca="false">IF(AND(G21609=1,G21580=1),1,0)</f>
        <v>0</v>
      </c>
      <c r="H21736" s="20" t="n">
        <f aca="false">IF(G21736=1,1,IF(AND(H21609=1,H21580=1),1,0))</f>
        <v>0</v>
      </c>
      <c r="I21736" s="20" t="n">
        <f aca="false">IF(H21736=1,1,IF(AND(I21609=1,I21580=1),1,0))</f>
        <v>0</v>
      </c>
      <c r="J21736" s="20" t="n">
        <f aca="false">IF(I21736=1,1,IF(AND(J21609=1,J21580=1),1,0))</f>
        <v>0</v>
      </c>
      <c r="K21736" s="20" t="n">
        <f aca="false">IF(J21736=1,1,IF(AND(K21609=1,K21580=1),1,0))</f>
        <v>0</v>
      </c>
    </row>
    <row r="21737" customFormat="false" ht="15" hidden="false" customHeight="false" outlineLevel="0" collapsed="false">
      <c r="A21737" s="5" t="s">
        <v>460</v>
      </c>
      <c r="C21737" s="25" t="n">
        <f aca="false">IF(C21727&gt;0,C21717-C21732,0)</f>
        <v>0</v>
      </c>
      <c r="G21737" s="20" t="n">
        <f aca="false">IF(AND(G21622=1,G21580=1),1,0)</f>
        <v>0</v>
      </c>
      <c r="H21737" s="20" t="n">
        <f aca="false">IF(G21737=1,1,IF(AND(H21622=1,H21580=1),1,0))</f>
        <v>0</v>
      </c>
      <c r="I21737" s="20" t="n">
        <f aca="false">IF(H21737=1,1,IF(AND(I21622=1,I21580=1),1,0))</f>
        <v>0</v>
      </c>
      <c r="J21737" s="20" t="n">
        <f aca="false">IF(I21737=1,1,IF(AND(J21622=1,J21580=1),1,0))</f>
        <v>0</v>
      </c>
      <c r="K21737" s="20" t="n">
        <f aca="false">IF(J21737=1,1,IF(AND(K21622=1,K21580=1),1,0))</f>
        <v>0</v>
      </c>
    </row>
    <row r="21738" customFormat="false" ht="15" hidden="false" customHeight="false" outlineLevel="0" collapsed="false">
      <c r="A21738" s="23" t="s">
        <v>465</v>
      </c>
      <c r="B21738" s="24"/>
      <c r="C21738" s="24"/>
      <c r="D21738" s="24"/>
      <c r="E21738" s="24"/>
      <c r="F21738" s="24"/>
      <c r="G21738" s="24"/>
      <c r="H21738" s="24"/>
      <c r="I21738" s="24"/>
      <c r="J21738" s="24"/>
      <c r="K21738" s="24"/>
    </row>
    <row r="21739" customFormat="false" ht="15" hidden="false" customHeight="false" outlineLevel="0" collapsed="false">
      <c r="A21739" s="5" t="s">
        <v>457</v>
      </c>
      <c r="C21739" s="25" t="n">
        <f aca="false">IF(C21724&gt;0,C21734,C21714)</f>
        <v>241.5743372</v>
      </c>
    </row>
    <row r="21740" customFormat="false" ht="15" hidden="false" customHeight="false" outlineLevel="0" collapsed="false">
      <c r="A21740" s="5" t="s">
        <v>458</v>
      </c>
      <c r="C21740" s="25" t="n">
        <f aca="false">IF(C21725&gt;0,C21735,C21715)</f>
        <v>526.2257</v>
      </c>
    </row>
    <row r="21741" customFormat="false" ht="15" hidden="false" customHeight="false" outlineLevel="0" collapsed="false">
      <c r="A21741" s="5" t="s">
        <v>459</v>
      </c>
      <c r="C21741" s="25" t="n">
        <f aca="false">IF(C21726&gt;0,C21736,C21716)</f>
        <v>256.875</v>
      </c>
    </row>
    <row r="21742" customFormat="false" ht="15" hidden="false" customHeight="false" outlineLevel="0" collapsed="false">
      <c r="A21742" s="5" t="s">
        <v>460</v>
      </c>
      <c r="C21742" s="25" t="n">
        <f aca="false">IF(C21727&gt;0,C21737,C21717)</f>
        <v>305.625</v>
      </c>
    </row>
    <row r="21743" customFormat="false" ht="15" hidden="false" customHeight="false" outlineLevel="0" collapsed="false">
      <c r="A21743" s="23" t="s">
        <v>466</v>
      </c>
      <c r="B21743" s="24"/>
      <c r="C21743" s="24"/>
      <c r="D21743" s="24"/>
      <c r="E21743" s="24"/>
      <c r="F21743" s="24"/>
      <c r="G21743" s="24"/>
      <c r="H21743" s="24"/>
      <c r="I21743" s="24"/>
      <c r="J21743" s="24"/>
      <c r="K21743" s="24"/>
    </row>
    <row r="21744" customFormat="false" ht="15" hidden="false" customHeight="false" outlineLevel="0" collapsed="false">
      <c r="A21744" s="5" t="s">
        <v>457</v>
      </c>
      <c r="C21744" s="20" t="n">
        <f aca="false">IF(C21724&gt;0,Assumptions!$C$17,C21719)</f>
        <v>1</v>
      </c>
    </row>
    <row r="21745" customFormat="false" ht="15" hidden="false" customHeight="false" outlineLevel="0" collapsed="false">
      <c r="A21745" s="5" t="s">
        <v>458</v>
      </c>
      <c r="C21745" s="20" t="n">
        <f aca="false">IF(C21725&gt;0,Assumptions!$C$17,C21720)</f>
        <v>2</v>
      </c>
    </row>
    <row r="21746" customFormat="false" ht="15" hidden="false" customHeight="false" outlineLevel="0" collapsed="false">
      <c r="A21746" s="5" t="s">
        <v>459</v>
      </c>
      <c r="C21746" s="20" t="n">
        <f aca="false">IF(C21726&gt;0,Assumptions!$C$17,C21721)</f>
        <v>3</v>
      </c>
    </row>
    <row r="21747" customFormat="false" ht="15" hidden="false" customHeight="false" outlineLevel="0" collapsed="false">
      <c r="A21747" s="5" t="s">
        <v>460</v>
      </c>
      <c r="C21747" s="20" t="n">
        <f aca="false">IF(C21727&gt;0,Assumptions!$C$17,C21722)</f>
        <v>4</v>
      </c>
    </row>
    <row r="21748" customFormat="false" ht="15" hidden="false" customHeight="false" outlineLevel="0" collapsed="false">
      <c r="A21748" s="23" t="s">
        <v>467</v>
      </c>
      <c r="B21748" s="24"/>
      <c r="C21748" s="24"/>
      <c r="D21748" s="24"/>
      <c r="E21748" s="24"/>
      <c r="F21748" s="24"/>
      <c r="G21748" s="24"/>
      <c r="H21748" s="24"/>
      <c r="I21748" s="24"/>
      <c r="J21748" s="24"/>
      <c r="K21748" s="24"/>
    </row>
    <row r="21749" customFormat="false" ht="15" hidden="false" customHeight="false" outlineLevel="0" collapsed="false">
      <c r="A21749" s="5" t="s">
        <v>457</v>
      </c>
      <c r="C21749" s="25" t="n">
        <f aca="false">SUMPRODUCT(($C$21744:$C$21747&lt;C21744)*$C$21739:$C$21742)</f>
        <v>0</v>
      </c>
    </row>
    <row r="21750" customFormat="false" ht="15" hidden="false" customHeight="false" outlineLevel="0" collapsed="false">
      <c r="A21750" s="5" t="s">
        <v>458</v>
      </c>
      <c r="C21750" s="25" t="n">
        <f aca="false">SUMPRODUCT(($C$21744:$C$21747&lt;C21745)*$C$21739:$C$21742)</f>
        <v>241.5743372</v>
      </c>
    </row>
    <row r="21751" customFormat="false" ht="15" hidden="false" customHeight="false" outlineLevel="0" collapsed="false">
      <c r="A21751" s="5" t="s">
        <v>459</v>
      </c>
      <c r="C21751" s="25" t="n">
        <f aca="false">SUMPRODUCT(($C$21744:$C$21747&lt;C21746)*$C$21739:$C$21742)</f>
        <v>767.8000372</v>
      </c>
    </row>
    <row r="21752" customFormat="false" ht="15" hidden="false" customHeight="false" outlineLevel="0" collapsed="false">
      <c r="A21752" s="5" t="s">
        <v>460</v>
      </c>
      <c r="C21752" s="25" t="n">
        <f aca="false">SUMPRODUCT(($C$21744:$C$21747&lt;C21747)*$C$21739:$C$21742)</f>
        <v>1024.6750372</v>
      </c>
    </row>
    <row r="21753" customFormat="false" ht="15" hidden="false" customHeight="false" outlineLevel="0" collapsed="false">
      <c r="A21753" s="23" t="s">
        <v>468</v>
      </c>
      <c r="B21753" s="24"/>
      <c r="C21753" s="24"/>
      <c r="D21753" s="24"/>
      <c r="E21753" s="24"/>
      <c r="F21753" s="24"/>
      <c r="G21753" s="24"/>
      <c r="H21753" s="24"/>
      <c r="I21753" s="24"/>
      <c r="J21753" s="24"/>
      <c r="K21753" s="24"/>
    </row>
    <row r="21754" customFormat="false" ht="15" hidden="false" customHeight="false" outlineLevel="0" collapsed="false">
      <c r="A21754" s="5" t="s">
        <v>457</v>
      </c>
      <c r="C21754" s="25" t="n">
        <f aca="false">SUMPRODUCT(($C$21744:$C$21747=C21744)*$C$21739:$C$21742)</f>
        <v>241.5743372</v>
      </c>
    </row>
    <row r="21755" customFormat="false" ht="15" hidden="false" customHeight="false" outlineLevel="0" collapsed="false">
      <c r="A21755" s="5" t="s">
        <v>458</v>
      </c>
      <c r="C21755" s="25" t="n">
        <f aca="false">SUMPRODUCT(($C$21744:$C$21747=C21745)*$C$21739:$C$21742)</f>
        <v>526.2257</v>
      </c>
    </row>
    <row r="21756" customFormat="false" ht="15" hidden="false" customHeight="false" outlineLevel="0" collapsed="false">
      <c r="A21756" s="5" t="s">
        <v>459</v>
      </c>
      <c r="C21756" s="25" t="n">
        <f aca="false">SUMPRODUCT(($C$21744:$C$21747=C21746)*$C$21739:$C$21742)</f>
        <v>256.875</v>
      </c>
    </row>
    <row r="21757" customFormat="false" ht="15" hidden="false" customHeight="false" outlineLevel="0" collapsed="false">
      <c r="A21757" s="5" t="s">
        <v>460</v>
      </c>
      <c r="C21757" s="25" t="n">
        <f aca="false">SUMPRODUCT(($C$21744:$C$21747=C21747)*$C$21739:$C$21742)</f>
        <v>305.625</v>
      </c>
    </row>
    <row r="21758" customFormat="false" ht="15" hidden="false" customHeight="false" outlineLevel="0" collapsed="false">
      <c r="A21758" s="23" t="s">
        <v>469</v>
      </c>
      <c r="B21758" s="24"/>
      <c r="C21758" s="24"/>
      <c r="D21758" s="24"/>
      <c r="E21758" s="24"/>
      <c r="F21758" s="24"/>
      <c r="G21758" s="24"/>
      <c r="H21758" s="24"/>
      <c r="I21758" s="24"/>
      <c r="J21758" s="24"/>
      <c r="K21758" s="24"/>
    </row>
    <row r="21759" customFormat="false" ht="15" hidden="false" customHeight="false" outlineLevel="0" collapsed="false">
      <c r="A21759" s="5" t="s">
        <v>457</v>
      </c>
      <c r="C21759" s="25" t="n">
        <f aca="false">IF(C21754=0,0,C21739/C21754*MAX(0,MIN(C21754,$C$21712-SUM($C$21729:$C$21732)-C21749)))</f>
        <v>241.5743372</v>
      </c>
    </row>
    <row r="21760" customFormat="false" ht="15" hidden="false" customHeight="false" outlineLevel="0" collapsed="false">
      <c r="A21760" s="5" t="s">
        <v>458</v>
      </c>
      <c r="C21760" s="25" t="n">
        <f aca="false">IF(C21755=0,0,C21740/C21755*MAX(0,MIN(C21755,$C$21712-SUM($C$21729:$C$21732)-C21750)))</f>
        <v>147.8016628</v>
      </c>
    </row>
    <row r="21761" customFormat="false" ht="15" hidden="false" customHeight="false" outlineLevel="0" collapsed="false">
      <c r="A21761" s="5" t="s">
        <v>459</v>
      </c>
      <c r="C21761" s="25" t="n">
        <f aca="false">IF(C21756=0,0,C21741/C21756*MAX(0,MIN(C21756,$C$21712-SUM($C$21729:$C$21732)-C21751)))</f>
        <v>0</v>
      </c>
    </row>
    <row r="21762" customFormat="false" ht="15" hidden="false" customHeight="false" outlineLevel="0" collapsed="false">
      <c r="A21762" s="5" t="s">
        <v>460</v>
      </c>
      <c r="C21762" s="25" t="n">
        <f aca="false">IF(C21757=0,0,C21742/C21757*MAX(0,MIN(C21757,$C$21712-SUM($C$21729:$C$21732)-C21752)))</f>
        <v>0</v>
      </c>
    </row>
    <row r="21763" customFormat="false" ht="15" hidden="false" customHeight="false" outlineLevel="0" collapsed="false">
      <c r="A21763" s="23" t="s">
        <v>470</v>
      </c>
      <c r="B21763" s="24"/>
      <c r="C21763" s="24"/>
      <c r="D21763" s="24"/>
      <c r="E21763" s="24"/>
      <c r="F21763" s="24"/>
      <c r="G21763" s="24"/>
      <c r="H21763" s="24"/>
      <c r="I21763" s="24"/>
      <c r="J21763" s="24"/>
      <c r="K21763" s="24"/>
    </row>
    <row r="21764" customFormat="false" ht="15" hidden="false" customHeight="false" outlineLevel="0" collapsed="false">
      <c r="A21764" s="2" t="s">
        <v>457</v>
      </c>
      <c r="C21764" s="16" t="n">
        <f aca="false">C21729+C21759</f>
        <v>241.5743372</v>
      </c>
    </row>
    <row r="21765" customFormat="false" ht="15" hidden="false" customHeight="false" outlineLevel="0" collapsed="false">
      <c r="A21765" s="2" t="s">
        <v>458</v>
      </c>
      <c r="C21765" s="16" t="n">
        <f aca="false">C21730+C21760</f>
        <v>147.8016628</v>
      </c>
    </row>
    <row r="21766" customFormat="false" ht="15" hidden="false" customHeight="false" outlineLevel="0" collapsed="false">
      <c r="A21766" s="2" t="s">
        <v>459</v>
      </c>
      <c r="C21766" s="16" t="n">
        <f aca="false">C21731+C21761</f>
        <v>0</v>
      </c>
    </row>
    <row r="21767" customFormat="false" ht="15" hidden="false" customHeight="false" outlineLevel="0" collapsed="false">
      <c r="A21767" s="2" t="s">
        <v>460</v>
      </c>
      <c r="C21767" s="16" t="n">
        <f aca="false">C21732+C21762</f>
        <v>0</v>
      </c>
    </row>
    <row r="21768" customFormat="false" ht="15" hidden="false" customHeight="false" outlineLevel="0" collapsed="false">
      <c r="A21768" s="23" t="s">
        <v>471</v>
      </c>
      <c r="B21768" s="24"/>
      <c r="C21768" s="24"/>
      <c r="D21768" s="24"/>
      <c r="E21768" s="24"/>
      <c r="F21768" s="24"/>
      <c r="G21768" s="24"/>
      <c r="H21768" s="24"/>
      <c r="I21768" s="24"/>
      <c r="J21768" s="24"/>
      <c r="K21768" s="24"/>
    </row>
    <row r="21769" customFormat="false" ht="15" hidden="false" customHeight="false" outlineLevel="0" collapsed="false">
      <c r="A21769" s="5" t="s">
        <v>457</v>
      </c>
      <c r="C21769" s="21" t="n">
        <f aca="false">IF(C21714=0,1,C21764/C21714)</f>
        <v>1</v>
      </c>
    </row>
    <row r="21770" customFormat="false" ht="15" hidden="false" customHeight="false" outlineLevel="0" collapsed="false">
      <c r="A21770" s="5" t="s">
        <v>458</v>
      </c>
      <c r="C21770" s="21" t="n">
        <f aca="false">IF(C21715=0,1,C21765/C21715)</f>
        <v>0.280871236049474</v>
      </c>
    </row>
    <row r="21771" customFormat="false" ht="15" hidden="false" customHeight="false" outlineLevel="0" collapsed="false">
      <c r="A21771" s="5" t="s">
        <v>459</v>
      </c>
      <c r="C21771" s="21" t="n">
        <f aca="false">IF(C21716=0,1,C21766/C21716)</f>
        <v>0</v>
      </c>
    </row>
    <row r="21772" customFormat="false" ht="15" hidden="false" customHeight="false" outlineLevel="0" collapsed="false">
      <c r="A21772" s="5" t="s">
        <v>460</v>
      </c>
      <c r="C21772" s="21" t="n">
        <f aca="false">IF(C21717=0,1,C21767/C21717)</f>
        <v>0</v>
      </c>
    </row>
    <row r="21773" customFormat="false" ht="15" hidden="false" customHeight="false" outlineLevel="0" collapsed="false">
      <c r="A21773" s="23" t="s">
        <v>472</v>
      </c>
      <c r="B21773" s="24"/>
      <c r="C21773" s="24"/>
      <c r="D21773" s="24"/>
      <c r="E21773" s="24"/>
      <c r="F21773" s="24"/>
      <c r="G21773" s="24"/>
      <c r="H21773" s="24"/>
      <c r="I21773" s="24"/>
      <c r="J21773" s="24"/>
      <c r="K21773" s="24"/>
    </row>
    <row r="21774" customFormat="false" ht="15" hidden="false" customHeight="false" outlineLevel="0" collapsed="false">
      <c r="A21774" s="5" t="s">
        <v>457</v>
      </c>
      <c r="C21774" s="25" t="n">
        <f aca="false">C21714-C21764</f>
        <v>0</v>
      </c>
    </row>
    <row r="21775" customFormat="false" ht="15" hidden="false" customHeight="false" outlineLevel="0" collapsed="false">
      <c r="A21775" s="5" t="s">
        <v>458</v>
      </c>
      <c r="C21775" s="25" t="n">
        <f aca="false">C21715-C21765</f>
        <v>378.4240372</v>
      </c>
    </row>
    <row r="21776" customFormat="false" ht="15" hidden="false" customHeight="false" outlineLevel="0" collapsed="false">
      <c r="A21776" s="5" t="s">
        <v>459</v>
      </c>
      <c r="C21776" s="25" t="n">
        <f aca="false">C21716-C21766</f>
        <v>256.875</v>
      </c>
    </row>
    <row r="21777" customFormat="false" ht="15" hidden="false" customHeight="false" outlineLevel="0" collapsed="false">
      <c r="A21777" s="5" t="s">
        <v>460</v>
      </c>
      <c r="C21777" s="25" t="n">
        <f aca="false">C21717-C21767</f>
        <v>305.625</v>
      </c>
    </row>
    <row r="21778" customFormat="false" ht="15" hidden="false" customHeight="false" outlineLevel="0" collapsed="false">
      <c r="A21778" s="23" t="s">
        <v>473</v>
      </c>
      <c r="B21778" s="24"/>
      <c r="C21778" s="24"/>
      <c r="D21778" s="24"/>
      <c r="E21778" s="24"/>
      <c r="F21778" s="24"/>
      <c r="G21778" s="24"/>
      <c r="H21778" s="24"/>
      <c r="I21778" s="24"/>
      <c r="J21778" s="24"/>
      <c r="K21778" s="24"/>
    </row>
    <row r="21779" customFormat="false" ht="15" hidden="false" customHeight="false" outlineLevel="0" collapsed="false">
      <c r="A21779" s="5" t="s">
        <v>457</v>
      </c>
      <c r="C21779" s="21" t="n">
        <f aca="false">IF(C21714=0,0,C21774/C21714)</f>
        <v>0</v>
      </c>
    </row>
    <row r="21780" customFormat="false" ht="15" hidden="false" customHeight="false" outlineLevel="0" collapsed="false">
      <c r="A21780" s="5" t="s">
        <v>458</v>
      </c>
      <c r="C21780" s="21" t="n">
        <f aca="false">IF(C21715=0,0,C21775/C21715)</f>
        <v>0.719128763950526</v>
      </c>
    </row>
    <row r="21781" customFormat="false" ht="15" hidden="false" customHeight="false" outlineLevel="0" collapsed="false">
      <c r="A21781" s="5" t="s">
        <v>459</v>
      </c>
      <c r="C21781" s="21" t="n">
        <f aca="false">IF(C21716=0,0,C21776/C21716)</f>
        <v>1</v>
      </c>
    </row>
    <row r="21782" customFormat="false" ht="15" hidden="false" customHeight="false" outlineLevel="0" collapsed="false">
      <c r="A21782" s="5" t="s">
        <v>460</v>
      </c>
      <c r="C21782" s="21" t="n">
        <f aca="false">IF(C21717=0,0,C21777/C21717)</f>
        <v>1</v>
      </c>
    </row>
    <row r="21783" customFormat="false" ht="15" hidden="false" customHeight="false" outlineLevel="0" collapsed="false">
      <c r="A21783" s="2" t="s">
        <v>474</v>
      </c>
      <c r="C21783" s="16" t="n">
        <f aca="false">MAX(0,$C$21712-SUM($C$21729:$C$21732)-SUM($C$21739:$C$21742))</f>
        <v>0</v>
      </c>
    </row>
    <row r="21784" customFormat="false" ht="15" hidden="false" customHeight="false" outlineLevel="0" collapsed="false">
      <c r="A21784" s="5" t="s">
        <v>475</v>
      </c>
      <c r="C21784" s="25" t="n">
        <f aca="false">SUM($C$21764:$C$21767)+C21783+C21711-C21710</f>
        <v>0</v>
      </c>
    </row>
    <row r="21786" customFormat="false" ht="15" hidden="false" customHeight="false" outlineLevel="0" collapsed="false">
      <c r="A21786" s="23" t="s">
        <v>478</v>
      </c>
      <c r="B21786" s="24"/>
      <c r="C21786" s="24"/>
      <c r="D21786" s="24"/>
      <c r="E21786" s="24"/>
      <c r="F21786" s="24"/>
      <c r="G21786" s="24"/>
      <c r="H21786" s="24"/>
      <c r="I21786" s="24"/>
      <c r="J21786" s="24"/>
      <c r="K21786" s="24"/>
    </row>
    <row r="21787" customFormat="false" ht="15" hidden="false" customHeight="false" outlineLevel="0" collapsed="false">
      <c r="A21787" s="5" t="s">
        <v>479</v>
      </c>
      <c r="C21787" s="26" t="n">
        <f aca="false">Assumptions!$C$30</f>
        <v>2</v>
      </c>
    </row>
    <row r="21788" customFormat="false" ht="15" hidden="false" customHeight="false" outlineLevel="0" collapsed="false">
      <c r="A21788" s="5" t="s">
        <v>480</v>
      </c>
      <c r="C21788" s="28" t="n">
        <f aca="false">Assumptions!$C$31</f>
        <v>100</v>
      </c>
    </row>
    <row r="21789" customFormat="false" ht="15" hidden="false" customHeight="false" outlineLevel="0" collapsed="false">
      <c r="A21789" s="5" t="s">
        <v>481</v>
      </c>
      <c r="C21789" s="39" t="n">
        <f aca="false">Assumptions!$C$32</f>
        <v>78</v>
      </c>
    </row>
    <row r="21790" customFormat="false" ht="15" hidden="false" customHeight="false" outlineLevel="0" collapsed="false">
      <c r="A21790" s="5" t="s">
        <v>482</v>
      </c>
      <c r="C21790" s="25" t="n">
        <f aca="false">C21788*C21789/100*(1+Assumptions!$C$33)</f>
        <v>78.39</v>
      </c>
    </row>
    <row r="21791" customFormat="false" ht="15" hidden="false" customHeight="false" outlineLevel="0" collapsed="false">
      <c r="A21791" s="5" t="s">
        <v>483</v>
      </c>
      <c r="C21791" s="26" t="n">
        <f aca="false">Assumptions!$C$34</f>
        <v>2</v>
      </c>
    </row>
    <row r="21792" customFormat="false" ht="15" hidden="false" customHeight="false" outlineLevel="0" collapsed="false">
      <c r="A21792" s="5" t="s">
        <v>484</v>
      </c>
      <c r="C21792" s="20" t="n">
        <f aca="false">IF(C21703=1,SUMPRODUCT($G$21671:$K$21671,$G$21547:$K$21547),0)</f>
        <v>2</v>
      </c>
    </row>
    <row r="21793" customFormat="false" ht="15" hidden="false" customHeight="false" outlineLevel="0" collapsed="false">
      <c r="A21793" s="5" t="s">
        <v>485</v>
      </c>
      <c r="C21793" s="21" t="n">
        <f aca="false">IFERROR(C21788/CHOOSE(C21787,SUMPRODUCT($G$21702:$K$21702,$G$21593:$K$21593),SUMPRODUCT($G$21702:$K$21702,$G$21606:$K$21606),SUMPRODUCT($G$21702:$K$21702,$G$21619:$K$21619),SUMPRODUCT($G$21702:$K$21702,$G$21632:$K$21632)),0)</f>
        <v>0.196232339089482</v>
      </c>
    </row>
    <row r="21794" customFormat="false" ht="15" hidden="false" customHeight="false" outlineLevel="0" collapsed="false">
      <c r="A21794" s="5" t="s">
        <v>486</v>
      </c>
      <c r="C21794" s="25" t="n">
        <f aca="false">CHOOSE(C21787,C21764,C21765,C21766,C21767)*C21793</f>
        <v>29.0034660125589</v>
      </c>
    </row>
    <row r="21795" customFormat="false" ht="15" hidden="false" customHeight="false" outlineLevel="0" collapsed="false">
      <c r="A21795" s="5" t="s">
        <v>487</v>
      </c>
      <c r="C21795" s="21" t="n">
        <f aca="false">CHOOSE(C21787,C21769,C21770,C21771,C21772)</f>
        <v>0.280871236049474</v>
      </c>
    </row>
    <row r="21796" customFormat="false" ht="15" hidden="false" customHeight="false" outlineLevel="0" collapsed="false">
      <c r="A21796" s="5" t="s">
        <v>488</v>
      </c>
      <c r="C21796" s="20" t="n">
        <f aca="false">IF(C21703=1,C21792,C21791)</f>
        <v>2</v>
      </c>
    </row>
    <row r="21797" customFormat="false" ht="15" hidden="false" customHeight="false" outlineLevel="0" collapsed="false">
      <c r="A21797" s="5" t="s">
        <v>489</v>
      </c>
      <c r="C21797" s="33" t="n">
        <f aca="false">CHOOSE($C$21539,Assumptions!$C$77,Assumptions!$C$96,Assumptions!$C$115)</f>
        <v>70</v>
      </c>
    </row>
    <row r="21798" customFormat="false" ht="15" hidden="false" customHeight="false" outlineLevel="0" collapsed="false">
      <c r="A21798" s="5" t="s">
        <v>490</v>
      </c>
      <c r="C21798" s="25" t="n">
        <f aca="false">INDEX($G$21556:$K$21556,C21791)*CHOOSE($C$21539,Assumptions!$C$76,Assumptions!$C$95,Assumptions!$C$114)+MAX(0,INDEX($G$21668:$K$21668,C21791))</f>
        <v>55.97928</v>
      </c>
    </row>
    <row r="21799" customFormat="false" ht="15" hidden="false" customHeight="false" outlineLevel="0" collapsed="false">
      <c r="A21799" s="23" t="s">
        <v>491</v>
      </c>
      <c r="B21799" s="24"/>
      <c r="C21799" s="24"/>
      <c r="D21799" s="24"/>
      <c r="E21799" s="24"/>
      <c r="F21799" s="24"/>
      <c r="G21799" s="24"/>
      <c r="H21799" s="24"/>
      <c r="I21799" s="24"/>
      <c r="J21799" s="24"/>
      <c r="K21799" s="24"/>
    </row>
    <row r="21800" customFormat="false" ht="15" hidden="false" customHeight="false" outlineLevel="0" collapsed="false">
      <c r="A21800" s="5" t="s">
        <v>457</v>
      </c>
      <c r="C21800" s="25" t="n">
        <f aca="false">INDEX($G$21593:$K$21593,C21791)</f>
        <v>234.9088</v>
      </c>
    </row>
    <row r="21801" customFormat="false" ht="15" hidden="false" customHeight="false" outlineLevel="0" collapsed="false">
      <c r="A21801" s="5" t="s">
        <v>458</v>
      </c>
      <c r="C21801" s="25" t="n">
        <f aca="false">INDEX($G$21606:$K$21606,C21791)</f>
        <v>509.6</v>
      </c>
    </row>
    <row r="21802" customFormat="false" ht="15" hidden="false" customHeight="false" outlineLevel="0" collapsed="false">
      <c r="A21802" s="5" t="s">
        <v>459</v>
      </c>
      <c r="C21802" s="25" t="n">
        <f aca="false">INDEX($G$21619:$K$21619,C21791)</f>
        <v>250</v>
      </c>
    </row>
    <row r="21803" customFormat="false" ht="15" hidden="false" customHeight="false" outlineLevel="0" collapsed="false">
      <c r="A21803" s="5" t="s">
        <v>460</v>
      </c>
      <c r="C21803" s="25" t="n">
        <f aca="false">INDEX($G$21632:$K$21632,C21791)</f>
        <v>300</v>
      </c>
    </row>
    <row r="21804" customFormat="false" ht="15" hidden="false" customHeight="false" outlineLevel="0" collapsed="false">
      <c r="A21804" s="23" t="s">
        <v>461</v>
      </c>
      <c r="B21804" s="24"/>
      <c r="C21804" s="24"/>
      <c r="D21804" s="24"/>
      <c r="E21804" s="24"/>
      <c r="F21804" s="24"/>
      <c r="G21804" s="24"/>
      <c r="H21804" s="24"/>
      <c r="I21804" s="24"/>
      <c r="J21804" s="24"/>
      <c r="K21804" s="24"/>
    </row>
    <row r="21805" customFormat="false" ht="15" hidden="false" customHeight="false" outlineLevel="0" collapsed="false">
      <c r="A21805" s="5" t="s">
        <v>457</v>
      </c>
      <c r="C21805" s="26" t="n">
        <f aca="false">Assumptions!$M$53</f>
        <v>1</v>
      </c>
    </row>
    <row r="21806" customFormat="false" ht="15" hidden="false" customHeight="false" outlineLevel="0" collapsed="false">
      <c r="A21806" s="5" t="s">
        <v>458</v>
      </c>
      <c r="C21806" s="26" t="n">
        <f aca="false">Assumptions!$M$54</f>
        <v>2</v>
      </c>
    </row>
    <row r="21807" customFormat="false" ht="15" hidden="false" customHeight="false" outlineLevel="0" collapsed="false">
      <c r="A21807" s="5" t="s">
        <v>459</v>
      </c>
      <c r="C21807" s="26" t="n">
        <f aca="false">Assumptions!$M$55</f>
        <v>3</v>
      </c>
    </row>
    <row r="21808" customFormat="false" ht="15" hidden="false" customHeight="false" outlineLevel="0" collapsed="false">
      <c r="A21808" s="5" t="s">
        <v>460</v>
      </c>
      <c r="C21808" s="26" t="n">
        <f aca="false">Assumptions!$M$56</f>
        <v>4</v>
      </c>
    </row>
    <row r="21809" customFormat="false" ht="15" hidden="false" customHeight="false" outlineLevel="0" collapsed="false">
      <c r="A21809" s="23" t="s">
        <v>462</v>
      </c>
      <c r="B21809" s="24"/>
      <c r="C21809" s="24"/>
      <c r="D21809" s="24"/>
      <c r="E21809" s="24"/>
      <c r="F21809" s="24"/>
      <c r="G21809" s="24"/>
      <c r="H21809" s="24"/>
      <c r="I21809" s="24"/>
      <c r="J21809" s="24"/>
      <c r="K21809" s="24"/>
    </row>
    <row r="21810" customFormat="false" ht="15" hidden="false" customHeight="false" outlineLevel="0" collapsed="false">
      <c r="A21810" s="5" t="s">
        <v>457</v>
      </c>
      <c r="C21810" s="34" t="n">
        <f aca="false">Assumptions!$Q$53</f>
        <v>0</v>
      </c>
    </row>
    <row r="21811" customFormat="false" ht="15" hidden="false" customHeight="false" outlineLevel="0" collapsed="false">
      <c r="A21811" s="5" t="s">
        <v>458</v>
      </c>
      <c r="C21811" s="34" t="n">
        <f aca="false">Assumptions!$Q$54</f>
        <v>0</v>
      </c>
    </row>
    <row r="21812" customFormat="false" ht="15" hidden="false" customHeight="false" outlineLevel="0" collapsed="false">
      <c r="A21812" s="5" t="s">
        <v>459</v>
      </c>
      <c r="C21812" s="34" t="n">
        <f aca="false">Assumptions!$Q$55</f>
        <v>0</v>
      </c>
    </row>
    <row r="21813" customFormat="false" ht="15" hidden="false" customHeight="false" outlineLevel="0" collapsed="false">
      <c r="A21813" s="5" t="s">
        <v>460</v>
      </c>
      <c r="C21813" s="34" t="n">
        <f aca="false">Assumptions!$Q$56</f>
        <v>0</v>
      </c>
    </row>
    <row r="21814" customFormat="false" ht="15" hidden="false" customHeight="false" outlineLevel="0" collapsed="false">
      <c r="A21814" s="23" t="s">
        <v>463</v>
      </c>
      <c r="B21814" s="24"/>
      <c r="C21814" s="24"/>
      <c r="D21814" s="24"/>
      <c r="E21814" s="24"/>
      <c r="F21814" s="24"/>
      <c r="G21814" s="24"/>
      <c r="H21814" s="24"/>
      <c r="I21814" s="24"/>
      <c r="J21814" s="24"/>
      <c r="K21814" s="24"/>
    </row>
    <row r="21815" customFormat="false" ht="15" hidden="false" customHeight="false" outlineLevel="0" collapsed="false">
      <c r="A21815" s="5" t="s">
        <v>457</v>
      </c>
      <c r="C21815" s="25" t="n">
        <f aca="false">IF(C21810&gt;0,MIN(C21800,C21810*$C$21798),0)</f>
        <v>0</v>
      </c>
    </row>
    <row r="21816" customFormat="false" ht="15" hidden="false" customHeight="false" outlineLevel="0" collapsed="false">
      <c r="A21816" s="5" t="s">
        <v>458</v>
      </c>
      <c r="C21816" s="25" t="n">
        <f aca="false">IF(C21811&gt;0,MIN(C21801,C21811*$C$21798),0)</f>
        <v>0</v>
      </c>
    </row>
    <row r="21817" customFormat="false" ht="15" hidden="false" customHeight="false" outlineLevel="0" collapsed="false">
      <c r="A21817" s="5" t="s">
        <v>459</v>
      </c>
      <c r="C21817" s="25" t="n">
        <f aca="false">IF(C21812&gt;0,MIN(C21802,C21812*$C$21798),0)</f>
        <v>0</v>
      </c>
    </row>
    <row r="21818" customFormat="false" ht="15" hidden="false" customHeight="false" outlineLevel="0" collapsed="false">
      <c r="A21818" s="5" t="s">
        <v>460</v>
      </c>
      <c r="C21818" s="25" t="n">
        <f aca="false">IF(C21813&gt;0,MIN(C21803,C21813*$C$21798),0)</f>
        <v>0</v>
      </c>
    </row>
    <row r="21819" customFormat="false" ht="15" hidden="false" customHeight="false" outlineLevel="0" collapsed="false">
      <c r="A21819" s="23" t="s">
        <v>464</v>
      </c>
      <c r="B21819" s="24"/>
      <c r="C21819" s="24"/>
      <c r="D21819" s="24"/>
      <c r="E21819" s="24"/>
      <c r="F21819" s="24"/>
      <c r="G21819" s="24"/>
      <c r="H21819" s="24"/>
      <c r="I21819" s="24"/>
      <c r="J21819" s="24"/>
      <c r="K21819" s="24"/>
    </row>
    <row r="21820" customFormat="false" ht="15" hidden="false" customHeight="false" outlineLevel="0" collapsed="false">
      <c r="A21820" s="5" t="s">
        <v>457</v>
      </c>
      <c r="C21820" s="25" t="n">
        <f aca="false">IF(C21810&gt;0,C21800-C21815,0)</f>
        <v>0</v>
      </c>
    </row>
    <row r="21821" customFormat="false" ht="15" hidden="false" customHeight="false" outlineLevel="0" collapsed="false">
      <c r="A21821" s="5" t="s">
        <v>458</v>
      </c>
      <c r="C21821" s="25" t="n">
        <f aca="false">IF(C21811&gt;0,C21801-C21816,0)</f>
        <v>0</v>
      </c>
    </row>
    <row r="21822" customFormat="false" ht="15" hidden="false" customHeight="false" outlineLevel="0" collapsed="false">
      <c r="A21822" s="5" t="s">
        <v>459</v>
      </c>
      <c r="C21822" s="25" t="n">
        <f aca="false">IF(C21812&gt;0,C21802-C21817,0)</f>
        <v>0</v>
      </c>
    </row>
    <row r="21823" customFormat="false" ht="15" hidden="false" customHeight="false" outlineLevel="0" collapsed="false">
      <c r="A21823" s="5" t="s">
        <v>460</v>
      </c>
      <c r="C21823" s="25" t="n">
        <f aca="false">IF(C21813&gt;0,C21803-C21818,0)</f>
        <v>0</v>
      </c>
    </row>
    <row r="21824" customFormat="false" ht="15" hidden="false" customHeight="false" outlineLevel="0" collapsed="false">
      <c r="A21824" s="23" t="s">
        <v>465</v>
      </c>
      <c r="B21824" s="24"/>
      <c r="C21824" s="24"/>
      <c r="D21824" s="24"/>
      <c r="E21824" s="24"/>
      <c r="F21824" s="24"/>
      <c r="G21824" s="24"/>
      <c r="H21824" s="24"/>
      <c r="I21824" s="24"/>
      <c r="J21824" s="24"/>
      <c r="K21824" s="24"/>
    </row>
    <row r="21825" customFormat="false" ht="15" hidden="false" customHeight="false" outlineLevel="0" collapsed="false">
      <c r="A21825" s="5" t="s">
        <v>457</v>
      </c>
      <c r="C21825" s="25" t="n">
        <f aca="false">IF(C21810&gt;0,C21820,C21800)</f>
        <v>234.9088</v>
      </c>
    </row>
    <row r="21826" customFormat="false" ht="15" hidden="false" customHeight="false" outlineLevel="0" collapsed="false">
      <c r="A21826" s="5" t="s">
        <v>458</v>
      </c>
      <c r="C21826" s="25" t="n">
        <f aca="false">IF(C21811&gt;0,C21821,C21801)</f>
        <v>509.6</v>
      </c>
    </row>
    <row r="21827" customFormat="false" ht="15" hidden="false" customHeight="false" outlineLevel="0" collapsed="false">
      <c r="A21827" s="5" t="s">
        <v>459</v>
      </c>
      <c r="C21827" s="25" t="n">
        <f aca="false">IF(C21812&gt;0,C21822,C21802)</f>
        <v>250</v>
      </c>
    </row>
    <row r="21828" customFormat="false" ht="15" hidden="false" customHeight="false" outlineLevel="0" collapsed="false">
      <c r="A21828" s="5" t="s">
        <v>460</v>
      </c>
      <c r="C21828" s="25" t="n">
        <f aca="false">IF(C21813&gt;0,C21823,C21803)</f>
        <v>300</v>
      </c>
    </row>
    <row r="21829" customFormat="false" ht="15" hidden="false" customHeight="false" outlineLevel="0" collapsed="false">
      <c r="A21829" s="23" t="s">
        <v>466</v>
      </c>
      <c r="B21829" s="24"/>
      <c r="C21829" s="24"/>
      <c r="D21829" s="24"/>
      <c r="E21829" s="24"/>
      <c r="F21829" s="24"/>
      <c r="G21829" s="24"/>
      <c r="H21829" s="24"/>
      <c r="I21829" s="24"/>
      <c r="J21829" s="24"/>
      <c r="K21829" s="24"/>
    </row>
    <row r="21830" customFormat="false" ht="15" hidden="false" customHeight="false" outlineLevel="0" collapsed="false">
      <c r="A21830" s="5" t="s">
        <v>457</v>
      </c>
      <c r="C21830" s="20" t="n">
        <f aca="false">IF(C21810&gt;0,Assumptions!$C$17,C21805)</f>
        <v>1</v>
      </c>
    </row>
    <row r="21831" customFormat="false" ht="15" hidden="false" customHeight="false" outlineLevel="0" collapsed="false">
      <c r="A21831" s="5" t="s">
        <v>458</v>
      </c>
      <c r="C21831" s="20" t="n">
        <f aca="false">IF(C21811&gt;0,Assumptions!$C$17,C21806)</f>
        <v>2</v>
      </c>
    </row>
    <row r="21832" customFormat="false" ht="15" hidden="false" customHeight="false" outlineLevel="0" collapsed="false">
      <c r="A21832" s="5" t="s">
        <v>459</v>
      </c>
      <c r="C21832" s="20" t="n">
        <f aca="false">IF(C21812&gt;0,Assumptions!$C$17,C21807)</f>
        <v>3</v>
      </c>
    </row>
    <row r="21833" customFormat="false" ht="15" hidden="false" customHeight="false" outlineLevel="0" collapsed="false">
      <c r="A21833" s="5" t="s">
        <v>460</v>
      </c>
      <c r="C21833" s="20" t="n">
        <f aca="false">IF(C21813&gt;0,Assumptions!$C$17,C21808)</f>
        <v>4</v>
      </c>
    </row>
    <row r="21834" customFormat="false" ht="15" hidden="false" customHeight="false" outlineLevel="0" collapsed="false">
      <c r="A21834" s="23" t="s">
        <v>467</v>
      </c>
      <c r="B21834" s="24"/>
      <c r="C21834" s="24"/>
      <c r="D21834" s="24"/>
      <c r="E21834" s="24"/>
      <c r="F21834" s="24"/>
      <c r="G21834" s="24"/>
      <c r="H21834" s="24"/>
      <c r="I21834" s="24"/>
      <c r="J21834" s="24"/>
      <c r="K21834" s="24"/>
    </row>
    <row r="21835" customFormat="false" ht="15" hidden="false" customHeight="false" outlineLevel="0" collapsed="false">
      <c r="A21835" s="5" t="s">
        <v>457</v>
      </c>
      <c r="C21835" s="25" t="n">
        <f aca="false">SUMPRODUCT(($C$21830:$C$21833&lt;C21830)*$C$21825:$C$21828)</f>
        <v>0</v>
      </c>
    </row>
    <row r="21836" customFormat="false" ht="15" hidden="false" customHeight="false" outlineLevel="0" collapsed="false">
      <c r="A21836" s="5" t="s">
        <v>458</v>
      </c>
      <c r="C21836" s="25" t="n">
        <f aca="false">SUMPRODUCT(($C$21830:$C$21833&lt;C21831)*$C$21825:$C$21828)</f>
        <v>234.9088</v>
      </c>
    </row>
    <row r="21837" customFormat="false" ht="15" hidden="false" customHeight="false" outlineLevel="0" collapsed="false">
      <c r="A21837" s="5" t="s">
        <v>459</v>
      </c>
      <c r="C21837" s="25" t="n">
        <f aca="false">SUMPRODUCT(($C$21830:$C$21833&lt;C21832)*$C$21825:$C$21828)</f>
        <v>744.5088</v>
      </c>
    </row>
    <row r="21838" customFormat="false" ht="15" hidden="false" customHeight="false" outlineLevel="0" collapsed="false">
      <c r="A21838" s="5" t="s">
        <v>460</v>
      </c>
      <c r="C21838" s="25" t="n">
        <f aca="false">SUMPRODUCT(($C$21830:$C$21833&lt;C21833)*$C$21825:$C$21828)</f>
        <v>994.5088</v>
      </c>
    </row>
    <row r="21839" customFormat="false" ht="15" hidden="false" customHeight="false" outlineLevel="0" collapsed="false">
      <c r="A21839" s="23" t="s">
        <v>468</v>
      </c>
      <c r="B21839" s="24"/>
      <c r="C21839" s="24"/>
      <c r="D21839" s="24"/>
      <c r="E21839" s="24"/>
      <c r="F21839" s="24"/>
      <c r="G21839" s="24"/>
      <c r="H21839" s="24"/>
      <c r="I21839" s="24"/>
      <c r="J21839" s="24"/>
      <c r="K21839" s="24"/>
    </row>
    <row r="21840" customFormat="false" ht="15" hidden="false" customHeight="false" outlineLevel="0" collapsed="false">
      <c r="A21840" s="5" t="s">
        <v>457</v>
      </c>
      <c r="C21840" s="25" t="n">
        <f aca="false">SUMPRODUCT(($C$21830:$C$21833=C21830)*$C$21825:$C$21828)</f>
        <v>234.9088</v>
      </c>
    </row>
    <row r="21841" customFormat="false" ht="15" hidden="false" customHeight="false" outlineLevel="0" collapsed="false">
      <c r="A21841" s="5" t="s">
        <v>458</v>
      </c>
      <c r="C21841" s="25" t="n">
        <f aca="false">SUMPRODUCT(($C$21830:$C$21833=C21831)*$C$21825:$C$21828)</f>
        <v>509.6</v>
      </c>
    </row>
    <row r="21842" customFormat="false" ht="15" hidden="false" customHeight="false" outlineLevel="0" collapsed="false">
      <c r="A21842" s="5" t="s">
        <v>459</v>
      </c>
      <c r="C21842" s="25" t="n">
        <f aca="false">SUMPRODUCT(($C$21830:$C$21833=C21832)*$C$21825:$C$21828)</f>
        <v>250</v>
      </c>
    </row>
    <row r="21843" customFormat="false" ht="15" hidden="false" customHeight="false" outlineLevel="0" collapsed="false">
      <c r="A21843" s="5" t="s">
        <v>460</v>
      </c>
      <c r="C21843" s="25" t="n">
        <f aca="false">SUMPRODUCT(($C$21830:$C$21833=C21833)*$C$21825:$C$21828)</f>
        <v>300</v>
      </c>
    </row>
    <row r="21844" customFormat="false" ht="15" hidden="false" customHeight="false" outlineLevel="0" collapsed="false">
      <c r="A21844" s="23" t="s">
        <v>469</v>
      </c>
      <c r="B21844" s="24"/>
      <c r="C21844" s="24"/>
      <c r="D21844" s="24"/>
      <c r="E21844" s="24"/>
      <c r="F21844" s="24"/>
      <c r="G21844" s="24"/>
      <c r="H21844" s="24"/>
      <c r="I21844" s="24"/>
      <c r="J21844" s="24"/>
      <c r="K21844" s="24"/>
    </row>
    <row r="21845" customFormat="false" ht="15" hidden="false" customHeight="false" outlineLevel="0" collapsed="false">
      <c r="A21845" s="5" t="s">
        <v>457</v>
      </c>
      <c r="C21845" s="25" t="n">
        <f aca="false">IF(C21840=0,0,C21825/C21840*MAX(0,MIN(C21840,$C$21798-SUM($C$21815:$C$21818)-C21835)))</f>
        <v>55.97928</v>
      </c>
    </row>
    <row r="21846" customFormat="false" ht="15" hidden="false" customHeight="false" outlineLevel="0" collapsed="false">
      <c r="A21846" s="5" t="s">
        <v>458</v>
      </c>
      <c r="C21846" s="25" t="n">
        <f aca="false">IF(C21841=0,0,C21826/C21841*MAX(0,MIN(C21841,$C$21798-SUM($C$21815:$C$21818)-C21836)))</f>
        <v>0</v>
      </c>
    </row>
    <row r="21847" customFormat="false" ht="15" hidden="false" customHeight="false" outlineLevel="0" collapsed="false">
      <c r="A21847" s="5" t="s">
        <v>459</v>
      </c>
      <c r="C21847" s="25" t="n">
        <f aca="false">IF(C21842=0,0,C21827/C21842*MAX(0,MIN(C21842,$C$21798-SUM($C$21815:$C$21818)-C21837)))</f>
        <v>0</v>
      </c>
    </row>
    <row r="21848" customFormat="false" ht="15" hidden="false" customHeight="false" outlineLevel="0" collapsed="false">
      <c r="A21848" s="5" t="s">
        <v>460</v>
      </c>
      <c r="C21848" s="25" t="n">
        <f aca="false">IF(C21843=0,0,C21828/C21843*MAX(0,MIN(C21843,$C$21798-SUM($C$21815:$C$21818)-C21838)))</f>
        <v>0</v>
      </c>
    </row>
    <row r="21849" customFormat="false" ht="15" hidden="false" customHeight="false" outlineLevel="0" collapsed="false">
      <c r="A21849" s="23" t="s">
        <v>470</v>
      </c>
      <c r="B21849" s="24"/>
      <c r="C21849" s="24"/>
      <c r="D21849" s="24"/>
      <c r="E21849" s="24"/>
      <c r="F21849" s="24"/>
      <c r="G21849" s="24"/>
      <c r="H21849" s="24"/>
      <c r="I21849" s="24"/>
      <c r="J21849" s="24"/>
      <c r="K21849" s="24"/>
    </row>
    <row r="21850" customFormat="false" ht="15" hidden="false" customHeight="false" outlineLevel="0" collapsed="false">
      <c r="A21850" s="2" t="s">
        <v>457</v>
      </c>
      <c r="C21850" s="16" t="n">
        <f aca="false">C21815+C21845</f>
        <v>55.97928</v>
      </c>
    </row>
    <row r="21851" customFormat="false" ht="15" hidden="false" customHeight="false" outlineLevel="0" collapsed="false">
      <c r="A21851" s="2" t="s">
        <v>458</v>
      </c>
      <c r="C21851" s="16" t="n">
        <f aca="false">C21816+C21846</f>
        <v>0</v>
      </c>
    </row>
    <row r="21852" customFormat="false" ht="15" hidden="false" customHeight="false" outlineLevel="0" collapsed="false">
      <c r="A21852" s="2" t="s">
        <v>459</v>
      </c>
      <c r="C21852" s="16" t="n">
        <f aca="false">C21817+C21847</f>
        <v>0</v>
      </c>
    </row>
    <row r="21853" customFormat="false" ht="15" hidden="false" customHeight="false" outlineLevel="0" collapsed="false">
      <c r="A21853" s="2" t="s">
        <v>460</v>
      </c>
      <c r="C21853" s="16" t="n">
        <f aca="false">C21818+C21848</f>
        <v>0</v>
      </c>
    </row>
    <row r="21854" customFormat="false" ht="15" hidden="false" customHeight="false" outlineLevel="0" collapsed="false">
      <c r="A21854" s="23" t="s">
        <v>471</v>
      </c>
      <c r="B21854" s="24"/>
      <c r="C21854" s="24"/>
      <c r="D21854" s="24"/>
      <c r="E21854" s="24"/>
      <c r="F21854" s="24"/>
      <c r="G21854" s="24"/>
      <c r="H21854" s="24"/>
      <c r="I21854" s="24"/>
      <c r="J21854" s="24"/>
      <c r="K21854" s="24"/>
    </row>
    <row r="21855" customFormat="false" ht="15" hidden="false" customHeight="false" outlineLevel="0" collapsed="false">
      <c r="A21855" s="5" t="s">
        <v>457</v>
      </c>
      <c r="C21855" s="21" t="n">
        <f aca="false">IF(C21800=0,1,C21850/C21800)</f>
        <v>0.238302183655955</v>
      </c>
    </row>
    <row r="21856" customFormat="false" ht="15" hidden="false" customHeight="false" outlineLevel="0" collapsed="false">
      <c r="A21856" s="5" t="s">
        <v>458</v>
      </c>
      <c r="C21856" s="21" t="n">
        <f aca="false">IF(C21801=0,1,C21851/C21801)</f>
        <v>0</v>
      </c>
    </row>
    <row r="21857" customFormat="false" ht="15" hidden="false" customHeight="false" outlineLevel="0" collapsed="false">
      <c r="A21857" s="5" t="s">
        <v>459</v>
      </c>
      <c r="C21857" s="21" t="n">
        <f aca="false">IF(C21802=0,1,C21852/C21802)</f>
        <v>0</v>
      </c>
    </row>
    <row r="21858" customFormat="false" ht="15" hidden="false" customHeight="false" outlineLevel="0" collapsed="false">
      <c r="A21858" s="5" t="s">
        <v>460</v>
      </c>
      <c r="C21858" s="21" t="n">
        <f aca="false">IF(C21803=0,1,C21853/C21803)</f>
        <v>0</v>
      </c>
    </row>
    <row r="21859" customFormat="false" ht="15" hidden="false" customHeight="false" outlineLevel="0" collapsed="false">
      <c r="A21859" s="23" t="s">
        <v>472</v>
      </c>
      <c r="B21859" s="24"/>
      <c r="C21859" s="24"/>
      <c r="D21859" s="24"/>
      <c r="E21859" s="24"/>
      <c r="F21859" s="24"/>
      <c r="G21859" s="24"/>
      <c r="H21859" s="24"/>
      <c r="I21859" s="24"/>
      <c r="J21859" s="24"/>
      <c r="K21859" s="24"/>
    </row>
    <row r="21860" customFormat="false" ht="15" hidden="false" customHeight="false" outlineLevel="0" collapsed="false">
      <c r="A21860" s="5" t="s">
        <v>457</v>
      </c>
      <c r="C21860" s="25" t="n">
        <f aca="false">C21800-C21850</f>
        <v>178.92952</v>
      </c>
    </row>
    <row r="21861" customFormat="false" ht="15" hidden="false" customHeight="false" outlineLevel="0" collapsed="false">
      <c r="A21861" s="5" t="s">
        <v>458</v>
      </c>
      <c r="C21861" s="25" t="n">
        <f aca="false">C21801-C21851</f>
        <v>509.6</v>
      </c>
    </row>
    <row r="21862" customFormat="false" ht="15" hidden="false" customHeight="false" outlineLevel="0" collapsed="false">
      <c r="A21862" s="5" t="s">
        <v>459</v>
      </c>
      <c r="C21862" s="25" t="n">
        <f aca="false">C21802-C21852</f>
        <v>250</v>
      </c>
    </row>
    <row r="21863" customFormat="false" ht="15" hidden="false" customHeight="false" outlineLevel="0" collapsed="false">
      <c r="A21863" s="5" t="s">
        <v>460</v>
      </c>
      <c r="C21863" s="25" t="n">
        <f aca="false">C21803-C21853</f>
        <v>300</v>
      </c>
    </row>
    <row r="21864" customFormat="false" ht="15" hidden="false" customHeight="false" outlineLevel="0" collapsed="false">
      <c r="A21864" s="23" t="s">
        <v>473</v>
      </c>
      <c r="B21864" s="24"/>
      <c r="C21864" s="24"/>
      <c r="D21864" s="24"/>
      <c r="E21864" s="24"/>
      <c r="F21864" s="24"/>
      <c r="G21864" s="24"/>
      <c r="H21864" s="24"/>
      <c r="I21864" s="24"/>
      <c r="J21864" s="24"/>
      <c r="K21864" s="24"/>
    </row>
    <row r="21865" customFormat="false" ht="15" hidden="false" customHeight="false" outlineLevel="0" collapsed="false">
      <c r="A21865" s="5" t="s">
        <v>457</v>
      </c>
      <c r="C21865" s="21" t="n">
        <f aca="false">IF(C21800=0,0,C21860/C21800)</f>
        <v>0.761697816344045</v>
      </c>
    </row>
    <row r="21866" customFormat="false" ht="15" hidden="false" customHeight="false" outlineLevel="0" collapsed="false">
      <c r="A21866" s="5" t="s">
        <v>458</v>
      </c>
      <c r="C21866" s="21" t="n">
        <f aca="false">IF(C21801=0,0,C21861/C21801)</f>
        <v>1</v>
      </c>
    </row>
    <row r="21867" customFormat="false" ht="15" hidden="false" customHeight="false" outlineLevel="0" collapsed="false">
      <c r="A21867" s="5" t="s">
        <v>459</v>
      </c>
      <c r="C21867" s="21" t="n">
        <f aca="false">IF(C21802=0,0,C21862/C21802)</f>
        <v>1</v>
      </c>
    </row>
    <row r="21868" customFormat="false" ht="15" hidden="false" customHeight="false" outlineLevel="0" collapsed="false">
      <c r="A21868" s="5" t="s">
        <v>460</v>
      </c>
      <c r="C21868" s="21" t="n">
        <f aca="false">IF(C21803=0,0,C21863/C21803)</f>
        <v>1</v>
      </c>
    </row>
    <row r="21869" customFormat="false" ht="15" hidden="false" customHeight="false" outlineLevel="0" collapsed="false">
      <c r="A21869" s="2" t="s">
        <v>474</v>
      </c>
      <c r="C21869" s="16" t="n">
        <f aca="false">MAX(0,$C$21798-SUM($C$21815:$C$21818)-SUM($C$21825:$C$21828))</f>
        <v>0</v>
      </c>
    </row>
    <row r="21870" customFormat="false" ht="15" hidden="false" customHeight="false" outlineLevel="0" collapsed="false">
      <c r="A21870" s="5" t="s">
        <v>492</v>
      </c>
      <c r="C21870" s="33" t="n">
        <f aca="false">MIN(C21797,100*CHOOSE(C21787,C21855,C21856,C21857,C21858))</f>
        <v>0</v>
      </c>
    </row>
    <row r="21871" customFormat="false" ht="15" hidden="false" customHeight="false" outlineLevel="0" collapsed="false">
      <c r="A21871" s="5" t="s">
        <v>493</v>
      </c>
      <c r="C21871" s="20" t="n">
        <f aca="false">IF(C21703=1,C21792+Assumptions!$C$36,C21791)</f>
        <v>3</v>
      </c>
    </row>
    <row r="21872" customFormat="false" ht="15" hidden="false" customHeight="false" outlineLevel="0" collapsed="false">
      <c r="A21872" s="23" t="s">
        <v>494</v>
      </c>
      <c r="B21872" s="24"/>
      <c r="C21872" s="24"/>
      <c r="D21872" s="24"/>
      <c r="E21872" s="24"/>
      <c r="F21872" s="24"/>
      <c r="G21872" s="24"/>
      <c r="H21872" s="24"/>
      <c r="I21872" s="24"/>
      <c r="J21872" s="24"/>
      <c r="K21872" s="24"/>
    </row>
    <row r="21873" customFormat="false" ht="15" hidden="false" customHeight="false" outlineLevel="0" collapsed="false">
      <c r="A21873" s="5" t="s">
        <v>495</v>
      </c>
      <c r="C21873" s="20" t="n">
        <f aca="false">COLUMN()-COLUMN($C$1)</f>
        <v>0</v>
      </c>
      <c r="D21873" s="20" t="n">
        <f aca="false">COLUMN()-COLUMN($C$1)</f>
        <v>1</v>
      </c>
      <c r="E21873" s="20" t="n">
        <f aca="false">COLUMN()-COLUMN($C$1)</f>
        <v>2</v>
      </c>
      <c r="F21873" s="20" t="n">
        <f aca="false">COLUMN()-COLUMN($C$1)</f>
        <v>3</v>
      </c>
      <c r="G21873" s="20" t="n">
        <f aca="false">COLUMN()-COLUMN($C$1)</f>
        <v>4</v>
      </c>
      <c r="H21873" s="20" t="n">
        <f aca="false">COLUMN()-COLUMN($C$1)</f>
        <v>5</v>
      </c>
      <c r="I21873" s="20" t="n">
        <f aca="false">COLUMN()-COLUMN($C$1)</f>
        <v>6</v>
      </c>
    </row>
    <row r="21874" customFormat="false" ht="15" hidden="false" customHeight="false" outlineLevel="0" collapsed="false">
      <c r="A21874" s="5" t="s">
        <v>496</v>
      </c>
      <c r="D21874" s="30" t="n">
        <f aca="false">CHOOSE($C$21787,G21585,G21598,G21611,G21624)</f>
        <v>0.133</v>
      </c>
      <c r="E21874" s="30" t="n">
        <f aca="false">CHOOSE($C$21787,H21585,H21598,H21611,H21624)</f>
        <v>0.1305</v>
      </c>
      <c r="F21874" s="30" t="n">
        <f aca="false">CHOOSE($C$21787,I21585,I21598,I21611,I21624)</f>
        <v>0.128</v>
      </c>
      <c r="G21874" s="30" t="n">
        <f aca="false">CHOOSE($C$21787,J21585,J21598,J21611,J21624)</f>
        <v>0.128</v>
      </c>
      <c r="H21874" s="30" t="n">
        <f aca="false">CHOOSE($C$21787,K21585,K21598,K21611,K21624)</f>
        <v>0.128</v>
      </c>
    </row>
    <row r="21875" customFormat="false" ht="15" hidden="false" customHeight="false" outlineLevel="0" collapsed="false">
      <c r="A21875" s="5" t="s">
        <v>497</v>
      </c>
      <c r="D21875" s="25" t="n">
        <f aca="false">IF(D21873&lt;=$C$21796,$C$21788*D21874,0)</f>
        <v>13.3</v>
      </c>
      <c r="E21875" s="25" t="n">
        <f aca="false">IF(E21873&lt;=$C$21796,$C$21788*E21874,0)</f>
        <v>13.05</v>
      </c>
      <c r="F21875" s="25" t="n">
        <f aca="false">IF(F21873&lt;=$C$21796,$C$21788*F21874,0)</f>
        <v>0</v>
      </c>
      <c r="G21875" s="25" t="n">
        <f aca="false">IF(G21873&lt;=$C$21796,$C$21788*G21874,0)</f>
        <v>0</v>
      </c>
      <c r="H21875" s="25" t="n">
        <f aca="false">IF(H21873&lt;=$C$21796,$C$21788*H21874,0)</f>
        <v>0</v>
      </c>
    </row>
    <row r="21876" customFormat="false" ht="15" hidden="false" customHeight="false" outlineLevel="0" collapsed="false">
      <c r="A21876" s="5" t="s">
        <v>498</v>
      </c>
      <c r="D21876" s="25" t="n">
        <f aca="false">IF(AND($C$21703=0,D21873=$C$21791),$C$21788*$C$21870/100,0)+IF(AND($C$21703=1,D21873=$C$21871),$C$21794,0)</f>
        <v>0</v>
      </c>
      <c r="E21876" s="25" t="n">
        <f aca="false">IF(AND($C$21703=0,E21873=$C$21791),$C$21788*$C$21870/100,0)+IF(AND($C$21703=1,E21873=$C$21871),$C$21794,0)</f>
        <v>0</v>
      </c>
      <c r="F21876" s="25" t="n">
        <f aca="false">IF(AND($C$21703=0,F21873=$C$21791),$C$21788*$C$21870/100,0)+IF(AND($C$21703=1,F21873=$C$21871),$C$21794,0)</f>
        <v>29.0034660125589</v>
      </c>
      <c r="G21876" s="25" t="n">
        <f aca="false">IF(AND($C$21703=0,G21873=$C$21791),$C$21788*$C$21870/100,0)+IF(AND($C$21703=1,G21873=$C$21871),$C$21794,0)</f>
        <v>0</v>
      </c>
      <c r="H21876" s="25" t="n">
        <f aca="false">IF(AND($C$21703=0,H21873=$C$21791),$C$21788*$C$21870/100,0)+IF(AND($C$21703=1,H21873=$C$21871),$C$21794,0)</f>
        <v>0</v>
      </c>
      <c r="I21876" s="25" t="n">
        <f aca="false">IF(AND($C$21703=0,I21873=$C$21791),$C$21788*$C$21870/100,0)+IF(AND($C$21703=1,I21873=$C$21871),$C$21794,0)</f>
        <v>0</v>
      </c>
    </row>
    <row r="21877" customFormat="false" ht="15" hidden="false" customHeight="false" outlineLevel="0" collapsed="false">
      <c r="A21877" s="2" t="s">
        <v>499</v>
      </c>
      <c r="C21877" s="16" t="n">
        <f aca="false">-$C$21790</f>
        <v>-78.39</v>
      </c>
      <c r="D21877" s="16" t="n">
        <f aca="false">D21875+D21876</f>
        <v>13.3</v>
      </c>
      <c r="E21877" s="16" t="n">
        <f aca="false">E21875+E21876</f>
        <v>13.05</v>
      </c>
      <c r="F21877" s="16" t="n">
        <f aca="false">F21875+F21876</f>
        <v>29.0034660125589</v>
      </c>
      <c r="G21877" s="16" t="n">
        <f aca="false">G21875+G21876</f>
        <v>0</v>
      </c>
      <c r="H21877" s="16" t="n">
        <f aca="false">H21875+H21876</f>
        <v>0</v>
      </c>
      <c r="I21877" s="16" t="n">
        <f aca="false">I21875+I21876</f>
        <v>0</v>
      </c>
    </row>
    <row r="21878" customFormat="false" ht="15" hidden="false" customHeight="false" outlineLevel="0" collapsed="false">
      <c r="A21878" s="5" t="s">
        <v>500</v>
      </c>
      <c r="C21878" s="25" t="n">
        <f aca="false">SUM($C$21875:$I$21875)</f>
        <v>26.35</v>
      </c>
    </row>
    <row r="21879" customFormat="false" ht="15" hidden="false" customHeight="false" outlineLevel="0" collapsed="false">
      <c r="A21879" s="5" t="s">
        <v>501</v>
      </c>
      <c r="C21879" s="25" t="n">
        <f aca="false">SUM($C$21876:$I$21876)</f>
        <v>29.0034660125589</v>
      </c>
    </row>
    <row r="21880" customFormat="false" ht="15" hidden="false" customHeight="false" outlineLevel="0" collapsed="false">
      <c r="A21880" s="5" t="s">
        <v>502</v>
      </c>
      <c r="C21880" s="25" t="n">
        <f aca="false">C21878+C21879</f>
        <v>55.3534660125589</v>
      </c>
    </row>
    <row r="21881" customFormat="false" ht="15" hidden="false" customHeight="false" outlineLevel="0" collapsed="false">
      <c r="A21881" s="5" t="s">
        <v>503</v>
      </c>
      <c r="C21881" s="25" t="n">
        <f aca="false">C21879-C21788*C21789/100</f>
        <v>-48.9965339874412</v>
      </c>
    </row>
    <row r="21882" customFormat="false" ht="15" hidden="false" customHeight="false" outlineLevel="0" collapsed="false">
      <c r="A21882" s="5" t="s">
        <v>504</v>
      </c>
      <c r="C21882" s="25" t="n">
        <f aca="false">C21880-C21790</f>
        <v>-23.0365339874411</v>
      </c>
    </row>
    <row r="21883" customFormat="false" ht="15" hidden="false" customHeight="false" outlineLevel="0" collapsed="false">
      <c r="A21883" s="2" t="s">
        <v>385</v>
      </c>
      <c r="C21883" s="43" t="n">
        <f aca="false">C21880/C21790</f>
        <v>0.706129174799832</v>
      </c>
    </row>
    <row r="21884" customFormat="false" ht="15" hidden="false" customHeight="false" outlineLevel="0" collapsed="false">
      <c r="A21884" s="2" t="s">
        <v>384</v>
      </c>
      <c r="C21884" s="41" t="n">
        <f aca="false">IF(C21880&lt;=0,-1,IFERROR(IRR($C$21877:$I$21877,MAX(-0.9,C21883^(1/C21871)-1)),IRR($C$21877:$I$21877,0.1)))</f>
        <v>-0.138534047289136</v>
      </c>
    </row>
    <row r="21885" customFormat="false" ht="15" hidden="false" customHeight="false" outlineLevel="0" collapsed="false">
      <c r="A21885" s="5" t="s">
        <v>505</v>
      </c>
      <c r="C21885" s="31" t="n">
        <f aca="false">MAX($G$21679:$K$21679)</f>
        <v>124.624351403687</v>
      </c>
    </row>
    <row r="21886" customFormat="false" ht="15" hidden="false" customHeight="false" outlineLevel="0" collapsed="false">
      <c r="A21886" s="5" t="s">
        <v>506</v>
      </c>
      <c r="C21886" s="31" t="n">
        <f aca="false">MIN($G$21680:$K$21680)</f>
        <v>0.109080209295775</v>
      </c>
    </row>
    <row r="21887" customFormat="false" ht="15" hidden="false" customHeight="false" outlineLevel="0" collapsed="false">
      <c r="A21887" s="5" t="s">
        <v>507</v>
      </c>
      <c r="C21887" s="25" t="n">
        <f aca="false">SUM($G$21569:$K$21569)</f>
        <v>-697.792895058854</v>
      </c>
    </row>
    <row r="21891" customFormat="false" ht="15" hidden="false" customHeight="false" outlineLevel="0" collapsed="false">
      <c r="A21891" s="9" t="s">
        <v>688</v>
      </c>
      <c r="B21891" s="10"/>
      <c r="C21891" s="10"/>
      <c r="D21891" s="10"/>
      <c r="E21891" s="10"/>
      <c r="F21891" s="10"/>
      <c r="G21891" s="10"/>
      <c r="H21891" s="10"/>
      <c r="I21891" s="10"/>
      <c r="J21891" s="10"/>
      <c r="K21891" s="10"/>
    </row>
    <row r="21892" customFormat="false" ht="15" hidden="false" customHeight="false" outlineLevel="0" collapsed="false">
      <c r="A21892" s="5" t="s">
        <v>622</v>
      </c>
      <c r="C21892" s="11" t="n">
        <v>3</v>
      </c>
    </row>
    <row r="21893" customFormat="false" ht="15" hidden="false" customHeight="false" outlineLevel="0" collapsed="false">
      <c r="A21893" s="5" t="s">
        <v>623</v>
      </c>
      <c r="C21893" s="18" t="n">
        <v>0</v>
      </c>
    </row>
    <row r="21894" customFormat="false" ht="15" hidden="false" customHeight="false" outlineLevel="0" collapsed="false">
      <c r="A21894" s="5" t="s">
        <v>624</v>
      </c>
      <c r="C21894" s="18" t="n">
        <v>0</v>
      </c>
    </row>
    <row r="21895" customFormat="false" ht="15" hidden="false" customHeight="false" outlineLevel="0" collapsed="false">
      <c r="A21895" s="5" t="s">
        <v>625</v>
      </c>
      <c r="C21895" s="18" t="n">
        <v>0</v>
      </c>
    </row>
    <row r="21896" customFormat="false" ht="15" hidden="false" customHeight="false" outlineLevel="0" collapsed="false">
      <c r="A21896" s="5" t="s">
        <v>626</v>
      </c>
      <c r="C21896" s="32" t="n">
        <f aca="false">Sensitivities!$A$64</f>
        <v>2</v>
      </c>
    </row>
    <row r="21898" customFormat="false" ht="15" hidden="false" customHeight="false" outlineLevel="0" collapsed="false">
      <c r="A21898" s="23" t="s">
        <v>237</v>
      </c>
      <c r="B21898" s="24"/>
      <c r="C21898" s="24"/>
      <c r="D21898" s="24"/>
      <c r="E21898" s="24"/>
      <c r="F21898" s="24"/>
      <c r="G21898" s="24"/>
      <c r="H21898" s="24"/>
      <c r="I21898" s="24"/>
      <c r="J21898" s="24"/>
      <c r="K21898" s="24"/>
    </row>
    <row r="21899" customFormat="false" ht="15" hidden="false" customHeight="false" outlineLevel="0" collapsed="false">
      <c r="A21899" s="5" t="s">
        <v>238</v>
      </c>
      <c r="F21899" s="26" t="n">
        <f aca="false">Assumptions!$C$6</f>
        <v>2025</v>
      </c>
      <c r="G21899" s="20" t="n">
        <f aca="false">F21899+1</f>
        <v>2026</v>
      </c>
      <c r="H21899" s="20" t="n">
        <f aca="false">G21899+1</f>
        <v>2027</v>
      </c>
      <c r="I21899" s="20" t="n">
        <f aca="false">H21899+1</f>
        <v>2028</v>
      </c>
      <c r="J21899" s="20" t="n">
        <f aca="false">I21899+1</f>
        <v>2029</v>
      </c>
      <c r="K21899" s="20" t="n">
        <f aca="false">J21899+1</f>
        <v>2030</v>
      </c>
    </row>
    <row r="21900" customFormat="false" ht="15" hidden="false" customHeight="false" outlineLevel="0" collapsed="false">
      <c r="A21900" s="5" t="s">
        <v>239</v>
      </c>
      <c r="G21900" s="20" t="n">
        <f aca="false">G21899-Assumptions!$C$6</f>
        <v>1</v>
      </c>
      <c r="H21900" s="20" t="n">
        <f aca="false">H21899-Assumptions!$C$6</f>
        <v>2</v>
      </c>
      <c r="I21900" s="20" t="n">
        <f aca="false">I21899-Assumptions!$C$6</f>
        <v>3</v>
      </c>
      <c r="J21900" s="20" t="n">
        <f aca="false">J21899-Assumptions!$C$6</f>
        <v>4</v>
      </c>
      <c r="K21900" s="20" t="n">
        <f aca="false">K21899-Assumptions!$C$6</f>
        <v>5</v>
      </c>
    </row>
    <row r="21901" customFormat="false" ht="15" hidden="false" customHeight="false" outlineLevel="0" collapsed="false">
      <c r="A21901" s="5" t="s">
        <v>149</v>
      </c>
      <c r="G21901" s="21" t="n">
        <f aca="false">CHOOSE($C$21892,Assumptions!$G$65,Assumptions!$G$84,Assumptions!$G$103)+$C$21893</f>
        <v>-0.234</v>
      </c>
      <c r="H21901" s="21" t="n">
        <f aca="false">CHOOSE($C$21892,Assumptions!$H$65,Assumptions!$H$84,Assumptions!$H$103)+$C$21893</f>
        <v>-0.13</v>
      </c>
      <c r="I21901" s="21" t="n">
        <f aca="false">CHOOSE($C$21892,Assumptions!$I$65,Assumptions!$I$84,Assumptions!$I$103)+$C$21893</f>
        <v>-0.026</v>
      </c>
      <c r="J21901" s="21" t="n">
        <f aca="false">CHOOSE($C$21892,Assumptions!$J$65,Assumptions!$J$84,Assumptions!$J$103)+$C$21893</f>
        <v>-0.01</v>
      </c>
      <c r="K21901" s="21" t="n">
        <f aca="false">CHOOSE($C$21892,Assumptions!$K$65,Assumptions!$K$84,Assumptions!$K$103)+$C$21893</f>
        <v>-0.01</v>
      </c>
    </row>
    <row r="21902" customFormat="false" ht="15" hidden="false" customHeight="false" outlineLevel="0" collapsed="false">
      <c r="A21902" s="5" t="s">
        <v>150</v>
      </c>
      <c r="G21902" s="21" t="n">
        <f aca="false">CHOOSE($C$21892,Assumptions!$G$66,Assumptions!$G$85,Assumptions!$G$104)</f>
        <v>0.305</v>
      </c>
      <c r="H21902" s="21" t="n">
        <f aca="false">CHOOSE($C$21892,Assumptions!$H$66,Assumptions!$H$85,Assumptions!$H$104)</f>
        <v>0.305</v>
      </c>
      <c r="I21902" s="21" t="n">
        <f aca="false">CHOOSE($C$21892,Assumptions!$I$66,Assumptions!$I$85,Assumptions!$I$104)</f>
        <v>0.305</v>
      </c>
      <c r="J21902" s="21" t="n">
        <f aca="false">CHOOSE($C$21892,Assumptions!$J$66,Assumptions!$J$85,Assumptions!$J$104)</f>
        <v>0.305</v>
      </c>
      <c r="K21902" s="21" t="n">
        <f aca="false">CHOOSE($C$21892,Assumptions!$K$66,Assumptions!$K$85,Assumptions!$K$104)</f>
        <v>0.305</v>
      </c>
    </row>
    <row r="21903" customFormat="false" ht="15" hidden="false" customHeight="false" outlineLevel="0" collapsed="false">
      <c r="A21903" s="5" t="s">
        <v>151</v>
      </c>
      <c r="G21903" s="21" t="n">
        <f aca="false">CHOOSE($C$21892,Assumptions!$G$67,Assumptions!$G$86,Assumptions!$G$105)+$C$21894</f>
        <v>0.01</v>
      </c>
      <c r="H21903" s="21" t="n">
        <f aca="false">CHOOSE($C$21892,Assumptions!$H$67,Assumptions!$H$86,Assumptions!$H$105)+$C$21894</f>
        <v>0.01</v>
      </c>
      <c r="I21903" s="21" t="n">
        <f aca="false">CHOOSE($C$21892,Assumptions!$I$67,Assumptions!$I$86,Assumptions!$I$105)+$C$21894</f>
        <v>0.01</v>
      </c>
      <c r="J21903" s="21" t="n">
        <f aca="false">CHOOSE($C$21892,Assumptions!$J$67,Assumptions!$J$86,Assumptions!$J$105)+$C$21894</f>
        <v>0.01</v>
      </c>
      <c r="K21903" s="21" t="n">
        <f aca="false">CHOOSE($C$21892,Assumptions!$K$67,Assumptions!$K$86,Assumptions!$K$105)+$C$21894</f>
        <v>0.01</v>
      </c>
    </row>
    <row r="21904" customFormat="false" ht="15" hidden="false" customHeight="false" outlineLevel="0" collapsed="false">
      <c r="A21904" s="23" t="s">
        <v>240</v>
      </c>
      <c r="B21904" s="24"/>
      <c r="C21904" s="24"/>
      <c r="D21904" s="24"/>
      <c r="E21904" s="24"/>
      <c r="F21904" s="24"/>
      <c r="G21904" s="24"/>
      <c r="H21904" s="24"/>
      <c r="I21904" s="24"/>
      <c r="J21904" s="24"/>
      <c r="K21904" s="24"/>
    </row>
    <row r="21905" customFormat="false" ht="15" hidden="false" customHeight="false" outlineLevel="0" collapsed="false">
      <c r="A21905" s="2" t="s">
        <v>207</v>
      </c>
      <c r="F21905" s="27" t="n">
        <f aca="false">'Historical Financials'!E17</f>
        <v>2400</v>
      </c>
      <c r="G21905" s="16" t="n">
        <f aca="false">F21905*(1+G21901)</f>
        <v>1838.4</v>
      </c>
      <c r="H21905" s="16" t="n">
        <f aca="false">G21905*(1+H21901)</f>
        <v>1599.408</v>
      </c>
      <c r="I21905" s="16" t="n">
        <f aca="false">H21905*(1+I21901)</f>
        <v>1557.823392</v>
      </c>
      <c r="J21905" s="16" t="n">
        <f aca="false">I21905*(1+J21901)</f>
        <v>1542.24515808</v>
      </c>
      <c r="K21905" s="16" t="n">
        <f aca="false">J21905*(1+K21901)</f>
        <v>1526.8227064992</v>
      </c>
    </row>
    <row r="21906" customFormat="false" ht="15" hidden="false" customHeight="false" outlineLevel="0" collapsed="false">
      <c r="A21906" s="5" t="s">
        <v>217</v>
      </c>
      <c r="G21906" s="25" t="n">
        <f aca="false">G21905*(1-G21902)</f>
        <v>1277.688</v>
      </c>
      <c r="H21906" s="25" t="n">
        <f aca="false">H21905*(1-H21902)</f>
        <v>1111.58856</v>
      </c>
      <c r="I21906" s="25" t="n">
        <f aca="false">I21905*(1-I21902)</f>
        <v>1082.68725744</v>
      </c>
      <c r="J21906" s="25" t="n">
        <f aca="false">J21905*(1-J21902)</f>
        <v>1071.8603848656</v>
      </c>
      <c r="K21906" s="25" t="n">
        <f aca="false">K21905*(1-K21902)</f>
        <v>1061.14178101694</v>
      </c>
    </row>
    <row r="21907" customFormat="false" ht="15" hidden="false" customHeight="false" outlineLevel="0" collapsed="false">
      <c r="A21907" s="2" t="s">
        <v>218</v>
      </c>
      <c r="G21907" s="16" t="n">
        <f aca="false">G21905-G21906</f>
        <v>560.712</v>
      </c>
      <c r="H21907" s="16" t="n">
        <f aca="false">H21905-H21906</f>
        <v>487.81944</v>
      </c>
      <c r="I21907" s="16" t="n">
        <f aca="false">I21905-I21906</f>
        <v>475.13613456</v>
      </c>
      <c r="J21907" s="16" t="n">
        <f aca="false">J21905-J21906</f>
        <v>470.3847732144</v>
      </c>
      <c r="K21907" s="16" t="n">
        <f aca="false">K21905-K21906</f>
        <v>465.680925482256</v>
      </c>
    </row>
    <row r="21908" customFormat="false" ht="15" hidden="false" customHeight="false" outlineLevel="0" collapsed="false">
      <c r="A21908" s="5" t="s">
        <v>241</v>
      </c>
      <c r="G21908" s="25" t="n">
        <f aca="false">G21907-G21909</f>
        <v>542.328</v>
      </c>
      <c r="H21908" s="25" t="n">
        <f aca="false">H21907-H21909</f>
        <v>471.82536</v>
      </c>
      <c r="I21908" s="25" t="n">
        <f aca="false">I21907-I21909</f>
        <v>459.55790064</v>
      </c>
      <c r="J21908" s="25" t="n">
        <f aca="false">J21907-J21909</f>
        <v>454.9623216336</v>
      </c>
      <c r="K21908" s="25" t="n">
        <f aca="false">K21907-K21909</f>
        <v>450.412698417264</v>
      </c>
    </row>
    <row r="21909" customFormat="false" ht="15" hidden="false" customHeight="false" outlineLevel="0" collapsed="false">
      <c r="A21909" s="2" t="s">
        <v>242</v>
      </c>
      <c r="G21909" s="16" t="n">
        <f aca="false">G21905*G21903</f>
        <v>18.384</v>
      </c>
      <c r="H21909" s="16" t="n">
        <f aca="false">H21905*H21903</f>
        <v>15.99408</v>
      </c>
      <c r="I21909" s="16" t="n">
        <f aca="false">I21905*I21903</f>
        <v>15.57823392</v>
      </c>
      <c r="J21909" s="16" t="n">
        <f aca="false">J21905*J21903</f>
        <v>15.4224515808</v>
      </c>
      <c r="K21909" s="16" t="n">
        <f aca="false">K21905*K21903</f>
        <v>15.268227064992</v>
      </c>
    </row>
    <row r="21910" customFormat="false" ht="15" hidden="false" customHeight="false" outlineLevel="0" collapsed="false">
      <c r="A21910" s="5" t="s">
        <v>243</v>
      </c>
      <c r="G21910" s="25" t="n">
        <f aca="false">G21905*'Historical Financials'!E22/'Historical Financials'!E17</f>
        <v>40.4448</v>
      </c>
      <c r="H21910" s="25" t="n">
        <f aca="false">H21905*'Historical Financials'!E22/'Historical Financials'!E17</f>
        <v>35.186976</v>
      </c>
      <c r="I21910" s="25" t="n">
        <f aca="false">I21905*'Historical Financials'!E22/'Historical Financials'!E17</f>
        <v>34.272114624</v>
      </c>
      <c r="J21910" s="25" t="n">
        <f aca="false">J21905*'Historical Financials'!E22/'Historical Financials'!E17</f>
        <v>33.92939347776</v>
      </c>
      <c r="K21910" s="25" t="n">
        <f aca="false">K21905*'Historical Financials'!E22/'Historical Financials'!E17</f>
        <v>33.5900995429824</v>
      </c>
    </row>
    <row r="21911" customFormat="false" ht="15" hidden="false" customHeight="false" outlineLevel="0" collapsed="false">
      <c r="A21911" s="5" t="s">
        <v>244</v>
      </c>
      <c r="G21911" s="25" t="n">
        <f aca="false">G21905*'Historical Financials'!E23/'Historical Financials'!E17</f>
        <v>0</v>
      </c>
      <c r="H21911" s="25" t="n">
        <f aca="false">H21905*'Historical Financials'!E23/'Historical Financials'!E17</f>
        <v>0</v>
      </c>
      <c r="I21911" s="25" t="n">
        <f aca="false">I21905*'Historical Financials'!E23/'Historical Financials'!E17</f>
        <v>0</v>
      </c>
      <c r="J21911" s="25" t="n">
        <f aca="false">J21905*'Historical Financials'!E23/'Historical Financials'!E17</f>
        <v>0</v>
      </c>
      <c r="K21911" s="25" t="n">
        <f aca="false">K21905*'Historical Financials'!E23/'Historical Financials'!E17</f>
        <v>0</v>
      </c>
    </row>
    <row r="21912" customFormat="false" ht="15" hidden="false" customHeight="false" outlineLevel="0" collapsed="false">
      <c r="A21912" s="2" t="s">
        <v>245</v>
      </c>
      <c r="G21912" s="16" t="n">
        <f aca="false">G21909-G21910-G21911</f>
        <v>-22.0608</v>
      </c>
      <c r="H21912" s="16" t="n">
        <f aca="false">H21909-H21910-H21911</f>
        <v>-19.192896</v>
      </c>
      <c r="I21912" s="16" t="n">
        <f aca="false">I21909-I21910-I21911</f>
        <v>-18.693880704</v>
      </c>
      <c r="J21912" s="16" t="n">
        <f aca="false">J21909-J21910-J21911</f>
        <v>-18.50694189696</v>
      </c>
      <c r="K21912" s="16" t="n">
        <f aca="false">K21909-K21910-K21911</f>
        <v>-18.3218724779904</v>
      </c>
    </row>
    <row r="21913" customFormat="false" ht="15" hidden="false" customHeight="false" outlineLevel="0" collapsed="false">
      <c r="A21913" s="5" t="s">
        <v>246</v>
      </c>
      <c r="G21913" s="25" t="n">
        <f aca="false">G21939+G21952+G21965+G21978</f>
        <v>140.04</v>
      </c>
      <c r="H21913" s="25" t="n">
        <f aca="false">H21939+H21952+H21965+H21978</f>
        <v>143.8435488</v>
      </c>
      <c r="I21913" s="25" t="n">
        <f aca="false">I21939+I21952+I21965+I21978</f>
        <v>141.3036768</v>
      </c>
      <c r="J21913" s="25" t="n">
        <f aca="false">J21939+J21952+J21965+J21978</f>
        <v>140.6380768</v>
      </c>
      <c r="K21913" s="25" t="n">
        <f aca="false">K21939+K21952+K21965+K21978</f>
        <v>139.9724768</v>
      </c>
    </row>
    <row r="21914" customFormat="false" ht="15" hidden="false" customHeight="false" outlineLevel="0" collapsed="false">
      <c r="A21914" s="5" t="s">
        <v>247</v>
      </c>
      <c r="G21914" s="25" t="n">
        <f aca="false">G21940+G21953+G21966+G21979</f>
        <v>0</v>
      </c>
      <c r="H21914" s="25" t="n">
        <f aca="false">H21940+H21953+H21966+H21979</f>
        <v>0</v>
      </c>
      <c r="I21914" s="25" t="n">
        <f aca="false">I21940+I21953+I21966+I21979</f>
        <v>0</v>
      </c>
      <c r="J21914" s="25" t="n">
        <f aca="false">J21940+J21953+J21966+J21979</f>
        <v>0</v>
      </c>
      <c r="K21914" s="25" t="n">
        <f aca="false">K21940+K21953+K21966+K21979</f>
        <v>0</v>
      </c>
    </row>
    <row r="21915" customFormat="false" ht="15" hidden="false" customHeight="false" outlineLevel="0" collapsed="false">
      <c r="A21915" s="5" t="s">
        <v>212</v>
      </c>
      <c r="G21915" s="25" t="n">
        <f aca="false">G21913+G21914</f>
        <v>140.04</v>
      </c>
      <c r="H21915" s="25" t="n">
        <f aca="false">H21913+H21914</f>
        <v>143.8435488</v>
      </c>
      <c r="I21915" s="25" t="n">
        <f aca="false">I21913+I21914</f>
        <v>141.3036768</v>
      </c>
      <c r="J21915" s="25" t="n">
        <f aca="false">J21913+J21914</f>
        <v>140.6380768</v>
      </c>
      <c r="K21915" s="25" t="n">
        <f aca="false">K21913+K21914</f>
        <v>139.9724768</v>
      </c>
    </row>
    <row r="21916" customFormat="false" ht="15" hidden="false" customHeight="false" outlineLevel="0" collapsed="false">
      <c r="A21916" s="2" t="s">
        <v>223</v>
      </c>
      <c r="G21916" s="16" t="n">
        <f aca="false">G21912-G21915</f>
        <v>-162.1008</v>
      </c>
      <c r="H21916" s="16" t="n">
        <f aca="false">H21912-H21915</f>
        <v>-163.0364448</v>
      </c>
      <c r="I21916" s="16" t="n">
        <f aca="false">I21912-I21915</f>
        <v>-159.997557504</v>
      </c>
      <c r="J21916" s="16" t="n">
        <f aca="false">J21912-J21915</f>
        <v>-159.14501869696</v>
      </c>
      <c r="K21916" s="16" t="n">
        <f aca="false">K21912-K21915</f>
        <v>-158.29434927799</v>
      </c>
    </row>
    <row r="21917" customFormat="false" ht="15" hidden="false" customHeight="false" outlineLevel="0" collapsed="false">
      <c r="A21917" s="5" t="s">
        <v>213</v>
      </c>
      <c r="G21917" s="25" t="n">
        <f aca="false">MAX(0,G21916)*Assumptions!$C$9</f>
        <v>0</v>
      </c>
      <c r="H21917" s="25" t="n">
        <f aca="false">MAX(0,H21916)*Assumptions!$C$9</f>
        <v>0</v>
      </c>
      <c r="I21917" s="25" t="n">
        <f aca="false">MAX(0,I21916)*Assumptions!$C$9</f>
        <v>0</v>
      </c>
      <c r="J21917" s="25" t="n">
        <f aca="false">MAX(0,J21916)*Assumptions!$C$9</f>
        <v>0</v>
      </c>
      <c r="K21917" s="25" t="n">
        <f aca="false">MAX(0,K21916)*Assumptions!$C$9</f>
        <v>0</v>
      </c>
    </row>
    <row r="21918" customFormat="false" ht="15" hidden="false" customHeight="false" outlineLevel="0" collapsed="false">
      <c r="A21918" s="2" t="s">
        <v>248</v>
      </c>
      <c r="G21918" s="16" t="n">
        <f aca="false">G21916-G21917</f>
        <v>-162.1008</v>
      </c>
      <c r="H21918" s="16" t="n">
        <f aca="false">H21916-H21917</f>
        <v>-163.0364448</v>
      </c>
      <c r="I21918" s="16" t="n">
        <f aca="false">I21916-I21917</f>
        <v>-159.997557504</v>
      </c>
      <c r="J21918" s="16" t="n">
        <f aca="false">J21916-J21917</f>
        <v>-159.14501869696</v>
      </c>
      <c r="K21918" s="16" t="n">
        <f aca="false">K21916-K21917</f>
        <v>-158.29434927799</v>
      </c>
    </row>
    <row r="21919" customFormat="false" ht="15" hidden="false" customHeight="false" outlineLevel="0" collapsed="false">
      <c r="A21919" s="23" t="s">
        <v>249</v>
      </c>
      <c r="B21919" s="24"/>
      <c r="C21919" s="24"/>
      <c r="D21919" s="24"/>
      <c r="E21919" s="24"/>
      <c r="F21919" s="24"/>
      <c r="G21919" s="24"/>
      <c r="H21919" s="24"/>
      <c r="I21919" s="24"/>
      <c r="J21919" s="24"/>
      <c r="K21919" s="24"/>
    </row>
    <row r="21920" customFormat="false" ht="15" hidden="false" customHeight="false" outlineLevel="0" collapsed="false">
      <c r="A21920" s="5" t="s">
        <v>153</v>
      </c>
      <c r="G21920" s="25" t="n">
        <f aca="false">G21905*CHOOSE($C$21892,Assumptions!$C$69,Assumptions!$C$88,Assumptions!$C$107)</f>
        <v>29.4144</v>
      </c>
      <c r="H21920" s="25" t="n">
        <f aca="false">H21905*CHOOSE($C$21892,Assumptions!$C$69,Assumptions!$C$88,Assumptions!$C$107)</f>
        <v>25.590528</v>
      </c>
      <c r="I21920" s="25" t="n">
        <f aca="false">I21905*CHOOSE($C$21892,Assumptions!$C$69,Assumptions!$C$88,Assumptions!$C$107)</f>
        <v>24.925174272</v>
      </c>
      <c r="J21920" s="25" t="n">
        <f aca="false">J21905*CHOOSE($C$21892,Assumptions!$C$69,Assumptions!$C$88,Assumptions!$C$107)</f>
        <v>24.67592252928</v>
      </c>
      <c r="K21920" s="25" t="n">
        <f aca="false">K21905*CHOOSE($C$21892,Assumptions!$C$69,Assumptions!$C$88,Assumptions!$C$107)</f>
        <v>24.4291633039872</v>
      </c>
    </row>
    <row r="21921" customFormat="false" ht="15" hidden="false" customHeight="false" outlineLevel="0" collapsed="false">
      <c r="A21921" s="5" t="s">
        <v>250</v>
      </c>
      <c r="G21921" s="25" t="n">
        <f aca="false">CHOOSE($C$21892,Assumptions!$C$70,Assumptions!$C$89,Assumptions!$C$108)*(G21905-F21905)+CHOOSE($C$21892,Assumptions!$C$71,Assumptions!$C$90,Assumptions!$C$109)*G21905</f>
        <v>-56.3616</v>
      </c>
      <c r="H21921" s="25" t="n">
        <f aca="false">CHOOSE($C$21892,Assumptions!$C$70,Assumptions!$C$89,Assumptions!$C$108)*(H21905-G21905)+CHOOSE($C$21892,Assumptions!$C$71,Assumptions!$C$90,Assumptions!$C$109)*H21905</f>
        <v>-19.082592</v>
      </c>
      <c r="I21921" s="25" t="n">
        <f aca="false">CHOOSE($C$21892,Assumptions!$C$70,Assumptions!$C$89,Assumptions!$C$108)*(I21905-H21905)+CHOOSE($C$21892,Assumptions!$C$71,Assumptions!$C$90,Assumptions!$C$109)*I21905</f>
        <v>4.35678739199999</v>
      </c>
      <c r="J21921" s="25" t="n">
        <f aca="false">CHOOSE($C$21892,Assumptions!$C$70,Assumptions!$C$89,Assumptions!$C$108)*(J21905-I21905)+CHOOSE($C$21892,Assumptions!$C$71,Assumptions!$C$90,Assumptions!$C$109)*J21905</f>
        <v>7.38408287808</v>
      </c>
      <c r="K21921" s="25" t="n">
        <f aca="false">CHOOSE($C$21892,Assumptions!$C$70,Assumptions!$C$89,Assumptions!$C$108)*(K21905-J21905)+CHOOSE($C$21892,Assumptions!$C$71,Assumptions!$C$90,Assumptions!$C$109)*K21905</f>
        <v>7.3102420492992</v>
      </c>
    </row>
    <row r="21922" customFormat="false" ht="15" hidden="false" customHeight="false" outlineLevel="0" collapsed="false">
      <c r="A21922" s="2" t="s">
        <v>251</v>
      </c>
      <c r="G21922" s="16" t="n">
        <f aca="false">G21918+G21910+G21911+G21914-G21920-G21921</f>
        <v>-94.7088</v>
      </c>
      <c r="H21922" s="16" t="n">
        <f aca="false">H21918+H21910+H21911+H21914-H21920-H21921</f>
        <v>-134.3574048</v>
      </c>
      <c r="I21922" s="16" t="n">
        <f aca="false">I21918+I21910+I21911+I21914-I21920-I21921</f>
        <v>-155.007404544</v>
      </c>
      <c r="J21922" s="16" t="n">
        <f aca="false">J21918+J21910+J21911+J21914-J21920-J21921</f>
        <v>-157.27563062656</v>
      </c>
      <c r="K21922" s="16" t="n">
        <f aca="false">K21918+K21910+K21911+K21914-K21920-K21921</f>
        <v>-156.443655088294</v>
      </c>
    </row>
    <row r="21924" customFormat="false" ht="15" hidden="false" customHeight="false" outlineLevel="0" collapsed="false">
      <c r="A21924" s="23" t="s">
        <v>253</v>
      </c>
      <c r="B21924" s="24"/>
      <c r="C21924" s="24"/>
      <c r="D21924" s="24"/>
      <c r="E21924" s="24"/>
      <c r="F21924" s="24"/>
      <c r="G21924" s="24"/>
      <c r="H21924" s="24"/>
      <c r="I21924" s="24"/>
      <c r="J21924" s="24"/>
      <c r="K21924" s="24"/>
    </row>
    <row r="21925" customFormat="false" ht="15" hidden="false" customHeight="false" outlineLevel="0" collapsed="false">
      <c r="A21925" s="5" t="s">
        <v>254</v>
      </c>
      <c r="G21925" s="29" t="n">
        <f aca="false">Assumptions!$G$49</f>
        <v>0.0425</v>
      </c>
      <c r="H21925" s="29" t="n">
        <f aca="false">Assumptions!$H$49</f>
        <v>0.04</v>
      </c>
      <c r="I21925" s="29" t="n">
        <f aca="false">Assumptions!$I$49</f>
        <v>0.0375</v>
      </c>
      <c r="J21925" s="29" t="n">
        <f aca="false">Assumptions!$J$49</f>
        <v>0.0375</v>
      </c>
      <c r="K21925" s="29" t="n">
        <f aca="false">Assumptions!$K$49</f>
        <v>0.0375</v>
      </c>
    </row>
    <row r="21926" customFormat="false" ht="15" hidden="false" customHeight="false" outlineLevel="0" collapsed="false">
      <c r="A21926" s="5" t="s">
        <v>255</v>
      </c>
      <c r="C21926" s="30" t="n">
        <f aca="false">CHOOSE($C$21892,Assumptions!$C$72,Assumptions!$C$91,Assumptions!$C$110)+$C$21895</f>
        <v>0.03</v>
      </c>
    </row>
    <row r="21927" customFormat="false" ht="15" hidden="false" customHeight="false" outlineLevel="0" collapsed="false">
      <c r="A21927" s="5" t="s">
        <v>256</v>
      </c>
      <c r="C21927" s="30" t="n">
        <f aca="false">CHOOSE($C$21892,Assumptions!$C$73,Assumptions!$C$92,Assumptions!$C$111)</f>
        <v>0.16</v>
      </c>
    </row>
    <row r="21928" customFormat="false" ht="15" hidden="false" customHeight="false" outlineLevel="0" collapsed="false">
      <c r="A21928" s="5" t="s">
        <v>257</v>
      </c>
      <c r="C21928" s="31" t="n">
        <f aca="false">CHOOSE($C$21892,Assumptions!$C$74,Assumptions!$C$93,Assumptions!$C$112)</f>
        <v>5</v>
      </c>
    </row>
    <row r="21929" customFormat="false" ht="15" hidden="false" customHeight="false" outlineLevel="0" collapsed="false">
      <c r="A21929" s="5" t="s">
        <v>258</v>
      </c>
      <c r="C21929" s="31" t="n">
        <f aca="false">CHOOSE($C$21892,Assumptions!$C$75,Assumptions!$C$94,Assumptions!$C$113)</f>
        <v>2</v>
      </c>
    </row>
    <row r="21930" customFormat="false" ht="15" hidden="false" customHeight="false" outlineLevel="0" collapsed="false">
      <c r="A21930" s="5" t="s">
        <v>259</v>
      </c>
      <c r="G21930" s="25" t="n">
        <f aca="false">G21935+G21948+G21961+G21974</f>
        <v>1250</v>
      </c>
      <c r="H21930" s="25" t="n">
        <f aca="false">H21935+H21948+H21961+H21974</f>
        <v>1299.7088</v>
      </c>
      <c r="I21930" s="25" t="n">
        <f aca="false">I21935+I21948+I21961+I21974</f>
        <v>1294.5088</v>
      </c>
      <c r="J21930" s="25" t="n">
        <f aca="false">J21935+J21948+J21961+J21974</f>
        <v>1289.3088</v>
      </c>
      <c r="K21930" s="25" t="n">
        <f aca="false">K21935+K21948+K21961+K21974</f>
        <v>1284.1088</v>
      </c>
    </row>
    <row r="21931" customFormat="false" ht="15" hidden="false" customHeight="false" outlineLevel="0" collapsed="false">
      <c r="A21931" s="5" t="s">
        <v>260</v>
      </c>
      <c r="G21931" s="25" t="n">
        <f aca="false">F22021</f>
        <v>45</v>
      </c>
      <c r="H21931" s="25" t="n">
        <f aca="false">G22021</f>
        <v>0</v>
      </c>
      <c r="I21931" s="25" t="n">
        <f aca="false">H22021</f>
        <v>-139.5574048</v>
      </c>
      <c r="J21931" s="25" t="n">
        <f aca="false">I22021</f>
        <v>-299.764809344</v>
      </c>
      <c r="K21931" s="25" t="n">
        <f aca="false">J22021</f>
        <v>-462.24043997056</v>
      </c>
    </row>
    <row r="21932" customFormat="false" ht="15" hidden="false" customHeight="false" outlineLevel="0" collapsed="false">
      <c r="A21932" s="5" t="s">
        <v>261</v>
      </c>
      <c r="G21932" s="25" t="n">
        <f aca="false">G21935*IF(G21936=1,$C$21927,IF(Assumptions!$I$53=1,MAX(G21925,Assumptions!$G$53)+Assumptions!$F$53+$C$21926,Assumptions!$E$53))+G21948*IF(G21949=1,$C$21927,IF(Assumptions!$I$54=1,MAX(G21925,Assumptions!$G$54)+Assumptions!$F$54+$C$21926,Assumptions!$E$54))+G21961*IF(G21962=1,$C$21927,IF(Assumptions!$I$55=1,MAX(G21925,Assumptions!$G$55)+Assumptions!$F$55+$C$21926,Assumptions!$E$55))+G21974*IF(G21975=1,$C$21927,IF(Assumptions!$I$56=1,MAX(G21925,Assumptions!$G$56)+Assumptions!$F$56+$C$21926,Assumptions!$E$56))</f>
        <v>140.04</v>
      </c>
      <c r="H21932" s="25" t="n">
        <f aca="false">H21935*IF(OR(H21936=1,G22087=1),$C$21927,IF(Assumptions!$I$53=1,MAX(H21925,Assumptions!$G$53)+Assumptions!$F$53+$C$21926,Assumptions!$E$53))+H21948*IF(OR(H21949=1,G22088=1),$C$21927,IF(Assumptions!$I$54=1,MAX(H21925,Assumptions!$G$54)+Assumptions!$F$54+$C$21926,Assumptions!$E$54))+H21961*IF(OR(H21962=1,G22089=1),$C$21927,IF(Assumptions!$I$55=1,MAX(H21925,Assumptions!$G$55)+Assumptions!$F$55+$C$21926,Assumptions!$E$55))+H21974*IF(OR(H21975=1,G22090=1),$C$21927,IF(Assumptions!$I$56=1,MAX(H21925,Assumptions!$G$56)+Assumptions!$F$56+$C$21926,Assumptions!$E$56))</f>
        <v>180.266808</v>
      </c>
      <c r="I21932" s="25" t="n">
        <f aca="false">I21935*IF(OR(I21936=1,H22087=1),$C$21927,IF(Assumptions!$I$53=1,MAX(I21925,Assumptions!$G$53)+Assumptions!$F$53+$C$21926,Assumptions!$E$53))+I21948*IF(OR(I21949=1,H22088=1),$C$21927,IF(Assumptions!$I$54=1,MAX(I21925,Assumptions!$G$54)+Assumptions!$F$54+$C$21926,Assumptions!$E$54))+I21961*IF(OR(I21962=1,H22089=1),$C$21927,IF(Assumptions!$I$55=1,MAX(I21925,Assumptions!$G$55)+Assumptions!$F$55+$C$21926,Assumptions!$E$55))+I21974*IF(OR(I21975=1,H22090=1),$C$21927,IF(Assumptions!$I$56=1,MAX(I21925,Assumptions!$G$56)+Assumptions!$F$56+$C$21926,Assumptions!$E$56))</f>
        <v>157.6108768</v>
      </c>
      <c r="J21932" s="25" t="n">
        <f aca="false">J21935*IF(OR(J21936=1,I22087=1),$C$21927,IF(Assumptions!$I$53=1,MAX(J21925,Assumptions!$G$53)+Assumptions!$F$53+$C$21926,Assumptions!$E$53))+J21948*IF(OR(J21949=1,I22088=1),$C$21927,IF(Assumptions!$I$54=1,MAX(J21925,Assumptions!$G$54)+Assumptions!$F$54+$C$21926,Assumptions!$E$54))+J21961*IF(OR(J21962=1,I22089=1),$C$21927,IF(Assumptions!$I$55=1,MAX(J21925,Assumptions!$G$55)+Assumptions!$F$55+$C$21926,Assumptions!$E$55))+J21974*IF(OR(J21975=1,I22090=1),$C$21927,IF(Assumptions!$I$56=1,MAX(J21925,Assumptions!$G$56)+Assumptions!$F$56+$C$21926,Assumptions!$E$56))</f>
        <v>153.1380768</v>
      </c>
      <c r="K21932" s="25" t="n">
        <f aca="false">K21935*IF(OR(K21936=1,J22087=1),$C$21927,IF(Assumptions!$I$53=1,MAX(K21925,Assumptions!$G$53)+Assumptions!$F$53+$C$21926,Assumptions!$E$53))+K21948*IF(OR(K21949=1,J22088=1),$C$21927,IF(Assumptions!$I$54=1,MAX(K21925,Assumptions!$G$54)+Assumptions!$F$54+$C$21926,Assumptions!$E$54))+K21961*IF(OR(K21962=1,J22089=1),$C$21927,IF(Assumptions!$I$55=1,MAX(K21925,Assumptions!$G$55)+Assumptions!$F$55+$C$21926,Assumptions!$E$55))+K21974*IF(OR(K21975=1,J22090=1),$C$21927,IF(Assumptions!$I$56=1,MAX(K21925,Assumptions!$G$56)+Assumptions!$F$56+$C$21926,Assumptions!$E$56))</f>
        <v>139.9724768</v>
      </c>
    </row>
    <row r="21933" customFormat="false" ht="15" hidden="false" customHeight="false" outlineLevel="0" collapsed="false">
      <c r="A21933" s="5" t="s">
        <v>262</v>
      </c>
      <c r="G21933" s="20" t="n">
        <f aca="false">IF(G21909&lt;=0,0,IF(AND((G21930-G21931)/G21909&lt;=$C$21928,G21909/G21932&gt;=$C$21929),1,0))</f>
        <v>0</v>
      </c>
      <c r="H21933" s="20" t="n">
        <f aca="false">IF(H21909&lt;=0,0,IF(AND((H21930-H21931)/H21909&lt;=$C$21928,H21909/H21932&gt;=$C$21929),1,0))</f>
        <v>0</v>
      </c>
      <c r="I21933" s="20" t="n">
        <f aca="false">IF(I21909&lt;=0,0,IF(AND((I21930-I21931)/I21909&lt;=$C$21928,I21909/I21932&gt;=$C$21929),1,0))</f>
        <v>0</v>
      </c>
      <c r="J21933" s="20" t="n">
        <f aca="false">IF(J21909&lt;=0,0,IF(AND((J21930-J21931)/J21909&lt;=$C$21928,J21909/J21932&gt;=$C$21929),1,0))</f>
        <v>0</v>
      </c>
      <c r="K21933" s="20" t="n">
        <f aca="false">IF(K21909&lt;=0,0,IF(AND((K21930-K21931)/K21909&lt;=$C$21928,K21909/K21932&gt;=$C$21929),1,0))</f>
        <v>0</v>
      </c>
    </row>
    <row r="21934" customFormat="false" ht="15" hidden="false" customHeight="false" outlineLevel="0" collapsed="false">
      <c r="A21934" s="23" t="s">
        <v>263</v>
      </c>
      <c r="B21934" s="24"/>
      <c r="C21934" s="24"/>
      <c r="D21934" s="24"/>
      <c r="E21934" s="24"/>
      <c r="F21934" s="24"/>
      <c r="G21934" s="24"/>
      <c r="H21934" s="24"/>
      <c r="I21934" s="24"/>
      <c r="J21934" s="24"/>
      <c r="K21934" s="24"/>
    </row>
    <row r="21935" customFormat="false" ht="15" hidden="false" customHeight="false" outlineLevel="0" collapsed="false">
      <c r="A21935" s="5" t="s">
        <v>264</v>
      </c>
      <c r="G21935" s="25" t="n">
        <f aca="false">F21946</f>
        <v>180</v>
      </c>
      <c r="H21935" s="25" t="n">
        <f aca="false">G21946</f>
        <v>234.9088</v>
      </c>
      <c r="I21935" s="25" t="n">
        <f aca="false">H21946</f>
        <v>234.9088</v>
      </c>
      <c r="J21935" s="25" t="n">
        <f aca="false">I21946</f>
        <v>234.9088</v>
      </c>
      <c r="K21935" s="25" t="n">
        <f aca="false">J21946</f>
        <v>234.9088</v>
      </c>
    </row>
    <row r="21936" customFormat="false" ht="15" hidden="false" customHeight="false" outlineLevel="0" collapsed="false">
      <c r="A21936" s="5" t="s">
        <v>265</v>
      </c>
      <c r="G21936" s="20" t="n">
        <f aca="false">IF(G21899=Assumptions!$K$53,1,0)</f>
        <v>0</v>
      </c>
      <c r="H21936" s="20" t="n">
        <f aca="false">IF(H21899=Assumptions!$K$53,1,0)</f>
        <v>1</v>
      </c>
      <c r="I21936" s="20" t="n">
        <f aca="false">IF(I21899=Assumptions!$K$53,1,0)</f>
        <v>0</v>
      </c>
      <c r="J21936" s="20" t="n">
        <f aca="false">IF(J21899=Assumptions!$K$53,1,0)</f>
        <v>0</v>
      </c>
      <c r="K21936" s="20" t="n">
        <f aca="false">IF(K21899=Assumptions!$K$53,1,0)</f>
        <v>0</v>
      </c>
    </row>
    <row r="21938" customFormat="false" ht="15" hidden="false" customHeight="false" outlineLevel="0" collapsed="false">
      <c r="A21938" s="5" t="s">
        <v>266</v>
      </c>
      <c r="G21938" s="30" t="n">
        <f aca="false">IF(Assumptions!$I$53=1,MAX(G21925,Assumptions!$G$53)+Assumptions!$F$53+$C$21926,Assumptions!$E$53)</f>
        <v>0.116</v>
      </c>
      <c r="H21938" s="30" t="n">
        <f aca="false">IF(G22087=1,$C$21927,IF(Assumptions!$I$53=1,MAX(H21925,Assumptions!$G$53)+Assumptions!$F$53+$C$21926,Assumptions!$E$53))</f>
        <v>0.1135</v>
      </c>
      <c r="I21938" s="30" t="n">
        <f aca="false">IF(H22087=1,$C$21927,IF(Assumptions!$I$53=1,MAX(I21925,Assumptions!$G$53)+Assumptions!$F$53+$C$21926,Assumptions!$E$53))</f>
        <v>0.111</v>
      </c>
      <c r="J21938" s="30" t="n">
        <f aca="false">IF(I22087=1,$C$21927,IF(Assumptions!$I$53=1,MAX(J21925,Assumptions!$G$53)+Assumptions!$F$53+$C$21926,Assumptions!$E$53))</f>
        <v>0.111</v>
      </c>
      <c r="K21938" s="30" t="n">
        <f aca="false">IF(J22087=1,$C$21927,IF(Assumptions!$I$53=1,MAX(K21925,Assumptions!$G$53)+Assumptions!$F$53+$C$21926,Assumptions!$E$53))</f>
        <v>0.111</v>
      </c>
    </row>
    <row r="21939" customFormat="false" ht="15" hidden="false" customHeight="false" outlineLevel="0" collapsed="false">
      <c r="A21939" s="5" t="s">
        <v>267</v>
      </c>
      <c r="G21939" s="25" t="n">
        <f aca="false">G21935*G21938</f>
        <v>20.88</v>
      </c>
      <c r="H21939" s="25" t="n">
        <f aca="false">H21935*H21938</f>
        <v>26.6621488</v>
      </c>
      <c r="I21939" s="25" t="n">
        <f aca="false">I21935*I21938</f>
        <v>26.0748768</v>
      </c>
      <c r="J21939" s="25" t="n">
        <f aca="false">J21935*J21938</f>
        <v>26.0748768</v>
      </c>
      <c r="K21939" s="25" t="n">
        <f aca="false">K21935*K21938</f>
        <v>26.0748768</v>
      </c>
    </row>
    <row r="21940" customFormat="false" ht="15" hidden="false" customHeight="false" outlineLevel="0" collapsed="false">
      <c r="A21940" s="5" t="s">
        <v>268</v>
      </c>
      <c r="G21940" s="25" t="n">
        <f aca="false">G21935*Assumptions!$H$53</f>
        <v>0</v>
      </c>
      <c r="H21940" s="25" t="n">
        <f aca="false">H21935*Assumptions!$H$53</f>
        <v>0</v>
      </c>
      <c r="I21940" s="25" t="n">
        <f aca="false">I21935*Assumptions!$H$53</f>
        <v>0</v>
      </c>
      <c r="J21940" s="25" t="n">
        <f aca="false">J21935*Assumptions!$H$53</f>
        <v>0</v>
      </c>
      <c r="K21940" s="25" t="n">
        <f aca="false">K21935*Assumptions!$H$53</f>
        <v>0</v>
      </c>
    </row>
    <row r="21941" customFormat="false" ht="15" hidden="false" customHeight="false" outlineLevel="0" collapsed="false">
      <c r="A21941" s="5" t="s">
        <v>269</v>
      </c>
      <c r="G21941" s="25" t="n">
        <f aca="false">MIN(G21935,Assumptions!$L$53*Assumptions!$C$53)</f>
        <v>0</v>
      </c>
      <c r="H21941" s="25" t="n">
        <f aca="false">MIN(H21935,Assumptions!$L$53*Assumptions!$C$53)</f>
        <v>0</v>
      </c>
      <c r="I21941" s="25" t="n">
        <f aca="false">MIN(I21935,Assumptions!$L$53*Assumptions!$C$53)</f>
        <v>0</v>
      </c>
      <c r="J21941" s="25" t="n">
        <f aca="false">MIN(J21935,Assumptions!$L$53*Assumptions!$C$53)</f>
        <v>0</v>
      </c>
      <c r="K21941" s="25" t="n">
        <f aca="false">MIN(K21935,Assumptions!$L$53*Assumptions!$C$53)</f>
        <v>0</v>
      </c>
    </row>
    <row r="21942" customFormat="false" ht="15" hidden="false" customHeight="false" outlineLevel="0" collapsed="false">
      <c r="A21942" s="5" t="s">
        <v>270</v>
      </c>
      <c r="G21942" s="25" t="n">
        <f aca="false">IF(AND(Assumptions!$P$53=1,G21899&lt;Assumptions!$K$53),MIN(MAX(0,-G22013),MAX(0,Assumptions!$D$53-G21935)),0)</f>
        <v>54.9088</v>
      </c>
      <c r="H21942" s="25" t="n">
        <f aca="false">IF(AND(Assumptions!$P$53=1,OR(H21899&lt;Assumptions!$K$53,G22087=1)),MIN(MAX(0,-H22013),MAX(0,Assumptions!$D$53-H21935)),0)</f>
        <v>0</v>
      </c>
      <c r="I21942" s="25" t="n">
        <f aca="false">IF(AND(Assumptions!$P$53=1,OR(I21899&lt;Assumptions!$K$53,H22087=1)),MIN(MAX(0,-I22013),MAX(0,Assumptions!$D$53-I21935)),0)</f>
        <v>0</v>
      </c>
      <c r="J21942" s="25" t="n">
        <f aca="false">IF(AND(Assumptions!$P$53=1,OR(J21899&lt;Assumptions!$K$53,I22087=1)),MIN(MAX(0,-J22013),MAX(0,Assumptions!$D$53-J21935)),0)</f>
        <v>0</v>
      </c>
      <c r="K21942" s="25" t="n">
        <f aca="false">IF(AND(Assumptions!$P$53=1,OR(K21899&lt;Assumptions!$K$53,J22087=1)),MIN(MAX(0,-K22013),MAX(0,Assumptions!$D$53-K21935)),0)</f>
        <v>0</v>
      </c>
    </row>
    <row r="21943" customFormat="false" ht="15" hidden="false" customHeight="false" outlineLevel="0" collapsed="false">
      <c r="A21943" s="5" t="s">
        <v>271</v>
      </c>
      <c r="G21943" s="25" t="n">
        <f aca="false">G21936*MIN(G21935-G21941+G21940,MAX(0,G22015-Assumptions!$C$12*G21933))</f>
        <v>0</v>
      </c>
      <c r="H21943" s="25" t="n">
        <f aca="false">H21936*MIN(H21935-H21941+H21940,MAX(0,H22015-Assumptions!$C$12*H21933))</f>
        <v>0</v>
      </c>
      <c r="I21943" s="25" t="n">
        <f aca="false">I21936*MIN(I21935-I21941+I21940,MAX(0,I22015-Assumptions!$C$12*I21933))</f>
        <v>0</v>
      </c>
      <c r="J21943" s="25" t="n">
        <f aca="false">J21936*MIN(J21935-J21941+J21940,MAX(0,J22015-Assumptions!$C$12*J21933))</f>
        <v>0</v>
      </c>
      <c r="K21943" s="25" t="n">
        <f aca="false">K21936*MIN(K21935-K21941+K21940,MAX(0,K22015-Assumptions!$C$12*K21933))</f>
        <v>0</v>
      </c>
    </row>
    <row r="21944" customFormat="false" ht="15" hidden="false" customHeight="false" outlineLevel="0" collapsed="false">
      <c r="A21944" s="5" t="s">
        <v>272</v>
      </c>
      <c r="G21944" s="25" t="n">
        <f aca="false">Assumptions!$N$53*MIN(G21935+G21942+G21940-G21941-G21943,MAX(0,G22019))</f>
        <v>0</v>
      </c>
      <c r="H21944" s="25" t="n">
        <f aca="false">Assumptions!$N$53*MIN(H21935+H21942+H21940-H21941-H21943,MAX(0,H22019))</f>
        <v>0</v>
      </c>
      <c r="I21944" s="25" t="n">
        <f aca="false">Assumptions!$N$53*MIN(I21935+I21942+I21940-I21941-I21943,MAX(0,I22019))</f>
        <v>0</v>
      </c>
      <c r="J21944" s="25" t="n">
        <f aca="false">Assumptions!$N$53*MIN(J21935+J21942+J21940-J21941-J21943,MAX(0,J22019))</f>
        <v>0</v>
      </c>
      <c r="K21944" s="25" t="n">
        <f aca="false">Assumptions!$N$53*MIN(K21935+K21942+K21940-K21941-K21943,MAX(0,K22019))</f>
        <v>0</v>
      </c>
    </row>
    <row r="21945" customFormat="false" ht="15" hidden="false" customHeight="false" outlineLevel="0" collapsed="false">
      <c r="A21945" s="5" t="s">
        <v>273</v>
      </c>
      <c r="G21945" s="25" t="n">
        <f aca="false">G21936*(1-G21933)*(G21935-G21941+G21940-G21943)</f>
        <v>0</v>
      </c>
      <c r="H21945" s="25" t="n">
        <f aca="false">H21936*(1-H21933)*(H21935-H21941+H21940-H21943)</f>
        <v>234.9088</v>
      </c>
      <c r="I21945" s="25" t="n">
        <f aca="false">I21936*(1-I21933)*(I21935-I21941+I21940-I21943)</f>
        <v>0</v>
      </c>
      <c r="J21945" s="25" t="n">
        <f aca="false">J21936*(1-J21933)*(J21935-J21941+J21940-J21943)</f>
        <v>0</v>
      </c>
      <c r="K21945" s="25" t="n">
        <f aca="false">K21936*(1-K21933)*(K21935-K21941+K21940-K21943)</f>
        <v>0</v>
      </c>
    </row>
    <row r="21946" customFormat="false" ht="15" hidden="false" customHeight="false" outlineLevel="0" collapsed="false">
      <c r="A21946" s="2" t="s">
        <v>274</v>
      </c>
      <c r="F21946" s="27" t="n">
        <f aca="false">Assumptions!$C$53</f>
        <v>180</v>
      </c>
      <c r="G21946" s="16" t="n">
        <f aca="false">G21935+G21942+G21940-G21941-G21943-G21944</f>
        <v>234.9088</v>
      </c>
      <c r="H21946" s="16" t="n">
        <f aca="false">H21935+H21942+H21940-H21941-H21943-H21944</f>
        <v>234.9088</v>
      </c>
      <c r="I21946" s="16" t="n">
        <f aca="false">I21935+I21942+I21940-I21941-I21943-I21944</f>
        <v>234.9088</v>
      </c>
      <c r="J21946" s="16" t="n">
        <f aca="false">J21935+J21942+J21940-J21941-J21943-J21944</f>
        <v>234.9088</v>
      </c>
      <c r="K21946" s="16" t="n">
        <f aca="false">K21935+K21942+K21940-K21941-K21943-K21944</f>
        <v>234.9088</v>
      </c>
    </row>
    <row r="21947" customFormat="false" ht="15" hidden="false" customHeight="false" outlineLevel="0" collapsed="false">
      <c r="A21947" s="23" t="s">
        <v>275</v>
      </c>
      <c r="B21947" s="24"/>
      <c r="C21947" s="24"/>
      <c r="D21947" s="24"/>
      <c r="E21947" s="24"/>
      <c r="F21947" s="24"/>
      <c r="G21947" s="24"/>
      <c r="H21947" s="24"/>
      <c r="I21947" s="24"/>
      <c r="J21947" s="24"/>
      <c r="K21947" s="24"/>
    </row>
    <row r="21948" customFormat="false" ht="15" hidden="false" customHeight="false" outlineLevel="0" collapsed="false">
      <c r="A21948" s="5" t="s">
        <v>264</v>
      </c>
      <c r="G21948" s="25" t="n">
        <f aca="false">F21959</f>
        <v>520</v>
      </c>
      <c r="H21948" s="25" t="n">
        <f aca="false">G21959</f>
        <v>514.8</v>
      </c>
      <c r="I21948" s="25" t="n">
        <f aca="false">H21959</f>
        <v>509.6</v>
      </c>
      <c r="J21948" s="25" t="n">
        <f aca="false">I21959</f>
        <v>504.4</v>
      </c>
      <c r="K21948" s="25" t="n">
        <f aca="false">J21959</f>
        <v>499.2</v>
      </c>
    </row>
    <row r="21949" customFormat="false" ht="15" hidden="false" customHeight="false" outlineLevel="0" collapsed="false">
      <c r="A21949" s="5" t="s">
        <v>265</v>
      </c>
      <c r="G21949" s="20" t="n">
        <f aca="false">IF(G21899=Assumptions!$K$54,1,0)</f>
        <v>0</v>
      </c>
      <c r="H21949" s="20" t="n">
        <f aca="false">IF(H21899=Assumptions!$K$54,1,0)</f>
        <v>0</v>
      </c>
      <c r="I21949" s="20" t="n">
        <f aca="false">IF(I21899=Assumptions!$K$54,1,0)</f>
        <v>1</v>
      </c>
      <c r="J21949" s="20" t="n">
        <f aca="false">IF(J21899=Assumptions!$K$54,1,0)</f>
        <v>0</v>
      </c>
      <c r="K21949" s="20" t="n">
        <f aca="false">IF(K21899=Assumptions!$K$54,1,0)</f>
        <v>0</v>
      </c>
    </row>
    <row r="21951" customFormat="false" ht="15" hidden="false" customHeight="false" outlineLevel="0" collapsed="false">
      <c r="A21951" s="5" t="s">
        <v>266</v>
      </c>
      <c r="G21951" s="30" t="n">
        <f aca="false">IF(Assumptions!$I$54=1,MAX(G21925,Assumptions!$G$54)+Assumptions!$F$54+$C$21926,Assumptions!$E$54)</f>
        <v>0.133</v>
      </c>
      <c r="H21951" s="30" t="n">
        <f aca="false">IF(G22088=1,$C$21927,IF(Assumptions!$I$54=1,MAX(H21925,Assumptions!$G$54)+Assumptions!$F$54+$C$21926,Assumptions!$E$54))</f>
        <v>0.1305</v>
      </c>
      <c r="I21951" s="30" t="n">
        <f aca="false">IF(H22088=1,$C$21927,IF(Assumptions!$I$54=1,MAX(I21925,Assumptions!$G$54)+Assumptions!$F$54+$C$21926,Assumptions!$E$54))</f>
        <v>0.128</v>
      </c>
      <c r="J21951" s="30" t="n">
        <f aca="false">IF(I22088=1,$C$21927,IF(Assumptions!$I$54=1,MAX(J21925,Assumptions!$G$54)+Assumptions!$F$54+$C$21926,Assumptions!$E$54))</f>
        <v>0.128</v>
      </c>
      <c r="K21951" s="30" t="n">
        <f aca="false">IF(J22088=1,$C$21927,IF(Assumptions!$I$54=1,MAX(K21925,Assumptions!$G$54)+Assumptions!$F$54+$C$21926,Assumptions!$E$54))</f>
        <v>0.128</v>
      </c>
    </row>
    <row r="21952" customFormat="false" ht="15" hidden="false" customHeight="false" outlineLevel="0" collapsed="false">
      <c r="A21952" s="5" t="s">
        <v>267</v>
      </c>
      <c r="G21952" s="25" t="n">
        <f aca="false">G21948*G21951</f>
        <v>69.16</v>
      </c>
      <c r="H21952" s="25" t="n">
        <f aca="false">H21948*H21951</f>
        <v>67.1814</v>
      </c>
      <c r="I21952" s="25" t="n">
        <f aca="false">I21948*I21951</f>
        <v>65.2288</v>
      </c>
      <c r="J21952" s="25" t="n">
        <f aca="false">J21948*J21951</f>
        <v>64.5632</v>
      </c>
      <c r="K21952" s="25" t="n">
        <f aca="false">K21948*K21951</f>
        <v>63.8976</v>
      </c>
    </row>
    <row r="21953" customFormat="false" ht="15" hidden="false" customHeight="false" outlineLevel="0" collapsed="false">
      <c r="A21953" s="5" t="s">
        <v>268</v>
      </c>
      <c r="G21953" s="25" t="n">
        <f aca="false">G21948*Assumptions!$H$54</f>
        <v>0</v>
      </c>
      <c r="H21953" s="25" t="n">
        <f aca="false">H21948*Assumptions!$H$54</f>
        <v>0</v>
      </c>
      <c r="I21953" s="25" t="n">
        <f aca="false">I21948*Assumptions!$H$54</f>
        <v>0</v>
      </c>
      <c r="J21953" s="25" t="n">
        <f aca="false">J21948*Assumptions!$H$54</f>
        <v>0</v>
      </c>
      <c r="K21953" s="25" t="n">
        <f aca="false">K21948*Assumptions!$H$54</f>
        <v>0</v>
      </c>
    </row>
    <row r="21954" customFormat="false" ht="15" hidden="false" customHeight="false" outlineLevel="0" collapsed="false">
      <c r="A21954" s="5" t="s">
        <v>269</v>
      </c>
      <c r="G21954" s="25" t="n">
        <f aca="false">MIN(G21948,Assumptions!$L$54*Assumptions!$C$54)</f>
        <v>5.2</v>
      </c>
      <c r="H21954" s="25" t="n">
        <f aca="false">MIN(H21948,Assumptions!$L$54*Assumptions!$C$54)</f>
        <v>5.2</v>
      </c>
      <c r="I21954" s="25" t="n">
        <f aca="false">MIN(I21948,Assumptions!$L$54*Assumptions!$C$54)</f>
        <v>5.2</v>
      </c>
      <c r="J21954" s="25" t="n">
        <f aca="false">MIN(J21948,Assumptions!$L$54*Assumptions!$C$54)</f>
        <v>5.2</v>
      </c>
      <c r="K21954" s="25" t="n">
        <f aca="false">MIN(K21948,Assumptions!$L$54*Assumptions!$C$54)</f>
        <v>5.2</v>
      </c>
    </row>
    <row r="21955" customFormat="false" ht="15" hidden="false" customHeight="false" outlineLevel="0" collapsed="false">
      <c r="A21955" s="5" t="s">
        <v>270</v>
      </c>
      <c r="G21955" s="25" t="n">
        <f aca="false">IF(AND(Assumptions!$P$54=1,G21899&lt;Assumptions!$K$54),MIN(MAX(0,-G22013),MAX(0,Assumptions!$D$54-G21948)),0)</f>
        <v>0</v>
      </c>
      <c r="H21955" s="25" t="n">
        <f aca="false">IF(AND(Assumptions!$P$54=1,OR(H21899&lt;Assumptions!$K$54,G22088=1)),MIN(MAX(0,-H22013),MAX(0,Assumptions!$D$54-H21948)),0)</f>
        <v>0</v>
      </c>
      <c r="I21955" s="25" t="n">
        <f aca="false">IF(AND(Assumptions!$P$54=1,OR(I21899&lt;Assumptions!$K$54,H22088=1)),MIN(MAX(0,-I22013),MAX(0,Assumptions!$D$54-I21948)),0)</f>
        <v>0</v>
      </c>
      <c r="J21955" s="25" t="n">
        <f aca="false">IF(AND(Assumptions!$P$54=1,OR(J21899&lt;Assumptions!$K$54,I22088=1)),MIN(MAX(0,-J22013),MAX(0,Assumptions!$D$54-J21948)),0)</f>
        <v>0</v>
      </c>
      <c r="K21955" s="25" t="n">
        <f aca="false">IF(AND(Assumptions!$P$54=1,OR(K21899&lt;Assumptions!$K$54,J22088=1)),MIN(MAX(0,-K22013),MAX(0,Assumptions!$D$54-K21948)),0)</f>
        <v>0</v>
      </c>
    </row>
    <row r="21956" customFormat="false" ht="15" hidden="false" customHeight="false" outlineLevel="0" collapsed="false">
      <c r="A21956" s="5" t="s">
        <v>271</v>
      </c>
      <c r="G21956" s="25" t="n">
        <f aca="false">G21949*MIN(G21948-G21954+G21953,MAX(0,G22015-Assumptions!$C$12*G21933-G21943))</f>
        <v>0</v>
      </c>
      <c r="H21956" s="25" t="n">
        <f aca="false">H21949*MIN(H21948-H21954+H21953,MAX(0,H22015-Assumptions!$C$12*H21933-H21943))</f>
        <v>0</v>
      </c>
      <c r="I21956" s="25" t="n">
        <f aca="false">I21949*MIN(I21948-I21954+I21953,MAX(0,I22015-Assumptions!$C$12*I21933-I21943))</f>
        <v>0</v>
      </c>
      <c r="J21956" s="25" t="n">
        <f aca="false">J21949*MIN(J21948-J21954+J21953,MAX(0,J22015-Assumptions!$C$12*J21933-J21943))</f>
        <v>0</v>
      </c>
      <c r="K21956" s="25" t="n">
        <f aca="false">K21949*MIN(K21948-K21954+K21953,MAX(0,K22015-Assumptions!$C$12*K21933-K21943))</f>
        <v>0</v>
      </c>
    </row>
    <row r="21957" customFormat="false" ht="15" hidden="false" customHeight="false" outlineLevel="0" collapsed="false">
      <c r="A21957" s="5" t="s">
        <v>272</v>
      </c>
      <c r="G21957" s="25" t="n">
        <f aca="false">Assumptions!$N$54*MIN(G21948+G21955+G21953-G21954-G21956,MAX(0,G22019-G21944))</f>
        <v>0</v>
      </c>
      <c r="H21957" s="25" t="n">
        <f aca="false">Assumptions!$N$54*MIN(H21948+H21955+H21953-H21954-H21956,MAX(0,H22019-H21944))</f>
        <v>0</v>
      </c>
      <c r="I21957" s="25" t="n">
        <f aca="false">Assumptions!$N$54*MIN(I21948+I21955+I21953-I21954-I21956,MAX(0,I22019-I21944))</f>
        <v>0</v>
      </c>
      <c r="J21957" s="25" t="n">
        <f aca="false">Assumptions!$N$54*MIN(J21948+J21955+J21953-J21954-J21956,MAX(0,J22019-J21944))</f>
        <v>0</v>
      </c>
      <c r="K21957" s="25" t="n">
        <f aca="false">Assumptions!$N$54*MIN(K21948+K21955+K21953-K21954-K21956,MAX(0,K22019-K21944))</f>
        <v>0</v>
      </c>
    </row>
    <row r="21958" customFormat="false" ht="15" hidden="false" customHeight="false" outlineLevel="0" collapsed="false">
      <c r="A21958" s="5" t="s">
        <v>273</v>
      </c>
      <c r="G21958" s="25" t="n">
        <f aca="false">G21949*(1-G21933)*(G21948-G21954+G21953-G21956)</f>
        <v>0</v>
      </c>
      <c r="H21958" s="25" t="n">
        <f aca="false">H21949*(1-H21933)*(H21948-H21954+H21953-H21956)</f>
        <v>0</v>
      </c>
      <c r="I21958" s="25" t="n">
        <f aca="false">I21949*(1-I21933)*(I21948-I21954+I21953-I21956)</f>
        <v>504.4</v>
      </c>
      <c r="J21958" s="25" t="n">
        <f aca="false">J21949*(1-J21933)*(J21948-J21954+J21953-J21956)</f>
        <v>0</v>
      </c>
      <c r="K21958" s="25" t="n">
        <f aca="false">K21949*(1-K21933)*(K21948-K21954+K21953-K21956)</f>
        <v>0</v>
      </c>
    </row>
    <row r="21959" customFormat="false" ht="15" hidden="false" customHeight="false" outlineLevel="0" collapsed="false">
      <c r="A21959" s="2" t="s">
        <v>274</v>
      </c>
      <c r="F21959" s="27" t="n">
        <f aca="false">Assumptions!$C$54</f>
        <v>520</v>
      </c>
      <c r="G21959" s="16" t="n">
        <f aca="false">G21948+G21955+G21953-G21954-G21956-G21957</f>
        <v>514.8</v>
      </c>
      <c r="H21959" s="16" t="n">
        <f aca="false">H21948+H21955+H21953-H21954-H21956-H21957</f>
        <v>509.6</v>
      </c>
      <c r="I21959" s="16" t="n">
        <f aca="false">I21948+I21955+I21953-I21954-I21956-I21957</f>
        <v>504.4</v>
      </c>
      <c r="J21959" s="16" t="n">
        <f aca="false">J21948+J21955+J21953-J21954-J21956-J21957</f>
        <v>499.2</v>
      </c>
      <c r="K21959" s="16" t="n">
        <f aca="false">K21948+K21955+K21953-K21954-K21956-K21957</f>
        <v>494</v>
      </c>
    </row>
    <row r="21960" customFormat="false" ht="15" hidden="false" customHeight="false" outlineLevel="0" collapsed="false">
      <c r="A21960" s="23" t="s">
        <v>276</v>
      </c>
      <c r="B21960" s="24"/>
      <c r="C21960" s="24"/>
      <c r="D21960" s="24"/>
      <c r="E21960" s="24"/>
      <c r="F21960" s="24"/>
      <c r="G21960" s="24"/>
      <c r="H21960" s="24"/>
      <c r="I21960" s="24"/>
      <c r="J21960" s="24"/>
      <c r="K21960" s="24"/>
    </row>
    <row r="21961" customFormat="false" ht="15" hidden="false" customHeight="false" outlineLevel="0" collapsed="false">
      <c r="A21961" s="5" t="s">
        <v>264</v>
      </c>
      <c r="G21961" s="25" t="n">
        <f aca="false">F21972</f>
        <v>250</v>
      </c>
      <c r="H21961" s="25" t="n">
        <f aca="false">G21972</f>
        <v>250</v>
      </c>
      <c r="I21961" s="25" t="n">
        <f aca="false">H21972</f>
        <v>250</v>
      </c>
      <c r="J21961" s="25" t="n">
        <f aca="false">I21972</f>
        <v>250</v>
      </c>
      <c r="K21961" s="25" t="n">
        <f aca="false">J21972</f>
        <v>250</v>
      </c>
    </row>
    <row r="21962" customFormat="false" ht="15" hidden="false" customHeight="false" outlineLevel="0" collapsed="false">
      <c r="A21962" s="5" t="s">
        <v>265</v>
      </c>
      <c r="G21962" s="20" t="n">
        <f aca="false">IF(G21899=Assumptions!$K$55,1,0)</f>
        <v>0</v>
      </c>
      <c r="H21962" s="20" t="n">
        <f aca="false">IF(H21899=Assumptions!$K$55,1,0)</f>
        <v>0</v>
      </c>
      <c r="I21962" s="20" t="n">
        <f aca="false">IF(I21899=Assumptions!$K$55,1,0)</f>
        <v>0</v>
      </c>
      <c r="J21962" s="20" t="n">
        <f aca="false">IF(J21899=Assumptions!$K$55,1,0)</f>
        <v>1</v>
      </c>
      <c r="K21962" s="20" t="n">
        <f aca="false">IF(K21899=Assumptions!$K$55,1,0)</f>
        <v>0</v>
      </c>
    </row>
    <row r="21964" customFormat="false" ht="15" hidden="false" customHeight="false" outlineLevel="0" collapsed="false">
      <c r="A21964" s="5" t="s">
        <v>266</v>
      </c>
      <c r="G21964" s="30" t="n">
        <f aca="false">IF(Assumptions!$I$55=1,MAX(G21925,Assumptions!$G$55)+Assumptions!$F$55+$C$21926,Assumptions!$E$55)</f>
        <v>0.11</v>
      </c>
      <c r="H21964" s="30" t="n">
        <f aca="false">IF(G22089=1,$C$21927,IF(Assumptions!$I$55=1,MAX(H21925,Assumptions!$G$55)+Assumptions!$F$55+$C$21926,Assumptions!$E$55))</f>
        <v>0.11</v>
      </c>
      <c r="I21964" s="30" t="n">
        <f aca="false">IF(H22089=1,$C$21927,IF(Assumptions!$I$55=1,MAX(I21925,Assumptions!$G$55)+Assumptions!$F$55+$C$21926,Assumptions!$E$55))</f>
        <v>0.11</v>
      </c>
      <c r="J21964" s="30" t="n">
        <f aca="false">IF(I22089=1,$C$21927,IF(Assumptions!$I$55=1,MAX(J21925,Assumptions!$G$55)+Assumptions!$F$55+$C$21926,Assumptions!$E$55))</f>
        <v>0.11</v>
      </c>
      <c r="K21964" s="30" t="n">
        <f aca="false">IF(J22089=1,$C$21927,IF(Assumptions!$I$55=1,MAX(K21925,Assumptions!$G$55)+Assumptions!$F$55+$C$21926,Assumptions!$E$55))</f>
        <v>0.11</v>
      </c>
    </row>
    <row r="21965" customFormat="false" ht="15" hidden="false" customHeight="false" outlineLevel="0" collapsed="false">
      <c r="A21965" s="5" t="s">
        <v>267</v>
      </c>
      <c r="G21965" s="25" t="n">
        <f aca="false">G21961*G21964</f>
        <v>27.5</v>
      </c>
      <c r="H21965" s="25" t="n">
        <f aca="false">H21961*H21964</f>
        <v>27.5</v>
      </c>
      <c r="I21965" s="25" t="n">
        <f aca="false">I21961*I21964</f>
        <v>27.5</v>
      </c>
      <c r="J21965" s="25" t="n">
        <f aca="false">J21961*J21964</f>
        <v>27.5</v>
      </c>
      <c r="K21965" s="25" t="n">
        <f aca="false">K21961*K21964</f>
        <v>27.5</v>
      </c>
    </row>
    <row r="21966" customFormat="false" ht="15" hidden="false" customHeight="false" outlineLevel="0" collapsed="false">
      <c r="A21966" s="5" t="s">
        <v>268</v>
      </c>
      <c r="G21966" s="25" t="n">
        <f aca="false">G21961*Assumptions!$H$55</f>
        <v>0</v>
      </c>
      <c r="H21966" s="25" t="n">
        <f aca="false">H21961*Assumptions!$H$55</f>
        <v>0</v>
      </c>
      <c r="I21966" s="25" t="n">
        <f aca="false">I21961*Assumptions!$H$55</f>
        <v>0</v>
      </c>
      <c r="J21966" s="25" t="n">
        <f aca="false">J21961*Assumptions!$H$55</f>
        <v>0</v>
      </c>
      <c r="K21966" s="25" t="n">
        <f aca="false">K21961*Assumptions!$H$55</f>
        <v>0</v>
      </c>
    </row>
    <row r="21967" customFormat="false" ht="15" hidden="false" customHeight="false" outlineLevel="0" collapsed="false">
      <c r="A21967" s="5" t="s">
        <v>269</v>
      </c>
      <c r="G21967" s="25" t="n">
        <f aca="false">MIN(G21961,Assumptions!$L$55*Assumptions!$C$55)</f>
        <v>0</v>
      </c>
      <c r="H21967" s="25" t="n">
        <f aca="false">MIN(H21961,Assumptions!$L$55*Assumptions!$C$55)</f>
        <v>0</v>
      </c>
      <c r="I21967" s="25" t="n">
        <f aca="false">MIN(I21961,Assumptions!$L$55*Assumptions!$C$55)</f>
        <v>0</v>
      </c>
      <c r="J21967" s="25" t="n">
        <f aca="false">MIN(J21961,Assumptions!$L$55*Assumptions!$C$55)</f>
        <v>0</v>
      </c>
      <c r="K21967" s="25" t="n">
        <f aca="false">MIN(K21961,Assumptions!$L$55*Assumptions!$C$55)</f>
        <v>0</v>
      </c>
    </row>
    <row r="21968" customFormat="false" ht="15" hidden="false" customHeight="false" outlineLevel="0" collapsed="false">
      <c r="A21968" s="5" t="s">
        <v>270</v>
      </c>
      <c r="G21968" s="25" t="n">
        <f aca="false">IF(AND(Assumptions!$P$55=1,G21899&lt;Assumptions!$K$55),MIN(MAX(0,-G22013),MAX(0,Assumptions!$D$55-G21961)),0)</f>
        <v>0</v>
      </c>
      <c r="H21968" s="25" t="n">
        <f aca="false">IF(AND(Assumptions!$P$55=1,OR(H21899&lt;Assumptions!$K$55,G22089=1)),MIN(MAX(0,-H22013),MAX(0,Assumptions!$D$55-H21961)),0)</f>
        <v>0</v>
      </c>
      <c r="I21968" s="25" t="n">
        <f aca="false">IF(AND(Assumptions!$P$55=1,OR(I21899&lt;Assumptions!$K$55,H22089=1)),MIN(MAX(0,-I22013),MAX(0,Assumptions!$D$55-I21961)),0)</f>
        <v>0</v>
      </c>
      <c r="J21968" s="25" t="n">
        <f aca="false">IF(AND(Assumptions!$P$55=1,OR(J21899&lt;Assumptions!$K$55,I22089=1)),MIN(MAX(0,-J22013),MAX(0,Assumptions!$D$55-J21961)),0)</f>
        <v>0</v>
      </c>
      <c r="K21968" s="25" t="n">
        <f aca="false">IF(AND(Assumptions!$P$55=1,OR(K21899&lt;Assumptions!$K$55,J22089=1)),MIN(MAX(0,-K22013),MAX(0,Assumptions!$D$55-K21961)),0)</f>
        <v>0</v>
      </c>
    </row>
    <row r="21969" customFormat="false" ht="15" hidden="false" customHeight="false" outlineLevel="0" collapsed="false">
      <c r="A21969" s="5" t="s">
        <v>271</v>
      </c>
      <c r="G21969" s="25" t="n">
        <f aca="false">G21962*MIN(G21961-G21967+G21966,MAX(0,G22015-Assumptions!$C$12*G21933-G21943-G21956))</f>
        <v>0</v>
      </c>
      <c r="H21969" s="25" t="n">
        <f aca="false">H21962*MIN(H21961-H21967+H21966,MAX(0,H22015-Assumptions!$C$12*H21933-H21943-H21956))</f>
        <v>0</v>
      </c>
      <c r="I21969" s="25" t="n">
        <f aca="false">I21962*MIN(I21961-I21967+I21966,MAX(0,I22015-Assumptions!$C$12*I21933-I21943-I21956))</f>
        <v>0</v>
      </c>
      <c r="J21969" s="25" t="n">
        <f aca="false">J21962*MIN(J21961-J21967+J21966,MAX(0,J22015-Assumptions!$C$12*J21933-J21943-J21956))</f>
        <v>0</v>
      </c>
      <c r="K21969" s="25" t="n">
        <f aca="false">K21962*MIN(K21961-K21967+K21966,MAX(0,K22015-Assumptions!$C$12*K21933-K21943-K21956))</f>
        <v>0</v>
      </c>
    </row>
    <row r="21970" customFormat="false" ht="15" hidden="false" customHeight="false" outlineLevel="0" collapsed="false">
      <c r="A21970" s="5" t="s">
        <v>272</v>
      </c>
      <c r="G21970" s="25" t="n">
        <f aca="false">Assumptions!$N$55*MIN(G21961+G21968+G21966-G21967-G21969,MAX(0,G22019-G21944-G21957))</f>
        <v>0</v>
      </c>
      <c r="H21970" s="25" t="n">
        <f aca="false">Assumptions!$N$55*MIN(H21961+H21968+H21966-H21967-H21969,MAX(0,H22019-H21944-H21957))</f>
        <v>0</v>
      </c>
      <c r="I21970" s="25" t="n">
        <f aca="false">Assumptions!$N$55*MIN(I21961+I21968+I21966-I21967-I21969,MAX(0,I22019-I21944-I21957))</f>
        <v>0</v>
      </c>
      <c r="J21970" s="25" t="n">
        <f aca="false">Assumptions!$N$55*MIN(J21961+J21968+J21966-J21967-J21969,MAX(0,J22019-J21944-J21957))</f>
        <v>0</v>
      </c>
      <c r="K21970" s="25" t="n">
        <f aca="false">Assumptions!$N$55*MIN(K21961+K21968+K21966-K21967-K21969,MAX(0,K22019-K21944-K21957))</f>
        <v>0</v>
      </c>
    </row>
    <row r="21971" customFormat="false" ht="15" hidden="false" customHeight="false" outlineLevel="0" collapsed="false">
      <c r="A21971" s="5" t="s">
        <v>273</v>
      </c>
      <c r="G21971" s="25" t="n">
        <f aca="false">G21962*(1-G21933)*(G21961-G21967+G21966-G21969)</f>
        <v>0</v>
      </c>
      <c r="H21971" s="25" t="n">
        <f aca="false">H21962*(1-H21933)*(H21961-H21967+H21966-H21969)</f>
        <v>0</v>
      </c>
      <c r="I21971" s="25" t="n">
        <f aca="false">I21962*(1-I21933)*(I21961-I21967+I21966-I21969)</f>
        <v>0</v>
      </c>
      <c r="J21971" s="25" t="n">
        <f aca="false">J21962*(1-J21933)*(J21961-J21967+J21966-J21969)</f>
        <v>250</v>
      </c>
      <c r="K21971" s="25" t="n">
        <f aca="false">K21962*(1-K21933)*(K21961-K21967+K21966-K21969)</f>
        <v>0</v>
      </c>
    </row>
    <row r="21972" customFormat="false" ht="15" hidden="false" customHeight="false" outlineLevel="0" collapsed="false">
      <c r="A21972" s="2" t="s">
        <v>274</v>
      </c>
      <c r="F21972" s="27" t="n">
        <f aca="false">Assumptions!$C$55</f>
        <v>250</v>
      </c>
      <c r="G21972" s="16" t="n">
        <f aca="false">G21961+G21968+G21966-G21967-G21969-G21970</f>
        <v>250</v>
      </c>
      <c r="H21972" s="16" t="n">
        <f aca="false">H21961+H21968+H21966-H21967-H21969-H21970</f>
        <v>250</v>
      </c>
      <c r="I21972" s="16" t="n">
        <f aca="false">I21961+I21968+I21966-I21967-I21969-I21970</f>
        <v>250</v>
      </c>
      <c r="J21972" s="16" t="n">
        <f aca="false">J21961+J21968+J21966-J21967-J21969-J21970</f>
        <v>250</v>
      </c>
      <c r="K21972" s="16" t="n">
        <f aca="false">K21961+K21968+K21966-K21967-K21969-K21970</f>
        <v>250</v>
      </c>
    </row>
    <row r="21973" customFormat="false" ht="15" hidden="false" customHeight="false" outlineLevel="0" collapsed="false">
      <c r="A21973" s="23" t="s">
        <v>277</v>
      </c>
      <c r="B21973" s="24"/>
      <c r="C21973" s="24"/>
      <c r="D21973" s="24"/>
      <c r="E21973" s="24"/>
      <c r="F21973" s="24"/>
      <c r="G21973" s="24"/>
      <c r="H21973" s="24"/>
      <c r="I21973" s="24"/>
      <c r="J21973" s="24"/>
      <c r="K21973" s="24"/>
    </row>
    <row r="21974" customFormat="false" ht="15" hidden="false" customHeight="false" outlineLevel="0" collapsed="false">
      <c r="A21974" s="5" t="s">
        <v>264</v>
      </c>
      <c r="G21974" s="25" t="n">
        <f aca="false">F21985</f>
        <v>300</v>
      </c>
      <c r="H21974" s="25" t="n">
        <f aca="false">G21985</f>
        <v>300</v>
      </c>
      <c r="I21974" s="25" t="n">
        <f aca="false">H21985</f>
        <v>300</v>
      </c>
      <c r="J21974" s="25" t="n">
        <f aca="false">I21985</f>
        <v>300</v>
      </c>
      <c r="K21974" s="25" t="n">
        <f aca="false">J21985</f>
        <v>300</v>
      </c>
    </row>
    <row r="21975" customFormat="false" ht="15" hidden="false" customHeight="false" outlineLevel="0" collapsed="false">
      <c r="A21975" s="5" t="s">
        <v>265</v>
      </c>
      <c r="G21975" s="20" t="n">
        <f aca="false">IF(G21899=Assumptions!$K$56,1,0)</f>
        <v>0</v>
      </c>
      <c r="H21975" s="20" t="n">
        <f aca="false">IF(H21899=Assumptions!$K$56,1,0)</f>
        <v>1</v>
      </c>
      <c r="I21975" s="20" t="n">
        <f aca="false">IF(I21899=Assumptions!$K$56,1,0)</f>
        <v>0</v>
      </c>
      <c r="J21975" s="20" t="n">
        <f aca="false">IF(J21899=Assumptions!$K$56,1,0)</f>
        <v>0</v>
      </c>
      <c r="K21975" s="20" t="n">
        <f aca="false">IF(K21899=Assumptions!$K$56,1,0)</f>
        <v>0</v>
      </c>
    </row>
    <row r="21977" customFormat="false" ht="15" hidden="false" customHeight="false" outlineLevel="0" collapsed="false">
      <c r="A21977" s="5" t="s">
        <v>266</v>
      </c>
      <c r="G21977" s="30" t="n">
        <f aca="false">IF(Assumptions!$I$56=1,MAX(G21925,Assumptions!$G$56)+Assumptions!$F$56+$C$21926,Assumptions!$E$56)</f>
        <v>0.075</v>
      </c>
      <c r="H21977" s="30" t="n">
        <f aca="false">IF(G22090=1,$C$21927,IF(Assumptions!$I$56=1,MAX(H21925,Assumptions!$G$56)+Assumptions!$F$56+$C$21926,Assumptions!$E$56))</f>
        <v>0.075</v>
      </c>
      <c r="I21977" s="30" t="n">
        <f aca="false">IF(H22090=1,$C$21927,IF(Assumptions!$I$56=1,MAX(I21925,Assumptions!$G$56)+Assumptions!$F$56+$C$21926,Assumptions!$E$56))</f>
        <v>0.075</v>
      </c>
      <c r="J21977" s="30" t="n">
        <f aca="false">IF(I22090=1,$C$21927,IF(Assumptions!$I$56=1,MAX(J21925,Assumptions!$G$56)+Assumptions!$F$56+$C$21926,Assumptions!$E$56))</f>
        <v>0.075</v>
      </c>
      <c r="K21977" s="30" t="n">
        <f aca="false">IF(J22090=1,$C$21927,IF(Assumptions!$I$56=1,MAX(K21925,Assumptions!$G$56)+Assumptions!$F$56+$C$21926,Assumptions!$E$56))</f>
        <v>0.075</v>
      </c>
    </row>
    <row r="21978" customFormat="false" ht="15" hidden="false" customHeight="false" outlineLevel="0" collapsed="false">
      <c r="A21978" s="5" t="s">
        <v>267</v>
      </c>
      <c r="G21978" s="25" t="n">
        <f aca="false">G21974*G21977</f>
        <v>22.5</v>
      </c>
      <c r="H21978" s="25" t="n">
        <f aca="false">H21974*H21977</f>
        <v>22.5</v>
      </c>
      <c r="I21978" s="25" t="n">
        <f aca="false">I21974*I21977</f>
        <v>22.5</v>
      </c>
      <c r="J21978" s="25" t="n">
        <f aca="false">J21974*J21977</f>
        <v>22.5</v>
      </c>
      <c r="K21978" s="25" t="n">
        <f aca="false">K21974*K21977</f>
        <v>22.5</v>
      </c>
    </row>
    <row r="21979" customFormat="false" ht="15" hidden="false" customHeight="false" outlineLevel="0" collapsed="false">
      <c r="A21979" s="5" t="s">
        <v>268</v>
      </c>
      <c r="G21979" s="25" t="n">
        <f aca="false">G21974*Assumptions!$H$56</f>
        <v>0</v>
      </c>
      <c r="H21979" s="25" t="n">
        <f aca="false">H21974*Assumptions!$H$56</f>
        <v>0</v>
      </c>
      <c r="I21979" s="25" t="n">
        <f aca="false">I21974*Assumptions!$H$56</f>
        <v>0</v>
      </c>
      <c r="J21979" s="25" t="n">
        <f aca="false">J21974*Assumptions!$H$56</f>
        <v>0</v>
      </c>
      <c r="K21979" s="25" t="n">
        <f aca="false">K21974*Assumptions!$H$56</f>
        <v>0</v>
      </c>
    </row>
    <row r="21980" customFormat="false" ht="15" hidden="false" customHeight="false" outlineLevel="0" collapsed="false">
      <c r="A21980" s="5" t="s">
        <v>269</v>
      </c>
      <c r="G21980" s="25" t="n">
        <f aca="false">MIN(G21974,Assumptions!$L$56*Assumptions!$C$56)</f>
        <v>0</v>
      </c>
      <c r="H21980" s="25" t="n">
        <f aca="false">MIN(H21974,Assumptions!$L$56*Assumptions!$C$56)</f>
        <v>0</v>
      </c>
      <c r="I21980" s="25" t="n">
        <f aca="false">MIN(I21974,Assumptions!$L$56*Assumptions!$C$56)</f>
        <v>0</v>
      </c>
      <c r="J21980" s="25" t="n">
        <f aca="false">MIN(J21974,Assumptions!$L$56*Assumptions!$C$56)</f>
        <v>0</v>
      </c>
      <c r="K21980" s="25" t="n">
        <f aca="false">MIN(K21974,Assumptions!$L$56*Assumptions!$C$56)</f>
        <v>0</v>
      </c>
    </row>
    <row r="21981" customFormat="false" ht="15" hidden="false" customHeight="false" outlineLevel="0" collapsed="false">
      <c r="A21981" s="5" t="s">
        <v>270</v>
      </c>
      <c r="G21981" s="25" t="n">
        <f aca="false">IF(AND(Assumptions!$P$56=1,G21899&lt;Assumptions!$K$56),MIN(MAX(0,-G22013),MAX(0,Assumptions!$D$56-G21974)),0)</f>
        <v>0</v>
      </c>
      <c r="H21981" s="25" t="n">
        <f aca="false">IF(AND(Assumptions!$P$56=1,OR(H21899&lt;Assumptions!$K$56,G22090=1)),MIN(MAX(0,-H22013),MAX(0,Assumptions!$D$56-H21974)),0)</f>
        <v>0</v>
      </c>
      <c r="I21981" s="25" t="n">
        <f aca="false">IF(AND(Assumptions!$P$56=1,OR(I21899&lt;Assumptions!$K$56,H22090=1)),MIN(MAX(0,-I22013),MAX(0,Assumptions!$D$56-I21974)),0)</f>
        <v>0</v>
      </c>
      <c r="J21981" s="25" t="n">
        <f aca="false">IF(AND(Assumptions!$P$56=1,OR(J21899&lt;Assumptions!$K$56,I22090=1)),MIN(MAX(0,-J22013),MAX(0,Assumptions!$D$56-J21974)),0)</f>
        <v>0</v>
      </c>
      <c r="K21981" s="25" t="n">
        <f aca="false">IF(AND(Assumptions!$P$56=1,OR(K21899&lt;Assumptions!$K$56,J22090=1)),MIN(MAX(0,-K22013),MAX(0,Assumptions!$D$56-K21974)),0)</f>
        <v>0</v>
      </c>
    </row>
    <row r="21982" customFormat="false" ht="15" hidden="false" customHeight="false" outlineLevel="0" collapsed="false">
      <c r="A21982" s="5" t="s">
        <v>271</v>
      </c>
      <c r="G21982" s="25" t="n">
        <f aca="false">G21975*MIN(G21974-G21980+G21979,MAX(0,G22015-Assumptions!$C$12*G21933-G21943-G21956-G21969))</f>
        <v>0</v>
      </c>
      <c r="H21982" s="25" t="n">
        <f aca="false">H21975*MIN(H21974-H21980+H21979,MAX(0,H22015-Assumptions!$C$12*H21933-H21943-H21956-H21969))</f>
        <v>0</v>
      </c>
      <c r="I21982" s="25" t="n">
        <f aca="false">I21975*MIN(I21974-I21980+I21979,MAX(0,I22015-Assumptions!$C$12*I21933-I21943-I21956-I21969))</f>
        <v>0</v>
      </c>
      <c r="J21982" s="25" t="n">
        <f aca="false">J21975*MIN(J21974-J21980+J21979,MAX(0,J22015-Assumptions!$C$12*J21933-J21943-J21956-J21969))</f>
        <v>0</v>
      </c>
      <c r="K21982" s="25" t="n">
        <f aca="false">K21975*MIN(K21974-K21980+K21979,MAX(0,K22015-Assumptions!$C$12*K21933-K21943-K21956-K21969))</f>
        <v>0</v>
      </c>
    </row>
    <row r="21983" customFormat="false" ht="15" hidden="false" customHeight="false" outlineLevel="0" collapsed="false">
      <c r="A21983" s="5" t="s">
        <v>272</v>
      </c>
      <c r="G21983" s="25" t="n">
        <f aca="false">Assumptions!$N$56*MIN(G21974+G21981+G21979-G21980-G21982,MAX(0,G22019-G21944-G21957-G21970))</f>
        <v>0</v>
      </c>
      <c r="H21983" s="25" t="n">
        <f aca="false">Assumptions!$N$56*MIN(H21974+H21981+H21979-H21980-H21982,MAX(0,H22019-H21944-H21957-H21970))</f>
        <v>0</v>
      </c>
      <c r="I21983" s="25" t="n">
        <f aca="false">Assumptions!$N$56*MIN(I21974+I21981+I21979-I21980-I21982,MAX(0,I22019-I21944-I21957-I21970))</f>
        <v>0</v>
      </c>
      <c r="J21983" s="25" t="n">
        <f aca="false">Assumptions!$N$56*MIN(J21974+J21981+J21979-J21980-J21982,MAX(0,J22019-J21944-J21957-J21970))</f>
        <v>0</v>
      </c>
      <c r="K21983" s="25" t="n">
        <f aca="false">Assumptions!$N$56*MIN(K21974+K21981+K21979-K21980-K21982,MAX(0,K22019-K21944-K21957-K21970))</f>
        <v>0</v>
      </c>
    </row>
    <row r="21984" customFormat="false" ht="15" hidden="false" customHeight="false" outlineLevel="0" collapsed="false">
      <c r="A21984" s="5" t="s">
        <v>273</v>
      </c>
      <c r="G21984" s="25" t="n">
        <f aca="false">G21975*(1-G21933)*(G21974-G21980+G21979-G21982)</f>
        <v>0</v>
      </c>
      <c r="H21984" s="25" t="n">
        <f aca="false">H21975*(1-H21933)*(H21974-H21980+H21979-H21982)</f>
        <v>300</v>
      </c>
      <c r="I21984" s="25" t="n">
        <f aca="false">I21975*(1-I21933)*(I21974-I21980+I21979-I21982)</f>
        <v>0</v>
      </c>
      <c r="J21984" s="25" t="n">
        <f aca="false">J21975*(1-J21933)*(J21974-J21980+J21979-J21982)</f>
        <v>0</v>
      </c>
      <c r="K21984" s="25" t="n">
        <f aca="false">K21975*(1-K21933)*(K21974-K21980+K21979-K21982)</f>
        <v>0</v>
      </c>
    </row>
    <row r="21985" customFormat="false" ht="15" hidden="false" customHeight="false" outlineLevel="0" collapsed="false">
      <c r="A21985" s="2" t="s">
        <v>274</v>
      </c>
      <c r="F21985" s="27" t="n">
        <f aca="false">Assumptions!$C$56</f>
        <v>300</v>
      </c>
      <c r="G21985" s="16" t="n">
        <f aca="false">G21974+G21981+G21979-G21980-G21982-G21983</f>
        <v>300</v>
      </c>
      <c r="H21985" s="16" t="n">
        <f aca="false">H21974+H21981+H21979-H21980-H21982-H21983</f>
        <v>300</v>
      </c>
      <c r="I21985" s="16" t="n">
        <f aca="false">I21974+I21981+I21979-I21980-I21982-I21983</f>
        <v>300</v>
      </c>
      <c r="J21985" s="16" t="n">
        <f aca="false">J21974+J21981+J21979-J21980-J21982-J21983</f>
        <v>300</v>
      </c>
      <c r="K21985" s="16" t="n">
        <f aca="false">K21974+K21981+K21979-K21980-K21982-K21983</f>
        <v>300</v>
      </c>
    </row>
    <row r="21986" customFormat="false" ht="15" hidden="false" customHeight="false" outlineLevel="0" collapsed="false">
      <c r="A21986" s="23" t="s">
        <v>278</v>
      </c>
      <c r="B21986" s="24"/>
      <c r="C21986" s="24"/>
      <c r="D21986" s="24"/>
      <c r="E21986" s="24"/>
      <c r="F21986" s="24"/>
      <c r="G21986" s="24"/>
      <c r="H21986" s="24"/>
      <c r="I21986" s="24"/>
      <c r="J21986" s="24"/>
      <c r="K21986" s="24"/>
    </row>
    <row r="21987" customFormat="false" ht="15" hidden="false" customHeight="false" outlineLevel="0" collapsed="false">
      <c r="A21987" s="2" t="s">
        <v>279</v>
      </c>
      <c r="F21987" s="16" t="n">
        <f aca="false">F21946+F21959+F21972+F21985</f>
        <v>1250</v>
      </c>
      <c r="G21987" s="16" t="n">
        <f aca="false">G21946+G21959+G21972+G21985</f>
        <v>1299.7088</v>
      </c>
      <c r="H21987" s="16" t="n">
        <f aca="false">H21946+H21959+H21972+H21985</f>
        <v>1294.5088</v>
      </c>
      <c r="I21987" s="16" t="n">
        <f aca="false">I21946+I21959+I21972+I21985</f>
        <v>1289.3088</v>
      </c>
      <c r="J21987" s="16" t="n">
        <f aca="false">J21946+J21959+J21972+J21985</f>
        <v>1284.1088</v>
      </c>
      <c r="K21987" s="16" t="n">
        <f aca="false">K21946+K21959+K21972+K21985</f>
        <v>1278.9088</v>
      </c>
    </row>
    <row r="21988" customFormat="false" ht="15" hidden="false" customHeight="false" outlineLevel="0" collapsed="false">
      <c r="A21988" s="5" t="s">
        <v>280</v>
      </c>
      <c r="G21988" s="25" t="n">
        <f aca="false">G21936*Assumptions!$C$53+G21949*Assumptions!$C$54+G21962*Assumptions!$C$55+G21975*Assumptions!$C$56</f>
        <v>0</v>
      </c>
      <c r="H21988" s="25" t="n">
        <f aca="false">H21936*Assumptions!$C$53+H21949*Assumptions!$C$54+H21962*Assumptions!$C$55+H21975*Assumptions!$C$56</f>
        <v>480</v>
      </c>
      <c r="I21988" s="25" t="n">
        <f aca="false">I21936*Assumptions!$C$53+I21949*Assumptions!$C$54+I21962*Assumptions!$C$55+I21975*Assumptions!$C$56</f>
        <v>520</v>
      </c>
      <c r="J21988" s="25" t="n">
        <f aca="false">J21936*Assumptions!$C$53+J21949*Assumptions!$C$54+J21962*Assumptions!$C$55+J21975*Assumptions!$C$56</f>
        <v>250</v>
      </c>
      <c r="K21988" s="25" t="n">
        <f aca="false">K21936*Assumptions!$C$53+K21949*Assumptions!$C$54+K21962*Assumptions!$C$55+K21975*Assumptions!$C$56</f>
        <v>0</v>
      </c>
    </row>
    <row r="21989" customFormat="false" ht="15" hidden="false" customHeight="false" outlineLevel="0" collapsed="false">
      <c r="A21989" s="23" t="s">
        <v>281</v>
      </c>
      <c r="B21989" s="24"/>
      <c r="C21989" s="24"/>
      <c r="D21989" s="24"/>
      <c r="E21989" s="24"/>
      <c r="F21989" s="24"/>
      <c r="G21989" s="24"/>
      <c r="H21989" s="24"/>
      <c r="I21989" s="24"/>
      <c r="J21989" s="24"/>
      <c r="K21989" s="24"/>
    </row>
    <row r="21990" customFormat="false" ht="15" hidden="false" customHeight="false" outlineLevel="0" collapsed="false">
      <c r="A21990" s="5" t="s">
        <v>282</v>
      </c>
      <c r="C21990" s="25" t="n">
        <f aca="false">SUMPRODUCT($G$21936:$K$21936,$G$21935:$K$21935-$G$21941:$K$21941+$G$21940:$K$21940)</f>
        <v>234.9088</v>
      </c>
    </row>
    <row r="21991" customFormat="false" ht="15" hidden="false" customHeight="false" outlineLevel="0" collapsed="false">
      <c r="A21991" s="5" t="s">
        <v>283</v>
      </c>
      <c r="C21991" s="25" t="n">
        <f aca="false">SUMPRODUCT($G$21936:$K$21936,$G$21943:$K$21943)</f>
        <v>0</v>
      </c>
    </row>
    <row r="21992" customFormat="false" ht="15" hidden="false" customHeight="false" outlineLevel="0" collapsed="false">
      <c r="A21992" s="5" t="s">
        <v>284</v>
      </c>
      <c r="C21992" s="5" t="str">
        <f aca="false">IF(SUM($G$21936:$K$21936)=0,"n/a (beyond horizon)",IF(SUMPRODUCT($G$21936:$K$21936,$G$21933:$K$21933)&gt;0,"REFINANCING PASS","REFINANCING FAILURE"))</f>
        <v>REFINANCING FAILURE</v>
      </c>
    </row>
    <row r="21993" customFormat="false" ht="15" hidden="false" customHeight="false" outlineLevel="0" collapsed="false">
      <c r="A21993" s="5" t="s">
        <v>285</v>
      </c>
      <c r="C21993" s="5" t="str">
        <f aca="false">IF(SUM($G$21936:$K$21936)=0,"n/a",IF(C21991&gt;=C21990-0.001,"Repaid from cash",IF(SUMPRODUCT($G$21936:$K$21936,$G$21933:$K$21933)&gt;0,IF(C21991&gt;0,"Partly repaid; remainder refinanced","Refinanced"),IF(SUM($G$21945:$K$21945)&gt;0.001,IF(C21991&gt;0,"Partial repayment; PAYMENT DEFAULT","PAYMENT DEFAULT"),"Repaid from cash"))))</f>
        <v>PAYMENT DEFAULT</v>
      </c>
    </row>
    <row r="21994" customFormat="false" ht="15" hidden="false" customHeight="false" outlineLevel="0" collapsed="false">
      <c r="A21994" s="5" t="s">
        <v>286</v>
      </c>
      <c r="C21994" s="25" t="n">
        <f aca="false">SUMPRODUCT($G$21949:$K$21949,$G$21948:$K$21948-$G$21954:$K$21954+$G$21953:$K$21953)</f>
        <v>504.4</v>
      </c>
    </row>
    <row r="21995" customFormat="false" ht="15" hidden="false" customHeight="false" outlineLevel="0" collapsed="false">
      <c r="A21995" s="5" t="s">
        <v>287</v>
      </c>
      <c r="C21995" s="25" t="n">
        <f aca="false">SUMPRODUCT($G$21949:$K$21949,$G$21956:$K$21956)</f>
        <v>0</v>
      </c>
    </row>
    <row r="21996" customFormat="false" ht="15" hidden="false" customHeight="false" outlineLevel="0" collapsed="false">
      <c r="A21996" s="5" t="s">
        <v>288</v>
      </c>
      <c r="C21996" s="5" t="str">
        <f aca="false">IF(SUM($G$21949:$K$21949)=0,"n/a (beyond horizon)",IF(SUMPRODUCT($G$21949:$K$21949,$G$21933:$K$21933)&gt;0,"REFINANCING PASS","REFINANCING FAILURE"))</f>
        <v>REFINANCING FAILURE</v>
      </c>
    </row>
    <row r="21997" customFormat="false" ht="15" hidden="false" customHeight="false" outlineLevel="0" collapsed="false">
      <c r="A21997" s="5" t="s">
        <v>289</v>
      </c>
      <c r="C21997" s="5" t="str">
        <f aca="false">IF(SUM($G$21949:$K$21949)=0,"n/a",IF(C21995&gt;=C21994-0.001,"Repaid from cash",IF(SUMPRODUCT($G$21949:$K$21949,$G$21933:$K$21933)&gt;0,IF(C21995&gt;0,"Partly repaid; remainder refinanced","Refinanced"),IF(SUM($G$21958:$K$21958)&gt;0.001,IF(C21995&gt;0,"Partial repayment; PAYMENT DEFAULT","PAYMENT DEFAULT"),"Repaid from cash"))))</f>
        <v>PAYMENT DEFAULT</v>
      </c>
    </row>
    <row r="21998" customFormat="false" ht="15" hidden="false" customHeight="false" outlineLevel="0" collapsed="false">
      <c r="A21998" s="5" t="s">
        <v>290</v>
      </c>
      <c r="C21998" s="25" t="n">
        <f aca="false">SUMPRODUCT($G$21962:$K$21962,$G$21961:$K$21961-$G$21967:$K$21967+$G$21966:$K$21966)</f>
        <v>250</v>
      </c>
    </row>
    <row r="21999" customFormat="false" ht="15" hidden="false" customHeight="false" outlineLevel="0" collapsed="false">
      <c r="A21999" s="5" t="s">
        <v>291</v>
      </c>
      <c r="C21999" s="25" t="n">
        <f aca="false">SUMPRODUCT($G$21962:$K$21962,$G$21969:$K$21969)</f>
        <v>0</v>
      </c>
    </row>
    <row r="22000" customFormat="false" ht="15" hidden="false" customHeight="false" outlineLevel="0" collapsed="false">
      <c r="A22000" s="5" t="s">
        <v>292</v>
      </c>
      <c r="C22000" s="5" t="str">
        <f aca="false">IF(SUM($G$21962:$K$21962)=0,"n/a (beyond horizon)",IF(SUMPRODUCT($G$21962:$K$21962,$G$21933:$K$21933)&gt;0,"REFINANCING PASS","REFINANCING FAILURE"))</f>
        <v>REFINANCING FAILURE</v>
      </c>
    </row>
    <row r="22001" customFormat="false" ht="15" hidden="false" customHeight="false" outlineLevel="0" collapsed="false">
      <c r="A22001" s="5" t="s">
        <v>293</v>
      </c>
      <c r="C22001" s="5" t="str">
        <f aca="false">IF(SUM($G$21962:$K$21962)=0,"n/a",IF(C21999&gt;=C21998-0.001,"Repaid from cash",IF(SUMPRODUCT($G$21962:$K$21962,$G$21933:$K$21933)&gt;0,IF(C21999&gt;0,"Partly repaid; remainder refinanced","Refinanced"),IF(SUM($G$21971:$K$21971)&gt;0.001,IF(C21999&gt;0,"Partial repayment; PAYMENT DEFAULT","PAYMENT DEFAULT"),"Repaid from cash"))))</f>
        <v>PAYMENT DEFAULT</v>
      </c>
    </row>
    <row r="22002" customFormat="false" ht="15" hidden="false" customHeight="false" outlineLevel="0" collapsed="false">
      <c r="A22002" s="5" t="s">
        <v>294</v>
      </c>
      <c r="C22002" s="25" t="n">
        <f aca="false">SUMPRODUCT($G$21975:$K$21975,$G$21974:$K$21974-$G$21980:$K$21980+$G$21979:$K$21979)</f>
        <v>300</v>
      </c>
    </row>
    <row r="22003" customFormat="false" ht="15" hidden="false" customHeight="false" outlineLevel="0" collapsed="false">
      <c r="A22003" s="5" t="s">
        <v>295</v>
      </c>
      <c r="C22003" s="25" t="n">
        <f aca="false">SUMPRODUCT($G$21975:$K$21975,$G$21982:$K$21982)</f>
        <v>0</v>
      </c>
    </row>
    <row r="22004" customFormat="false" ht="15" hidden="false" customHeight="false" outlineLevel="0" collapsed="false">
      <c r="A22004" s="5" t="s">
        <v>296</v>
      </c>
      <c r="C22004" s="5" t="str">
        <f aca="false">IF(SUM($G$21975:$K$21975)=0,"n/a (beyond horizon)",IF(SUMPRODUCT($G$21975:$K$21975,$G$21933:$K$21933)&gt;0,"REFINANCING PASS","REFINANCING FAILURE"))</f>
        <v>REFINANCING FAILURE</v>
      </c>
    </row>
    <row r="22005" customFormat="false" ht="15" hidden="false" customHeight="false" outlineLevel="0" collapsed="false">
      <c r="A22005" s="5" t="s">
        <v>297</v>
      </c>
      <c r="C22005" s="5" t="str">
        <f aca="false">IF(SUM($G$21975:$K$21975)=0,"n/a",IF(C22003&gt;=C22002-0.001,"Repaid from cash",IF(SUMPRODUCT($G$21975:$K$21975,$G$21933:$K$21933)&gt;0,IF(C22003&gt;0,"Partly repaid; remainder refinanced","Refinanced"),IF(SUM($G$21984:$K$21984)&gt;0.001,IF(C22003&gt;0,"Partial repayment; PAYMENT DEFAULT","PAYMENT DEFAULT"),"Repaid from cash"))))</f>
        <v>PAYMENT DEFAULT</v>
      </c>
    </row>
    <row r="22006" customFormat="false" ht="15" hidden="false" customHeight="false" outlineLevel="0" collapsed="false">
      <c r="A22006" s="5" t="s">
        <v>298</v>
      </c>
      <c r="C22006" s="20" t="n">
        <f aca="false">IF(C21992="REFINANCING FAILURE",1,0)+IF(C21996="REFINANCING FAILURE",1,0)+IF(C22000="REFINANCING FAILURE",1,0)+IF(C22004="REFINANCING FAILURE",1,0)</f>
        <v>4</v>
      </c>
    </row>
    <row r="22008" customFormat="false" ht="15" hidden="false" customHeight="false" outlineLevel="0" collapsed="false">
      <c r="A22008" s="23" t="s">
        <v>300</v>
      </c>
      <c r="B22008" s="24"/>
      <c r="C22008" s="24"/>
      <c r="D22008" s="24"/>
      <c r="E22008" s="24"/>
      <c r="F22008" s="24"/>
      <c r="G22008" s="24"/>
      <c r="H22008" s="24"/>
      <c r="I22008" s="24"/>
      <c r="J22008" s="24"/>
      <c r="K22008" s="24"/>
    </row>
    <row r="22009" customFormat="false" ht="15" hidden="false" customHeight="false" outlineLevel="0" collapsed="false">
      <c r="A22009" s="5" t="s">
        <v>260</v>
      </c>
      <c r="G22009" s="25" t="n">
        <f aca="false">F22021</f>
        <v>45</v>
      </c>
      <c r="H22009" s="25" t="n">
        <f aca="false">G22021</f>
        <v>0</v>
      </c>
      <c r="I22009" s="25" t="n">
        <f aca="false">H22021</f>
        <v>-139.5574048</v>
      </c>
      <c r="J22009" s="25" t="n">
        <f aca="false">I22021</f>
        <v>-299.764809344</v>
      </c>
      <c r="K22009" s="25" t="n">
        <f aca="false">J22021</f>
        <v>-462.24043997056</v>
      </c>
    </row>
    <row r="22010" customFormat="false" ht="15" hidden="false" customHeight="false" outlineLevel="0" collapsed="false">
      <c r="A22010" s="5" t="s">
        <v>301</v>
      </c>
      <c r="G22010" s="25" t="n">
        <f aca="false">G21922</f>
        <v>-94.7088</v>
      </c>
      <c r="H22010" s="25" t="n">
        <f aca="false">H21922</f>
        <v>-134.3574048</v>
      </c>
      <c r="I22010" s="25" t="n">
        <f aca="false">I21922</f>
        <v>-155.007404544</v>
      </c>
      <c r="J22010" s="25" t="n">
        <f aca="false">J21922</f>
        <v>-157.27563062656</v>
      </c>
      <c r="K22010" s="25" t="n">
        <f aca="false">K21922</f>
        <v>-156.443655088294</v>
      </c>
    </row>
    <row r="22011" customFormat="false" ht="15" hidden="false" customHeight="false" outlineLevel="0" collapsed="false">
      <c r="A22011" s="5" t="s">
        <v>302</v>
      </c>
      <c r="G22011" s="25" t="n">
        <f aca="false">CHOOSE($C$21892,Assumptions!$G$68,Assumptions!$G$87,Assumptions!$G$106)</f>
        <v>0</v>
      </c>
      <c r="H22011" s="25" t="n">
        <f aca="false">CHOOSE($C$21892,Assumptions!$H$68,Assumptions!$H$87,Assumptions!$H$106)</f>
        <v>0</v>
      </c>
      <c r="I22011" s="25" t="n">
        <f aca="false">CHOOSE($C$21892,Assumptions!$I$68,Assumptions!$I$87,Assumptions!$I$106)</f>
        <v>0</v>
      </c>
      <c r="J22011" s="25" t="n">
        <f aca="false">CHOOSE($C$21892,Assumptions!$J$68,Assumptions!$J$87,Assumptions!$J$106)</f>
        <v>0</v>
      </c>
      <c r="K22011" s="25" t="n">
        <f aca="false">CHOOSE($C$21892,Assumptions!$K$68,Assumptions!$K$87,Assumptions!$K$106)</f>
        <v>0</v>
      </c>
    </row>
    <row r="22012" customFormat="false" ht="15" hidden="false" customHeight="false" outlineLevel="0" collapsed="false">
      <c r="A22012" s="5" t="s">
        <v>303</v>
      </c>
      <c r="G22012" s="25" t="n">
        <f aca="false">G21941+G21954+G21967+G21980</f>
        <v>5.2</v>
      </c>
      <c r="H22012" s="25" t="n">
        <f aca="false">H21941+H21954+H21967+H21980</f>
        <v>5.2</v>
      </c>
      <c r="I22012" s="25" t="n">
        <f aca="false">I21941+I21954+I21967+I21980</f>
        <v>5.2</v>
      </c>
      <c r="J22012" s="25" t="n">
        <f aca="false">J21941+J21954+J21967+J21980</f>
        <v>5.2</v>
      </c>
      <c r="K22012" s="25" t="n">
        <f aca="false">K21941+K21954+K21967+K21980</f>
        <v>5.2</v>
      </c>
    </row>
    <row r="22013" customFormat="false" ht="15" hidden="false" customHeight="false" outlineLevel="0" collapsed="false">
      <c r="A22013" s="2" t="s">
        <v>304</v>
      </c>
      <c r="G22013" s="16" t="n">
        <f aca="false">G22009+G22010+G22011-G22012</f>
        <v>-54.9088</v>
      </c>
      <c r="H22013" s="16" t="n">
        <f aca="false">H22009+H22010+H22011-H22012</f>
        <v>-139.5574048</v>
      </c>
      <c r="I22013" s="16" t="n">
        <f aca="false">I22009+I22010+I22011-I22012</f>
        <v>-299.764809344</v>
      </c>
      <c r="J22013" s="16" t="n">
        <f aca="false">J22009+J22010+J22011-J22012</f>
        <v>-462.24043997056</v>
      </c>
      <c r="K22013" s="16" t="n">
        <f aca="false">K22009+K22010+K22011-K22012</f>
        <v>-623.884095058854</v>
      </c>
    </row>
    <row r="22014" customFormat="false" ht="15" hidden="false" customHeight="false" outlineLevel="0" collapsed="false">
      <c r="A22014" s="5" t="s">
        <v>305</v>
      </c>
      <c r="G22014" s="25" t="n">
        <f aca="false">G21942+G21955+G21968+G21981</f>
        <v>54.9088</v>
      </c>
      <c r="H22014" s="25" t="n">
        <f aca="false">H21942+H21955+H21968+H21981</f>
        <v>0</v>
      </c>
      <c r="I22014" s="25" t="n">
        <f aca="false">I21942+I21955+I21968+I21981</f>
        <v>0</v>
      </c>
      <c r="J22014" s="25" t="n">
        <f aca="false">J21942+J21955+J21968+J21981</f>
        <v>0</v>
      </c>
      <c r="K22014" s="25" t="n">
        <f aca="false">K21942+K21955+K21968+K21981</f>
        <v>0</v>
      </c>
    </row>
    <row r="22015" customFormat="false" ht="15" hidden="false" customHeight="false" outlineLevel="0" collapsed="false">
      <c r="A22015" s="2" t="s">
        <v>306</v>
      </c>
      <c r="G22015" s="16" t="n">
        <f aca="false">G22013+G22014</f>
        <v>0</v>
      </c>
      <c r="H22015" s="16" t="n">
        <f aca="false">H22013+H22014</f>
        <v>-139.5574048</v>
      </c>
      <c r="I22015" s="16" t="n">
        <f aca="false">I22013+I22014</f>
        <v>-299.764809344</v>
      </c>
      <c r="J22015" s="16" t="n">
        <f aca="false">J22013+J22014</f>
        <v>-462.24043997056</v>
      </c>
      <c r="K22015" s="16" t="n">
        <f aca="false">K22013+K22014</f>
        <v>-623.884095058854</v>
      </c>
    </row>
    <row r="22016" customFormat="false" ht="15" hidden="false" customHeight="false" outlineLevel="0" collapsed="false">
      <c r="A22016" s="5" t="s">
        <v>307</v>
      </c>
      <c r="G22016" s="25" t="n">
        <f aca="false">G21943+G21956+G21969+G21982</f>
        <v>0</v>
      </c>
      <c r="H22016" s="25" t="n">
        <f aca="false">H21943+H21956+H21969+H21982</f>
        <v>0</v>
      </c>
      <c r="I22016" s="25" t="n">
        <f aca="false">I21943+I21956+I21969+I21982</f>
        <v>0</v>
      </c>
      <c r="J22016" s="25" t="n">
        <f aca="false">J21943+J21956+J21969+J21982</f>
        <v>0</v>
      </c>
      <c r="K22016" s="25" t="n">
        <f aca="false">K21943+K21956+K21969+K21982</f>
        <v>0</v>
      </c>
    </row>
    <row r="22017" customFormat="false" ht="15" hidden="false" customHeight="false" outlineLevel="0" collapsed="false">
      <c r="A22017" s="2" t="s">
        <v>308</v>
      </c>
      <c r="G22017" s="16" t="n">
        <f aca="false">G22015-G22016</f>
        <v>0</v>
      </c>
      <c r="H22017" s="16" t="n">
        <f aca="false">H22015-H22016</f>
        <v>-139.5574048</v>
      </c>
      <c r="I22017" s="16" t="n">
        <f aca="false">I22015-I22016</f>
        <v>-299.764809344</v>
      </c>
      <c r="J22017" s="16" t="n">
        <f aca="false">J22015-J22016</f>
        <v>-462.24043997056</v>
      </c>
      <c r="K22017" s="16" t="n">
        <f aca="false">K22015-K22016</f>
        <v>-623.884095058854</v>
      </c>
    </row>
    <row r="22018" customFormat="false" ht="15" hidden="false" customHeight="false" outlineLevel="0" collapsed="false">
      <c r="A22018" s="5" t="s">
        <v>309</v>
      </c>
      <c r="G22018" s="25" t="n">
        <f aca="false">MAX(0,-G22017)</f>
        <v>-0</v>
      </c>
      <c r="H22018" s="25" t="n">
        <f aca="false">MAX(0,-H22017)</f>
        <v>139.5574048</v>
      </c>
      <c r="I22018" s="25" t="n">
        <f aca="false">MAX(0,-I22017)</f>
        <v>299.764809344</v>
      </c>
      <c r="J22018" s="25" t="n">
        <f aca="false">MAX(0,-J22017)</f>
        <v>462.24043997056</v>
      </c>
      <c r="K22018" s="25" t="n">
        <f aca="false">MAX(0,-K22017)</f>
        <v>623.884095058854</v>
      </c>
    </row>
    <row r="22019" customFormat="false" ht="15" hidden="false" customHeight="false" outlineLevel="0" collapsed="false">
      <c r="A22019" s="5" t="s">
        <v>310</v>
      </c>
      <c r="G22019" s="25" t="n">
        <f aca="false">MAX(0,G22017-Assumptions!$C$12)*Assumptions!$C$13</f>
        <v>0</v>
      </c>
      <c r="H22019" s="25" t="n">
        <f aca="false">MAX(0,H22017-Assumptions!$C$12)*Assumptions!$C$13</f>
        <v>0</v>
      </c>
      <c r="I22019" s="25" t="n">
        <f aca="false">MAX(0,I22017-Assumptions!$C$12)*Assumptions!$C$13</f>
        <v>0</v>
      </c>
      <c r="J22019" s="25" t="n">
        <f aca="false">MAX(0,J22017-Assumptions!$C$12)*Assumptions!$C$13</f>
        <v>0</v>
      </c>
      <c r="K22019" s="25" t="n">
        <f aca="false">MAX(0,K22017-Assumptions!$C$12)*Assumptions!$C$13</f>
        <v>0</v>
      </c>
    </row>
    <row r="22020" customFormat="false" ht="15" hidden="false" customHeight="false" outlineLevel="0" collapsed="false">
      <c r="A22020" s="5" t="s">
        <v>311</v>
      </c>
      <c r="G22020" s="25" t="n">
        <f aca="false">G21944+G21957+G21970+G21983</f>
        <v>0</v>
      </c>
      <c r="H22020" s="25" t="n">
        <f aca="false">H21944+H21957+H21970+H21983</f>
        <v>0</v>
      </c>
      <c r="I22020" s="25" t="n">
        <f aca="false">I21944+I21957+I21970+I21983</f>
        <v>0</v>
      </c>
      <c r="J22020" s="25" t="n">
        <f aca="false">J21944+J21957+J21970+J21983</f>
        <v>0</v>
      </c>
      <c r="K22020" s="25" t="n">
        <f aca="false">K21944+K21957+K21970+K21983</f>
        <v>0</v>
      </c>
    </row>
    <row r="22021" customFormat="false" ht="15" hidden="false" customHeight="false" outlineLevel="0" collapsed="false">
      <c r="A22021" s="2" t="s">
        <v>312</v>
      </c>
      <c r="F22021" s="27" t="n">
        <f aca="false">Assumptions!$C$11</f>
        <v>45</v>
      </c>
      <c r="G22021" s="16" t="n">
        <f aca="false">G22017-G22020</f>
        <v>0</v>
      </c>
      <c r="H22021" s="16" t="n">
        <f aca="false">H22017-H22020</f>
        <v>-139.5574048</v>
      </c>
      <c r="I22021" s="16" t="n">
        <f aca="false">I22017-I22020</f>
        <v>-299.764809344</v>
      </c>
      <c r="J22021" s="16" t="n">
        <f aca="false">J22017-J22020</f>
        <v>-462.24043997056</v>
      </c>
      <c r="K22021" s="16" t="n">
        <f aca="false">K22017-K22020</f>
        <v>-623.884095058854</v>
      </c>
    </row>
    <row r="22022" customFormat="false" ht="15" hidden="false" customHeight="false" outlineLevel="0" collapsed="false">
      <c r="A22022" s="5" t="s">
        <v>313</v>
      </c>
      <c r="G22022" s="25" t="n">
        <f aca="false">G21945+G21958+G21971+G21984</f>
        <v>0</v>
      </c>
      <c r="H22022" s="25" t="n">
        <f aca="false">H21945+H21958+H21971+H21984</f>
        <v>534.9088</v>
      </c>
      <c r="I22022" s="25" t="n">
        <f aca="false">I21945+I21958+I21971+I21984</f>
        <v>504.4</v>
      </c>
      <c r="J22022" s="25" t="n">
        <f aca="false">J21945+J21958+J21971+J21984</f>
        <v>250</v>
      </c>
      <c r="K22022" s="25" t="n">
        <f aca="false">K21945+K21958+K21971+K21984</f>
        <v>0</v>
      </c>
    </row>
    <row r="22023" customFormat="false" ht="15" hidden="false" customHeight="false" outlineLevel="0" collapsed="false">
      <c r="A22023" s="5" t="s">
        <v>314</v>
      </c>
      <c r="G22023" s="20" t="n">
        <f aca="false">IF(OR(G22018&gt;0.001,G22022&gt;0.001),1,0)</f>
        <v>0</v>
      </c>
      <c r="H22023" s="20" t="n">
        <f aca="false">IF(OR(H22018&gt;0.001,H22022&gt;0.001),1,0)</f>
        <v>1</v>
      </c>
      <c r="I22023" s="20" t="n">
        <f aca="false">IF(OR(I22018&gt;0.001,I22022&gt;0.001),1,0)</f>
        <v>1</v>
      </c>
      <c r="J22023" s="20" t="n">
        <f aca="false">IF(OR(J22018&gt;0.001,J22022&gt;0.001),1,0)</f>
        <v>1</v>
      </c>
      <c r="K22023" s="20" t="n">
        <f aca="false">IF(OR(K22018&gt;0.001,K22022&gt;0.001),1,0)</f>
        <v>1</v>
      </c>
    </row>
    <row r="22024" customFormat="false" ht="15" hidden="false" customHeight="false" outlineLevel="0" collapsed="false">
      <c r="A22024" s="5" t="s">
        <v>315</v>
      </c>
      <c r="G22024" s="20" t="n">
        <f aca="false">IF(G22023=1,1,0)</f>
        <v>0</v>
      </c>
      <c r="H22024" s="20" t="n">
        <f aca="false">IF(AND(H22023=1,SUM($G$22023:G22023)=0),1,0)</f>
        <v>1</v>
      </c>
      <c r="I22024" s="20" t="n">
        <f aca="false">IF(AND(I22023=1,SUM($G$22023:H22023)=0),1,0)</f>
        <v>0</v>
      </c>
      <c r="J22024" s="20" t="n">
        <f aca="false">IF(AND(J22023=1,SUM($G$22023:I22023)=0),1,0)</f>
        <v>0</v>
      </c>
      <c r="K22024" s="20" t="n">
        <f aca="false">IF(AND(K22023=1,SUM($G$22023:J22023)=0),1,0)</f>
        <v>0</v>
      </c>
    </row>
    <row r="22025" customFormat="false" ht="15" hidden="false" customHeight="false" outlineLevel="0" collapsed="false">
      <c r="A22025" s="5" t="s">
        <v>316</v>
      </c>
      <c r="G22025" s="25" t="n">
        <f aca="false">(G21987-F21987)-(G22014+G21914-G22012-G22016-G22020)</f>
        <v>0</v>
      </c>
      <c r="H22025" s="25" t="n">
        <f aca="false">(H21987-G21987)-(H22014+H21914-H22012-H22016-H22020)</f>
        <v>1.82076576038526E-013</v>
      </c>
      <c r="I22025" s="25" t="n">
        <f aca="false">(I21987-H21987)-(I22014+I21914-I22012-I22016-I22020)</f>
        <v>-4.52970994047064E-014</v>
      </c>
      <c r="J22025" s="25" t="n">
        <f aca="false">(J21987-I21987)-(J22014+J21914-J22012-J22016-J22020)</f>
        <v>-4.52970994047064E-014</v>
      </c>
      <c r="K22025" s="25" t="n">
        <f aca="false">(K21987-J21987)-(K22014+K21914-K22012-K22016-K22020)</f>
        <v>1.82076576038526E-013</v>
      </c>
    </row>
    <row r="22027" customFormat="false" ht="15" hidden="false" customHeight="false" outlineLevel="0" collapsed="false">
      <c r="A22027" s="23" t="s">
        <v>318</v>
      </c>
      <c r="B22027" s="24"/>
      <c r="C22027" s="24"/>
      <c r="D22027" s="24"/>
      <c r="E22027" s="24"/>
      <c r="F22027" s="24"/>
      <c r="G22027" s="24"/>
      <c r="H22027" s="24"/>
      <c r="I22027" s="24"/>
      <c r="J22027" s="24"/>
      <c r="K22027" s="24"/>
    </row>
    <row r="22028" customFormat="false" ht="15" hidden="false" customHeight="false" outlineLevel="0" collapsed="false">
      <c r="A22028" s="5" t="s">
        <v>319</v>
      </c>
      <c r="G22028" s="25" t="n">
        <f aca="false">G21987</f>
        <v>1299.7088</v>
      </c>
      <c r="H22028" s="25" t="n">
        <f aca="false">H21987</f>
        <v>1294.5088</v>
      </c>
      <c r="I22028" s="25" t="n">
        <f aca="false">I21987</f>
        <v>1289.3088</v>
      </c>
      <c r="J22028" s="25" t="n">
        <f aca="false">J21987</f>
        <v>1284.1088</v>
      </c>
      <c r="K22028" s="25" t="n">
        <f aca="false">K21987</f>
        <v>1278.9088</v>
      </c>
    </row>
    <row r="22029" customFormat="false" ht="15" hidden="false" customHeight="false" outlineLevel="0" collapsed="false">
      <c r="A22029" s="5" t="s">
        <v>320</v>
      </c>
      <c r="G22029" s="25" t="n">
        <f aca="false">Assumptions!$O$53*G21946+Assumptions!$O$54*G21959+Assumptions!$O$55*G21972+Assumptions!$O$56*G21985</f>
        <v>999.7088</v>
      </c>
      <c r="H22029" s="25" t="n">
        <f aca="false">Assumptions!$O$53*H21946+Assumptions!$O$54*H21959+Assumptions!$O$55*H21972+Assumptions!$O$56*H21985</f>
        <v>994.5088</v>
      </c>
      <c r="I22029" s="25" t="n">
        <f aca="false">Assumptions!$O$53*I21946+Assumptions!$O$54*I21959+Assumptions!$O$55*I21972+Assumptions!$O$56*I21985</f>
        <v>989.3088</v>
      </c>
      <c r="J22029" s="25" t="n">
        <f aca="false">Assumptions!$O$53*J21946+Assumptions!$O$54*J21959+Assumptions!$O$55*J21972+Assumptions!$O$56*J21985</f>
        <v>984.1088</v>
      </c>
      <c r="K22029" s="25" t="n">
        <f aca="false">Assumptions!$O$53*K21946+Assumptions!$O$54*K21959+Assumptions!$O$55*K21972+Assumptions!$O$56*K21985</f>
        <v>978.9088</v>
      </c>
    </row>
    <row r="22030" customFormat="false" ht="15" hidden="false" customHeight="false" outlineLevel="0" collapsed="false">
      <c r="A22030" s="5" t="s">
        <v>321</v>
      </c>
      <c r="G22030" s="25" t="n">
        <f aca="false">G22028-G22021</f>
        <v>1299.7088</v>
      </c>
      <c r="H22030" s="25" t="n">
        <f aca="false">H22028-H22021</f>
        <v>1434.0662048</v>
      </c>
      <c r="I22030" s="25" t="n">
        <f aca="false">I22028-I22021</f>
        <v>1589.073609344</v>
      </c>
      <c r="J22030" s="25" t="n">
        <f aca="false">J22028-J22021</f>
        <v>1746.34923997056</v>
      </c>
      <c r="K22030" s="25" t="n">
        <f aca="false">K22028-K22021</f>
        <v>1902.79289505885</v>
      </c>
    </row>
    <row r="22031" customFormat="false" ht="15" hidden="false" customHeight="false" outlineLevel="0" collapsed="false">
      <c r="A22031" s="5" t="s">
        <v>322</v>
      </c>
      <c r="G22031" s="31" t="n">
        <f aca="false">IF(G21909&gt;0,G22028/G21909,0)</f>
        <v>70.6978241949521</v>
      </c>
      <c r="H22031" s="31" t="n">
        <f aca="false">IF(H21909&gt;0,H22028/H21909,0)</f>
        <v>80.9367465962406</v>
      </c>
      <c r="I22031" s="31" t="n">
        <f aca="false">IF(I21909&gt;0,I22028/I21909,0)</f>
        <v>82.763476695823</v>
      </c>
      <c r="J22031" s="31" t="n">
        <f aca="false">IF(J21909&gt;0,J22028/J21909,0)</f>
        <v>83.2623006318033</v>
      </c>
      <c r="K22031" s="31" t="n">
        <f aca="false">IF(K21909&gt;0,K22028/K21909,0)</f>
        <v>83.762757427964</v>
      </c>
    </row>
    <row r="22032" customFormat="false" ht="15" hidden="false" customHeight="false" outlineLevel="0" collapsed="false">
      <c r="A22032" s="5" t="s">
        <v>323</v>
      </c>
      <c r="G22032" s="31" t="n">
        <f aca="false">IF(G21909&gt;0,G22030/G21909,0)</f>
        <v>70.6978241949521</v>
      </c>
      <c r="H22032" s="31" t="n">
        <f aca="false">IF(H21909&gt;0,H22030/H21909,0)</f>
        <v>89.6623128557566</v>
      </c>
      <c r="I22032" s="31" t="n">
        <f aca="false">IF(I21909&gt;0,I22030/I21909,0)</f>
        <v>102.006017980246</v>
      </c>
      <c r="J22032" s="31" t="n">
        <f aca="false">IF(J21909&gt;0,J22030/J21909,0)</f>
        <v>113.234217713133</v>
      </c>
      <c r="K22032" s="31" t="n">
        <f aca="false">IF(K21909&gt;0,K22030/K21909,0)</f>
        <v>124.624351403687</v>
      </c>
    </row>
    <row r="22033" customFormat="false" ht="15" hidden="false" customHeight="false" outlineLevel="0" collapsed="false">
      <c r="A22033" s="5" t="s">
        <v>324</v>
      </c>
      <c r="G22033" s="31" t="n">
        <f aca="false">IF(G21913&gt;0,G21909/G21913,0)</f>
        <v>0.13127677806341</v>
      </c>
      <c r="H22033" s="31" t="n">
        <f aca="false">IF(H21913&gt;0,H21909/H21913,0)</f>
        <v>0.111190805103385</v>
      </c>
      <c r="I22033" s="31" t="n">
        <f aca="false">IF(I21913&gt;0,I21909/I21913,0)</f>
        <v>0.11024648666467</v>
      </c>
      <c r="J22033" s="31" t="n">
        <f aca="false">IF(J21913&gt;0,J21909/J21913,0)</f>
        <v>0.109660569397092</v>
      </c>
      <c r="K22033" s="31" t="n">
        <f aca="false">IF(K21913&gt;0,K21909/K21913,0)</f>
        <v>0.109080209295775</v>
      </c>
    </row>
    <row r="22034" customFormat="false" ht="15" hidden="false" customHeight="false" outlineLevel="0" collapsed="false">
      <c r="A22034" s="5" t="s">
        <v>325</v>
      </c>
      <c r="G22034" s="31" t="n">
        <f aca="false">IF(G21913&gt;0,G21912/G21913,0)</f>
        <v>-0.157532133676093</v>
      </c>
      <c r="H22034" s="31" t="n">
        <f aca="false">IF(H21913&gt;0,H21912/H21913,0)</f>
        <v>-0.133428966124062</v>
      </c>
      <c r="I22034" s="31" t="n">
        <f aca="false">IF(I21913&gt;0,I21912/I21913,0)</f>
        <v>-0.132295783997604</v>
      </c>
      <c r="J22034" s="31" t="n">
        <f aca="false">IF(J21913&gt;0,J21912/J21913,0)</f>
        <v>-0.131592683276511</v>
      </c>
      <c r="K22034" s="31" t="n">
        <f aca="false">IF(K21913&gt;0,K21912/K21913,0)</f>
        <v>-0.13089625115493</v>
      </c>
    </row>
    <row r="22035" customFormat="false" ht="15" hidden="false" customHeight="false" outlineLevel="0" collapsed="false">
      <c r="A22035" s="5" t="s">
        <v>182</v>
      </c>
      <c r="G22035" s="21" t="n">
        <f aca="false">IF(G22028&gt;0,G21922/G22028,0)</f>
        <v>-0.0728692457879796</v>
      </c>
      <c r="H22035" s="21" t="n">
        <f aca="false">IF(H22028&gt;0,H21922/H22028,0)</f>
        <v>-0.103790259903988</v>
      </c>
      <c r="I22035" s="21" t="n">
        <f aca="false">IF(I22028&gt;0,I21922/I22028,0)</f>
        <v>-0.120225197054422</v>
      </c>
      <c r="J22035" s="21" t="n">
        <f aca="false">IF(J22028&gt;0,J21922/J22028,0)</f>
        <v>-0.122478430664567</v>
      </c>
      <c r="K22035" s="21" t="n">
        <f aca="false">IF(K22028&gt;0,K21922/K22028,0)</f>
        <v>-0.122325888357555</v>
      </c>
    </row>
    <row r="22036" customFormat="false" ht="15" hidden="false" customHeight="false" outlineLevel="0" collapsed="false">
      <c r="A22036" s="5" t="s">
        <v>326</v>
      </c>
      <c r="G22036" s="31" t="n">
        <f aca="false">IF(G21913+G22012&gt;0,(G21909-G21920-G21917)/(G21913+G22012),0)</f>
        <v>-0.0759460203800606</v>
      </c>
      <c r="H22036" s="31" t="n">
        <f aca="false">IF(H21913+H22012&gt;0,(H21909-H21920-H21917)/(H21913+H22012),0)</f>
        <v>-0.0643868726775781</v>
      </c>
      <c r="I22036" s="31" t="n">
        <f aca="false">IF(I21913+I22012&gt;0,(I21909-I21920-I21917)/(I21913+I22012),0)</f>
        <v>-0.0638000393994207</v>
      </c>
      <c r="J22036" s="31" t="n">
        <f aca="false">IF(J21913+J22012&gt;0,(J21909-J21920-J21917)/(J21913+J22012),0)</f>
        <v>-0.0634503083935347</v>
      </c>
      <c r="K22036" s="31" t="n">
        <f aca="false">IF(K21913+K22012&gt;0,(K21909-K21920-K21917)/(K21913+K22012),0)</f>
        <v>-0.0631038089376677</v>
      </c>
    </row>
    <row r="22037" customFormat="false" ht="15" hidden="false" customHeight="false" outlineLevel="0" collapsed="false">
      <c r="A22037" s="5" t="s">
        <v>327</v>
      </c>
      <c r="G22037" s="25" t="n">
        <f aca="false">MAX(0,G22021)+Assumptions!$P$53*MAX(0,Assumptions!$D$53-G21946)+Assumptions!$P$54*MAX(0,Assumptions!$D$54-G21959)+Assumptions!$P$55*MAX(0,Assumptions!$D$55-G21972)+Assumptions!$P$56*MAX(0,Assumptions!$D$56-G21985)</f>
        <v>65.0912</v>
      </c>
      <c r="H22037" s="25" t="n">
        <f aca="false">MAX(0,H22021)+Assumptions!$P$53*MAX(0,Assumptions!$D$53-H21946)+Assumptions!$P$54*MAX(0,Assumptions!$D$54-H21959)+Assumptions!$P$55*MAX(0,Assumptions!$D$55-H21972)+Assumptions!$P$56*MAX(0,Assumptions!$D$56-H21985)</f>
        <v>65.0912</v>
      </c>
      <c r="I22037" s="25" t="n">
        <f aca="false">MAX(0,I22021)+Assumptions!$P$53*MAX(0,Assumptions!$D$53-I21946)+Assumptions!$P$54*MAX(0,Assumptions!$D$54-I21959)+Assumptions!$P$55*MAX(0,Assumptions!$D$55-I21972)+Assumptions!$P$56*MAX(0,Assumptions!$D$56-I21985)</f>
        <v>65.0912</v>
      </c>
      <c r="J22037" s="25" t="n">
        <f aca="false">MAX(0,J22021)+Assumptions!$P$53*MAX(0,Assumptions!$D$53-J21946)+Assumptions!$P$54*MAX(0,Assumptions!$D$54-J21959)+Assumptions!$P$55*MAX(0,Assumptions!$D$55-J21972)+Assumptions!$P$56*MAX(0,Assumptions!$D$56-J21985)</f>
        <v>65.0912</v>
      </c>
      <c r="K22037" s="25" t="n">
        <f aca="false">MAX(0,K22021)+Assumptions!$P$53*MAX(0,Assumptions!$D$53-K21946)+Assumptions!$P$54*MAX(0,Assumptions!$D$54-K21959)+Assumptions!$P$55*MAX(0,Assumptions!$D$55-K21972)+Assumptions!$P$56*MAX(0,Assumptions!$D$56-K21985)</f>
        <v>65.0912</v>
      </c>
    </row>
    <row r="22038" customFormat="false" ht="15" hidden="false" customHeight="false" outlineLevel="0" collapsed="false">
      <c r="A22038" s="5" t="s">
        <v>328</v>
      </c>
      <c r="G22038" s="21" t="n">
        <f aca="false">IF(G22028&gt;0,G22028/(G22028+MAX(0,G21909*CHOOSE($C$21892,Assumptions!$C$76,Assumptions!$C$95,Assumptions!$C$114)-G22030)),0)</f>
        <v>1</v>
      </c>
      <c r="H22038" s="21" t="n">
        <f aca="false">IF(H22028&gt;0,H22028/(H22028+MAX(0,H21909*CHOOSE($C$21892,Assumptions!$C$76,Assumptions!$C$95,Assumptions!$C$114)-H22030)),0)</f>
        <v>1</v>
      </c>
      <c r="I22038" s="21" t="n">
        <f aca="false">IF(I22028&gt;0,I22028/(I22028+MAX(0,I21909*CHOOSE($C$21892,Assumptions!$C$76,Assumptions!$C$95,Assumptions!$C$114)-I22030)),0)</f>
        <v>1</v>
      </c>
      <c r="J22038" s="21" t="n">
        <f aca="false">IF(J22028&gt;0,J22028/(J22028+MAX(0,J21909*CHOOSE($C$21892,Assumptions!$C$76,Assumptions!$C$95,Assumptions!$C$114)-J22030)),0)</f>
        <v>1</v>
      </c>
      <c r="K22038" s="21" t="n">
        <f aca="false">IF(K22028&gt;0,K22028/(K22028+MAX(0,K21909*CHOOSE($C$21892,Assumptions!$C$76,Assumptions!$C$95,Assumptions!$C$114)-K22030)),0)</f>
        <v>1</v>
      </c>
    </row>
    <row r="22039" customFormat="false" ht="15" hidden="false" customHeight="false" outlineLevel="0" collapsed="false">
      <c r="A22039" s="5" t="s">
        <v>329</v>
      </c>
      <c r="G22039" s="21" t="n">
        <f aca="false">IF(G22028&gt;0,MAX(0,G22021)/G22028,0)</f>
        <v>0</v>
      </c>
      <c r="H22039" s="21" t="n">
        <f aca="false">IF(H22028&gt;0,MAX(0,H22021)/H22028,0)</f>
        <v>0</v>
      </c>
      <c r="I22039" s="21" t="n">
        <f aca="false">IF(I22028&gt;0,MAX(0,I22021)/I22028,0)</f>
        <v>0</v>
      </c>
      <c r="J22039" s="21" t="n">
        <f aca="false">IF(J22028&gt;0,MAX(0,J22021)/J22028,0)</f>
        <v>0</v>
      </c>
      <c r="K22039" s="21" t="n">
        <f aca="false">IF(K22028&gt;0,MAX(0,K22021)/K22028,0)</f>
        <v>0</v>
      </c>
    </row>
    <row r="22040" customFormat="false" ht="15" hidden="false" customHeight="false" outlineLevel="0" collapsed="false">
      <c r="A22040" s="5" t="s">
        <v>330</v>
      </c>
      <c r="G22040" s="25" t="n">
        <f aca="false">Assumptions!$C$27*(1-CHOOSE($C$21892,Assumptions!$C$79,Assumptions!$C$98,Assumptions!$C$117))</f>
        <v>676</v>
      </c>
      <c r="H22040" s="25" t="n">
        <f aca="false">Assumptions!$C$27*(1-CHOOSE($C$21892,Assumptions!$C$79,Assumptions!$C$98,Assumptions!$C$117))</f>
        <v>676</v>
      </c>
      <c r="I22040" s="25" t="n">
        <f aca="false">Assumptions!$C$27*(1-CHOOSE($C$21892,Assumptions!$C$79,Assumptions!$C$98,Assumptions!$C$117))</f>
        <v>676</v>
      </c>
      <c r="J22040" s="25" t="n">
        <f aca="false">Assumptions!$C$27*(1-CHOOSE($C$21892,Assumptions!$C$79,Assumptions!$C$98,Assumptions!$C$117))</f>
        <v>676</v>
      </c>
      <c r="K22040" s="25" t="n">
        <f aca="false">Assumptions!$C$27*(1-CHOOSE($C$21892,Assumptions!$C$79,Assumptions!$C$98,Assumptions!$C$117))</f>
        <v>676</v>
      </c>
    </row>
    <row r="22041" customFormat="false" ht="15" hidden="false" customHeight="false" outlineLevel="0" collapsed="false">
      <c r="A22041" s="23" t="s">
        <v>331</v>
      </c>
      <c r="B22041" s="24"/>
      <c r="C22041" s="24"/>
      <c r="D22041" s="24"/>
      <c r="E22041" s="24"/>
      <c r="F22041" s="24"/>
      <c r="G22041" s="24"/>
      <c r="H22041" s="24"/>
      <c r="I22041" s="24"/>
      <c r="J22041" s="24"/>
      <c r="K22041" s="24"/>
    </row>
    <row r="22042" customFormat="false" ht="15" hidden="false" customHeight="false" outlineLevel="0" collapsed="false">
      <c r="A22042" s="23" t="s">
        <v>332</v>
      </c>
      <c r="B22042" s="24"/>
      <c r="C22042" s="24"/>
      <c r="D22042" s="24"/>
      <c r="E22042" s="24"/>
      <c r="F22042" s="24"/>
      <c r="G22042" s="24"/>
      <c r="H22042" s="24"/>
      <c r="I22042" s="24"/>
      <c r="J22042" s="24"/>
      <c r="K22042" s="24"/>
    </row>
    <row r="22043" customFormat="false" ht="15" hidden="false" customHeight="false" outlineLevel="0" collapsed="false">
      <c r="A22043" s="5" t="s">
        <v>333</v>
      </c>
      <c r="G22043" s="31" t="n">
        <f aca="false">IF(G21909&gt;0,G22030/G21909,99)</f>
        <v>70.6978241949521</v>
      </c>
      <c r="H22043" s="31" t="n">
        <f aca="false">IF(H21909&gt;0,H22030/H21909,99)</f>
        <v>89.6623128557566</v>
      </c>
      <c r="I22043" s="31" t="n">
        <f aca="false">IF(I21909&gt;0,I22030/I21909,99)</f>
        <v>102.006017980246</v>
      </c>
      <c r="J22043" s="31" t="n">
        <f aca="false">IF(J21909&gt;0,J22030/J21909,99)</f>
        <v>113.234217713133</v>
      </c>
      <c r="K22043" s="31" t="n">
        <f aca="false">IF(K21909&gt;0,K22030/K21909,99)</f>
        <v>124.624351403687</v>
      </c>
    </row>
    <row r="22044" customFormat="false" ht="15" hidden="false" customHeight="false" outlineLevel="0" collapsed="false">
      <c r="A22044" s="5" t="s">
        <v>334</v>
      </c>
      <c r="G22044" s="32" t="n">
        <f aca="false">Assumptions!$G$61</f>
        <v>8.5</v>
      </c>
      <c r="H22044" s="32" t="n">
        <f aca="false">Assumptions!$H$61</f>
        <v>8.5</v>
      </c>
      <c r="I22044" s="32" t="n">
        <f aca="false">Assumptions!$I$61</f>
        <v>8.5</v>
      </c>
      <c r="J22044" s="32" t="n">
        <f aca="false">Assumptions!$J$61</f>
        <v>8.5</v>
      </c>
      <c r="K22044" s="32" t="n">
        <f aca="false">Assumptions!$K$61</f>
        <v>8.5</v>
      </c>
    </row>
    <row r="22045" customFormat="false" ht="15" hidden="false" customHeight="false" outlineLevel="0" collapsed="false">
      <c r="A22045" s="5" t="s">
        <v>335</v>
      </c>
      <c r="G22045" s="31" t="n">
        <f aca="false">G22044-G22043</f>
        <v>-62.1978241949521</v>
      </c>
      <c r="H22045" s="31" t="n">
        <f aca="false">H22044-H22043</f>
        <v>-81.1623128557566</v>
      </c>
      <c r="I22045" s="31" t="n">
        <f aca="false">I22044-I22043</f>
        <v>-93.5060179802461</v>
      </c>
      <c r="J22045" s="31" t="n">
        <f aca="false">J22044-J22043</f>
        <v>-104.734217713133</v>
      </c>
      <c r="K22045" s="31" t="n">
        <f aca="false">K22044-K22043</f>
        <v>-116.124351403687</v>
      </c>
    </row>
    <row r="22046" customFormat="false" ht="15" hidden="false" customHeight="false" outlineLevel="0" collapsed="false">
      <c r="A22046" s="5" t="s">
        <v>336</v>
      </c>
      <c r="G22046" s="21" t="n">
        <f aca="false">IF(G22044=0,0,G22045/ABS(G22044))</f>
        <v>-7.31739108175907</v>
      </c>
      <c r="H22046" s="21" t="n">
        <f aca="false">IF(H22044=0,0,H22045/ABS(H22044))</f>
        <v>-9.5485073947949</v>
      </c>
      <c r="I22046" s="21" t="n">
        <f aca="false">IF(I22044=0,0,I22045/ABS(I22044))</f>
        <v>-11.000707997676</v>
      </c>
      <c r="J22046" s="21" t="n">
        <f aca="false">IF(J22044=0,0,J22045/ABS(J22044))</f>
        <v>-12.3216726721333</v>
      </c>
      <c r="K22046" s="21" t="n">
        <f aca="false">IF(K22044=0,0,K22045/ABS(K22044))</f>
        <v>-13.6616884004338</v>
      </c>
    </row>
    <row r="22047" customFormat="false" ht="15" hidden="false" customHeight="false" outlineLevel="0" collapsed="false">
      <c r="A22047" s="5" t="s">
        <v>337</v>
      </c>
      <c r="G22047" s="20" t="n">
        <f aca="false">IF(G22045&lt;0,1,0)</f>
        <v>1</v>
      </c>
      <c r="H22047" s="20" t="n">
        <f aca="false">IF(H22045&lt;0,1,0)</f>
        <v>1</v>
      </c>
      <c r="I22047" s="20" t="n">
        <f aca="false">IF(I22045&lt;0,1,0)</f>
        <v>1</v>
      </c>
      <c r="J22047" s="20" t="n">
        <f aca="false">IF(J22045&lt;0,1,0)</f>
        <v>1</v>
      </c>
      <c r="K22047" s="20" t="n">
        <f aca="false">IF(K22045&lt;0,1,0)</f>
        <v>1</v>
      </c>
    </row>
    <row r="22048" customFormat="false" ht="15" hidden="false" customHeight="false" outlineLevel="0" collapsed="false">
      <c r="A22048" s="5" t="s">
        <v>338</v>
      </c>
      <c r="C22048" s="20" t="n">
        <f aca="false">IFERROR(INDEX($G$21899:$K$21899,MATCH(1,$G$22047:$K$22047,0)),0)</f>
        <v>2026</v>
      </c>
    </row>
    <row r="22049" customFormat="false" ht="15" hidden="false" customHeight="false" outlineLevel="0" collapsed="false">
      <c r="A22049" s="5" t="s">
        <v>339</v>
      </c>
      <c r="C22049" s="21" t="n">
        <f aca="false">MIN($G$22046:$K$22046)</f>
        <v>-13.6616884004338</v>
      </c>
    </row>
    <row r="22050" customFormat="false" ht="15" hidden="false" customHeight="false" outlineLevel="0" collapsed="false">
      <c r="A22050" s="5" t="s">
        <v>340</v>
      </c>
      <c r="G22050" s="20" t="n">
        <f aca="false">G22047</f>
        <v>1</v>
      </c>
      <c r="H22050" s="20" t="n">
        <f aca="false">H22047</f>
        <v>1</v>
      </c>
      <c r="I22050" s="20" t="n">
        <f aca="false">I22047</f>
        <v>1</v>
      </c>
      <c r="J22050" s="20" t="n">
        <f aca="false">J22047</f>
        <v>1</v>
      </c>
      <c r="K22050" s="20" t="n">
        <f aca="false">K22047</f>
        <v>1</v>
      </c>
    </row>
    <row r="22051" customFormat="false" ht="15" hidden="false" customHeight="false" outlineLevel="0" collapsed="false">
      <c r="A22051" s="5" t="s">
        <v>341</v>
      </c>
      <c r="C22051" s="20" t="n">
        <f aca="false">SUM($G$22050:$K$22050)</f>
        <v>5</v>
      </c>
    </row>
    <row r="22052" customFormat="false" ht="15" hidden="false" customHeight="false" outlineLevel="0" collapsed="false">
      <c r="A22052" s="5" t="s">
        <v>342</v>
      </c>
      <c r="C22052" s="21" t="n">
        <f aca="false">MIN(C22049)</f>
        <v>-13.6616884004338</v>
      </c>
    </row>
    <row r="22054" customFormat="false" ht="15" hidden="false" customHeight="false" outlineLevel="0" collapsed="false">
      <c r="A22054" s="23" t="s">
        <v>444</v>
      </c>
      <c r="B22054" s="24"/>
      <c r="C22054" s="24"/>
      <c r="D22054" s="24"/>
      <c r="E22054" s="24"/>
      <c r="F22054" s="24"/>
      <c r="G22054" s="24"/>
      <c r="H22054" s="24"/>
      <c r="I22054" s="24"/>
      <c r="J22054" s="24"/>
      <c r="K22054" s="24"/>
    </row>
    <row r="22055" customFormat="false" ht="15" hidden="false" customHeight="false" outlineLevel="0" collapsed="false">
      <c r="A22055" s="5" t="s">
        <v>445</v>
      </c>
      <c r="G22055" s="20" t="n">
        <f aca="false">IF($C$22056=1,G22024,IF(G21909=MIN($G$21909:$K$21909),1,0))</f>
        <v>0</v>
      </c>
      <c r="H22055" s="20" t="n">
        <f aca="false">IF($C$22056=1,H22024,IF(AND(H21909=MIN($G$21909:$K$21909),SUM($G$22055:G22055)=0),1,0))</f>
        <v>1</v>
      </c>
      <c r="I22055" s="20" t="n">
        <f aca="false">IF($C$22056=1,I22024,IF(AND(I21909=MIN($G$21909:$K$21909),SUM($G$22055:H22055)=0),1,0))</f>
        <v>0</v>
      </c>
      <c r="J22055" s="20" t="n">
        <f aca="false">IF($C$22056=1,J22024,IF(AND(J21909=MIN($G$21909:$K$21909),SUM($G$22055:I22055)=0),1,0))</f>
        <v>0</v>
      </c>
      <c r="K22055" s="20" t="n">
        <f aca="false">IF($C$22056=1,K22024,IF(AND(K21909=MIN($G$21909:$K$21909),SUM($G$22055:J22055)=0),1,0))</f>
        <v>0</v>
      </c>
    </row>
    <row r="22056" customFormat="false" ht="15" hidden="false" customHeight="false" outlineLevel="0" collapsed="false">
      <c r="A22056" s="5" t="s">
        <v>446</v>
      </c>
      <c r="C22056" s="20" t="n">
        <f aca="false">IF(SUM($G$22024:$K$22024)&gt;0,1,0)</f>
        <v>1</v>
      </c>
    </row>
    <row r="22057" customFormat="false" ht="15" hidden="false" customHeight="false" outlineLevel="0" collapsed="false">
      <c r="A22057" s="5" t="s">
        <v>447</v>
      </c>
      <c r="C22057" s="20" t="n">
        <f aca="false">SUMPRODUCT($G$22055:$K$22055,$G$21899:$K$21899)</f>
        <v>2027</v>
      </c>
    </row>
    <row r="22058" customFormat="false" ht="15" hidden="false" customHeight="false" outlineLevel="0" collapsed="false">
      <c r="A22058" s="5" t="s">
        <v>448</v>
      </c>
      <c r="C22058" s="25" t="n">
        <f aca="false">SUMPRODUCT($G$22055:$K$22055,$G$21909:$K$21909)</f>
        <v>15.99408</v>
      </c>
    </row>
    <row r="22059" customFormat="false" ht="15" hidden="false" customHeight="false" outlineLevel="0" collapsed="false">
      <c r="A22059" s="5" t="s">
        <v>449</v>
      </c>
      <c r="C22059" s="25" t="n">
        <f aca="false">MAX(0,SUMPRODUCT($G$22055:$K$22055,$G$22021:$K$22021))</f>
        <v>0</v>
      </c>
    </row>
    <row r="22060" customFormat="false" ht="15" hidden="false" customHeight="false" outlineLevel="0" collapsed="false">
      <c r="A22060" s="5" t="s">
        <v>450</v>
      </c>
      <c r="C22060" s="25" t="n">
        <f aca="false">(CHOOSE($C$21892,Assumptions!$C$78,Assumptions!$C$97,Assumptions!$C$116)+$C$21896)*C22058</f>
        <v>95.96448</v>
      </c>
    </row>
    <row r="22061" customFormat="false" ht="15" hidden="false" customHeight="false" outlineLevel="0" collapsed="false">
      <c r="A22061" s="5" t="s">
        <v>451</v>
      </c>
      <c r="C22061" s="25" t="n">
        <f aca="false">Assumptions!$C$27*(1-CHOOSE($C$21892,Assumptions!$C$79,Assumptions!$C$98,Assumptions!$C$117))*CHOOSE($C$21892,Assumptions!$C$80,Assumptions!$C$99,Assumptions!$C$118)</f>
        <v>405.6</v>
      </c>
    </row>
    <row r="22062" customFormat="false" ht="15" hidden="false" customHeight="false" outlineLevel="0" collapsed="false">
      <c r="A22062" s="5" t="s">
        <v>452</v>
      </c>
      <c r="C22062" s="25" t="n">
        <f aca="false">MAX(C22060,C22061)+C22059</f>
        <v>405.6</v>
      </c>
    </row>
    <row r="22063" customFormat="false" ht="15" hidden="false" customHeight="false" outlineLevel="0" collapsed="false">
      <c r="A22063" s="2" t="s">
        <v>453</v>
      </c>
      <c r="C22063" s="16" t="n">
        <f aca="false">IF(ISNUMBER(Assumptions!$C$14),Assumptions!$C$14,C22062)</f>
        <v>405.6</v>
      </c>
    </row>
    <row r="22064" customFormat="false" ht="15" hidden="false" customHeight="false" outlineLevel="0" collapsed="false">
      <c r="A22064" s="5" t="s">
        <v>454</v>
      </c>
      <c r="C22064" s="25" t="n">
        <f aca="false">C22063*Assumptions!$C$15</f>
        <v>16.224</v>
      </c>
    </row>
    <row r="22065" customFormat="false" ht="15" hidden="false" customHeight="false" outlineLevel="0" collapsed="false">
      <c r="A22065" s="2" t="s">
        <v>455</v>
      </c>
      <c r="C22065" s="16" t="n">
        <f aca="false">C22063-C22064</f>
        <v>389.376</v>
      </c>
    </row>
    <row r="22066" customFormat="false" ht="15" hidden="false" customHeight="false" outlineLevel="0" collapsed="false">
      <c r="A22066" s="23" t="s">
        <v>456</v>
      </c>
      <c r="B22066" s="24"/>
      <c r="C22066" s="24"/>
      <c r="D22066" s="24"/>
      <c r="E22066" s="24"/>
      <c r="F22066" s="24"/>
      <c r="G22066" s="24"/>
      <c r="H22066" s="24"/>
      <c r="I22066" s="24"/>
      <c r="J22066" s="24"/>
      <c r="K22066" s="24"/>
    </row>
    <row r="22067" customFormat="false" ht="15" hidden="false" customHeight="false" outlineLevel="0" collapsed="false">
      <c r="A22067" s="5" t="s">
        <v>457</v>
      </c>
      <c r="C22067" s="25" t="n">
        <f aca="false">SUMPRODUCT($G$22055:$K$22055,$G$21946:$K$21946)*(1+SUMPRODUCT($G$22055:$K$22055,$G$21938:$K$21938)*Assumptions!$C$16/12)</f>
        <v>241.5743372</v>
      </c>
    </row>
    <row r="22068" customFormat="false" ht="15" hidden="false" customHeight="false" outlineLevel="0" collapsed="false">
      <c r="A22068" s="5" t="s">
        <v>458</v>
      </c>
      <c r="C22068" s="25" t="n">
        <f aca="false">SUMPRODUCT($G$22055:$K$22055,$G$21959:$K$21959)*(1+SUMPRODUCT($G$22055:$K$22055,$G$21951:$K$21951)*Assumptions!$C$16/12)</f>
        <v>526.2257</v>
      </c>
    </row>
    <row r="22069" customFormat="false" ht="15" hidden="false" customHeight="false" outlineLevel="0" collapsed="false">
      <c r="A22069" s="5" t="s">
        <v>459</v>
      </c>
      <c r="C22069" s="25" t="n">
        <f aca="false">SUMPRODUCT($G$22055:$K$22055,$G$21972:$K$21972)*(1+SUMPRODUCT($G$22055:$K$22055,$G$21964:$K$21964)*Assumptions!$C$16/12)</f>
        <v>256.875</v>
      </c>
    </row>
    <row r="22070" customFormat="false" ht="15" hidden="false" customHeight="false" outlineLevel="0" collapsed="false">
      <c r="A22070" s="5" t="s">
        <v>460</v>
      </c>
      <c r="C22070" s="25" t="n">
        <f aca="false">SUMPRODUCT($G$22055:$K$22055,$G$21985:$K$21985)*(1+SUMPRODUCT($G$22055:$K$22055,$G$21977:$K$21977)*Assumptions!$C$16/12)</f>
        <v>305.625</v>
      </c>
    </row>
    <row r="22071" customFormat="false" ht="15" hidden="false" customHeight="false" outlineLevel="0" collapsed="false">
      <c r="A22071" s="23" t="s">
        <v>461</v>
      </c>
      <c r="B22071" s="24"/>
      <c r="C22071" s="24"/>
      <c r="D22071" s="24"/>
      <c r="E22071" s="24"/>
      <c r="F22071" s="24"/>
      <c r="G22071" s="24"/>
      <c r="H22071" s="24"/>
      <c r="I22071" s="24"/>
      <c r="J22071" s="24"/>
      <c r="K22071" s="24"/>
    </row>
    <row r="22072" customFormat="false" ht="15" hidden="false" customHeight="false" outlineLevel="0" collapsed="false">
      <c r="A22072" s="5" t="s">
        <v>457</v>
      </c>
      <c r="C22072" s="26" t="n">
        <f aca="false">Assumptions!$M$53</f>
        <v>1</v>
      </c>
    </row>
    <row r="22073" customFormat="false" ht="15" hidden="false" customHeight="false" outlineLevel="0" collapsed="false">
      <c r="A22073" s="5" t="s">
        <v>458</v>
      </c>
      <c r="C22073" s="26" t="n">
        <f aca="false">Assumptions!$M$54</f>
        <v>2</v>
      </c>
    </row>
    <row r="22074" customFormat="false" ht="15" hidden="false" customHeight="false" outlineLevel="0" collapsed="false">
      <c r="A22074" s="5" t="s">
        <v>459</v>
      </c>
      <c r="C22074" s="26" t="n">
        <f aca="false">Assumptions!$M$55</f>
        <v>3</v>
      </c>
    </row>
    <row r="22075" customFormat="false" ht="15" hidden="false" customHeight="false" outlineLevel="0" collapsed="false">
      <c r="A22075" s="5" t="s">
        <v>460</v>
      </c>
      <c r="C22075" s="26" t="n">
        <f aca="false">Assumptions!$M$56</f>
        <v>4</v>
      </c>
    </row>
    <row r="22076" customFormat="false" ht="15" hidden="false" customHeight="false" outlineLevel="0" collapsed="false">
      <c r="A22076" s="23" t="s">
        <v>462</v>
      </c>
      <c r="B22076" s="24"/>
      <c r="C22076" s="24"/>
      <c r="D22076" s="24"/>
      <c r="E22076" s="24"/>
      <c r="F22076" s="24"/>
      <c r="G22076" s="24"/>
      <c r="H22076" s="24"/>
      <c r="I22076" s="24"/>
      <c r="J22076" s="24"/>
      <c r="K22076" s="24"/>
    </row>
    <row r="22077" customFormat="false" ht="15" hidden="false" customHeight="false" outlineLevel="0" collapsed="false">
      <c r="A22077" s="5" t="s">
        <v>457</v>
      </c>
      <c r="C22077" s="34" t="n">
        <f aca="false">Assumptions!$Q$53</f>
        <v>0</v>
      </c>
    </row>
    <row r="22078" customFormat="false" ht="15" hidden="false" customHeight="false" outlineLevel="0" collapsed="false">
      <c r="A22078" s="5" t="s">
        <v>458</v>
      </c>
      <c r="C22078" s="34" t="n">
        <f aca="false">Assumptions!$Q$54</f>
        <v>0</v>
      </c>
    </row>
    <row r="22079" customFormat="false" ht="15" hidden="false" customHeight="false" outlineLevel="0" collapsed="false">
      <c r="A22079" s="5" t="s">
        <v>459</v>
      </c>
      <c r="C22079" s="34" t="n">
        <f aca="false">Assumptions!$Q$55</f>
        <v>0</v>
      </c>
    </row>
    <row r="22080" customFormat="false" ht="15" hidden="false" customHeight="false" outlineLevel="0" collapsed="false">
      <c r="A22080" s="5" t="s">
        <v>460</v>
      </c>
      <c r="C22080" s="34" t="n">
        <f aca="false">Assumptions!$Q$56</f>
        <v>0</v>
      </c>
    </row>
    <row r="22081" customFormat="false" ht="15" hidden="false" customHeight="false" outlineLevel="0" collapsed="false">
      <c r="A22081" s="23" t="s">
        <v>463</v>
      </c>
      <c r="B22081" s="24"/>
      <c r="C22081" s="24"/>
      <c r="D22081" s="24"/>
      <c r="E22081" s="24"/>
      <c r="F22081" s="24"/>
      <c r="G22081" s="24"/>
      <c r="H22081" s="24"/>
      <c r="I22081" s="24"/>
      <c r="J22081" s="24"/>
      <c r="K22081" s="24"/>
    </row>
    <row r="22082" customFormat="false" ht="15" hidden="false" customHeight="false" outlineLevel="0" collapsed="false">
      <c r="A22082" s="5" t="s">
        <v>457</v>
      </c>
      <c r="C22082" s="25" t="n">
        <f aca="false">IF(C22077&gt;0,MIN(C22067,C22077*$C$22065),0)</f>
        <v>0</v>
      </c>
    </row>
    <row r="22083" customFormat="false" ht="15" hidden="false" customHeight="false" outlineLevel="0" collapsed="false">
      <c r="A22083" s="5" t="s">
        <v>458</v>
      </c>
      <c r="C22083" s="25" t="n">
        <f aca="false">IF(C22078&gt;0,MIN(C22068,C22078*$C$22065),0)</f>
        <v>0</v>
      </c>
    </row>
    <row r="22084" customFormat="false" ht="15" hidden="false" customHeight="false" outlineLevel="0" collapsed="false">
      <c r="A22084" s="5" t="s">
        <v>459</v>
      </c>
      <c r="C22084" s="25" t="n">
        <f aca="false">IF(C22079&gt;0,MIN(C22069,C22079*$C$22065),0)</f>
        <v>0</v>
      </c>
    </row>
    <row r="22085" customFormat="false" ht="15" hidden="false" customHeight="false" outlineLevel="0" collapsed="false">
      <c r="A22085" s="5" t="s">
        <v>460</v>
      </c>
      <c r="C22085" s="25" t="n">
        <f aca="false">IF(C22080&gt;0,MIN(C22070,C22080*$C$22065),0)</f>
        <v>0</v>
      </c>
    </row>
    <row r="22086" customFormat="false" ht="15" hidden="false" customHeight="false" outlineLevel="0" collapsed="false">
      <c r="A22086" s="23" t="s">
        <v>464</v>
      </c>
      <c r="B22086" s="24"/>
      <c r="C22086" s="24"/>
      <c r="D22086" s="24"/>
      <c r="E22086" s="24"/>
      <c r="F22086" s="24"/>
      <c r="G22086" s="24"/>
      <c r="H22086" s="24"/>
      <c r="I22086" s="24"/>
      <c r="J22086" s="24"/>
      <c r="K22086" s="24"/>
    </row>
    <row r="22087" customFormat="false" ht="15" hidden="false" customHeight="false" outlineLevel="0" collapsed="false">
      <c r="A22087" s="5" t="s">
        <v>457</v>
      </c>
      <c r="C22087" s="25" t="n">
        <f aca="false">IF(C22077&gt;0,C22067-C22082,0)</f>
        <v>0</v>
      </c>
      <c r="G22087" s="20" t="n">
        <f aca="false">IF(AND(G21936=1,G21933=1),1,0)</f>
        <v>0</v>
      </c>
      <c r="H22087" s="20" t="n">
        <f aca="false">IF(G22087=1,1,IF(AND(H21936=1,H21933=1),1,0))</f>
        <v>0</v>
      </c>
      <c r="I22087" s="20" t="n">
        <f aca="false">IF(H22087=1,1,IF(AND(I21936=1,I21933=1),1,0))</f>
        <v>0</v>
      </c>
      <c r="J22087" s="20" t="n">
        <f aca="false">IF(I22087=1,1,IF(AND(J21936=1,J21933=1),1,0))</f>
        <v>0</v>
      </c>
      <c r="K22087" s="20" t="n">
        <f aca="false">IF(J22087=1,1,IF(AND(K21936=1,K21933=1),1,0))</f>
        <v>0</v>
      </c>
    </row>
    <row r="22088" customFormat="false" ht="15" hidden="false" customHeight="false" outlineLevel="0" collapsed="false">
      <c r="A22088" s="5" t="s">
        <v>458</v>
      </c>
      <c r="C22088" s="25" t="n">
        <f aca="false">IF(C22078&gt;0,C22068-C22083,0)</f>
        <v>0</v>
      </c>
      <c r="G22088" s="20" t="n">
        <f aca="false">IF(AND(G21949=1,G21933=1),1,0)</f>
        <v>0</v>
      </c>
      <c r="H22088" s="20" t="n">
        <f aca="false">IF(G22088=1,1,IF(AND(H21949=1,H21933=1),1,0))</f>
        <v>0</v>
      </c>
      <c r="I22088" s="20" t="n">
        <f aca="false">IF(H22088=1,1,IF(AND(I21949=1,I21933=1),1,0))</f>
        <v>0</v>
      </c>
      <c r="J22088" s="20" t="n">
        <f aca="false">IF(I22088=1,1,IF(AND(J21949=1,J21933=1),1,0))</f>
        <v>0</v>
      </c>
      <c r="K22088" s="20" t="n">
        <f aca="false">IF(J22088=1,1,IF(AND(K21949=1,K21933=1),1,0))</f>
        <v>0</v>
      </c>
    </row>
    <row r="22089" customFormat="false" ht="15" hidden="false" customHeight="false" outlineLevel="0" collapsed="false">
      <c r="A22089" s="5" t="s">
        <v>459</v>
      </c>
      <c r="C22089" s="25" t="n">
        <f aca="false">IF(C22079&gt;0,C22069-C22084,0)</f>
        <v>0</v>
      </c>
      <c r="G22089" s="20" t="n">
        <f aca="false">IF(AND(G21962=1,G21933=1),1,0)</f>
        <v>0</v>
      </c>
      <c r="H22089" s="20" t="n">
        <f aca="false">IF(G22089=1,1,IF(AND(H21962=1,H21933=1),1,0))</f>
        <v>0</v>
      </c>
      <c r="I22089" s="20" t="n">
        <f aca="false">IF(H22089=1,1,IF(AND(I21962=1,I21933=1),1,0))</f>
        <v>0</v>
      </c>
      <c r="J22089" s="20" t="n">
        <f aca="false">IF(I22089=1,1,IF(AND(J21962=1,J21933=1),1,0))</f>
        <v>0</v>
      </c>
      <c r="K22089" s="20" t="n">
        <f aca="false">IF(J22089=1,1,IF(AND(K21962=1,K21933=1),1,0))</f>
        <v>0</v>
      </c>
    </row>
    <row r="22090" customFormat="false" ht="15" hidden="false" customHeight="false" outlineLevel="0" collapsed="false">
      <c r="A22090" s="5" t="s">
        <v>460</v>
      </c>
      <c r="C22090" s="25" t="n">
        <f aca="false">IF(C22080&gt;0,C22070-C22085,0)</f>
        <v>0</v>
      </c>
      <c r="G22090" s="20" t="n">
        <f aca="false">IF(AND(G21975=1,G21933=1),1,0)</f>
        <v>0</v>
      </c>
      <c r="H22090" s="20" t="n">
        <f aca="false">IF(G22090=1,1,IF(AND(H21975=1,H21933=1),1,0))</f>
        <v>0</v>
      </c>
      <c r="I22090" s="20" t="n">
        <f aca="false">IF(H22090=1,1,IF(AND(I21975=1,I21933=1),1,0))</f>
        <v>0</v>
      </c>
      <c r="J22090" s="20" t="n">
        <f aca="false">IF(I22090=1,1,IF(AND(J21975=1,J21933=1),1,0))</f>
        <v>0</v>
      </c>
      <c r="K22090" s="20" t="n">
        <f aca="false">IF(J22090=1,1,IF(AND(K21975=1,K21933=1),1,0))</f>
        <v>0</v>
      </c>
    </row>
    <row r="22091" customFormat="false" ht="15" hidden="false" customHeight="false" outlineLevel="0" collapsed="false">
      <c r="A22091" s="23" t="s">
        <v>465</v>
      </c>
      <c r="B22091" s="24"/>
      <c r="C22091" s="24"/>
      <c r="D22091" s="24"/>
      <c r="E22091" s="24"/>
      <c r="F22091" s="24"/>
      <c r="G22091" s="24"/>
      <c r="H22091" s="24"/>
      <c r="I22091" s="24"/>
      <c r="J22091" s="24"/>
      <c r="K22091" s="24"/>
    </row>
    <row r="22092" customFormat="false" ht="15" hidden="false" customHeight="false" outlineLevel="0" collapsed="false">
      <c r="A22092" s="5" t="s">
        <v>457</v>
      </c>
      <c r="C22092" s="25" t="n">
        <f aca="false">IF(C22077&gt;0,C22087,C22067)</f>
        <v>241.5743372</v>
      </c>
    </row>
    <row r="22093" customFormat="false" ht="15" hidden="false" customHeight="false" outlineLevel="0" collapsed="false">
      <c r="A22093" s="5" t="s">
        <v>458</v>
      </c>
      <c r="C22093" s="25" t="n">
        <f aca="false">IF(C22078&gt;0,C22088,C22068)</f>
        <v>526.2257</v>
      </c>
    </row>
    <row r="22094" customFormat="false" ht="15" hidden="false" customHeight="false" outlineLevel="0" collapsed="false">
      <c r="A22094" s="5" t="s">
        <v>459</v>
      </c>
      <c r="C22094" s="25" t="n">
        <f aca="false">IF(C22079&gt;0,C22089,C22069)</f>
        <v>256.875</v>
      </c>
    </row>
    <row r="22095" customFormat="false" ht="15" hidden="false" customHeight="false" outlineLevel="0" collapsed="false">
      <c r="A22095" s="5" t="s">
        <v>460</v>
      </c>
      <c r="C22095" s="25" t="n">
        <f aca="false">IF(C22080&gt;0,C22090,C22070)</f>
        <v>305.625</v>
      </c>
    </row>
    <row r="22096" customFormat="false" ht="15" hidden="false" customHeight="false" outlineLevel="0" collapsed="false">
      <c r="A22096" s="23" t="s">
        <v>466</v>
      </c>
      <c r="B22096" s="24"/>
      <c r="C22096" s="24"/>
      <c r="D22096" s="24"/>
      <c r="E22096" s="24"/>
      <c r="F22096" s="24"/>
      <c r="G22096" s="24"/>
      <c r="H22096" s="24"/>
      <c r="I22096" s="24"/>
      <c r="J22096" s="24"/>
      <c r="K22096" s="24"/>
    </row>
    <row r="22097" customFormat="false" ht="15" hidden="false" customHeight="false" outlineLevel="0" collapsed="false">
      <c r="A22097" s="5" t="s">
        <v>457</v>
      </c>
      <c r="C22097" s="20" t="n">
        <f aca="false">IF(C22077&gt;0,Assumptions!$C$17,C22072)</f>
        <v>1</v>
      </c>
    </row>
    <row r="22098" customFormat="false" ht="15" hidden="false" customHeight="false" outlineLevel="0" collapsed="false">
      <c r="A22098" s="5" t="s">
        <v>458</v>
      </c>
      <c r="C22098" s="20" t="n">
        <f aca="false">IF(C22078&gt;0,Assumptions!$C$17,C22073)</f>
        <v>2</v>
      </c>
    </row>
    <row r="22099" customFormat="false" ht="15" hidden="false" customHeight="false" outlineLevel="0" collapsed="false">
      <c r="A22099" s="5" t="s">
        <v>459</v>
      </c>
      <c r="C22099" s="20" t="n">
        <f aca="false">IF(C22079&gt;0,Assumptions!$C$17,C22074)</f>
        <v>3</v>
      </c>
    </row>
    <row r="22100" customFormat="false" ht="15" hidden="false" customHeight="false" outlineLevel="0" collapsed="false">
      <c r="A22100" s="5" t="s">
        <v>460</v>
      </c>
      <c r="C22100" s="20" t="n">
        <f aca="false">IF(C22080&gt;0,Assumptions!$C$17,C22075)</f>
        <v>4</v>
      </c>
    </row>
    <row r="22101" customFormat="false" ht="15" hidden="false" customHeight="false" outlineLevel="0" collapsed="false">
      <c r="A22101" s="23" t="s">
        <v>467</v>
      </c>
      <c r="B22101" s="24"/>
      <c r="C22101" s="24"/>
      <c r="D22101" s="24"/>
      <c r="E22101" s="24"/>
      <c r="F22101" s="24"/>
      <c r="G22101" s="24"/>
      <c r="H22101" s="24"/>
      <c r="I22101" s="24"/>
      <c r="J22101" s="24"/>
      <c r="K22101" s="24"/>
    </row>
    <row r="22102" customFormat="false" ht="15" hidden="false" customHeight="false" outlineLevel="0" collapsed="false">
      <c r="A22102" s="5" t="s">
        <v>457</v>
      </c>
      <c r="C22102" s="25" t="n">
        <f aca="false">SUMPRODUCT(($C$22097:$C$22100&lt;C22097)*$C$22092:$C$22095)</f>
        <v>0</v>
      </c>
    </row>
    <row r="22103" customFormat="false" ht="15" hidden="false" customHeight="false" outlineLevel="0" collapsed="false">
      <c r="A22103" s="5" t="s">
        <v>458</v>
      </c>
      <c r="C22103" s="25" t="n">
        <f aca="false">SUMPRODUCT(($C$22097:$C$22100&lt;C22098)*$C$22092:$C$22095)</f>
        <v>241.5743372</v>
      </c>
    </row>
    <row r="22104" customFormat="false" ht="15" hidden="false" customHeight="false" outlineLevel="0" collapsed="false">
      <c r="A22104" s="5" t="s">
        <v>459</v>
      </c>
      <c r="C22104" s="25" t="n">
        <f aca="false">SUMPRODUCT(($C$22097:$C$22100&lt;C22099)*$C$22092:$C$22095)</f>
        <v>767.8000372</v>
      </c>
    </row>
    <row r="22105" customFormat="false" ht="15" hidden="false" customHeight="false" outlineLevel="0" collapsed="false">
      <c r="A22105" s="5" t="s">
        <v>460</v>
      </c>
      <c r="C22105" s="25" t="n">
        <f aca="false">SUMPRODUCT(($C$22097:$C$22100&lt;C22100)*$C$22092:$C$22095)</f>
        <v>1024.6750372</v>
      </c>
    </row>
    <row r="22106" customFormat="false" ht="15" hidden="false" customHeight="false" outlineLevel="0" collapsed="false">
      <c r="A22106" s="23" t="s">
        <v>468</v>
      </c>
      <c r="B22106" s="24"/>
      <c r="C22106" s="24"/>
      <c r="D22106" s="24"/>
      <c r="E22106" s="24"/>
      <c r="F22106" s="24"/>
      <c r="G22106" s="24"/>
      <c r="H22106" s="24"/>
      <c r="I22106" s="24"/>
      <c r="J22106" s="24"/>
      <c r="K22106" s="24"/>
    </row>
    <row r="22107" customFormat="false" ht="15" hidden="false" customHeight="false" outlineLevel="0" collapsed="false">
      <c r="A22107" s="5" t="s">
        <v>457</v>
      </c>
      <c r="C22107" s="25" t="n">
        <f aca="false">SUMPRODUCT(($C$22097:$C$22100=C22097)*$C$22092:$C$22095)</f>
        <v>241.5743372</v>
      </c>
    </row>
    <row r="22108" customFormat="false" ht="15" hidden="false" customHeight="false" outlineLevel="0" collapsed="false">
      <c r="A22108" s="5" t="s">
        <v>458</v>
      </c>
      <c r="C22108" s="25" t="n">
        <f aca="false">SUMPRODUCT(($C$22097:$C$22100=C22098)*$C$22092:$C$22095)</f>
        <v>526.2257</v>
      </c>
    </row>
    <row r="22109" customFormat="false" ht="15" hidden="false" customHeight="false" outlineLevel="0" collapsed="false">
      <c r="A22109" s="5" t="s">
        <v>459</v>
      </c>
      <c r="C22109" s="25" t="n">
        <f aca="false">SUMPRODUCT(($C$22097:$C$22100=C22099)*$C$22092:$C$22095)</f>
        <v>256.875</v>
      </c>
    </row>
    <row r="22110" customFormat="false" ht="15" hidden="false" customHeight="false" outlineLevel="0" collapsed="false">
      <c r="A22110" s="5" t="s">
        <v>460</v>
      </c>
      <c r="C22110" s="25" t="n">
        <f aca="false">SUMPRODUCT(($C$22097:$C$22100=C22100)*$C$22092:$C$22095)</f>
        <v>305.625</v>
      </c>
    </row>
    <row r="22111" customFormat="false" ht="15" hidden="false" customHeight="false" outlineLevel="0" collapsed="false">
      <c r="A22111" s="23" t="s">
        <v>469</v>
      </c>
      <c r="B22111" s="24"/>
      <c r="C22111" s="24"/>
      <c r="D22111" s="24"/>
      <c r="E22111" s="24"/>
      <c r="F22111" s="24"/>
      <c r="G22111" s="24"/>
      <c r="H22111" s="24"/>
      <c r="I22111" s="24"/>
      <c r="J22111" s="24"/>
      <c r="K22111" s="24"/>
    </row>
    <row r="22112" customFormat="false" ht="15" hidden="false" customHeight="false" outlineLevel="0" collapsed="false">
      <c r="A22112" s="5" t="s">
        <v>457</v>
      </c>
      <c r="C22112" s="25" t="n">
        <f aca="false">IF(C22107=0,0,C22092/C22107*MAX(0,MIN(C22107,$C$22065-SUM($C$22082:$C$22085)-C22102)))</f>
        <v>241.5743372</v>
      </c>
    </row>
    <row r="22113" customFormat="false" ht="15" hidden="false" customHeight="false" outlineLevel="0" collapsed="false">
      <c r="A22113" s="5" t="s">
        <v>458</v>
      </c>
      <c r="C22113" s="25" t="n">
        <f aca="false">IF(C22108=0,0,C22093/C22108*MAX(0,MIN(C22108,$C$22065-SUM($C$22082:$C$22085)-C22103)))</f>
        <v>147.8016628</v>
      </c>
    </row>
    <row r="22114" customFormat="false" ht="15" hidden="false" customHeight="false" outlineLevel="0" collapsed="false">
      <c r="A22114" s="5" t="s">
        <v>459</v>
      </c>
      <c r="C22114" s="25" t="n">
        <f aca="false">IF(C22109=0,0,C22094/C22109*MAX(0,MIN(C22109,$C$22065-SUM($C$22082:$C$22085)-C22104)))</f>
        <v>0</v>
      </c>
    </row>
    <row r="22115" customFormat="false" ht="15" hidden="false" customHeight="false" outlineLevel="0" collapsed="false">
      <c r="A22115" s="5" t="s">
        <v>460</v>
      </c>
      <c r="C22115" s="25" t="n">
        <f aca="false">IF(C22110=0,0,C22095/C22110*MAX(0,MIN(C22110,$C$22065-SUM($C$22082:$C$22085)-C22105)))</f>
        <v>0</v>
      </c>
    </row>
    <row r="22116" customFormat="false" ht="15" hidden="false" customHeight="false" outlineLevel="0" collapsed="false">
      <c r="A22116" s="23" t="s">
        <v>470</v>
      </c>
      <c r="B22116" s="24"/>
      <c r="C22116" s="24"/>
      <c r="D22116" s="24"/>
      <c r="E22116" s="24"/>
      <c r="F22116" s="24"/>
      <c r="G22116" s="24"/>
      <c r="H22116" s="24"/>
      <c r="I22116" s="24"/>
      <c r="J22116" s="24"/>
      <c r="K22116" s="24"/>
    </row>
    <row r="22117" customFormat="false" ht="15" hidden="false" customHeight="false" outlineLevel="0" collapsed="false">
      <c r="A22117" s="2" t="s">
        <v>457</v>
      </c>
      <c r="C22117" s="16" t="n">
        <f aca="false">C22082+C22112</f>
        <v>241.5743372</v>
      </c>
    </row>
    <row r="22118" customFormat="false" ht="15" hidden="false" customHeight="false" outlineLevel="0" collapsed="false">
      <c r="A22118" s="2" t="s">
        <v>458</v>
      </c>
      <c r="C22118" s="16" t="n">
        <f aca="false">C22083+C22113</f>
        <v>147.8016628</v>
      </c>
    </row>
    <row r="22119" customFormat="false" ht="15" hidden="false" customHeight="false" outlineLevel="0" collapsed="false">
      <c r="A22119" s="2" t="s">
        <v>459</v>
      </c>
      <c r="C22119" s="16" t="n">
        <f aca="false">C22084+C22114</f>
        <v>0</v>
      </c>
    </row>
    <row r="22120" customFormat="false" ht="15" hidden="false" customHeight="false" outlineLevel="0" collapsed="false">
      <c r="A22120" s="2" t="s">
        <v>460</v>
      </c>
      <c r="C22120" s="16" t="n">
        <f aca="false">C22085+C22115</f>
        <v>0</v>
      </c>
    </row>
    <row r="22121" customFormat="false" ht="15" hidden="false" customHeight="false" outlineLevel="0" collapsed="false">
      <c r="A22121" s="23" t="s">
        <v>471</v>
      </c>
      <c r="B22121" s="24"/>
      <c r="C22121" s="24"/>
      <c r="D22121" s="24"/>
      <c r="E22121" s="24"/>
      <c r="F22121" s="24"/>
      <c r="G22121" s="24"/>
      <c r="H22121" s="24"/>
      <c r="I22121" s="24"/>
      <c r="J22121" s="24"/>
      <c r="K22121" s="24"/>
    </row>
    <row r="22122" customFormat="false" ht="15" hidden="false" customHeight="false" outlineLevel="0" collapsed="false">
      <c r="A22122" s="5" t="s">
        <v>457</v>
      </c>
      <c r="C22122" s="21" t="n">
        <f aca="false">IF(C22067=0,1,C22117/C22067)</f>
        <v>1</v>
      </c>
    </row>
    <row r="22123" customFormat="false" ht="15" hidden="false" customHeight="false" outlineLevel="0" collapsed="false">
      <c r="A22123" s="5" t="s">
        <v>458</v>
      </c>
      <c r="C22123" s="21" t="n">
        <f aca="false">IF(C22068=0,1,C22118/C22068)</f>
        <v>0.280871236049474</v>
      </c>
    </row>
    <row r="22124" customFormat="false" ht="15" hidden="false" customHeight="false" outlineLevel="0" collapsed="false">
      <c r="A22124" s="5" t="s">
        <v>459</v>
      </c>
      <c r="C22124" s="21" t="n">
        <f aca="false">IF(C22069=0,1,C22119/C22069)</f>
        <v>0</v>
      </c>
    </row>
    <row r="22125" customFormat="false" ht="15" hidden="false" customHeight="false" outlineLevel="0" collapsed="false">
      <c r="A22125" s="5" t="s">
        <v>460</v>
      </c>
      <c r="C22125" s="21" t="n">
        <f aca="false">IF(C22070=0,1,C22120/C22070)</f>
        <v>0</v>
      </c>
    </row>
    <row r="22126" customFormat="false" ht="15" hidden="false" customHeight="false" outlineLevel="0" collapsed="false">
      <c r="A22126" s="23" t="s">
        <v>472</v>
      </c>
      <c r="B22126" s="24"/>
      <c r="C22126" s="24"/>
      <c r="D22126" s="24"/>
      <c r="E22126" s="24"/>
      <c r="F22126" s="24"/>
      <c r="G22126" s="24"/>
      <c r="H22126" s="24"/>
      <c r="I22126" s="24"/>
      <c r="J22126" s="24"/>
      <c r="K22126" s="24"/>
    </row>
    <row r="22127" customFormat="false" ht="15" hidden="false" customHeight="false" outlineLevel="0" collapsed="false">
      <c r="A22127" s="5" t="s">
        <v>457</v>
      </c>
      <c r="C22127" s="25" t="n">
        <f aca="false">C22067-C22117</f>
        <v>0</v>
      </c>
    </row>
    <row r="22128" customFormat="false" ht="15" hidden="false" customHeight="false" outlineLevel="0" collapsed="false">
      <c r="A22128" s="5" t="s">
        <v>458</v>
      </c>
      <c r="C22128" s="25" t="n">
        <f aca="false">C22068-C22118</f>
        <v>378.4240372</v>
      </c>
    </row>
    <row r="22129" customFormat="false" ht="15" hidden="false" customHeight="false" outlineLevel="0" collapsed="false">
      <c r="A22129" s="5" t="s">
        <v>459</v>
      </c>
      <c r="C22129" s="25" t="n">
        <f aca="false">C22069-C22119</f>
        <v>256.875</v>
      </c>
    </row>
    <row r="22130" customFormat="false" ht="15" hidden="false" customHeight="false" outlineLevel="0" collapsed="false">
      <c r="A22130" s="5" t="s">
        <v>460</v>
      </c>
      <c r="C22130" s="25" t="n">
        <f aca="false">C22070-C22120</f>
        <v>305.625</v>
      </c>
    </row>
    <row r="22131" customFormat="false" ht="15" hidden="false" customHeight="false" outlineLevel="0" collapsed="false">
      <c r="A22131" s="23" t="s">
        <v>473</v>
      </c>
      <c r="B22131" s="24"/>
      <c r="C22131" s="24"/>
      <c r="D22131" s="24"/>
      <c r="E22131" s="24"/>
      <c r="F22131" s="24"/>
      <c r="G22131" s="24"/>
      <c r="H22131" s="24"/>
      <c r="I22131" s="24"/>
      <c r="J22131" s="24"/>
      <c r="K22131" s="24"/>
    </row>
    <row r="22132" customFormat="false" ht="15" hidden="false" customHeight="false" outlineLevel="0" collapsed="false">
      <c r="A22132" s="5" t="s">
        <v>457</v>
      </c>
      <c r="C22132" s="21" t="n">
        <f aca="false">IF(C22067=0,0,C22127/C22067)</f>
        <v>0</v>
      </c>
    </row>
    <row r="22133" customFormat="false" ht="15" hidden="false" customHeight="false" outlineLevel="0" collapsed="false">
      <c r="A22133" s="5" t="s">
        <v>458</v>
      </c>
      <c r="C22133" s="21" t="n">
        <f aca="false">IF(C22068=0,0,C22128/C22068)</f>
        <v>0.719128763950526</v>
      </c>
    </row>
    <row r="22134" customFormat="false" ht="15" hidden="false" customHeight="false" outlineLevel="0" collapsed="false">
      <c r="A22134" s="5" t="s">
        <v>459</v>
      </c>
      <c r="C22134" s="21" t="n">
        <f aca="false">IF(C22069=0,0,C22129/C22069)</f>
        <v>1</v>
      </c>
    </row>
    <row r="22135" customFormat="false" ht="15" hidden="false" customHeight="false" outlineLevel="0" collapsed="false">
      <c r="A22135" s="5" t="s">
        <v>460</v>
      </c>
      <c r="C22135" s="21" t="n">
        <f aca="false">IF(C22070=0,0,C22130/C22070)</f>
        <v>1</v>
      </c>
    </row>
    <row r="22136" customFormat="false" ht="15" hidden="false" customHeight="false" outlineLevel="0" collapsed="false">
      <c r="A22136" s="2" t="s">
        <v>474</v>
      </c>
      <c r="C22136" s="16" t="n">
        <f aca="false">MAX(0,$C$22065-SUM($C$22082:$C$22085)-SUM($C$22092:$C$22095))</f>
        <v>0</v>
      </c>
    </row>
    <row r="22137" customFormat="false" ht="15" hidden="false" customHeight="false" outlineLevel="0" collapsed="false">
      <c r="A22137" s="5" t="s">
        <v>475</v>
      </c>
      <c r="C22137" s="25" t="n">
        <f aca="false">SUM($C$22117:$C$22120)+C22136+C22064-C22063</f>
        <v>0</v>
      </c>
    </row>
    <row r="22139" customFormat="false" ht="15" hidden="false" customHeight="false" outlineLevel="0" collapsed="false">
      <c r="A22139" s="23" t="s">
        <v>478</v>
      </c>
      <c r="B22139" s="24"/>
      <c r="C22139" s="24"/>
      <c r="D22139" s="24"/>
      <c r="E22139" s="24"/>
      <c r="F22139" s="24"/>
      <c r="G22139" s="24"/>
      <c r="H22139" s="24"/>
      <c r="I22139" s="24"/>
      <c r="J22139" s="24"/>
      <c r="K22139" s="24"/>
    </row>
    <row r="22140" customFormat="false" ht="15" hidden="false" customHeight="false" outlineLevel="0" collapsed="false">
      <c r="A22140" s="5" t="s">
        <v>479</v>
      </c>
      <c r="C22140" s="26" t="n">
        <f aca="false">Assumptions!$C$30</f>
        <v>2</v>
      </c>
    </row>
    <row r="22141" customFormat="false" ht="15" hidden="false" customHeight="false" outlineLevel="0" collapsed="false">
      <c r="A22141" s="5" t="s">
        <v>480</v>
      </c>
      <c r="C22141" s="28" t="n">
        <f aca="false">Assumptions!$C$31</f>
        <v>100</v>
      </c>
    </row>
    <row r="22142" customFormat="false" ht="15" hidden="false" customHeight="false" outlineLevel="0" collapsed="false">
      <c r="A22142" s="5" t="s">
        <v>481</v>
      </c>
      <c r="C22142" s="39" t="n">
        <f aca="false">Assumptions!$C$32</f>
        <v>78</v>
      </c>
    </row>
    <row r="22143" customFormat="false" ht="15" hidden="false" customHeight="false" outlineLevel="0" collapsed="false">
      <c r="A22143" s="5" t="s">
        <v>482</v>
      </c>
      <c r="C22143" s="25" t="n">
        <f aca="false">C22141*C22142/100*(1+Assumptions!$C$33)</f>
        <v>78.39</v>
      </c>
    </row>
    <row r="22144" customFormat="false" ht="15" hidden="false" customHeight="false" outlineLevel="0" collapsed="false">
      <c r="A22144" s="5" t="s">
        <v>483</v>
      </c>
      <c r="C22144" s="26" t="n">
        <f aca="false">Assumptions!$C$34</f>
        <v>2</v>
      </c>
    </row>
    <row r="22145" customFormat="false" ht="15" hidden="false" customHeight="false" outlineLevel="0" collapsed="false">
      <c r="A22145" s="5" t="s">
        <v>484</v>
      </c>
      <c r="C22145" s="20" t="n">
        <f aca="false">IF(C22056=1,SUMPRODUCT($G$22024:$K$22024,$G$21900:$K$21900),0)</f>
        <v>2</v>
      </c>
    </row>
    <row r="22146" customFormat="false" ht="15" hidden="false" customHeight="false" outlineLevel="0" collapsed="false">
      <c r="A22146" s="5" t="s">
        <v>485</v>
      </c>
      <c r="C22146" s="21" t="n">
        <f aca="false">IFERROR(C22141/CHOOSE(C22140,SUMPRODUCT($G$22055:$K$22055,$G$21946:$K$21946),SUMPRODUCT($G$22055:$K$22055,$G$21959:$K$21959),SUMPRODUCT($G$22055:$K$22055,$G$21972:$K$21972),SUMPRODUCT($G$22055:$K$22055,$G$21985:$K$21985)),0)</f>
        <v>0.196232339089482</v>
      </c>
    </row>
    <row r="22147" customFormat="false" ht="15" hidden="false" customHeight="false" outlineLevel="0" collapsed="false">
      <c r="A22147" s="5" t="s">
        <v>486</v>
      </c>
      <c r="C22147" s="25" t="n">
        <f aca="false">CHOOSE(C22140,C22117,C22118,C22119,C22120)*C22146</f>
        <v>29.0034660125589</v>
      </c>
    </row>
    <row r="22148" customFormat="false" ht="15" hidden="false" customHeight="false" outlineLevel="0" collapsed="false">
      <c r="A22148" s="5" t="s">
        <v>487</v>
      </c>
      <c r="C22148" s="21" t="n">
        <f aca="false">CHOOSE(C22140,C22122,C22123,C22124,C22125)</f>
        <v>0.280871236049474</v>
      </c>
    </row>
    <row r="22149" customFormat="false" ht="15" hidden="false" customHeight="false" outlineLevel="0" collapsed="false">
      <c r="A22149" s="5" t="s">
        <v>488</v>
      </c>
      <c r="C22149" s="20" t="n">
        <f aca="false">IF(C22056=1,C22145,C22144)</f>
        <v>2</v>
      </c>
    </row>
    <row r="22150" customFormat="false" ht="15" hidden="false" customHeight="false" outlineLevel="0" collapsed="false">
      <c r="A22150" s="5" t="s">
        <v>489</v>
      </c>
      <c r="C22150" s="33" t="n">
        <f aca="false">CHOOSE($C$21892,Assumptions!$C$77,Assumptions!$C$96,Assumptions!$C$115)</f>
        <v>70</v>
      </c>
    </row>
    <row r="22151" customFormat="false" ht="15" hidden="false" customHeight="false" outlineLevel="0" collapsed="false">
      <c r="A22151" s="5" t="s">
        <v>490</v>
      </c>
      <c r="C22151" s="25" t="n">
        <f aca="false">INDEX($G$21909:$K$21909,C22144)*CHOOSE($C$21892,Assumptions!$C$76,Assumptions!$C$95,Assumptions!$C$114)+MAX(0,INDEX($G$22021:$K$22021,C22144))</f>
        <v>55.97928</v>
      </c>
    </row>
    <row r="22152" customFormat="false" ht="15" hidden="false" customHeight="false" outlineLevel="0" collapsed="false">
      <c r="A22152" s="23" t="s">
        <v>491</v>
      </c>
      <c r="B22152" s="24"/>
      <c r="C22152" s="24"/>
      <c r="D22152" s="24"/>
      <c r="E22152" s="24"/>
      <c r="F22152" s="24"/>
      <c r="G22152" s="24"/>
      <c r="H22152" s="24"/>
      <c r="I22152" s="24"/>
      <c r="J22152" s="24"/>
      <c r="K22152" s="24"/>
    </row>
    <row r="22153" customFormat="false" ht="15" hidden="false" customHeight="false" outlineLevel="0" collapsed="false">
      <c r="A22153" s="5" t="s">
        <v>457</v>
      </c>
      <c r="C22153" s="25" t="n">
        <f aca="false">INDEX($G$21946:$K$21946,C22144)</f>
        <v>234.9088</v>
      </c>
    </row>
    <row r="22154" customFormat="false" ht="15" hidden="false" customHeight="false" outlineLevel="0" collapsed="false">
      <c r="A22154" s="5" t="s">
        <v>458</v>
      </c>
      <c r="C22154" s="25" t="n">
        <f aca="false">INDEX($G$21959:$K$21959,C22144)</f>
        <v>509.6</v>
      </c>
    </row>
    <row r="22155" customFormat="false" ht="15" hidden="false" customHeight="false" outlineLevel="0" collapsed="false">
      <c r="A22155" s="5" t="s">
        <v>459</v>
      </c>
      <c r="C22155" s="25" t="n">
        <f aca="false">INDEX($G$21972:$K$21972,C22144)</f>
        <v>250</v>
      </c>
    </row>
    <row r="22156" customFormat="false" ht="15" hidden="false" customHeight="false" outlineLevel="0" collapsed="false">
      <c r="A22156" s="5" t="s">
        <v>460</v>
      </c>
      <c r="C22156" s="25" t="n">
        <f aca="false">INDEX($G$21985:$K$21985,C22144)</f>
        <v>300</v>
      </c>
    </row>
    <row r="22157" customFormat="false" ht="15" hidden="false" customHeight="false" outlineLevel="0" collapsed="false">
      <c r="A22157" s="23" t="s">
        <v>461</v>
      </c>
      <c r="B22157" s="24"/>
      <c r="C22157" s="24"/>
      <c r="D22157" s="24"/>
      <c r="E22157" s="24"/>
      <c r="F22157" s="24"/>
      <c r="G22157" s="24"/>
      <c r="H22157" s="24"/>
      <c r="I22157" s="24"/>
      <c r="J22157" s="24"/>
      <c r="K22157" s="24"/>
    </row>
    <row r="22158" customFormat="false" ht="15" hidden="false" customHeight="false" outlineLevel="0" collapsed="false">
      <c r="A22158" s="5" t="s">
        <v>457</v>
      </c>
      <c r="C22158" s="26" t="n">
        <f aca="false">Assumptions!$M$53</f>
        <v>1</v>
      </c>
    </row>
    <row r="22159" customFormat="false" ht="15" hidden="false" customHeight="false" outlineLevel="0" collapsed="false">
      <c r="A22159" s="5" t="s">
        <v>458</v>
      </c>
      <c r="C22159" s="26" t="n">
        <f aca="false">Assumptions!$M$54</f>
        <v>2</v>
      </c>
    </row>
    <row r="22160" customFormat="false" ht="15" hidden="false" customHeight="false" outlineLevel="0" collapsed="false">
      <c r="A22160" s="5" t="s">
        <v>459</v>
      </c>
      <c r="C22160" s="26" t="n">
        <f aca="false">Assumptions!$M$55</f>
        <v>3</v>
      </c>
    </row>
    <row r="22161" customFormat="false" ht="15" hidden="false" customHeight="false" outlineLevel="0" collapsed="false">
      <c r="A22161" s="5" t="s">
        <v>460</v>
      </c>
      <c r="C22161" s="26" t="n">
        <f aca="false">Assumptions!$M$56</f>
        <v>4</v>
      </c>
    </row>
    <row r="22162" customFormat="false" ht="15" hidden="false" customHeight="false" outlineLevel="0" collapsed="false">
      <c r="A22162" s="23" t="s">
        <v>462</v>
      </c>
      <c r="B22162" s="24"/>
      <c r="C22162" s="24"/>
      <c r="D22162" s="24"/>
      <c r="E22162" s="24"/>
      <c r="F22162" s="24"/>
      <c r="G22162" s="24"/>
      <c r="H22162" s="24"/>
      <c r="I22162" s="24"/>
      <c r="J22162" s="24"/>
      <c r="K22162" s="24"/>
    </row>
    <row r="22163" customFormat="false" ht="15" hidden="false" customHeight="false" outlineLevel="0" collapsed="false">
      <c r="A22163" s="5" t="s">
        <v>457</v>
      </c>
      <c r="C22163" s="34" t="n">
        <f aca="false">Assumptions!$Q$53</f>
        <v>0</v>
      </c>
    </row>
    <row r="22164" customFormat="false" ht="15" hidden="false" customHeight="false" outlineLevel="0" collapsed="false">
      <c r="A22164" s="5" t="s">
        <v>458</v>
      </c>
      <c r="C22164" s="34" t="n">
        <f aca="false">Assumptions!$Q$54</f>
        <v>0</v>
      </c>
    </row>
    <row r="22165" customFormat="false" ht="15" hidden="false" customHeight="false" outlineLevel="0" collapsed="false">
      <c r="A22165" s="5" t="s">
        <v>459</v>
      </c>
      <c r="C22165" s="34" t="n">
        <f aca="false">Assumptions!$Q$55</f>
        <v>0</v>
      </c>
    </row>
    <row r="22166" customFormat="false" ht="15" hidden="false" customHeight="false" outlineLevel="0" collapsed="false">
      <c r="A22166" s="5" t="s">
        <v>460</v>
      </c>
      <c r="C22166" s="34" t="n">
        <f aca="false">Assumptions!$Q$56</f>
        <v>0</v>
      </c>
    </row>
    <row r="22167" customFormat="false" ht="15" hidden="false" customHeight="false" outlineLevel="0" collapsed="false">
      <c r="A22167" s="23" t="s">
        <v>463</v>
      </c>
      <c r="B22167" s="24"/>
      <c r="C22167" s="24"/>
      <c r="D22167" s="24"/>
      <c r="E22167" s="24"/>
      <c r="F22167" s="24"/>
      <c r="G22167" s="24"/>
      <c r="H22167" s="24"/>
      <c r="I22167" s="24"/>
      <c r="J22167" s="24"/>
      <c r="K22167" s="24"/>
    </row>
    <row r="22168" customFormat="false" ht="15" hidden="false" customHeight="false" outlineLevel="0" collapsed="false">
      <c r="A22168" s="5" t="s">
        <v>457</v>
      </c>
      <c r="C22168" s="25" t="n">
        <f aca="false">IF(C22163&gt;0,MIN(C22153,C22163*$C$22151),0)</f>
        <v>0</v>
      </c>
    </row>
    <row r="22169" customFormat="false" ht="15" hidden="false" customHeight="false" outlineLevel="0" collapsed="false">
      <c r="A22169" s="5" t="s">
        <v>458</v>
      </c>
      <c r="C22169" s="25" t="n">
        <f aca="false">IF(C22164&gt;0,MIN(C22154,C22164*$C$22151),0)</f>
        <v>0</v>
      </c>
    </row>
    <row r="22170" customFormat="false" ht="15" hidden="false" customHeight="false" outlineLevel="0" collapsed="false">
      <c r="A22170" s="5" t="s">
        <v>459</v>
      </c>
      <c r="C22170" s="25" t="n">
        <f aca="false">IF(C22165&gt;0,MIN(C22155,C22165*$C$22151),0)</f>
        <v>0</v>
      </c>
    </row>
    <row r="22171" customFormat="false" ht="15" hidden="false" customHeight="false" outlineLevel="0" collapsed="false">
      <c r="A22171" s="5" t="s">
        <v>460</v>
      </c>
      <c r="C22171" s="25" t="n">
        <f aca="false">IF(C22166&gt;0,MIN(C22156,C22166*$C$22151),0)</f>
        <v>0</v>
      </c>
    </row>
    <row r="22172" customFormat="false" ht="15" hidden="false" customHeight="false" outlineLevel="0" collapsed="false">
      <c r="A22172" s="23" t="s">
        <v>464</v>
      </c>
      <c r="B22172" s="24"/>
      <c r="C22172" s="24"/>
      <c r="D22172" s="24"/>
      <c r="E22172" s="24"/>
      <c r="F22172" s="24"/>
      <c r="G22172" s="24"/>
      <c r="H22172" s="24"/>
      <c r="I22172" s="24"/>
      <c r="J22172" s="24"/>
      <c r="K22172" s="24"/>
    </row>
    <row r="22173" customFormat="false" ht="15" hidden="false" customHeight="false" outlineLevel="0" collapsed="false">
      <c r="A22173" s="5" t="s">
        <v>457</v>
      </c>
      <c r="C22173" s="25" t="n">
        <f aca="false">IF(C22163&gt;0,C22153-C22168,0)</f>
        <v>0</v>
      </c>
    </row>
    <row r="22174" customFormat="false" ht="15" hidden="false" customHeight="false" outlineLevel="0" collapsed="false">
      <c r="A22174" s="5" t="s">
        <v>458</v>
      </c>
      <c r="C22174" s="25" t="n">
        <f aca="false">IF(C22164&gt;0,C22154-C22169,0)</f>
        <v>0</v>
      </c>
    </row>
    <row r="22175" customFormat="false" ht="15" hidden="false" customHeight="false" outlineLevel="0" collapsed="false">
      <c r="A22175" s="5" t="s">
        <v>459</v>
      </c>
      <c r="C22175" s="25" t="n">
        <f aca="false">IF(C22165&gt;0,C22155-C22170,0)</f>
        <v>0</v>
      </c>
    </row>
    <row r="22176" customFormat="false" ht="15" hidden="false" customHeight="false" outlineLevel="0" collapsed="false">
      <c r="A22176" s="5" t="s">
        <v>460</v>
      </c>
      <c r="C22176" s="25" t="n">
        <f aca="false">IF(C22166&gt;0,C22156-C22171,0)</f>
        <v>0</v>
      </c>
    </row>
    <row r="22177" customFormat="false" ht="15" hidden="false" customHeight="false" outlineLevel="0" collapsed="false">
      <c r="A22177" s="23" t="s">
        <v>465</v>
      </c>
      <c r="B22177" s="24"/>
      <c r="C22177" s="24"/>
      <c r="D22177" s="24"/>
      <c r="E22177" s="24"/>
      <c r="F22177" s="24"/>
      <c r="G22177" s="24"/>
      <c r="H22177" s="24"/>
      <c r="I22177" s="24"/>
      <c r="J22177" s="24"/>
      <c r="K22177" s="24"/>
    </row>
    <row r="22178" customFormat="false" ht="15" hidden="false" customHeight="false" outlineLevel="0" collapsed="false">
      <c r="A22178" s="5" t="s">
        <v>457</v>
      </c>
      <c r="C22178" s="25" t="n">
        <f aca="false">IF(C22163&gt;0,C22173,C22153)</f>
        <v>234.9088</v>
      </c>
    </row>
    <row r="22179" customFormat="false" ht="15" hidden="false" customHeight="false" outlineLevel="0" collapsed="false">
      <c r="A22179" s="5" t="s">
        <v>458</v>
      </c>
      <c r="C22179" s="25" t="n">
        <f aca="false">IF(C22164&gt;0,C22174,C22154)</f>
        <v>509.6</v>
      </c>
    </row>
    <row r="22180" customFormat="false" ht="15" hidden="false" customHeight="false" outlineLevel="0" collapsed="false">
      <c r="A22180" s="5" t="s">
        <v>459</v>
      </c>
      <c r="C22180" s="25" t="n">
        <f aca="false">IF(C22165&gt;0,C22175,C22155)</f>
        <v>250</v>
      </c>
    </row>
    <row r="22181" customFormat="false" ht="15" hidden="false" customHeight="false" outlineLevel="0" collapsed="false">
      <c r="A22181" s="5" t="s">
        <v>460</v>
      </c>
      <c r="C22181" s="25" t="n">
        <f aca="false">IF(C22166&gt;0,C22176,C22156)</f>
        <v>300</v>
      </c>
    </row>
    <row r="22182" customFormat="false" ht="15" hidden="false" customHeight="false" outlineLevel="0" collapsed="false">
      <c r="A22182" s="23" t="s">
        <v>466</v>
      </c>
      <c r="B22182" s="24"/>
      <c r="C22182" s="24"/>
      <c r="D22182" s="24"/>
      <c r="E22182" s="24"/>
      <c r="F22182" s="24"/>
      <c r="G22182" s="24"/>
      <c r="H22182" s="24"/>
      <c r="I22182" s="24"/>
      <c r="J22182" s="24"/>
      <c r="K22182" s="24"/>
    </row>
    <row r="22183" customFormat="false" ht="15" hidden="false" customHeight="false" outlineLevel="0" collapsed="false">
      <c r="A22183" s="5" t="s">
        <v>457</v>
      </c>
      <c r="C22183" s="20" t="n">
        <f aca="false">IF(C22163&gt;0,Assumptions!$C$17,C22158)</f>
        <v>1</v>
      </c>
    </row>
    <row r="22184" customFormat="false" ht="15" hidden="false" customHeight="false" outlineLevel="0" collapsed="false">
      <c r="A22184" s="5" t="s">
        <v>458</v>
      </c>
      <c r="C22184" s="20" t="n">
        <f aca="false">IF(C22164&gt;0,Assumptions!$C$17,C22159)</f>
        <v>2</v>
      </c>
    </row>
    <row r="22185" customFormat="false" ht="15" hidden="false" customHeight="false" outlineLevel="0" collapsed="false">
      <c r="A22185" s="5" t="s">
        <v>459</v>
      </c>
      <c r="C22185" s="20" t="n">
        <f aca="false">IF(C22165&gt;0,Assumptions!$C$17,C22160)</f>
        <v>3</v>
      </c>
    </row>
    <row r="22186" customFormat="false" ht="15" hidden="false" customHeight="false" outlineLevel="0" collapsed="false">
      <c r="A22186" s="5" t="s">
        <v>460</v>
      </c>
      <c r="C22186" s="20" t="n">
        <f aca="false">IF(C22166&gt;0,Assumptions!$C$17,C22161)</f>
        <v>4</v>
      </c>
    </row>
    <row r="22187" customFormat="false" ht="15" hidden="false" customHeight="false" outlineLevel="0" collapsed="false">
      <c r="A22187" s="23" t="s">
        <v>467</v>
      </c>
      <c r="B22187" s="24"/>
      <c r="C22187" s="24"/>
      <c r="D22187" s="24"/>
      <c r="E22187" s="24"/>
      <c r="F22187" s="24"/>
      <c r="G22187" s="24"/>
      <c r="H22187" s="24"/>
      <c r="I22187" s="24"/>
      <c r="J22187" s="24"/>
      <c r="K22187" s="24"/>
    </row>
    <row r="22188" customFormat="false" ht="15" hidden="false" customHeight="false" outlineLevel="0" collapsed="false">
      <c r="A22188" s="5" t="s">
        <v>457</v>
      </c>
      <c r="C22188" s="25" t="n">
        <f aca="false">SUMPRODUCT(($C$22183:$C$22186&lt;C22183)*$C$22178:$C$22181)</f>
        <v>0</v>
      </c>
    </row>
    <row r="22189" customFormat="false" ht="15" hidden="false" customHeight="false" outlineLevel="0" collapsed="false">
      <c r="A22189" s="5" t="s">
        <v>458</v>
      </c>
      <c r="C22189" s="25" t="n">
        <f aca="false">SUMPRODUCT(($C$22183:$C$22186&lt;C22184)*$C$22178:$C$22181)</f>
        <v>234.9088</v>
      </c>
    </row>
    <row r="22190" customFormat="false" ht="15" hidden="false" customHeight="false" outlineLevel="0" collapsed="false">
      <c r="A22190" s="5" t="s">
        <v>459</v>
      </c>
      <c r="C22190" s="25" t="n">
        <f aca="false">SUMPRODUCT(($C$22183:$C$22186&lt;C22185)*$C$22178:$C$22181)</f>
        <v>744.5088</v>
      </c>
    </row>
    <row r="22191" customFormat="false" ht="15" hidden="false" customHeight="false" outlineLevel="0" collapsed="false">
      <c r="A22191" s="5" t="s">
        <v>460</v>
      </c>
      <c r="C22191" s="25" t="n">
        <f aca="false">SUMPRODUCT(($C$22183:$C$22186&lt;C22186)*$C$22178:$C$22181)</f>
        <v>994.5088</v>
      </c>
    </row>
    <row r="22192" customFormat="false" ht="15" hidden="false" customHeight="false" outlineLevel="0" collapsed="false">
      <c r="A22192" s="23" t="s">
        <v>468</v>
      </c>
      <c r="B22192" s="24"/>
      <c r="C22192" s="24"/>
      <c r="D22192" s="24"/>
      <c r="E22192" s="24"/>
      <c r="F22192" s="24"/>
      <c r="G22192" s="24"/>
      <c r="H22192" s="24"/>
      <c r="I22192" s="24"/>
      <c r="J22192" s="24"/>
      <c r="K22192" s="24"/>
    </row>
    <row r="22193" customFormat="false" ht="15" hidden="false" customHeight="false" outlineLevel="0" collapsed="false">
      <c r="A22193" s="5" t="s">
        <v>457</v>
      </c>
      <c r="C22193" s="25" t="n">
        <f aca="false">SUMPRODUCT(($C$22183:$C$22186=C22183)*$C$22178:$C$22181)</f>
        <v>234.9088</v>
      </c>
    </row>
    <row r="22194" customFormat="false" ht="15" hidden="false" customHeight="false" outlineLevel="0" collapsed="false">
      <c r="A22194" s="5" t="s">
        <v>458</v>
      </c>
      <c r="C22194" s="25" t="n">
        <f aca="false">SUMPRODUCT(($C$22183:$C$22186=C22184)*$C$22178:$C$22181)</f>
        <v>509.6</v>
      </c>
    </row>
    <row r="22195" customFormat="false" ht="15" hidden="false" customHeight="false" outlineLevel="0" collapsed="false">
      <c r="A22195" s="5" t="s">
        <v>459</v>
      </c>
      <c r="C22195" s="25" t="n">
        <f aca="false">SUMPRODUCT(($C$22183:$C$22186=C22185)*$C$22178:$C$22181)</f>
        <v>250</v>
      </c>
    </row>
    <row r="22196" customFormat="false" ht="15" hidden="false" customHeight="false" outlineLevel="0" collapsed="false">
      <c r="A22196" s="5" t="s">
        <v>460</v>
      </c>
      <c r="C22196" s="25" t="n">
        <f aca="false">SUMPRODUCT(($C$22183:$C$22186=C22186)*$C$22178:$C$22181)</f>
        <v>300</v>
      </c>
    </row>
    <row r="22197" customFormat="false" ht="15" hidden="false" customHeight="false" outlineLevel="0" collapsed="false">
      <c r="A22197" s="23" t="s">
        <v>469</v>
      </c>
      <c r="B22197" s="24"/>
      <c r="C22197" s="24"/>
      <c r="D22197" s="24"/>
      <c r="E22197" s="24"/>
      <c r="F22197" s="24"/>
      <c r="G22197" s="24"/>
      <c r="H22197" s="24"/>
      <c r="I22197" s="24"/>
      <c r="J22197" s="24"/>
      <c r="K22197" s="24"/>
    </row>
    <row r="22198" customFormat="false" ht="15" hidden="false" customHeight="false" outlineLevel="0" collapsed="false">
      <c r="A22198" s="5" t="s">
        <v>457</v>
      </c>
      <c r="C22198" s="25" t="n">
        <f aca="false">IF(C22193=0,0,C22178/C22193*MAX(0,MIN(C22193,$C$22151-SUM($C$22168:$C$22171)-C22188)))</f>
        <v>55.97928</v>
      </c>
    </row>
    <row r="22199" customFormat="false" ht="15" hidden="false" customHeight="false" outlineLevel="0" collapsed="false">
      <c r="A22199" s="5" t="s">
        <v>458</v>
      </c>
      <c r="C22199" s="25" t="n">
        <f aca="false">IF(C22194=0,0,C22179/C22194*MAX(0,MIN(C22194,$C$22151-SUM($C$22168:$C$22171)-C22189)))</f>
        <v>0</v>
      </c>
    </row>
    <row r="22200" customFormat="false" ht="15" hidden="false" customHeight="false" outlineLevel="0" collapsed="false">
      <c r="A22200" s="5" t="s">
        <v>459</v>
      </c>
      <c r="C22200" s="25" t="n">
        <f aca="false">IF(C22195=0,0,C22180/C22195*MAX(0,MIN(C22195,$C$22151-SUM($C$22168:$C$22171)-C22190)))</f>
        <v>0</v>
      </c>
    </row>
    <row r="22201" customFormat="false" ht="15" hidden="false" customHeight="false" outlineLevel="0" collapsed="false">
      <c r="A22201" s="5" t="s">
        <v>460</v>
      </c>
      <c r="C22201" s="25" t="n">
        <f aca="false">IF(C22196=0,0,C22181/C22196*MAX(0,MIN(C22196,$C$22151-SUM($C$22168:$C$22171)-C22191)))</f>
        <v>0</v>
      </c>
    </row>
    <row r="22202" customFormat="false" ht="15" hidden="false" customHeight="false" outlineLevel="0" collapsed="false">
      <c r="A22202" s="23" t="s">
        <v>470</v>
      </c>
      <c r="B22202" s="24"/>
      <c r="C22202" s="24"/>
      <c r="D22202" s="24"/>
      <c r="E22202" s="24"/>
      <c r="F22202" s="24"/>
      <c r="G22202" s="24"/>
      <c r="H22202" s="24"/>
      <c r="I22202" s="24"/>
      <c r="J22202" s="24"/>
      <c r="K22202" s="24"/>
    </row>
    <row r="22203" customFormat="false" ht="15" hidden="false" customHeight="false" outlineLevel="0" collapsed="false">
      <c r="A22203" s="2" t="s">
        <v>457</v>
      </c>
      <c r="C22203" s="16" t="n">
        <f aca="false">C22168+C22198</f>
        <v>55.97928</v>
      </c>
    </row>
    <row r="22204" customFormat="false" ht="15" hidden="false" customHeight="false" outlineLevel="0" collapsed="false">
      <c r="A22204" s="2" t="s">
        <v>458</v>
      </c>
      <c r="C22204" s="16" t="n">
        <f aca="false">C22169+C22199</f>
        <v>0</v>
      </c>
    </row>
    <row r="22205" customFormat="false" ht="15" hidden="false" customHeight="false" outlineLevel="0" collapsed="false">
      <c r="A22205" s="2" t="s">
        <v>459</v>
      </c>
      <c r="C22205" s="16" t="n">
        <f aca="false">C22170+C22200</f>
        <v>0</v>
      </c>
    </row>
    <row r="22206" customFormat="false" ht="15" hidden="false" customHeight="false" outlineLevel="0" collapsed="false">
      <c r="A22206" s="2" t="s">
        <v>460</v>
      </c>
      <c r="C22206" s="16" t="n">
        <f aca="false">C22171+C22201</f>
        <v>0</v>
      </c>
    </row>
    <row r="22207" customFormat="false" ht="15" hidden="false" customHeight="false" outlineLevel="0" collapsed="false">
      <c r="A22207" s="23" t="s">
        <v>471</v>
      </c>
      <c r="B22207" s="24"/>
      <c r="C22207" s="24"/>
      <c r="D22207" s="24"/>
      <c r="E22207" s="24"/>
      <c r="F22207" s="24"/>
      <c r="G22207" s="24"/>
      <c r="H22207" s="24"/>
      <c r="I22207" s="24"/>
      <c r="J22207" s="24"/>
      <c r="K22207" s="24"/>
    </row>
    <row r="22208" customFormat="false" ht="15" hidden="false" customHeight="false" outlineLevel="0" collapsed="false">
      <c r="A22208" s="5" t="s">
        <v>457</v>
      </c>
      <c r="C22208" s="21" t="n">
        <f aca="false">IF(C22153=0,1,C22203/C22153)</f>
        <v>0.238302183655955</v>
      </c>
    </row>
    <row r="22209" customFormat="false" ht="15" hidden="false" customHeight="false" outlineLevel="0" collapsed="false">
      <c r="A22209" s="5" t="s">
        <v>458</v>
      </c>
      <c r="C22209" s="21" t="n">
        <f aca="false">IF(C22154=0,1,C22204/C22154)</f>
        <v>0</v>
      </c>
    </row>
    <row r="22210" customFormat="false" ht="15" hidden="false" customHeight="false" outlineLevel="0" collapsed="false">
      <c r="A22210" s="5" t="s">
        <v>459</v>
      </c>
      <c r="C22210" s="21" t="n">
        <f aca="false">IF(C22155=0,1,C22205/C22155)</f>
        <v>0</v>
      </c>
    </row>
    <row r="22211" customFormat="false" ht="15" hidden="false" customHeight="false" outlineLevel="0" collapsed="false">
      <c r="A22211" s="5" t="s">
        <v>460</v>
      </c>
      <c r="C22211" s="21" t="n">
        <f aca="false">IF(C22156=0,1,C22206/C22156)</f>
        <v>0</v>
      </c>
    </row>
    <row r="22212" customFormat="false" ht="15" hidden="false" customHeight="false" outlineLevel="0" collapsed="false">
      <c r="A22212" s="23" t="s">
        <v>472</v>
      </c>
      <c r="B22212" s="24"/>
      <c r="C22212" s="24"/>
      <c r="D22212" s="24"/>
      <c r="E22212" s="24"/>
      <c r="F22212" s="24"/>
      <c r="G22212" s="24"/>
      <c r="H22212" s="24"/>
      <c r="I22212" s="24"/>
      <c r="J22212" s="24"/>
      <c r="K22212" s="24"/>
    </row>
    <row r="22213" customFormat="false" ht="15" hidden="false" customHeight="false" outlineLevel="0" collapsed="false">
      <c r="A22213" s="5" t="s">
        <v>457</v>
      </c>
      <c r="C22213" s="25" t="n">
        <f aca="false">C22153-C22203</f>
        <v>178.92952</v>
      </c>
    </row>
    <row r="22214" customFormat="false" ht="15" hidden="false" customHeight="false" outlineLevel="0" collapsed="false">
      <c r="A22214" s="5" t="s">
        <v>458</v>
      </c>
      <c r="C22214" s="25" t="n">
        <f aca="false">C22154-C22204</f>
        <v>509.6</v>
      </c>
    </row>
    <row r="22215" customFormat="false" ht="15" hidden="false" customHeight="false" outlineLevel="0" collapsed="false">
      <c r="A22215" s="5" t="s">
        <v>459</v>
      </c>
      <c r="C22215" s="25" t="n">
        <f aca="false">C22155-C22205</f>
        <v>250</v>
      </c>
    </row>
    <row r="22216" customFormat="false" ht="15" hidden="false" customHeight="false" outlineLevel="0" collapsed="false">
      <c r="A22216" s="5" t="s">
        <v>460</v>
      </c>
      <c r="C22216" s="25" t="n">
        <f aca="false">C22156-C22206</f>
        <v>300</v>
      </c>
    </row>
    <row r="22217" customFormat="false" ht="15" hidden="false" customHeight="false" outlineLevel="0" collapsed="false">
      <c r="A22217" s="23" t="s">
        <v>473</v>
      </c>
      <c r="B22217" s="24"/>
      <c r="C22217" s="24"/>
      <c r="D22217" s="24"/>
      <c r="E22217" s="24"/>
      <c r="F22217" s="24"/>
      <c r="G22217" s="24"/>
      <c r="H22217" s="24"/>
      <c r="I22217" s="24"/>
      <c r="J22217" s="24"/>
      <c r="K22217" s="24"/>
    </row>
    <row r="22218" customFormat="false" ht="15" hidden="false" customHeight="false" outlineLevel="0" collapsed="false">
      <c r="A22218" s="5" t="s">
        <v>457</v>
      </c>
      <c r="C22218" s="21" t="n">
        <f aca="false">IF(C22153=0,0,C22213/C22153)</f>
        <v>0.761697816344045</v>
      </c>
    </row>
    <row r="22219" customFormat="false" ht="15" hidden="false" customHeight="false" outlineLevel="0" collapsed="false">
      <c r="A22219" s="5" t="s">
        <v>458</v>
      </c>
      <c r="C22219" s="21" t="n">
        <f aca="false">IF(C22154=0,0,C22214/C22154)</f>
        <v>1</v>
      </c>
    </row>
    <row r="22220" customFormat="false" ht="15" hidden="false" customHeight="false" outlineLevel="0" collapsed="false">
      <c r="A22220" s="5" t="s">
        <v>459</v>
      </c>
      <c r="C22220" s="21" t="n">
        <f aca="false">IF(C22155=0,0,C22215/C22155)</f>
        <v>1</v>
      </c>
    </row>
    <row r="22221" customFormat="false" ht="15" hidden="false" customHeight="false" outlineLevel="0" collapsed="false">
      <c r="A22221" s="5" t="s">
        <v>460</v>
      </c>
      <c r="C22221" s="21" t="n">
        <f aca="false">IF(C22156=0,0,C22216/C22156)</f>
        <v>1</v>
      </c>
    </row>
    <row r="22222" customFormat="false" ht="15" hidden="false" customHeight="false" outlineLevel="0" collapsed="false">
      <c r="A22222" s="2" t="s">
        <v>474</v>
      </c>
      <c r="C22222" s="16" t="n">
        <f aca="false">MAX(0,$C$22151-SUM($C$22168:$C$22171)-SUM($C$22178:$C$22181))</f>
        <v>0</v>
      </c>
    </row>
    <row r="22223" customFormat="false" ht="15" hidden="false" customHeight="false" outlineLevel="0" collapsed="false">
      <c r="A22223" s="5" t="s">
        <v>492</v>
      </c>
      <c r="C22223" s="33" t="n">
        <f aca="false">MIN(C22150,100*CHOOSE(C22140,C22208,C22209,C22210,C22211))</f>
        <v>0</v>
      </c>
    </row>
    <row r="22224" customFormat="false" ht="15" hidden="false" customHeight="false" outlineLevel="0" collapsed="false">
      <c r="A22224" s="5" t="s">
        <v>493</v>
      </c>
      <c r="C22224" s="20" t="n">
        <f aca="false">IF(C22056=1,C22145+Assumptions!$C$36,C22144)</f>
        <v>3</v>
      </c>
    </row>
    <row r="22225" customFormat="false" ht="15" hidden="false" customHeight="false" outlineLevel="0" collapsed="false">
      <c r="A22225" s="23" t="s">
        <v>494</v>
      </c>
      <c r="B22225" s="24"/>
      <c r="C22225" s="24"/>
      <c r="D22225" s="24"/>
      <c r="E22225" s="24"/>
      <c r="F22225" s="24"/>
      <c r="G22225" s="24"/>
      <c r="H22225" s="24"/>
      <c r="I22225" s="24"/>
      <c r="J22225" s="24"/>
      <c r="K22225" s="24"/>
    </row>
    <row r="22226" customFormat="false" ht="15" hidden="false" customHeight="false" outlineLevel="0" collapsed="false">
      <c r="A22226" s="5" t="s">
        <v>495</v>
      </c>
      <c r="C22226" s="20" t="n">
        <f aca="false">COLUMN()-COLUMN($C$1)</f>
        <v>0</v>
      </c>
      <c r="D22226" s="20" t="n">
        <f aca="false">COLUMN()-COLUMN($C$1)</f>
        <v>1</v>
      </c>
      <c r="E22226" s="20" t="n">
        <f aca="false">COLUMN()-COLUMN($C$1)</f>
        <v>2</v>
      </c>
      <c r="F22226" s="20" t="n">
        <f aca="false">COLUMN()-COLUMN($C$1)</f>
        <v>3</v>
      </c>
      <c r="G22226" s="20" t="n">
        <f aca="false">COLUMN()-COLUMN($C$1)</f>
        <v>4</v>
      </c>
      <c r="H22226" s="20" t="n">
        <f aca="false">COLUMN()-COLUMN($C$1)</f>
        <v>5</v>
      </c>
      <c r="I22226" s="20" t="n">
        <f aca="false">COLUMN()-COLUMN($C$1)</f>
        <v>6</v>
      </c>
    </row>
    <row r="22227" customFormat="false" ht="15" hidden="false" customHeight="false" outlineLevel="0" collapsed="false">
      <c r="A22227" s="5" t="s">
        <v>496</v>
      </c>
      <c r="D22227" s="30" t="n">
        <f aca="false">CHOOSE($C$22140,G21938,G21951,G21964,G21977)</f>
        <v>0.133</v>
      </c>
      <c r="E22227" s="30" t="n">
        <f aca="false">CHOOSE($C$22140,H21938,H21951,H21964,H21977)</f>
        <v>0.1305</v>
      </c>
      <c r="F22227" s="30" t="n">
        <f aca="false">CHOOSE($C$22140,I21938,I21951,I21964,I21977)</f>
        <v>0.128</v>
      </c>
      <c r="G22227" s="30" t="n">
        <f aca="false">CHOOSE($C$22140,J21938,J21951,J21964,J21977)</f>
        <v>0.128</v>
      </c>
      <c r="H22227" s="30" t="n">
        <f aca="false">CHOOSE($C$22140,K21938,K21951,K21964,K21977)</f>
        <v>0.128</v>
      </c>
    </row>
    <row r="22228" customFormat="false" ht="15" hidden="false" customHeight="false" outlineLevel="0" collapsed="false">
      <c r="A22228" s="5" t="s">
        <v>497</v>
      </c>
      <c r="D22228" s="25" t="n">
        <f aca="false">IF(D22226&lt;=$C$22149,$C$22141*D22227,0)</f>
        <v>13.3</v>
      </c>
      <c r="E22228" s="25" t="n">
        <f aca="false">IF(E22226&lt;=$C$22149,$C$22141*E22227,0)</f>
        <v>13.05</v>
      </c>
      <c r="F22228" s="25" t="n">
        <f aca="false">IF(F22226&lt;=$C$22149,$C$22141*F22227,0)</f>
        <v>0</v>
      </c>
      <c r="G22228" s="25" t="n">
        <f aca="false">IF(G22226&lt;=$C$22149,$C$22141*G22227,0)</f>
        <v>0</v>
      </c>
      <c r="H22228" s="25" t="n">
        <f aca="false">IF(H22226&lt;=$C$22149,$C$22141*H22227,0)</f>
        <v>0</v>
      </c>
    </row>
    <row r="22229" customFormat="false" ht="15" hidden="false" customHeight="false" outlineLevel="0" collapsed="false">
      <c r="A22229" s="5" t="s">
        <v>498</v>
      </c>
      <c r="D22229" s="25" t="n">
        <f aca="false">IF(AND($C$22056=0,D22226=$C$22144),$C$22141*$C$22223/100,0)+IF(AND($C$22056=1,D22226=$C$22224),$C$22147,0)</f>
        <v>0</v>
      </c>
      <c r="E22229" s="25" t="n">
        <f aca="false">IF(AND($C$22056=0,E22226=$C$22144),$C$22141*$C$22223/100,0)+IF(AND($C$22056=1,E22226=$C$22224),$C$22147,0)</f>
        <v>0</v>
      </c>
      <c r="F22229" s="25" t="n">
        <f aca="false">IF(AND($C$22056=0,F22226=$C$22144),$C$22141*$C$22223/100,0)+IF(AND($C$22056=1,F22226=$C$22224),$C$22147,0)</f>
        <v>29.0034660125589</v>
      </c>
      <c r="G22229" s="25" t="n">
        <f aca="false">IF(AND($C$22056=0,G22226=$C$22144),$C$22141*$C$22223/100,0)+IF(AND($C$22056=1,G22226=$C$22224),$C$22147,0)</f>
        <v>0</v>
      </c>
      <c r="H22229" s="25" t="n">
        <f aca="false">IF(AND($C$22056=0,H22226=$C$22144),$C$22141*$C$22223/100,0)+IF(AND($C$22056=1,H22226=$C$22224),$C$22147,0)</f>
        <v>0</v>
      </c>
      <c r="I22229" s="25" t="n">
        <f aca="false">IF(AND($C$22056=0,I22226=$C$22144),$C$22141*$C$22223/100,0)+IF(AND($C$22056=1,I22226=$C$22224),$C$22147,0)</f>
        <v>0</v>
      </c>
    </row>
    <row r="22230" customFormat="false" ht="15" hidden="false" customHeight="false" outlineLevel="0" collapsed="false">
      <c r="A22230" s="2" t="s">
        <v>499</v>
      </c>
      <c r="C22230" s="16" t="n">
        <f aca="false">-$C$22143</f>
        <v>-78.39</v>
      </c>
      <c r="D22230" s="16" t="n">
        <f aca="false">D22228+D22229</f>
        <v>13.3</v>
      </c>
      <c r="E22230" s="16" t="n">
        <f aca="false">E22228+E22229</f>
        <v>13.05</v>
      </c>
      <c r="F22230" s="16" t="n">
        <f aca="false">F22228+F22229</f>
        <v>29.0034660125589</v>
      </c>
      <c r="G22230" s="16" t="n">
        <f aca="false">G22228+G22229</f>
        <v>0</v>
      </c>
      <c r="H22230" s="16" t="n">
        <f aca="false">H22228+H22229</f>
        <v>0</v>
      </c>
      <c r="I22230" s="16" t="n">
        <f aca="false">I22228+I22229</f>
        <v>0</v>
      </c>
    </row>
    <row r="22231" customFormat="false" ht="15" hidden="false" customHeight="false" outlineLevel="0" collapsed="false">
      <c r="A22231" s="5" t="s">
        <v>500</v>
      </c>
      <c r="C22231" s="25" t="n">
        <f aca="false">SUM($C$22228:$I$22228)</f>
        <v>26.35</v>
      </c>
    </row>
    <row r="22232" customFormat="false" ht="15" hidden="false" customHeight="false" outlineLevel="0" collapsed="false">
      <c r="A22232" s="5" t="s">
        <v>501</v>
      </c>
      <c r="C22232" s="25" t="n">
        <f aca="false">SUM($C$22229:$I$22229)</f>
        <v>29.0034660125589</v>
      </c>
    </row>
    <row r="22233" customFormat="false" ht="15" hidden="false" customHeight="false" outlineLevel="0" collapsed="false">
      <c r="A22233" s="5" t="s">
        <v>502</v>
      </c>
      <c r="C22233" s="25" t="n">
        <f aca="false">C22231+C22232</f>
        <v>55.3534660125589</v>
      </c>
    </row>
    <row r="22234" customFormat="false" ht="15" hidden="false" customHeight="false" outlineLevel="0" collapsed="false">
      <c r="A22234" s="5" t="s">
        <v>503</v>
      </c>
      <c r="C22234" s="25" t="n">
        <f aca="false">C22232-C22141*C22142/100</f>
        <v>-48.9965339874412</v>
      </c>
    </row>
    <row r="22235" customFormat="false" ht="15" hidden="false" customHeight="false" outlineLevel="0" collapsed="false">
      <c r="A22235" s="5" t="s">
        <v>504</v>
      </c>
      <c r="C22235" s="25" t="n">
        <f aca="false">C22233-C22143</f>
        <v>-23.0365339874411</v>
      </c>
    </row>
    <row r="22236" customFormat="false" ht="15" hidden="false" customHeight="false" outlineLevel="0" collapsed="false">
      <c r="A22236" s="2" t="s">
        <v>385</v>
      </c>
      <c r="C22236" s="43" t="n">
        <f aca="false">C22233/C22143</f>
        <v>0.706129174799832</v>
      </c>
    </row>
    <row r="22237" customFormat="false" ht="15" hidden="false" customHeight="false" outlineLevel="0" collapsed="false">
      <c r="A22237" s="2" t="s">
        <v>384</v>
      </c>
      <c r="C22237" s="41" t="n">
        <f aca="false">IF(C22233&lt;=0,-1,IFERROR(IRR($C$22230:$I$22230,MAX(-0.9,C22236^(1/C22224)-1)),IRR($C$22230:$I$22230,0.1)))</f>
        <v>-0.138534047289136</v>
      </c>
    </row>
    <row r="22238" customFormat="false" ht="15" hidden="false" customHeight="false" outlineLevel="0" collapsed="false">
      <c r="A22238" s="5" t="s">
        <v>505</v>
      </c>
      <c r="C22238" s="31" t="n">
        <f aca="false">MAX($G$22032:$K$22032)</f>
        <v>124.624351403687</v>
      </c>
    </row>
    <row r="22239" customFormat="false" ht="15" hidden="false" customHeight="false" outlineLevel="0" collapsed="false">
      <c r="A22239" s="5" t="s">
        <v>506</v>
      </c>
      <c r="C22239" s="31" t="n">
        <f aca="false">MIN($G$22033:$K$22033)</f>
        <v>0.109080209295775</v>
      </c>
    </row>
    <row r="22240" customFormat="false" ht="15" hidden="false" customHeight="false" outlineLevel="0" collapsed="false">
      <c r="A22240" s="5" t="s">
        <v>507</v>
      </c>
      <c r="C22240" s="25" t="n">
        <f aca="false">SUM($G$21922:$K$21922)</f>
        <v>-697.792895058854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2026-10-09T00:35:16Z</dcterms:created>
  <dc:creator>openpyxl</dc:creator>
  <dc:description/>
  <dc:language>en-US</dc:language>
  <cp:lastModifiedBy/>
  <dcterms:modified xsi:type="dcterms:W3CDTF">2026-10-09T00:35:19Z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